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2120" windowHeight="9120" tabRatio="895" firstSheet="10" activeTab="13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LRAM and SSM Rate Rider" sheetId="10" r:id="rId10"/>
    <sheet name="2011 Rate Rider" sheetId="11" r:id="rId11"/>
    <sheet name="Distribution Rate Schedule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externalReferences>
    <externalReference r:id="rId21"/>
    <externalReference r:id="rId22"/>
    <externalReference r:id="rId23"/>
  </externalReferences>
  <definedNames>
    <definedName name="_xlnm.Print_Area" localSheetId="5">'Cost Allocation Study'!$A$1:$M$16</definedName>
    <definedName name="_xlnm.Print_Area" localSheetId="11">'Distribution Rate Schedule'!$A$1:$E$39</definedName>
    <definedName name="_xlnm.Print_Area" localSheetId="9">'LRAM and SSM Rate Rider'!$A$1:$L$17</definedName>
    <definedName name="_xlnm.Print_Area" localSheetId="15">'Rate Schedule (Part 2)'!$B$5:$D$34</definedName>
    <definedName name="_xlnm.Print_Area" localSheetId="17">'Revenue Deficiency Analysis'!$A$1:$I$28</definedName>
    <definedName name="_xlnm.Print_Titles" localSheetId="13">'BILL IMPACTS'!$1:$6</definedName>
  </definedNames>
  <calcPr fullCalcOnLoad="1"/>
</workbook>
</file>

<file path=xl/comments6.xml><?xml version="1.0" encoding="utf-8"?>
<comments xmlns="http://schemas.openxmlformats.org/spreadsheetml/2006/main">
  <authors>
    <author>Patti Eitel</author>
  </authors>
  <commentList>
    <comment ref="F7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residential &amp; microFIT</t>
        </r>
      </text>
    </comment>
  </commentList>
</comments>
</file>

<file path=xl/sharedStrings.xml><?xml version="1.0" encoding="utf-8"?>
<sst xmlns="http://schemas.openxmlformats.org/spreadsheetml/2006/main" count="1266" uniqueCount="284">
  <si>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</si>
  <si>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</si>
  <si>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</si>
  <si>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</si>
  <si>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</si>
  <si>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</si>
  <si>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</si>
  <si>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</si>
  <si>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</si>
  <si>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</si>
  <si>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</si>
  <si>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</si>
  <si>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</si>
  <si>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</si>
  <si>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</si>
  <si>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</si>
  <si>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</si>
  <si>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</si>
  <si>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</si>
  <si>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</si>
  <si>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</si>
  <si>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</si>
  <si>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</si>
  <si>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</si>
  <si>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</si>
  <si>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</si>
  <si>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</si>
  <si>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</si>
  <si>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</si>
  <si>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</si>
  <si>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</si>
  <si>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</si>
  <si>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</si>
  <si>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</si>
  <si>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</si>
  <si>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</si>
  <si>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</si>
  <si>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</si>
  <si>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</si>
  <si>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</si>
  <si>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</si>
  <si>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</si>
  <si>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</si>
  <si>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</si>
  <si>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</si>
  <si>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</si>
  <si>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</si>
  <si>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</si>
  <si>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</si>
  <si>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</si>
  <si>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</si>
  <si>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</si>
  <si>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</si>
  <si>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</si>
  <si>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</si>
  <si>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</si>
  <si>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</si>
  <si>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</si>
  <si>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</si>
  <si>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</si>
  <si>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</si>
  <si>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</si>
  <si>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</si>
  <si>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</si>
  <si>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</si>
  <si>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</si>
  <si>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</si>
  <si>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</si>
  <si>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</si>
  <si>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</si>
  <si>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</si>
  <si>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</si>
  <si>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</si>
  <si>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</si>
  <si>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</si>
  <si>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</si>
  <si>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</si>
  <si>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</si>
  <si>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</si>
  <si>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>Distribution (kW)</t>
  </si>
  <si>
    <t xml:space="preserve"> Street Lighting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</si>
  <si>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</si>
  <si>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</si>
  <si>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</si>
  <si>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</si>
  <si>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</si>
  <si>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</si>
  <si>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Item Description (Rate Code)</t>
  </si>
  <si>
    <t>Calculation Basis</t>
  </si>
  <si>
    <t>Statement of account (2)</t>
  </si>
  <si>
    <t>Standard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</si>
  <si>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</si>
  <si>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</si>
  <si>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</si>
  <si>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</si>
  <si>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</si>
  <si>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</si>
  <si>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</si>
  <si>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</si>
  <si>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</si>
  <si>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</si>
  <si>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</si>
  <si>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</si>
  <si>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</si>
  <si>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</si>
  <si>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</si>
  <si>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</si>
  <si>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</si>
  <si>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</si>
  <si>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</si>
  <si>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</si>
  <si>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</si>
  <si>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</si>
  <si>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</si>
  <si>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</si>
  <si>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</si>
  <si>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</si>
  <si>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</si>
  <si>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</si>
  <si>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</si>
  <si>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</si>
  <si>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</si>
  <si>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</si>
  <si>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</si>
  <si>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</si>
  <si>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</si>
  <si>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</si>
  <si>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</si>
  <si>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</si>
  <si>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</si>
  <si>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</si>
  <si>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</si>
  <si>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</si>
  <si>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</si>
  <si>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Smart Meter Rider (per month)</t>
  </si>
  <si>
    <t>Difference Due to Rate Rounding</t>
  </si>
  <si>
    <t>Debt Retirement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</si>
  <si>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</si>
  <si>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</si>
  <si>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</si>
  <si>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</si>
  <si>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</si>
  <si>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</si>
  <si>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</si>
  <si>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</si>
  <si>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</si>
  <si>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t>Rate ($)</t>
  </si>
  <si>
    <t>Addback LV Charges</t>
  </si>
  <si>
    <t xml:space="preserve">      Total Base Revenue Requirement</t>
  </si>
  <si>
    <t>Cost Allocation Based Calculations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</si>
  <si>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</si>
  <si>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</si>
  <si>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</si>
  <si>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</si>
  <si>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</si>
  <si>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</si>
  <si>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</si>
  <si>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</si>
  <si>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2010 BILL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</si>
  <si>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</si>
  <si>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</si>
  <si>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</si>
  <si>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</si>
  <si>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</si>
  <si>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</si>
  <si>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</si>
  <si>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</si>
  <si>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Residential</t>
  </si>
  <si>
    <t>GS &lt; 50 kW</t>
  </si>
  <si>
    <t>Large Use</t>
  </si>
  <si>
    <t>Street Lighting</t>
  </si>
  <si>
    <t>USL</t>
  </si>
  <si>
    <t>Forecast Data For 2011 Test Year Projection</t>
  </si>
  <si>
    <t>2011 Test Year Normalized</t>
  </si>
  <si>
    <t>Total Check</t>
  </si>
  <si>
    <t># of Cust/Con</t>
  </si>
  <si>
    <t>EXISTING 2010 RATE YEAR - DISTRIBUTION REVENUE RATES EXCLUDING SMART METER RATE RIDER</t>
  </si>
  <si>
    <t>Regulatory Assets Rate Rider For 2010, if applicable</t>
  </si>
  <si>
    <t>Low Voltage Rate Component For 2010</t>
  </si>
  <si>
    <t>Smart Meter Adder - 2010</t>
  </si>
  <si>
    <t>EXISTING 2010 DISTRIBUTION VOLUMETRIC EXCL LV</t>
  </si>
  <si>
    <t>2011 Test</t>
  </si>
  <si>
    <t>Forecast Class Billing Determinants for 2011 Test Year Based on Existing Class Revenue Proportions</t>
  </si>
  <si>
    <t>Revenue Requirement - 2011 Cost Allocation Model</t>
  </si>
  <si>
    <t>Miscellaneous Revenue Allocated from 2011 Cost Allocation Model</t>
  </si>
  <si>
    <t>Board Target Low</t>
  </si>
  <si>
    <t>Board Target High</t>
  </si>
  <si>
    <t>Distribution Rate Allocation Between Fixed &amp; Variable Rates For 2011 Test Year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</si>
  <si>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</si>
  <si>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</si>
  <si>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</si>
  <si>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</si>
  <si>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 Test Year - LRAM and SSM Rider</t>
  </si>
  <si>
    <t>Billing Units (2011)</t>
  </si>
  <si>
    <t>2011 Test Year - Rate Rider</t>
  </si>
  <si>
    <t>Effective May 1, 2011</t>
  </si>
  <si>
    <t>y</t>
  </si>
  <si>
    <t>2010 Rates</t>
  </si>
  <si>
    <t>2011 Rates</t>
  </si>
  <si>
    <t>2011 BILL</t>
  </si>
  <si>
    <t>Distribution Sub-Total</t>
  </si>
  <si>
    <t>Retail Transmisssion (kWh)</t>
  </si>
  <si>
    <t>Delivery Sub-Total</t>
  </si>
  <si>
    <t>LRAM &amp; SSM Rider (kW)</t>
  </si>
  <si>
    <t>Retail Transmisssion (kW)</t>
  </si>
  <si>
    <t>GST/HST</t>
  </si>
  <si>
    <t>GS 50 kW - 999 kW</t>
  </si>
  <si>
    <t>GS&gt;1000 kW</t>
  </si>
  <si>
    <t>updated July 16/10 PE</t>
  </si>
  <si>
    <t>n/a</t>
  </si>
  <si>
    <t>Check Revenue Cost Ratios from 2011 Cost Allocation Model</t>
  </si>
  <si>
    <t>2010 Rates From OEB Approved Tariff</t>
  </si>
  <si>
    <t xml:space="preserve"> Proposed Retail Transmission Connection Rate ($)</t>
  </si>
  <si>
    <t>microFIT Generator service</t>
  </si>
  <si>
    <t>**</t>
  </si>
  <si>
    <t>**microFIT Generator delivery charge is calculated at 4 X 12 X $5.25.</t>
  </si>
  <si>
    <t>Proposed Volumetric Split</t>
  </si>
  <si>
    <t>GENERAL SERVICE 50 kW - 999 kW</t>
  </si>
  <si>
    <t>GENERAL SERVICE &gt;1000 kW</t>
  </si>
  <si>
    <t>Smart Meter Rate Adder ($)
per Metered Cust./Month</t>
  </si>
  <si>
    <t>Smart Meter Adder (per month)</t>
  </si>
  <si>
    <t>Smart Meter Adder</t>
  </si>
  <si>
    <t xml:space="preserve">Commodity &amp; Other </t>
  </si>
  <si>
    <t>Block 1 kWh</t>
  </si>
  <si>
    <t xml:space="preserve">Cost of Power Commodity Block 1 (kWh) </t>
  </si>
  <si>
    <t xml:space="preserve">Cost of Power Commodity Block 2 (kWh) </t>
  </si>
  <si>
    <t>2011 Test Year Distribution Revenue Reconciliation</t>
  </si>
  <si>
    <t>Forecast Revenue For 2011 Test Year Based on Existing Rates (Less Low Voltage Rate Component)</t>
  </si>
  <si>
    <t>2011 Base Revenue Allocated based on Proportion of Revenue at Existing Rates</t>
  </si>
  <si>
    <t>Current Fixed Charge Analysis</t>
  </si>
  <si>
    <t>Proposed Charge Analysis</t>
  </si>
  <si>
    <t>This needs to be zero</t>
  </si>
  <si>
    <t>Proposed change %</t>
  </si>
  <si>
    <t>Fixed Rate Based on Proposed Fixed/Variable Revenue Proportions</t>
  </si>
  <si>
    <t>Proposed Fixed Charge Spilt</t>
  </si>
  <si>
    <r>
      <t>BILL IMPACTS</t>
    </r>
    <r>
      <rPr>
        <b/>
        <i/>
        <sz val="16"/>
        <rFont val="Calibri"/>
        <family val="2"/>
      </rPr>
      <t xml:space="preserve">  (Monthly Consumptions)</t>
    </r>
  </si>
  <si>
    <t>Legal letter charge (1)</t>
  </si>
  <si>
    <t>Account history (3)</t>
  </si>
  <si>
    <t>Notification charge (4)</t>
  </si>
  <si>
    <t>Returned cheque charge (plus bank charges) (5)</t>
  </si>
  <si>
    <t>Account set up charge/change of occupancy charge (plus credit agency costs if applicable) (6)</t>
  </si>
  <si>
    <t>Special meter reads (7)</t>
  </si>
  <si>
    <t>Collection of account charge - no disconnection (8)</t>
  </si>
  <si>
    <t>Disconnect/Reconnect at meter - during regular hours  (9)</t>
  </si>
  <si>
    <t>Install/Remove load control device - during regular hours (10)</t>
  </si>
  <si>
    <t>Disconnect/Reconnect at meter - after regular hours (11)</t>
  </si>
  <si>
    <t>Install/Remove load control device - after regular hours (12)</t>
  </si>
  <si>
    <t>Deferral and Variance  (Approved - effective until April 30, 2014
Account Rate Riders 
($) per kW</t>
  </si>
  <si>
    <t>Deferral and Variance  ( Approved  effective until April 30, 2014)
Account Rate Riders 
($) per kWh</t>
  </si>
  <si>
    <t>Deferral and Variance (Proposed - effective until April 30, 2012)
Account Rate Riders 
($) per kWh</t>
  </si>
  <si>
    <t>Deferral and Variance (Proposed - effective until April 30, 2012)
Account Rate Riders 
($) per kW</t>
  </si>
  <si>
    <t>Proposed Schedule of Distribution Rates and Charges</t>
  </si>
  <si>
    <t>Meter dispute charge plus Measurement Canada fees (if meter found correct) (13)</t>
  </si>
  <si>
    <t>Specific Charge for Access to the Power Poles $/pole/year (14)</t>
  </si>
  <si>
    <t>Revised Deferral and Variance  ( effective until April 30, 2014
Account Rate Riders 
($) per kW</t>
  </si>
  <si>
    <t>Proposed Non-RPP (   effective until April 30, 2014)
Account Rate Riders 
($) per kWh</t>
  </si>
  <si>
    <t>Proposed Non-RPPRevised Deferral and Variance  ( effective until April 30, 2014
Account Rate Riders 
($) per kW</t>
  </si>
  <si>
    <t>Proposed Revised 2010 EDVVAR Rider + Proposed 2010 Non-RPP Rider</t>
  </si>
  <si>
    <t>Proposed 2011 EDVVAR Rider + Proposed 2011 Non-RPP Rider</t>
  </si>
  <si>
    <t>Current</t>
  </si>
  <si>
    <t xml:space="preserve">Proposed Revised 2010 EDVVAR Rider </t>
  </si>
  <si>
    <t xml:space="preserve">Proposed 2011 EDVVAR Rider </t>
  </si>
  <si>
    <t>Proposed 2011 Non-RPP Rate Rider</t>
  </si>
  <si>
    <t>Proposed Revised 2010 EDVVAR Rider  (Non-RPP Portion)</t>
  </si>
  <si>
    <t>Deferral and Variance Account Rider (2010)</t>
  </si>
  <si>
    <t>Non-RPP Global Adjustment Rate Rider (2010)</t>
  </si>
  <si>
    <t>Non-RPP Global Adjustment Rate Rider (2011)</t>
  </si>
  <si>
    <t>Deferral and Variance Account Rider (2011)</t>
  </si>
  <si>
    <t>Deferral and Variance Account Rider (2010) (kWh)</t>
  </si>
  <si>
    <t>Deferral and Variance Account Rider (2011) (kWh)</t>
  </si>
  <si>
    <t>Non-RPP Global Adjustment Rate Rider (2010) (kWh)</t>
  </si>
  <si>
    <t>Non-RPP Global Adjustment Rate Rider (2011) (kWh)</t>
  </si>
  <si>
    <t>Deferral and Variance Account Rider (2010) (kW)</t>
  </si>
  <si>
    <t>Deferral and Variance Account Rider (2011) (kW)</t>
  </si>
  <si>
    <t>Non-RPP Global Adjustment Rate Rider (2010) (kW)</t>
  </si>
  <si>
    <t>Non-RPP Global Adjustment Rate Rider (2011) (kW)</t>
  </si>
  <si>
    <t>Total Proposed 2010 &amp; 2011 Deferral &amp; Variance 
Account Rate Riders 
($) per kW</t>
  </si>
  <si>
    <t>Proposed Deferral and Variance  (   effective until April 30, 2014)
Account Rate Riders 
($) per kWh</t>
  </si>
  <si>
    <t>Conn.</t>
  </si>
  <si>
    <t>NON-RPP</t>
  </si>
  <si>
    <t>EDVVAR EXCLUDING NON-RPP</t>
  </si>
  <si>
    <t>TOTAL Proposed 2010 &amp; 2011 Deferral &amp; Variance 
Account Rate Riders 
($) per kWh</t>
  </si>
  <si>
    <t>Woodstock Hydro Services Inc.</t>
  </si>
  <si>
    <t>, License Number ED-2003-0011, File Number EB-2010-0145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</si>
</sst>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_-* #,##0.00000000_-;\-* #,##0.00000000_-;_-* &quot;-&quot;??_-;_-@_-"/>
    <numFmt numFmtId="176" formatCode="#,##0.0000_);\(#,##0.0000\)"/>
    <numFmt numFmtId="177" formatCode="#,##0.0000"/>
    <numFmt numFmtId="178" formatCode="0.0%"/>
    <numFmt numFmtId="179" formatCode="0.00000"/>
    <numFmt numFmtId="180" formatCode="0_ ;\-0\ "/>
    <numFmt numFmtId="181" formatCode="#,##0.00;[Red]\(#,##0.00\)"/>
    <numFmt numFmtId="182" formatCode="#,##0.00_ ;\-#,##0.00\ "/>
    <numFmt numFmtId="183" formatCode="&quot;$&quot;#,##0.0000_);[Red]\(#,##0.0000\)"/>
    <numFmt numFmtId="184" formatCode="#,##0.00%;[Red]\(#,##0.00%\)"/>
    <numFmt numFmtId="185" formatCode="&quot;$&quot;#,##0.00;\(&quot;$&quot;###0.00\)"/>
    <numFmt numFmtId="186" formatCode="&quot;$&quot;#,##0;\(&quot;$&quot;#,##0\)"/>
    <numFmt numFmtId="187" formatCode="#,##0.00000"/>
    <numFmt numFmtId="188" formatCode="#,##0.00000_ ;\-#,##0.00000\ "/>
    <numFmt numFmtId="189" formatCode="#,##0.0000;[Red]\(#,##0.0000\)"/>
    <numFmt numFmtId="190" formatCode="#,##0.0000;\-#,##0.0000"/>
    <numFmt numFmtId="191" formatCode="_-&quot;$&quot;* #,##0.0_-;\-&quot;$&quot;* #,##0.0_-;_-&quot;$&quot;* &quot;-&quot;??_-;_-@_-"/>
    <numFmt numFmtId="192" formatCode="_-* #,##0.0000_-;\-* #,##0.0000_-;_-* &quot;-&quot;??_-;_-@_-"/>
    <numFmt numFmtId="193" formatCode="0.000000000000000%"/>
    <numFmt numFmtId="194" formatCode="#,##0.00000_);\(#,##0.000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i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8"/>
      <name val="Calibri"/>
      <family val="2"/>
    </font>
    <font>
      <b/>
      <sz val="10"/>
      <color indexed="60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b/>
      <i/>
      <sz val="20"/>
      <color indexed="12"/>
      <name val="Calibri"/>
      <family val="2"/>
    </font>
    <font>
      <u val="single"/>
      <sz val="12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double"/>
    </border>
    <border>
      <left/>
      <right/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4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66" fillId="27" borderId="6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8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0" fontId="3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70" fontId="0" fillId="0" borderId="0" xfId="46" applyNumberFormat="1" applyFont="1" applyFill="1" applyBorder="1" applyAlignment="1">
      <alignment/>
    </xf>
    <xf numFmtId="174" fontId="0" fillId="0" borderId="0" xfId="46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70" fontId="4" fillId="0" borderId="0" xfId="46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68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46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170" fontId="3" fillId="0" borderId="8" xfId="46" applyNumberFormat="1" applyFont="1" applyFill="1" applyBorder="1" applyAlignment="1">
      <alignment/>
    </xf>
    <xf numFmtId="170" fontId="3" fillId="0" borderId="9" xfId="46" applyNumberFormat="1" applyFont="1" applyFill="1" applyBorder="1" applyAlignment="1">
      <alignment/>
    </xf>
    <xf numFmtId="10" fontId="0" fillId="0" borderId="0" xfId="67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5" fontId="0" fillId="0" borderId="0" xfId="42" applyNumberFormat="1" applyFont="1" applyFill="1" applyBorder="1" applyAlignment="1">
      <alignment/>
    </xf>
    <xf numFmtId="168" fontId="4" fillId="0" borderId="0" xfId="42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7" fontId="0" fillId="34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7" fontId="0" fillId="34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0" fillId="34" borderId="17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6" fontId="4" fillId="35" borderId="2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76" fontId="4" fillId="35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37" fontId="4" fillId="0" borderId="26" xfId="0" applyNumberFormat="1" applyFont="1" applyFill="1" applyBorder="1" applyAlignment="1">
      <alignment horizontal="center"/>
    </xf>
    <xf numFmtId="10" fontId="4" fillId="0" borderId="26" xfId="67" applyNumberFormat="1" applyFont="1" applyFill="1" applyBorder="1" applyAlignment="1">
      <alignment horizontal="center"/>
    </xf>
    <xf numFmtId="10" fontId="0" fillId="0" borderId="20" xfId="67" applyNumberFormat="1" applyFont="1" applyFill="1" applyBorder="1" applyAlignment="1">
      <alignment horizontal="center"/>
    </xf>
    <xf numFmtId="4" fontId="0" fillId="0" borderId="20" xfId="42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0" fontId="0" fillId="0" borderId="20" xfId="67" applyNumberFormat="1" applyFont="1" applyFill="1" applyBorder="1" applyAlignment="1">
      <alignment horizontal="center"/>
    </xf>
    <xf numFmtId="9" fontId="4" fillId="0" borderId="9" xfId="67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indent="1"/>
    </xf>
    <xf numFmtId="168" fontId="4" fillId="0" borderId="9" xfId="0" applyNumberFormat="1" applyFont="1" applyFill="1" applyBorder="1" applyAlignment="1">
      <alignment horizontal="left" indent="1"/>
    </xf>
    <xf numFmtId="0" fontId="0" fillId="0" borderId="28" xfId="0" applyFill="1" applyBorder="1" applyAlignment="1">
      <alignment/>
    </xf>
    <xf numFmtId="173" fontId="4" fillId="0" borderId="28" xfId="67" applyNumberFormat="1" applyFont="1" applyFill="1" applyBorder="1" applyAlignment="1">
      <alignment/>
    </xf>
    <xf numFmtId="170" fontId="4" fillId="0" borderId="9" xfId="46" applyNumberFormat="1" applyFont="1" applyFill="1" applyBorder="1" applyAlignment="1">
      <alignment horizontal="center"/>
    </xf>
    <xf numFmtId="10" fontId="4" fillId="0" borderId="9" xfId="6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1" fontId="4" fillId="0" borderId="9" xfId="0" applyNumberFormat="1" applyFont="1" applyFill="1" applyBorder="1" applyAlignment="1">
      <alignment horizontal="center"/>
    </xf>
    <xf numFmtId="37" fontId="4" fillId="0" borderId="20" xfId="0" applyNumberFormat="1" applyFont="1" applyFill="1" applyBorder="1" applyAlignment="1">
      <alignment/>
    </xf>
    <xf numFmtId="171" fontId="0" fillId="0" borderId="20" xfId="46" applyNumberFormat="1" applyFont="1" applyFill="1" applyBorder="1" applyAlignment="1">
      <alignment horizontal="center"/>
    </xf>
    <xf numFmtId="170" fontId="0" fillId="0" borderId="20" xfId="46" applyNumberFormat="1" applyFont="1" applyFill="1" applyBorder="1" applyAlignment="1">
      <alignment/>
    </xf>
    <xf numFmtId="174" fontId="0" fillId="0" borderId="20" xfId="46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indent="1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indent="1"/>
    </xf>
    <xf numFmtId="4" fontId="0" fillId="34" borderId="20" xfId="42" applyNumberFormat="1" applyFont="1" applyFill="1" applyBorder="1" applyAlignment="1">
      <alignment horizontal="center"/>
    </xf>
    <xf numFmtId="168" fontId="4" fillId="35" borderId="20" xfId="42" applyNumberFormat="1" applyFont="1" applyFill="1" applyBorder="1" applyAlignment="1">
      <alignment horizontal="center"/>
    </xf>
    <xf numFmtId="10" fontId="4" fillId="35" borderId="20" xfId="67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center"/>
    </xf>
    <xf numFmtId="177" fontId="0" fillId="34" borderId="20" xfId="42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168" fontId="4" fillId="0" borderId="29" xfId="0" applyNumberFormat="1" applyFont="1" applyFill="1" applyBorder="1" applyAlignment="1">
      <alignment horizontal="left" indent="1"/>
    </xf>
    <xf numFmtId="170" fontId="4" fillId="0" borderId="29" xfId="46" applyNumberFormat="1" applyFont="1" applyFill="1" applyBorder="1" applyAlignment="1">
      <alignment horizontal="left" indent="1"/>
    </xf>
    <xf numFmtId="168" fontId="0" fillId="0" borderId="20" xfId="42" applyNumberFormat="1" applyFont="1" applyFill="1" applyBorder="1" applyAlignment="1">
      <alignment horizontal="center"/>
    </xf>
    <xf numFmtId="3" fontId="0" fillId="0" borderId="20" xfId="42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177" fontId="0" fillId="0" borderId="20" xfId="42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7" fontId="0" fillId="0" borderId="20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 wrapText="1"/>
    </xf>
    <xf numFmtId="176" fontId="0" fillId="35" borderId="31" xfId="0" applyNumberForma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2" fontId="0" fillId="35" borderId="20" xfId="0" applyNumberForma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172" fontId="0" fillId="35" borderId="31" xfId="0" applyNumberFormat="1" applyFill="1" applyBorder="1" applyAlignment="1">
      <alignment horizontal="center" vertical="center" wrapText="1"/>
    </xf>
    <xf numFmtId="0" fontId="0" fillId="35" borderId="31" xfId="0" applyFill="1" applyBorder="1" applyAlignment="1" quotePrefix="1">
      <alignment horizontal="center" vertical="center" wrapText="1"/>
    </xf>
    <xf numFmtId="176" fontId="0" fillId="35" borderId="31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2" fontId="0" fillId="35" borderId="20" xfId="0" applyNumberForma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72" fontId="0" fillId="35" borderId="31" xfId="0" applyNumberFormat="1" applyFill="1" applyBorder="1" applyAlignment="1">
      <alignment horizontal="center" vertical="center"/>
    </xf>
    <xf numFmtId="0" fontId="0" fillId="35" borderId="31" xfId="0" applyFill="1" applyBorder="1" applyAlignment="1">
      <alignment vertical="center"/>
    </xf>
    <xf numFmtId="176" fontId="0" fillId="34" borderId="31" xfId="0" applyNumberFormat="1" applyFont="1" applyFill="1" applyBorder="1" applyAlignment="1" applyProtection="1">
      <alignment horizontal="center"/>
      <protection/>
    </xf>
    <xf numFmtId="172" fontId="0" fillId="34" borderId="20" xfId="0" applyNumberFormat="1" applyFont="1" applyFill="1" applyBorder="1" applyAlignment="1" applyProtection="1">
      <alignment horizontal="center"/>
      <protection locked="0"/>
    </xf>
    <xf numFmtId="176" fontId="0" fillId="34" borderId="31" xfId="0" applyNumberFormat="1" applyFill="1" applyBorder="1" applyAlignment="1" applyProtection="1">
      <alignment horizontal="center"/>
      <protection/>
    </xf>
    <xf numFmtId="172" fontId="0" fillId="34" borderId="20" xfId="0" applyNumberFormat="1" applyFill="1" applyBorder="1" applyAlignment="1" applyProtection="1">
      <alignment horizontal="center"/>
      <protection locked="0"/>
    </xf>
    <xf numFmtId="172" fontId="0" fillId="0" borderId="20" xfId="0" applyNumberFormat="1" applyFill="1" applyBorder="1" applyAlignment="1">
      <alignment horizontal="center"/>
    </xf>
    <xf numFmtId="172" fontId="0" fillId="1" borderId="31" xfId="0" applyNumberFormat="1" applyFont="1" applyFill="1" applyBorder="1" applyAlignment="1" applyProtection="1">
      <alignment horizontal="center"/>
      <protection/>
    </xf>
    <xf numFmtId="172" fontId="4" fillId="1" borderId="20" xfId="0" applyNumberFormat="1" applyFont="1" applyFill="1" applyBorder="1" applyAlignment="1" applyProtection="1">
      <alignment horizontal="center"/>
      <protection/>
    </xf>
    <xf numFmtId="172" fontId="0" fillId="1" borderId="20" xfId="0" applyNumberFormat="1" applyFill="1" applyBorder="1" applyAlignment="1" applyProtection="1">
      <alignment horizontal="center"/>
      <protection/>
    </xf>
    <xf numFmtId="172" fontId="0" fillId="1" borderId="31" xfId="0" applyNumberFormat="1" applyFill="1" applyBorder="1" applyAlignment="1" applyProtection="1">
      <alignment horizontal="center"/>
      <protection/>
    </xf>
    <xf numFmtId="172" fontId="0" fillId="34" borderId="31" xfId="0" applyNumberFormat="1" applyFill="1" applyBorder="1" applyAlignment="1" applyProtection="1">
      <alignment horizontal="center"/>
      <protection/>
    </xf>
    <xf numFmtId="172" fontId="0" fillId="34" borderId="31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left" vertical="center" wrapText="1"/>
    </xf>
    <xf numFmtId="171" fontId="0" fillId="0" borderId="20" xfId="0" applyNumberFormat="1" applyFont="1" applyFill="1" applyBorder="1" applyAlignment="1">
      <alignment horizontal="center" vertical="center"/>
    </xf>
    <xf numFmtId="39" fontId="0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1" fontId="14" fillId="0" borderId="0" xfId="0" applyNumberFormat="1" applyFont="1" applyFill="1" applyBorder="1" applyAlignment="1">
      <alignment horizontal="left" vertical="center"/>
    </xf>
    <xf numFmtId="39" fontId="5" fillId="0" borderId="0" xfId="0" applyNumberFormat="1" applyFont="1" applyFill="1" applyBorder="1" applyAlignment="1">
      <alignment horizontal="left" vertical="center"/>
    </xf>
    <xf numFmtId="170" fontId="4" fillId="0" borderId="9" xfId="46" applyNumberFormat="1" applyFont="1" applyFill="1" applyBorder="1" applyAlignment="1">
      <alignment/>
    </xf>
    <xf numFmtId="38" fontId="0" fillId="0" borderId="20" xfId="0" applyNumberForma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center"/>
    </xf>
    <xf numFmtId="170" fontId="3" fillId="34" borderId="0" xfId="46" applyNumberFormat="1" applyFont="1" applyFill="1" applyAlignment="1">
      <alignment/>
    </xf>
    <xf numFmtId="168" fontId="4" fillId="34" borderId="23" xfId="42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37" fontId="3" fillId="0" borderId="33" xfId="0" applyNumberFormat="1" applyFont="1" applyFill="1" applyBorder="1" applyAlignment="1">
      <alignment/>
    </xf>
    <xf numFmtId="37" fontId="3" fillId="0" borderId="3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4" fillId="35" borderId="35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37" fontId="0" fillId="0" borderId="2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6" fontId="0" fillId="34" borderId="24" xfId="0" applyNumberFormat="1" applyFont="1" applyFill="1" applyBorder="1" applyAlignment="1">
      <alignment horizontal="right"/>
    </xf>
    <xf numFmtId="39" fontId="0" fillId="34" borderId="24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" fontId="0" fillId="0" borderId="20" xfId="42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/>
    </xf>
    <xf numFmtId="165" fontId="0" fillId="0" borderId="20" xfId="46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85" fontId="0" fillId="34" borderId="23" xfId="0" applyNumberForma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166" fontId="0" fillId="0" borderId="0" xfId="46" applyNumberFormat="1" applyFont="1" applyFill="1" applyBorder="1" applyAlignment="1">
      <alignment/>
    </xf>
    <xf numFmtId="170" fontId="4" fillId="0" borderId="36" xfId="46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46" applyNumberFormat="1" applyFont="1" applyFill="1" applyBorder="1" applyAlignment="1">
      <alignment/>
    </xf>
    <xf numFmtId="170" fontId="4" fillId="0" borderId="26" xfId="46" applyNumberFormat="1" applyFont="1" applyFill="1" applyBorder="1" applyAlignment="1">
      <alignment/>
    </xf>
    <xf numFmtId="170" fontId="0" fillId="0" borderId="0" xfId="46" applyNumberFormat="1" applyFont="1" applyFill="1" applyAlignment="1">
      <alignment/>
    </xf>
    <xf numFmtId="170" fontId="4" fillId="0" borderId="9" xfId="46" applyNumberFormat="1" applyFont="1" applyFill="1" applyBorder="1" applyAlignment="1">
      <alignment/>
    </xf>
    <xf numFmtId="173" fontId="4" fillId="0" borderId="0" xfId="67" applyNumberFormat="1" applyFont="1" applyFill="1" applyBorder="1" applyAlignment="1">
      <alignment/>
    </xf>
    <xf numFmtId="186" fontId="0" fillId="0" borderId="20" xfId="46" applyNumberFormat="1" applyFont="1" applyFill="1" applyBorder="1" applyAlignment="1">
      <alignment/>
    </xf>
    <xf numFmtId="186" fontId="4" fillId="0" borderId="9" xfId="46" applyNumberFormat="1" applyFont="1" applyFill="1" applyBorder="1" applyAlignment="1">
      <alignment/>
    </xf>
    <xf numFmtId="37" fontId="0" fillId="34" borderId="1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 wrapText="1"/>
    </xf>
    <xf numFmtId="3" fontId="0" fillId="34" borderId="20" xfId="46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67" applyNumberFormat="1" applyFont="1" applyFill="1" applyBorder="1" applyAlignment="1">
      <alignment horizontal="center"/>
    </xf>
    <xf numFmtId="178" fontId="0" fillId="0" borderId="20" xfId="42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6" borderId="0" xfId="0" applyNumberFormat="1" applyFill="1" applyAlignment="1">
      <alignment horizontal="center"/>
    </xf>
    <xf numFmtId="3" fontId="4" fillId="0" borderId="9" xfId="46" applyNumberFormat="1" applyFont="1" applyFill="1" applyBorder="1" applyAlignment="1">
      <alignment horizontal="center"/>
    </xf>
    <xf numFmtId="3" fontId="0" fillId="0" borderId="20" xfId="67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left" indent="1"/>
    </xf>
    <xf numFmtId="0" fontId="4" fillId="37" borderId="0" xfId="0" applyFont="1" applyFill="1" applyAlignment="1">
      <alignment/>
    </xf>
    <xf numFmtId="0" fontId="4" fillId="35" borderId="37" xfId="0" applyFont="1" applyFill="1" applyBorder="1" applyAlignment="1">
      <alignment horizontal="center"/>
    </xf>
    <xf numFmtId="172" fontId="6" fillId="35" borderId="38" xfId="0" applyNumberFormat="1" applyFont="1" applyFill="1" applyBorder="1" applyAlignment="1">
      <alignment horizontal="center" vertical="center" wrapText="1"/>
    </xf>
    <xf numFmtId="37" fontId="0" fillId="0" borderId="13" xfId="0" applyNumberFormat="1" applyFont="1" applyFill="1" applyBorder="1" applyAlignment="1">
      <alignment horizontal="center"/>
    </xf>
    <xf numFmtId="37" fontId="0" fillId="34" borderId="22" xfId="0" applyNumberFormat="1" applyFont="1" applyFill="1" applyBorder="1" applyAlignment="1">
      <alignment horizontal="center"/>
    </xf>
    <xf numFmtId="37" fontId="0" fillId="34" borderId="39" xfId="0" applyNumberFormat="1" applyFont="1" applyFill="1" applyBorder="1" applyAlignment="1">
      <alignment horizontal="center"/>
    </xf>
    <xf numFmtId="37" fontId="0" fillId="3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37" fontId="0" fillId="0" borderId="11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 wrapText="1"/>
    </xf>
    <xf numFmtId="37" fontId="4" fillId="35" borderId="37" xfId="67" applyNumberFormat="1" applyFont="1" applyFill="1" applyBorder="1" applyAlignment="1">
      <alignment horizontal="center" wrapText="1"/>
    </xf>
    <xf numFmtId="37" fontId="4" fillId="35" borderId="20" xfId="67" applyNumberFormat="1" applyFont="1" applyFill="1" applyBorder="1" applyAlignment="1">
      <alignment horizontal="center" wrapText="1"/>
    </xf>
    <xf numFmtId="9" fontId="0" fillId="0" borderId="20" xfId="67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37" fontId="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/>
    </xf>
    <xf numFmtId="172" fontId="0" fillId="35" borderId="45" xfId="0" applyNumberFormat="1" applyFill="1" applyBorder="1" applyAlignment="1">
      <alignment horizontal="center" vertical="center" wrapText="1"/>
    </xf>
    <xf numFmtId="172" fontId="0" fillId="35" borderId="45" xfId="0" applyNumberFormat="1" applyFill="1" applyBorder="1" applyAlignment="1">
      <alignment horizontal="center" vertical="center"/>
    </xf>
    <xf numFmtId="172" fontId="0" fillId="34" borderId="45" xfId="0" applyNumberFormat="1" applyFont="1" applyFill="1" applyBorder="1" applyAlignment="1" applyProtection="1">
      <alignment horizontal="center"/>
      <protection locked="0"/>
    </xf>
    <xf numFmtId="172" fontId="0" fillId="34" borderId="37" xfId="0" applyNumberFormat="1" applyFont="1" applyFill="1" applyBorder="1" applyAlignment="1" applyProtection="1">
      <alignment horizontal="center"/>
      <protection locked="0"/>
    </xf>
    <xf numFmtId="172" fontId="0" fillId="35" borderId="46" xfId="0" applyNumberFormat="1" applyFill="1" applyBorder="1" applyAlignment="1">
      <alignment horizontal="center" vertical="center" wrapText="1"/>
    </xf>
    <xf numFmtId="172" fontId="0" fillId="35" borderId="46" xfId="0" applyNumberFormat="1" applyFill="1" applyBorder="1" applyAlignment="1">
      <alignment horizontal="center" vertical="center"/>
    </xf>
    <xf numFmtId="172" fontId="0" fillId="34" borderId="46" xfId="0" applyNumberFormat="1" applyFont="1" applyFill="1" applyBorder="1" applyAlignment="1" applyProtection="1">
      <alignment horizontal="center"/>
      <protection locked="0"/>
    </xf>
    <xf numFmtId="172" fontId="0" fillId="35" borderId="47" xfId="0" applyNumberFormat="1" applyFill="1" applyBorder="1" applyAlignment="1">
      <alignment horizontal="center" vertical="center" wrapText="1"/>
    </xf>
    <xf numFmtId="172" fontId="0" fillId="34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20" xfId="67" applyNumberFormat="1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/>
    </xf>
    <xf numFmtId="191" fontId="0" fillId="0" borderId="0" xfId="46" applyNumberFormat="1" applyFont="1" applyAlignment="1">
      <alignment/>
    </xf>
    <xf numFmtId="10" fontId="0" fillId="0" borderId="20" xfId="42" applyNumberFormat="1" applyFont="1" applyFill="1" applyBorder="1" applyAlignment="1">
      <alignment horizontal="center"/>
    </xf>
    <xf numFmtId="10" fontId="0" fillId="34" borderId="25" xfId="46" applyNumberFormat="1" applyFont="1" applyFill="1" applyBorder="1" applyAlignment="1">
      <alignment horizontal="center"/>
    </xf>
    <xf numFmtId="3" fontId="0" fillId="0" borderId="37" xfId="42" applyNumberFormat="1" applyFont="1" applyFill="1" applyBorder="1" applyAlignment="1">
      <alignment horizontal="center"/>
    </xf>
    <xf numFmtId="10" fontId="0" fillId="33" borderId="20" xfId="67" applyNumberFormat="1" applyFont="1" applyFill="1" applyBorder="1" applyAlignment="1">
      <alignment horizontal="right"/>
    </xf>
    <xf numFmtId="10" fontId="69" fillId="39" borderId="20" xfId="67" applyNumberFormat="1" applyFont="1" applyFill="1" applyBorder="1" applyAlignment="1">
      <alignment horizontal="center"/>
    </xf>
    <xf numFmtId="182" fontId="70" fillId="39" borderId="20" xfId="42" applyNumberFormat="1" applyFont="1" applyFill="1" applyBorder="1" applyAlignment="1">
      <alignment horizontal="center"/>
    </xf>
    <xf numFmtId="9" fontId="0" fillId="0" borderId="0" xfId="67" applyFont="1" applyAlignment="1">
      <alignment/>
    </xf>
    <xf numFmtId="182" fontId="0" fillId="0" borderId="0" xfId="0" applyNumberFormat="1" applyAlignment="1">
      <alignment/>
    </xf>
    <xf numFmtId="0" fontId="0" fillId="0" borderId="21" xfId="0" applyBorder="1" applyAlignment="1">
      <alignment/>
    </xf>
    <xf numFmtId="178" fontId="0" fillId="0" borderId="0" xfId="67" applyNumberFormat="1" applyFont="1" applyAlignment="1">
      <alignment/>
    </xf>
    <xf numFmtId="37" fontId="15" fillId="35" borderId="37" xfId="67" applyNumberFormat="1" applyFont="1" applyFill="1" applyBorder="1" applyAlignment="1">
      <alignment horizontal="center" wrapText="1"/>
    </xf>
    <xf numFmtId="10" fontId="0" fillId="0" borderId="20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32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9" xfId="0" applyFont="1" applyBorder="1" applyAlignment="1">
      <alignment/>
    </xf>
    <xf numFmtId="0" fontId="24" fillId="35" borderId="2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 wrapText="1"/>
    </xf>
    <xf numFmtId="0" fontId="24" fillId="35" borderId="5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2" fontId="24" fillId="35" borderId="52" xfId="0" applyNumberFormat="1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center" vertical="center" wrapText="1"/>
    </xf>
    <xf numFmtId="2" fontId="24" fillId="35" borderId="13" xfId="0" applyNumberFormat="1" applyFont="1" applyFill="1" applyBorder="1" applyAlignment="1">
      <alignment horizontal="center" vertical="center" wrapText="1"/>
    </xf>
    <xf numFmtId="2" fontId="24" fillId="35" borderId="48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1" borderId="53" xfId="0" applyFont="1" applyFill="1" applyBorder="1" applyAlignment="1">
      <alignment horizontal="center" vertical="center"/>
    </xf>
    <xf numFmtId="0" fontId="23" fillId="1" borderId="54" xfId="0" applyFont="1" applyFill="1" applyBorder="1" applyAlignment="1">
      <alignment horizontal="center" vertical="center"/>
    </xf>
    <xf numFmtId="39" fontId="23" fillId="0" borderId="55" xfId="48" applyNumberFormat="1" applyFont="1" applyFill="1" applyBorder="1" applyAlignment="1">
      <alignment horizontal="center" vertical="center"/>
    </xf>
    <xf numFmtId="181" fontId="23" fillId="0" borderId="55" xfId="48" applyNumberFormat="1" applyFont="1" applyFill="1" applyBorder="1" applyAlignment="1">
      <alignment horizontal="center" vertical="center"/>
    </xf>
    <xf numFmtId="181" fontId="23" fillId="0" borderId="53" xfId="48" applyNumberFormat="1" applyFont="1" applyFill="1" applyBorder="1" applyAlignment="1">
      <alignment horizontal="center" vertical="center"/>
    </xf>
    <xf numFmtId="10" fontId="23" fillId="0" borderId="53" xfId="67" applyNumberFormat="1" applyFont="1" applyFill="1" applyBorder="1" applyAlignment="1">
      <alignment horizontal="center" vertical="center"/>
    </xf>
    <xf numFmtId="184" fontId="23" fillId="0" borderId="55" xfId="67" applyNumberFormat="1" applyFont="1" applyFill="1" applyBorder="1" applyAlignment="1">
      <alignment horizontal="center" vertical="center"/>
    </xf>
    <xf numFmtId="3" fontId="31" fillId="35" borderId="35" xfId="0" applyNumberFormat="1" applyFont="1" applyFill="1" applyBorder="1" applyAlignment="1">
      <alignment horizontal="right" vertical="center"/>
    </xf>
    <xf numFmtId="3" fontId="31" fillId="35" borderId="56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39" fontId="23" fillId="0" borderId="58" xfId="48" applyNumberFormat="1" applyFont="1" applyFill="1" applyBorder="1" applyAlignment="1">
      <alignment horizontal="center" vertical="center"/>
    </xf>
    <xf numFmtId="176" fontId="23" fillId="0" borderId="20" xfId="48" applyNumberFormat="1" applyFont="1" applyFill="1" applyBorder="1" applyAlignment="1">
      <alignment horizontal="center" vertical="center"/>
    </xf>
    <xf numFmtId="181" fontId="23" fillId="0" borderId="58" xfId="48" applyNumberFormat="1" applyFont="1" applyFill="1" applyBorder="1" applyAlignment="1">
      <alignment horizontal="center" vertical="center"/>
    </xf>
    <xf numFmtId="181" fontId="23" fillId="0" borderId="31" xfId="48" applyNumberFormat="1" applyFont="1" applyFill="1" applyBorder="1" applyAlignment="1">
      <alignment horizontal="center" vertical="center"/>
    </xf>
    <xf numFmtId="10" fontId="23" fillId="0" borderId="31" xfId="67" applyNumberFormat="1" applyFont="1" applyFill="1" applyBorder="1" applyAlignment="1">
      <alignment horizontal="center" vertical="center"/>
    </xf>
    <xf numFmtId="184" fontId="23" fillId="0" borderId="58" xfId="67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left" vertical="center"/>
    </xf>
    <xf numFmtId="0" fontId="23" fillId="1" borderId="59" xfId="0" applyFont="1" applyFill="1" applyBorder="1" applyAlignment="1">
      <alignment horizontal="center" vertical="center"/>
    </xf>
    <xf numFmtId="0" fontId="23" fillId="1" borderId="2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3" fillId="1" borderId="31" xfId="0" applyFont="1" applyFill="1" applyBorder="1" applyAlignment="1">
      <alignment horizontal="center" vertical="center"/>
    </xf>
    <xf numFmtId="0" fontId="23" fillId="1" borderId="20" xfId="0" applyFont="1" applyFill="1" applyBorder="1" applyAlignment="1">
      <alignment horizontal="center" vertical="center"/>
    </xf>
    <xf numFmtId="39" fontId="23" fillId="0" borderId="60" xfId="48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/>
    </xf>
    <xf numFmtId="181" fontId="23" fillId="0" borderId="60" xfId="48" applyNumberFormat="1" applyFont="1" applyFill="1" applyBorder="1" applyAlignment="1">
      <alignment horizontal="center" vertical="center"/>
    </xf>
    <xf numFmtId="177" fontId="24" fillId="40" borderId="35" xfId="0" applyNumberFormat="1" applyFont="1" applyFill="1" applyBorder="1" applyAlignment="1">
      <alignment horizontal="center" vertical="center"/>
    </xf>
    <xf numFmtId="39" fontId="24" fillId="40" borderId="62" xfId="48" applyNumberFormat="1" applyFont="1" applyFill="1" applyBorder="1" applyAlignment="1">
      <alignment horizontal="center" vertical="center"/>
    </xf>
    <xf numFmtId="10" fontId="24" fillId="40" borderId="62" xfId="67" applyNumberFormat="1" applyFont="1" applyFill="1" applyBorder="1" applyAlignment="1">
      <alignment horizontal="center" vertical="center"/>
    </xf>
    <xf numFmtId="184" fontId="24" fillId="40" borderId="62" xfId="67" applyNumberFormat="1" applyFont="1" applyFill="1" applyBorder="1" applyAlignment="1">
      <alignment horizontal="center" vertical="center"/>
    </xf>
    <xf numFmtId="3" fontId="23" fillId="0" borderId="5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1" fontId="23" fillId="0" borderId="63" xfId="48" applyNumberFormat="1" applyFont="1" applyFill="1" applyBorder="1" applyAlignment="1">
      <alignment horizontal="center" vertical="center"/>
    </xf>
    <xf numFmtId="10" fontId="23" fillId="0" borderId="63" xfId="67" applyNumberFormat="1" applyFont="1" applyFill="1" applyBorder="1" applyAlignment="1">
      <alignment horizontal="center" vertical="center"/>
    </xf>
    <xf numFmtId="184" fontId="24" fillId="40" borderId="55" xfId="67" applyNumberFormat="1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horizontal="center" vertical="center"/>
    </xf>
    <xf numFmtId="177" fontId="23" fillId="0" borderId="24" xfId="0" applyNumberFormat="1" applyFont="1" applyFill="1" applyBorder="1" applyAlignment="1">
      <alignment horizontal="center" vertical="center"/>
    </xf>
    <xf numFmtId="39" fontId="23" fillId="0" borderId="65" xfId="48" applyNumberFormat="1" applyFont="1" applyFill="1" applyBorder="1" applyAlignment="1">
      <alignment horizontal="center" vertical="center"/>
    </xf>
    <xf numFmtId="181" fontId="23" fillId="0" borderId="65" xfId="48" applyNumberFormat="1" applyFont="1" applyFill="1" applyBorder="1" applyAlignment="1">
      <alignment horizontal="center" vertical="center"/>
    </xf>
    <xf numFmtId="181" fontId="23" fillId="0" borderId="59" xfId="48" applyNumberFormat="1" applyFont="1" applyFill="1" applyBorder="1" applyAlignment="1">
      <alignment horizontal="center" vertical="center"/>
    </xf>
    <xf numFmtId="10" fontId="23" fillId="0" borderId="59" xfId="67" applyNumberFormat="1" applyFont="1" applyFill="1" applyBorder="1" applyAlignment="1">
      <alignment horizontal="center" vertical="center"/>
    </xf>
    <xf numFmtId="184" fontId="23" fillId="0" borderId="66" xfId="67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vertical="center" wrapText="1"/>
    </xf>
    <xf numFmtId="177" fontId="23" fillId="0" borderId="20" xfId="0" applyNumberFormat="1" applyFont="1" applyFill="1" applyBorder="1" applyAlignment="1">
      <alignment horizontal="center" vertical="center"/>
    </xf>
    <xf numFmtId="3" fontId="23" fillId="0" borderId="67" xfId="0" applyNumberFormat="1" applyFont="1" applyFill="1" applyBorder="1" applyAlignment="1">
      <alignment horizontal="center" vertical="center"/>
    </xf>
    <xf numFmtId="177" fontId="23" fillId="0" borderId="68" xfId="0" applyNumberFormat="1" applyFont="1" applyFill="1" applyBorder="1" applyAlignment="1">
      <alignment horizontal="center" vertical="center"/>
    </xf>
    <xf numFmtId="39" fontId="23" fillId="0" borderId="69" xfId="48" applyNumberFormat="1" applyFont="1" applyFill="1" applyBorder="1" applyAlignment="1">
      <alignment horizontal="center" vertical="center"/>
    </xf>
    <xf numFmtId="181" fontId="23" fillId="0" borderId="69" xfId="48" applyNumberFormat="1" applyFont="1" applyFill="1" applyBorder="1" applyAlignment="1">
      <alignment horizontal="center" vertical="center"/>
    </xf>
    <xf numFmtId="181" fontId="23" fillId="0" borderId="67" xfId="48" applyNumberFormat="1" applyFont="1" applyFill="1" applyBorder="1" applyAlignment="1">
      <alignment horizontal="center" vertical="center"/>
    </xf>
    <xf numFmtId="10" fontId="23" fillId="0" borderId="67" xfId="67" applyNumberFormat="1" applyFont="1" applyFill="1" applyBorder="1" applyAlignment="1">
      <alignment horizontal="center" vertical="center"/>
    </xf>
    <xf numFmtId="184" fontId="23" fillId="0" borderId="69" xfId="67" applyNumberFormat="1" applyFont="1" applyFill="1" applyBorder="1" applyAlignment="1">
      <alignment horizontal="center" vertical="center"/>
    </xf>
    <xf numFmtId="177" fontId="24" fillId="40" borderId="70" xfId="0" applyNumberFormat="1" applyFont="1" applyFill="1" applyBorder="1" applyAlignment="1">
      <alignment horizontal="center" vertical="center"/>
    </xf>
    <xf numFmtId="3" fontId="23" fillId="0" borderId="51" xfId="0" applyNumberFormat="1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39" fontId="24" fillId="40" borderId="71" xfId="48" applyNumberFormat="1" applyFont="1" applyFill="1" applyBorder="1" applyAlignment="1">
      <alignment horizontal="center" vertical="center"/>
    </xf>
    <xf numFmtId="10" fontId="24" fillId="40" borderId="71" xfId="67" applyNumberFormat="1" applyFont="1" applyFill="1" applyBorder="1" applyAlignment="1">
      <alignment horizontal="center" vertical="center"/>
    </xf>
    <xf numFmtId="184" fontId="24" fillId="40" borderId="65" xfId="67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vertical="center"/>
    </xf>
    <xf numFmtId="10" fontId="23" fillId="0" borderId="49" xfId="0" applyNumberFormat="1" applyFont="1" applyBorder="1" applyAlignment="1">
      <alignment/>
    </xf>
    <xf numFmtId="0" fontId="23" fillId="0" borderId="44" xfId="0" applyFont="1" applyFill="1" applyBorder="1" applyAlignment="1">
      <alignment vertical="center" wrapText="1"/>
    </xf>
    <xf numFmtId="10" fontId="23" fillId="0" borderId="11" xfId="0" applyNumberFormat="1" applyFont="1" applyFill="1" applyBorder="1" applyAlignment="1">
      <alignment horizontal="center" vertical="center"/>
    </xf>
    <xf numFmtId="39" fontId="23" fillId="0" borderId="52" xfId="48" applyNumberFormat="1" applyFont="1" applyFill="1" applyBorder="1" applyAlignment="1">
      <alignment horizontal="center" vertical="center"/>
    </xf>
    <xf numFmtId="181" fontId="23" fillId="0" borderId="52" xfId="48" applyNumberFormat="1" applyFont="1" applyFill="1" applyBorder="1" applyAlignment="1">
      <alignment horizontal="center" vertical="center"/>
    </xf>
    <xf numFmtId="181" fontId="23" fillId="0" borderId="61" xfId="48" applyNumberFormat="1" applyFont="1" applyFill="1" applyBorder="1" applyAlignment="1">
      <alignment horizontal="center" vertical="center"/>
    </xf>
    <xf numFmtId="10" fontId="23" fillId="0" borderId="61" xfId="67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/>
    </xf>
    <xf numFmtId="0" fontId="32" fillId="0" borderId="0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0" fontId="33" fillId="40" borderId="35" xfId="0" applyFont="1" applyFill="1" applyBorder="1" applyAlignment="1">
      <alignment horizontal="center" vertical="center"/>
    </xf>
    <xf numFmtId="39" fontId="33" fillId="40" borderId="62" xfId="48" applyNumberFormat="1" applyFont="1" applyFill="1" applyBorder="1" applyAlignment="1">
      <alignment horizontal="center" vertical="center"/>
    </xf>
    <xf numFmtId="10" fontId="33" fillId="40" borderId="72" xfId="67" applyNumberFormat="1" applyFont="1" applyFill="1" applyBorder="1" applyAlignment="1">
      <alignment horizontal="center" vertical="center"/>
    </xf>
    <xf numFmtId="184" fontId="33" fillId="40" borderId="62" xfId="67" applyNumberFormat="1" applyFont="1" applyFill="1" applyBorder="1" applyAlignment="1">
      <alignment horizontal="center" vertical="center"/>
    </xf>
    <xf numFmtId="0" fontId="32" fillId="0" borderId="49" xfId="0" applyFont="1" applyBorder="1" applyAlignment="1">
      <alignment/>
    </xf>
    <xf numFmtId="0" fontId="32" fillId="0" borderId="0" xfId="0" applyFont="1" applyAlignment="1">
      <alignment/>
    </xf>
    <xf numFmtId="0" fontId="23" fillId="0" borderId="70" xfId="0" applyFont="1" applyBorder="1" applyAlignment="1">
      <alignment/>
    </xf>
    <xf numFmtId="0" fontId="23" fillId="0" borderId="73" xfId="0" applyFont="1" applyBorder="1" applyAlignment="1">
      <alignment/>
    </xf>
    <xf numFmtId="3" fontId="31" fillId="35" borderId="70" xfId="0" applyNumberFormat="1" applyFont="1" applyFill="1" applyBorder="1" applyAlignment="1">
      <alignment horizontal="right" vertical="center"/>
    </xf>
    <xf numFmtId="0" fontId="30" fillId="35" borderId="73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74" xfId="0" applyFont="1" applyBorder="1" applyAlignment="1">
      <alignment/>
    </xf>
    <xf numFmtId="0" fontId="23" fillId="0" borderId="49" xfId="0" applyFont="1" applyFill="1" applyBorder="1" applyAlignment="1">
      <alignment vertical="center"/>
    </xf>
    <xf numFmtId="0" fontId="23" fillId="0" borderId="50" xfId="0" applyFont="1" applyFill="1" applyBorder="1" applyAlignment="1">
      <alignment vertical="center"/>
    </xf>
    <xf numFmtId="0" fontId="33" fillId="0" borderId="50" xfId="0" applyFont="1" applyFill="1" applyBorder="1" applyAlignment="1">
      <alignment horizontal="left" vertical="center" indent="5"/>
    </xf>
    <xf numFmtId="0" fontId="33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vertical="center"/>
    </xf>
    <xf numFmtId="39" fontId="33" fillId="0" borderId="50" xfId="48" applyNumberFormat="1" applyFont="1" applyFill="1" applyBorder="1" applyAlignment="1">
      <alignment vertical="center"/>
    </xf>
    <xf numFmtId="0" fontId="33" fillId="0" borderId="50" xfId="0" applyFont="1" applyFill="1" applyBorder="1" applyAlignment="1">
      <alignment horizontal="left" vertical="center"/>
    </xf>
    <xf numFmtId="39" fontId="24" fillId="0" borderId="50" xfId="48" applyNumberFormat="1" applyFont="1" applyFill="1" applyBorder="1" applyAlignment="1">
      <alignment horizontal="center" vertical="center"/>
    </xf>
    <xf numFmtId="10" fontId="35" fillId="0" borderId="50" xfId="67" applyNumberFormat="1" applyFont="1" applyFill="1" applyBorder="1" applyAlignment="1">
      <alignment horizontal="center" vertical="center"/>
    </xf>
    <xf numFmtId="10" fontId="33" fillId="0" borderId="50" xfId="67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5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9" fontId="33" fillId="0" borderId="0" xfId="48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39" fontId="24" fillId="0" borderId="0" xfId="48" applyNumberFormat="1" applyFont="1" applyFill="1" applyBorder="1" applyAlignment="1">
      <alignment horizontal="center" vertical="center"/>
    </xf>
    <xf numFmtId="10" fontId="35" fillId="0" borderId="0" xfId="67" applyNumberFormat="1" applyFont="1" applyFill="1" applyBorder="1" applyAlignment="1">
      <alignment horizontal="center" vertical="center"/>
    </xf>
    <xf numFmtId="10" fontId="33" fillId="0" borderId="0" xfId="67" applyNumberFormat="1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horizontal="centerContinuous" vertical="center"/>
    </xf>
    <xf numFmtId="0" fontId="23" fillId="0" borderId="73" xfId="0" applyFont="1" applyFill="1" applyBorder="1" applyAlignment="1">
      <alignment horizontal="center" vertical="center" wrapText="1"/>
    </xf>
    <xf numFmtId="0" fontId="24" fillId="35" borderId="63" xfId="0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 wrapText="1"/>
    </xf>
    <xf numFmtId="2" fontId="24" fillId="35" borderId="62" xfId="0" applyNumberFormat="1" applyFont="1" applyFill="1" applyBorder="1" applyAlignment="1">
      <alignment horizontal="center" vertical="center" wrapText="1"/>
    </xf>
    <xf numFmtId="0" fontId="24" fillId="35" borderId="72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 wrapText="1"/>
    </xf>
    <xf numFmtId="2" fontId="24" fillId="35" borderId="72" xfId="0" applyNumberFormat="1" applyFont="1" applyFill="1" applyBorder="1" applyAlignment="1">
      <alignment horizontal="center" vertical="center" wrapText="1"/>
    </xf>
    <xf numFmtId="2" fontId="24" fillId="35" borderId="56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vertical="center" wrapText="1"/>
    </xf>
    <xf numFmtId="184" fontId="23" fillId="0" borderId="24" xfId="67" applyNumberFormat="1" applyFont="1" applyFill="1" applyBorder="1" applyAlignment="1">
      <alignment horizontal="center" vertical="center"/>
    </xf>
    <xf numFmtId="189" fontId="23" fillId="0" borderId="20" xfId="48" applyNumberFormat="1" applyFont="1" applyFill="1" applyBorder="1" applyAlignment="1">
      <alignment horizontal="center" vertical="center"/>
    </xf>
    <xf numFmtId="181" fontId="23" fillId="0" borderId="45" xfId="48" applyNumberFormat="1" applyFont="1" applyFill="1" applyBorder="1" applyAlignment="1">
      <alignment horizontal="center" vertical="center"/>
    </xf>
    <xf numFmtId="181" fontId="23" fillId="0" borderId="47" xfId="48" applyNumberFormat="1" applyFont="1" applyFill="1" applyBorder="1" applyAlignment="1">
      <alignment horizontal="center" vertical="center"/>
    </xf>
    <xf numFmtId="181" fontId="24" fillId="40" borderId="63" xfId="48" applyNumberFormat="1" applyFont="1" applyFill="1" applyBorder="1" applyAlignment="1">
      <alignment horizontal="center" vertical="center"/>
    </xf>
    <xf numFmtId="184" fontId="24" fillId="40" borderId="72" xfId="67" applyNumberFormat="1" applyFont="1" applyFill="1" applyBorder="1" applyAlignment="1">
      <alignment horizontal="center" vertical="center"/>
    </xf>
    <xf numFmtId="184" fontId="23" fillId="0" borderId="54" xfId="67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wrapText="1"/>
    </xf>
    <xf numFmtId="184" fontId="23" fillId="0" borderId="18" xfId="67" applyNumberFormat="1" applyFont="1" applyFill="1" applyBorder="1" applyAlignment="1">
      <alignment horizontal="center" vertical="center"/>
    </xf>
    <xf numFmtId="0" fontId="33" fillId="40" borderId="23" xfId="0" applyFont="1" applyFill="1" applyBorder="1" applyAlignment="1">
      <alignment horizontal="center" vertical="center"/>
    </xf>
    <xf numFmtId="39" fontId="33" fillId="0" borderId="50" xfId="48" applyNumberFormat="1" applyFont="1" applyFill="1" applyBorder="1" applyAlignment="1">
      <alignment horizontal="center" vertical="center"/>
    </xf>
    <xf numFmtId="39" fontId="33" fillId="0" borderId="0" xfId="48" applyNumberFormat="1" applyFont="1" applyFill="1" applyBorder="1" applyAlignment="1">
      <alignment horizontal="center" vertical="center"/>
    </xf>
    <xf numFmtId="3" fontId="23" fillId="0" borderId="76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24" xfId="48" applyNumberFormat="1" applyFont="1" applyFill="1" applyBorder="1" applyAlignment="1">
      <alignment horizontal="center" vertical="center"/>
    </xf>
    <xf numFmtId="3" fontId="23" fillId="0" borderId="37" xfId="0" applyNumberFormat="1" applyFont="1" applyFill="1" applyBorder="1" applyAlignment="1">
      <alignment horizontal="center" vertical="center"/>
    </xf>
    <xf numFmtId="190" fontId="23" fillId="0" borderId="20" xfId="48" applyNumberFormat="1" applyFont="1" applyFill="1" applyBorder="1" applyAlignment="1">
      <alignment horizontal="center" vertical="center"/>
    </xf>
    <xf numFmtId="39" fontId="23" fillId="0" borderId="45" xfId="48" applyNumberFormat="1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left" vertical="center" indent="5"/>
    </xf>
    <xf numFmtId="0" fontId="33" fillId="0" borderId="77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vertical="center"/>
    </xf>
    <xf numFmtId="39" fontId="33" fillId="0" borderId="77" xfId="48" applyNumberFormat="1" applyFont="1" applyFill="1" applyBorder="1" applyAlignment="1">
      <alignment vertical="center"/>
    </xf>
    <xf numFmtId="0" fontId="33" fillId="0" borderId="77" xfId="0" applyFont="1" applyFill="1" applyBorder="1" applyAlignment="1">
      <alignment horizontal="left" vertical="center"/>
    </xf>
    <xf numFmtId="39" fontId="33" fillId="0" borderId="77" xfId="48" applyNumberFormat="1" applyFont="1" applyFill="1" applyBorder="1" applyAlignment="1">
      <alignment horizontal="center" vertical="center"/>
    </xf>
    <xf numFmtId="10" fontId="35" fillId="0" borderId="77" xfId="67" applyNumberFormat="1" applyFont="1" applyFill="1" applyBorder="1" applyAlignment="1">
      <alignment horizontal="center" vertical="center"/>
    </xf>
    <xf numFmtId="10" fontId="33" fillId="0" borderId="77" xfId="67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33" fillId="40" borderId="30" xfId="0" applyFont="1" applyFill="1" applyBorder="1" applyAlignment="1">
      <alignment horizontal="center" vertical="center"/>
    </xf>
    <xf numFmtId="39" fontId="24" fillId="40" borderId="66" xfId="48" applyNumberFormat="1" applyFont="1" applyFill="1" applyBorder="1" applyAlignment="1">
      <alignment horizontal="center" vertical="center"/>
    </xf>
    <xf numFmtId="184" fontId="24" fillId="40" borderId="13" xfId="67" applyNumberFormat="1" applyFont="1" applyFill="1" applyBorder="1" applyAlignment="1">
      <alignment horizontal="center" vertical="center"/>
    </xf>
    <xf numFmtId="184" fontId="24" fillId="40" borderId="66" xfId="67" applyNumberFormat="1" applyFont="1" applyFill="1" applyBorder="1" applyAlignment="1">
      <alignment horizontal="center" vertical="center"/>
    </xf>
    <xf numFmtId="3" fontId="23" fillId="0" borderId="61" xfId="0" applyNumberFormat="1" applyFont="1" applyFill="1" applyBorder="1" applyAlignment="1">
      <alignment horizontal="center" vertical="center"/>
    </xf>
    <xf numFmtId="177" fontId="23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165" fontId="4" fillId="0" borderId="9" xfId="46" applyNumberFormat="1" applyFont="1" applyFill="1" applyBorder="1" applyAlignment="1">
      <alignment horizontal="center"/>
    </xf>
    <xf numFmtId="176" fontId="0" fillId="34" borderId="53" xfId="46" applyNumberFormat="1" applyFont="1" applyFill="1" applyBorder="1" applyAlignment="1" applyProtection="1">
      <alignment horizontal="center"/>
      <protection locked="0"/>
    </xf>
    <xf numFmtId="176" fontId="0" fillId="34" borderId="54" xfId="46" applyNumberFormat="1" applyFont="1" applyFill="1" applyBorder="1" applyAlignment="1" applyProtection="1">
      <alignment horizontal="center"/>
      <protection locked="0"/>
    </xf>
    <xf numFmtId="176" fontId="0" fillId="34" borderId="31" xfId="46" applyNumberFormat="1" applyFont="1" applyFill="1" applyBorder="1" applyAlignment="1" applyProtection="1">
      <alignment horizontal="center"/>
      <protection locked="0"/>
    </xf>
    <xf numFmtId="176" fontId="0" fillId="34" borderId="20" xfId="46" applyNumberFormat="1" applyFont="1" applyFill="1" applyBorder="1" applyAlignment="1" applyProtection="1">
      <alignment horizontal="center"/>
      <protection locked="0"/>
    </xf>
    <xf numFmtId="39" fontId="0" fillId="34" borderId="20" xfId="46" applyNumberFormat="1" applyFont="1" applyFill="1" applyBorder="1" applyAlignment="1" applyProtection="1">
      <alignment horizontal="center"/>
      <protection locked="0"/>
    </xf>
    <xf numFmtId="39" fontId="0" fillId="34" borderId="58" xfId="46" applyNumberFormat="1" applyFont="1" applyFill="1" applyBorder="1" applyAlignment="1" applyProtection="1">
      <alignment horizontal="center"/>
      <protection locked="0"/>
    </xf>
    <xf numFmtId="39" fontId="0" fillId="34" borderId="78" xfId="46" applyNumberFormat="1" applyFont="1" applyFill="1" applyBorder="1" applyAlignment="1" applyProtection="1">
      <alignment horizontal="center"/>
      <protection locked="0"/>
    </xf>
    <xf numFmtId="39" fontId="0" fillId="34" borderId="79" xfId="46" applyNumberFormat="1" applyFont="1" applyFill="1" applyBorder="1" applyAlignment="1" applyProtection="1">
      <alignment horizontal="center"/>
      <protection locked="0"/>
    </xf>
    <xf numFmtId="176" fontId="0" fillId="34" borderId="55" xfId="46" applyNumberFormat="1" applyFont="1" applyFill="1" applyBorder="1" applyAlignment="1" applyProtection="1">
      <alignment horizontal="center"/>
      <protection locked="0"/>
    </xf>
    <xf numFmtId="176" fontId="0" fillId="34" borderId="58" xfId="46" applyNumberFormat="1" applyFont="1" applyFill="1" applyBorder="1" applyAlignment="1" applyProtection="1">
      <alignment horizontal="center"/>
      <protection locked="0"/>
    </xf>
    <xf numFmtId="176" fontId="0" fillId="34" borderId="67" xfId="46" applyNumberFormat="1" applyFont="1" applyFill="1" applyBorder="1" applyAlignment="1" applyProtection="1">
      <alignment horizontal="center"/>
      <protection locked="0"/>
    </xf>
    <xf numFmtId="176" fontId="0" fillId="34" borderId="68" xfId="46" applyNumberFormat="1" applyFont="1" applyFill="1" applyBorder="1" applyAlignment="1" applyProtection="1">
      <alignment horizontal="center"/>
      <protection locked="0"/>
    </xf>
    <xf numFmtId="176" fontId="0" fillId="34" borderId="69" xfId="46" applyNumberFormat="1" applyFont="1" applyFill="1" applyBorder="1" applyAlignment="1" applyProtection="1">
      <alignment horizontal="center"/>
      <protection locked="0"/>
    </xf>
    <xf numFmtId="37" fontId="3" fillId="0" borderId="46" xfId="0" applyNumberFormat="1" applyFont="1" applyFill="1" applyBorder="1" applyAlignment="1">
      <alignment/>
    </xf>
    <xf numFmtId="37" fontId="3" fillId="0" borderId="75" xfId="0" applyNumberFormat="1" applyFont="1" applyFill="1" applyBorder="1" applyAlignment="1">
      <alignment/>
    </xf>
    <xf numFmtId="37" fontId="3" fillId="0" borderId="46" xfId="0" applyNumberFormat="1" applyFont="1" applyFill="1" applyBorder="1" applyAlignment="1">
      <alignment/>
    </xf>
    <xf numFmtId="0" fontId="24" fillId="35" borderId="20" xfId="0" applyFont="1" applyFill="1" applyBorder="1" applyAlignment="1">
      <alignment horizontal="center" wrapText="1"/>
    </xf>
    <xf numFmtId="44" fontId="24" fillId="35" borderId="20" xfId="46" applyFont="1" applyFill="1" applyBorder="1" applyAlignment="1">
      <alignment horizontal="center" wrapText="1"/>
    </xf>
    <xf numFmtId="179" fontId="24" fillId="35" borderId="20" xfId="0" applyNumberFormat="1" applyFont="1" applyFill="1" applyBorder="1" applyAlignment="1">
      <alignment horizontal="center" wrapText="1"/>
    </xf>
    <xf numFmtId="180" fontId="24" fillId="35" borderId="20" xfId="0" applyNumberFormat="1" applyFont="1" applyFill="1" applyBorder="1" applyAlignment="1">
      <alignment horizontal="center" wrapText="1"/>
    </xf>
    <xf numFmtId="37" fontId="24" fillId="0" borderId="20" xfId="0" applyNumberFormat="1" applyFont="1" applyFill="1" applyBorder="1" applyAlignment="1">
      <alignment wrapText="1"/>
    </xf>
    <xf numFmtId="44" fontId="23" fillId="34" borderId="20" xfId="46" applyFont="1" applyFill="1" applyBorder="1" applyAlignment="1">
      <alignment horizontal="center" wrapText="1"/>
    </xf>
    <xf numFmtId="3" fontId="23" fillId="34" borderId="20" xfId="0" applyNumberFormat="1" applyFont="1" applyFill="1" applyBorder="1" applyAlignment="1">
      <alignment horizontal="center" wrapText="1"/>
    </xf>
    <xf numFmtId="3" fontId="24" fillId="34" borderId="20" xfId="0" applyNumberFormat="1" applyFont="1" applyFill="1" applyBorder="1" applyAlignment="1">
      <alignment wrapText="1"/>
    </xf>
    <xf numFmtId="172" fontId="23" fillId="34" borderId="20" xfId="0" applyNumberFormat="1" applyFont="1" applyFill="1" applyBorder="1" applyAlignment="1">
      <alignment horizontal="center" wrapText="1"/>
    </xf>
    <xf numFmtId="172" fontId="23" fillId="0" borderId="20" xfId="0" applyNumberFormat="1" applyFont="1" applyFill="1" applyBorder="1" applyAlignment="1">
      <alignment wrapText="1"/>
    </xf>
    <xf numFmtId="172" fontId="23" fillId="0" borderId="2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3" fontId="23" fillId="34" borderId="18" xfId="0" applyNumberFormat="1" applyFont="1" applyFill="1" applyBorder="1" applyAlignment="1">
      <alignment horizontal="center" wrapText="1"/>
    </xf>
    <xf numFmtId="172" fontId="23" fillId="0" borderId="18" xfId="0" applyNumberFormat="1" applyFont="1" applyFill="1" applyBorder="1" applyAlignment="1">
      <alignment wrapText="1"/>
    </xf>
    <xf numFmtId="0" fontId="24" fillId="0" borderId="20" xfId="0" applyFont="1" applyFill="1" applyBorder="1" applyAlignment="1">
      <alignment horizontal="center" wrapText="1"/>
    </xf>
    <xf numFmtId="4" fontId="24" fillId="0" borderId="29" xfId="0" applyNumberFormat="1" applyFont="1" applyFill="1" applyBorder="1" applyAlignment="1">
      <alignment horizontal="center" wrapText="1"/>
    </xf>
    <xf numFmtId="4" fontId="24" fillId="0" borderId="29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30" fillId="41" borderId="2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/>
    </xf>
    <xf numFmtId="0" fontId="39" fillId="0" borderId="44" xfId="0" applyFont="1" applyFill="1" applyBorder="1" applyAlignment="1">
      <alignment wrapText="1"/>
    </xf>
    <xf numFmtId="169" fontId="36" fillId="0" borderId="0" xfId="0" applyNumberFormat="1" applyFont="1" applyFill="1" applyBorder="1" applyAlignment="1">
      <alignment/>
    </xf>
    <xf numFmtId="171" fontId="36" fillId="0" borderId="0" xfId="0" applyNumberFormat="1" applyFont="1" applyFill="1" applyBorder="1" applyAlignment="1">
      <alignment horizontal="center"/>
    </xf>
    <xf numFmtId="39" fontId="36" fillId="0" borderId="49" xfId="0" applyNumberFormat="1" applyFont="1" applyBorder="1" applyAlignment="1">
      <alignment horizontal="center"/>
    </xf>
    <xf numFmtId="176" fontId="36" fillId="0" borderId="49" xfId="0" applyNumberFormat="1" applyFont="1" applyBorder="1" applyAlignment="1">
      <alignment horizontal="center"/>
    </xf>
    <xf numFmtId="0" fontId="39" fillId="0" borderId="70" xfId="0" applyFont="1" applyFill="1" applyBorder="1" applyAlignment="1">
      <alignment wrapText="1"/>
    </xf>
    <xf numFmtId="169" fontId="36" fillId="0" borderId="50" xfId="0" applyNumberFormat="1" applyFont="1" applyFill="1" applyBorder="1" applyAlignment="1">
      <alignment/>
    </xf>
    <xf numFmtId="171" fontId="36" fillId="0" borderId="50" xfId="0" applyNumberFormat="1" applyFont="1" applyFill="1" applyBorder="1" applyAlignment="1">
      <alignment horizontal="center"/>
    </xf>
    <xf numFmtId="176" fontId="36" fillId="0" borderId="73" xfId="0" applyNumberFormat="1" applyFont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176" fontId="36" fillId="0" borderId="0" xfId="0" applyNumberFormat="1" applyFont="1" applyBorder="1" applyAlignment="1">
      <alignment horizontal="center"/>
    </xf>
    <xf numFmtId="0" fontId="23" fillId="33" borderId="0" xfId="0" applyFont="1" applyFill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0" xfId="0" applyFont="1" applyFill="1" applyBorder="1" applyAlignment="1">
      <alignment horizontal="center" wrapText="1"/>
    </xf>
    <xf numFmtId="39" fontId="0" fillId="34" borderId="65" xfId="46" applyNumberFormat="1" applyFont="1" applyFill="1" applyBorder="1" applyAlignment="1" applyProtection="1">
      <alignment horizontal="center"/>
      <protection locked="0"/>
    </xf>
    <xf numFmtId="0" fontId="12" fillId="35" borderId="23" xfId="0" applyFont="1" applyFill="1" applyBorder="1" applyAlignment="1">
      <alignment horizontal="center" wrapText="1"/>
    </xf>
    <xf numFmtId="0" fontId="40" fillId="35" borderId="73" xfId="0" applyFont="1" applyFill="1" applyBorder="1" applyAlignment="1">
      <alignment vertical="center"/>
    </xf>
    <xf numFmtId="170" fontId="0" fillId="41" borderId="0" xfId="0" applyNumberFormat="1" applyFill="1" applyAlignment="1">
      <alignment/>
    </xf>
    <xf numFmtId="0" fontId="0" fillId="41" borderId="0" xfId="0" applyFill="1" applyAlignment="1">
      <alignment/>
    </xf>
    <xf numFmtId="170" fontId="0" fillId="41" borderId="26" xfId="0" applyNumberFormat="1" applyFill="1" applyBorder="1" applyAlignment="1">
      <alignment/>
    </xf>
    <xf numFmtId="192" fontId="0" fillId="0" borderId="0" xfId="42" applyNumberFormat="1" applyFont="1" applyAlignment="1">
      <alignment/>
    </xf>
    <xf numFmtId="37" fontId="3" fillId="0" borderId="33" xfId="0" applyNumberFormat="1" applyFont="1" applyFill="1" applyBorder="1" applyAlignment="1">
      <alignment/>
    </xf>
    <xf numFmtId="0" fontId="12" fillId="35" borderId="74" xfId="0" applyFont="1" applyFill="1" applyBorder="1" applyAlignment="1">
      <alignment horizontal="center" wrapText="1"/>
    </xf>
    <xf numFmtId="0" fontId="41" fillId="0" borderId="25" xfId="0" applyFont="1" applyBorder="1" applyAlignment="1">
      <alignment/>
    </xf>
    <xf numFmtId="0" fontId="41" fillId="0" borderId="37" xfId="0" applyFont="1" applyBorder="1" applyAlignment="1">
      <alignment/>
    </xf>
    <xf numFmtId="0" fontId="24" fillId="0" borderId="63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Continuous"/>
    </xf>
    <xf numFmtId="0" fontId="0" fillId="32" borderId="37" xfId="0" applyFill="1" applyBorder="1" applyAlignment="1">
      <alignment horizontal="centerContinuous"/>
    </xf>
    <xf numFmtId="0" fontId="41" fillId="0" borderId="80" xfId="0" applyFont="1" applyBorder="1" applyAlignment="1">
      <alignment/>
    </xf>
    <xf numFmtId="0" fontId="41" fillId="0" borderId="76" xfId="0" applyFont="1" applyBorder="1" applyAlignment="1">
      <alignment/>
    </xf>
    <xf numFmtId="176" fontId="23" fillId="0" borderId="18" xfId="48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 wrapText="1"/>
    </xf>
    <xf numFmtId="0" fontId="23" fillId="0" borderId="81" xfId="0" applyFont="1" applyBorder="1" applyAlignment="1">
      <alignment/>
    </xf>
    <xf numFmtId="0" fontId="23" fillId="0" borderId="0" xfId="0" applyFont="1" applyFill="1" applyAlignment="1">
      <alignment/>
    </xf>
    <xf numFmtId="176" fontId="0" fillId="0" borderId="0" xfId="46" applyNumberFormat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/>
    </xf>
    <xf numFmtId="0" fontId="16" fillId="0" borderId="37" xfId="0" applyFont="1" applyBorder="1" applyAlignment="1">
      <alignment/>
    </xf>
    <xf numFmtId="39" fontId="0" fillId="34" borderId="13" xfId="46" applyNumberFormat="1" applyFont="1" applyFill="1" applyBorder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194" fontId="23" fillId="0" borderId="18" xfId="48" applyNumberFormat="1" applyFont="1" applyFill="1" applyBorder="1" applyAlignment="1">
      <alignment horizontal="center" vertical="center"/>
    </xf>
    <xf numFmtId="194" fontId="36" fillId="0" borderId="73" xfId="0" applyNumberFormat="1" applyFont="1" applyBorder="1" applyAlignment="1">
      <alignment horizontal="center"/>
    </xf>
    <xf numFmtId="0" fontId="7" fillId="42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0" borderId="0" xfId="0" applyFill="1" applyAlignment="1">
      <alignment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6" fontId="0" fillId="34" borderId="25" xfId="0" applyNumberFormat="1" applyFont="1" applyFill="1" applyBorder="1" applyAlignment="1">
      <alignment horizontal="center"/>
    </xf>
    <xf numFmtId="176" fontId="0" fillId="34" borderId="37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176" fontId="0" fillId="34" borderId="20" xfId="0" applyNumberFormat="1" applyFont="1" applyFill="1" applyBorder="1" applyAlignment="1">
      <alignment horizontal="center"/>
    </xf>
    <xf numFmtId="176" fontId="4" fillId="35" borderId="35" xfId="0" applyNumberFormat="1" applyFont="1" applyFill="1" applyBorder="1" applyAlignment="1">
      <alignment horizontal="center" wrapText="1"/>
    </xf>
    <xf numFmtId="0" fontId="0" fillId="35" borderId="56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83" xfId="0" applyFill="1" applyBorder="1" applyAlignment="1">
      <alignment/>
    </xf>
    <xf numFmtId="0" fontId="6" fillId="0" borderId="0" xfId="0" applyFont="1" applyFill="1" applyAlignment="1">
      <alignment horizontal="center" wrapText="1"/>
    </xf>
    <xf numFmtId="176" fontId="4" fillId="35" borderId="56" xfId="0" applyNumberFormat="1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0" fontId="0" fillId="34" borderId="20" xfId="0" applyFill="1" applyBorder="1" applyAlignment="1">
      <alignment horizontal="center"/>
    </xf>
    <xf numFmtId="187" fontId="0" fillId="34" borderId="24" xfId="0" applyNumberFormat="1" applyFont="1" applyFill="1" applyBorder="1" applyAlignment="1">
      <alignment horizontal="center"/>
    </xf>
    <xf numFmtId="176" fontId="0" fillId="34" borderId="24" xfId="0" applyNumberFormat="1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4" fillId="37" borderId="0" xfId="0" applyFont="1" applyFill="1" applyAlignment="1">
      <alignment horizontal="left"/>
    </xf>
    <xf numFmtId="0" fontId="6" fillId="0" borderId="8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37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35" borderId="2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4" fillId="35" borderId="2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 wrapText="1"/>
    </xf>
    <xf numFmtId="0" fontId="24" fillId="35" borderId="18" xfId="0" applyFont="1" applyFill="1" applyBorder="1" applyAlignment="1">
      <alignment horizontal="center" wrapText="1"/>
    </xf>
    <xf numFmtId="0" fontId="24" fillId="35" borderId="11" xfId="0" applyFont="1" applyFill="1" applyBorder="1" applyAlignment="1">
      <alignment horizontal="center" wrapText="1"/>
    </xf>
    <xf numFmtId="0" fontId="24" fillId="35" borderId="24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35" borderId="30" xfId="0" applyFont="1" applyFill="1" applyBorder="1" applyAlignment="1">
      <alignment horizontal="center"/>
    </xf>
    <xf numFmtId="0" fontId="7" fillId="35" borderId="74" xfId="0" applyFont="1" applyFill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176" fontId="6" fillId="35" borderId="38" xfId="0" applyNumberFormat="1" applyFont="1" applyFill="1" applyBorder="1" applyAlignment="1">
      <alignment horizontal="center" vertical="center" wrapText="1"/>
    </xf>
    <xf numFmtId="176" fontId="6" fillId="35" borderId="85" xfId="0" applyNumberFormat="1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172" fontId="6" fillId="35" borderId="38" xfId="0" applyNumberFormat="1" applyFont="1" applyFill="1" applyBorder="1" applyAlignment="1">
      <alignment horizontal="center" vertical="center" wrapText="1"/>
    </xf>
    <xf numFmtId="172" fontId="6" fillId="35" borderId="86" xfId="0" applyNumberFormat="1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/>
    </xf>
    <xf numFmtId="0" fontId="34" fillId="0" borderId="81" xfId="0" applyFont="1" applyFill="1" applyBorder="1" applyAlignment="1">
      <alignment horizontal="left"/>
    </xf>
    <xf numFmtId="0" fontId="28" fillId="32" borderId="0" xfId="0" applyFont="1" applyFill="1" applyBorder="1" applyAlignment="1">
      <alignment horizontal="center"/>
    </xf>
    <xf numFmtId="0" fontId="25" fillId="35" borderId="35" xfId="0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30" fillId="35" borderId="35" xfId="0" applyFont="1" applyFill="1" applyBorder="1" applyAlignment="1">
      <alignment horizontal="center" vertical="center" wrapText="1"/>
    </xf>
    <xf numFmtId="0" fontId="30" fillId="35" borderId="56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left"/>
    </xf>
    <xf numFmtId="0" fontId="24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32" borderId="81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8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37" fontId="30" fillId="0" borderId="32" xfId="0" applyNumberFormat="1" applyFont="1" applyFill="1" applyBorder="1" applyAlignment="1">
      <alignment horizontal="left" wrapText="1"/>
    </xf>
    <xf numFmtId="0" fontId="30" fillId="0" borderId="81" xfId="0" applyFont="1" applyFill="1" applyBorder="1" applyAlignment="1">
      <alignment horizontal="left" wrapText="1"/>
    </xf>
    <xf numFmtId="0" fontId="30" fillId="0" borderId="48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8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0" fontId="0" fillId="41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7" fontId="0" fillId="0" borderId="0" xfId="0" applyNumberForma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_Final - 2004 RAM for rate schedule - milton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86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%20Acctg\Active\F05%20Rates\2011%20Rate%20App\WHSI%202011%20Cost%20of%20Service%20Rate%20Application%20files\Submission%20#%202\WHSI%20Rate%20Application%20Load%20Forecast%202011%20V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%20Acctg\Active\F05%20Rates\2011%20Rate%20App\WHSI%202011%20Cost%20of%20Service%20Rate%20Application%20files\Submission%20#%202\WHSI%20CA%20Model%20Revised%202011%20V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%20Acctg\Active\F05%20Rates\2011%20Rate%20App\Exhibit%209\WHSI%20Exhibit%209%20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ummary"/>
      <sheetName val="Exibit 3 Tables"/>
      <sheetName val="Purchased Power Model"/>
      <sheetName val="Rate Class Energy Model"/>
      <sheetName val="Rate Class Customer Model"/>
      <sheetName val="Rate Class Load Model"/>
      <sheetName val="Xmr allowance"/>
      <sheetName val="London HDD and C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"/>
      <sheetName val="9-2"/>
      <sheetName val="9-3"/>
      <sheetName val="9-4"/>
      <sheetName val="9-5"/>
      <sheetName val="9-6"/>
      <sheetName val="9-7"/>
      <sheetName val="9-8"/>
      <sheetName val="9"/>
      <sheetName val="9-9"/>
      <sheetName val="9-10"/>
      <sheetName val="9-11"/>
      <sheetName val="9-12"/>
      <sheetName val="9-13"/>
      <sheetName val="9-14-15-16"/>
      <sheetName val="9-17-18"/>
      <sheetName val="9-19"/>
      <sheetName val="p"/>
      <sheetName val="11"/>
      <sheetName val="9-20"/>
      <sheetName val="x"/>
      <sheetName val="9-20 A"/>
      <sheetName val="9-22"/>
      <sheetName val="9-23"/>
      <sheetName val="Sheet3"/>
      <sheetName val="OEB 2_R"/>
      <sheetName val="2010 Adder summary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12" zoomScaleNormal="112" zoomScalePageLayoutView="0" workbookViewId="0" topLeftCell="A1">
      <selection activeCell="B8" sqref="B8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491" t="s">
        <v>282</v>
      </c>
      <c r="B1" s="491"/>
    </row>
    <row r="2" spans="1:2" ht="12.75">
      <c r="A2" s="491" t="s">
        <v>283</v>
      </c>
      <c r="B2" s="491"/>
    </row>
    <row r="3" spans="1:2" ht="12.75">
      <c r="A3" s="491"/>
      <c r="B3" s="491"/>
    </row>
    <row r="4" spans="1:2" ht="12.75">
      <c r="A4" s="492"/>
      <c r="B4" s="492"/>
    </row>
    <row r="5" spans="1:2" ht="30.75" customHeight="1">
      <c r="A5" s="490" t="s">
        <v>39</v>
      </c>
      <c r="B5" s="490"/>
    </row>
    <row r="6" ht="7.5" customHeight="1">
      <c r="A6" s="6"/>
    </row>
    <row r="7" spans="1:12" ht="17.25">
      <c r="A7" s="6"/>
      <c r="D7" s="33"/>
      <c r="E7" s="8"/>
      <c r="F7" s="8"/>
      <c r="G7" s="8"/>
      <c r="H7" s="8"/>
      <c r="I7" s="8"/>
      <c r="J7" s="8"/>
      <c r="K7" s="8"/>
      <c r="L7" s="8"/>
    </row>
    <row r="8" spans="1:12" ht="15">
      <c r="A8" s="5" t="s">
        <v>38</v>
      </c>
      <c r="B8" s="141">
        <v>8715752.573688783</v>
      </c>
      <c r="E8" s="8"/>
      <c r="F8" s="8"/>
      <c r="G8" s="8"/>
      <c r="H8" s="8"/>
      <c r="I8" s="8"/>
      <c r="J8" s="8"/>
      <c r="K8" s="8"/>
      <c r="L8" s="8"/>
    </row>
    <row r="9" spans="1:12" ht="15">
      <c r="A9" s="5" t="s">
        <v>42</v>
      </c>
      <c r="B9" s="141">
        <v>483278.80000000005</v>
      </c>
      <c r="E9" s="8"/>
      <c r="F9" s="8"/>
      <c r="G9" s="8"/>
      <c r="H9" s="8"/>
      <c r="I9" s="8"/>
      <c r="J9" s="8"/>
      <c r="K9" s="8"/>
      <c r="L9" s="8"/>
    </row>
    <row r="10" spans="1:12" ht="15">
      <c r="A10" s="5" t="s">
        <v>148</v>
      </c>
      <c r="B10" s="30">
        <f>+B8-B9</f>
        <v>8232473.773688783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">
      <c r="A12" s="5" t="s">
        <v>147</v>
      </c>
      <c r="B12" s="141">
        <v>0</v>
      </c>
      <c r="C12" s="225" t="s">
        <v>209</v>
      </c>
      <c r="E12" s="8"/>
      <c r="F12" s="8"/>
      <c r="G12" s="8"/>
      <c r="H12" s="8"/>
      <c r="I12" s="8"/>
      <c r="J12" s="8"/>
      <c r="K12" s="8"/>
      <c r="L12" s="8"/>
    </row>
    <row r="13" spans="1:2" ht="15">
      <c r="A13" s="5" t="s">
        <v>43</v>
      </c>
      <c r="B13" s="7">
        <f>-'Transformer Allowance'!C16</f>
        <v>225912.56791712923</v>
      </c>
    </row>
    <row r="14" spans="1:2" ht="15.75" thickBot="1">
      <c r="A14" s="5" t="s">
        <v>44</v>
      </c>
      <c r="B14" s="31">
        <f>+B10+B12+B13</f>
        <v>8458386.341605913</v>
      </c>
    </row>
    <row r="15" ht="13.5" thickTop="1"/>
    <row r="16" spans="1:4" s="15" customFormat="1" ht="15">
      <c r="A16" s="19"/>
      <c r="D16"/>
    </row>
    <row r="17" spans="1:4" s="15" customFormat="1" ht="15">
      <c r="A17" s="19"/>
      <c r="B17" s="20"/>
      <c r="D17"/>
    </row>
    <row r="18" spans="1:2" s="15" customFormat="1" ht="15">
      <c r="A18" s="19"/>
      <c r="B18" s="20"/>
    </row>
    <row r="19" spans="1:2" s="15" customFormat="1" ht="15">
      <c r="A19" s="19"/>
      <c r="B19" s="20"/>
    </row>
    <row r="20" spans="1:2" ht="15">
      <c r="A20" s="5"/>
      <c r="B20" s="7"/>
    </row>
    <row r="22" spans="1:2" ht="15">
      <c r="A22" s="5"/>
      <c r="B22" s="7"/>
    </row>
    <row r="23" spans="1:2" ht="15">
      <c r="A23" s="5"/>
      <c r="B23" s="7"/>
    </row>
    <row r="24" spans="1:2" ht="15">
      <c r="A24" s="5"/>
      <c r="B24" s="7"/>
    </row>
    <row r="25" ht="12.75">
      <c r="B25" s="8"/>
    </row>
  </sheetData>
  <sheetProtection/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522" t="str">
        <f>+'Revenue Input'!A1</f>
        <v>Woodstock Hydro Services Inc.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2.75">
      <c r="A3" s="522">
        <f>+'Revenue Input'!A3</f>
        <v>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3.5" thickBot="1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5" ht="21" thickBot="1">
      <c r="A5" s="529" t="s">
        <v>192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N5" s="33" t="s">
        <v>131</v>
      </c>
      <c r="O5" s="105" t="str">
        <f>'Distribution Rate Schedule'!H5</f>
        <v>y</v>
      </c>
    </row>
    <row r="6" spans="1:12" s="242" customFormat="1" ht="27">
      <c r="A6" s="531" t="s">
        <v>118</v>
      </c>
      <c r="B6" s="530" t="s">
        <v>166</v>
      </c>
      <c r="C6" s="530"/>
      <c r="D6" s="426" t="s">
        <v>193</v>
      </c>
      <c r="E6" s="426"/>
      <c r="F6" s="530" t="s">
        <v>119</v>
      </c>
      <c r="G6" s="530"/>
      <c r="H6" s="530"/>
      <c r="I6" s="426" t="s">
        <v>120</v>
      </c>
      <c r="J6" s="426" t="s">
        <v>121</v>
      </c>
      <c r="K6" s="426" t="s">
        <v>128</v>
      </c>
      <c r="L6" s="426" t="s">
        <v>129</v>
      </c>
    </row>
    <row r="7" spans="1:12" s="242" customFormat="1" ht="13.5">
      <c r="A7" s="532"/>
      <c r="B7" s="426" t="s">
        <v>122</v>
      </c>
      <c r="C7" s="426" t="s">
        <v>123</v>
      </c>
      <c r="D7" s="426"/>
      <c r="E7" s="426"/>
      <c r="F7" s="426" t="s">
        <v>122</v>
      </c>
      <c r="G7" s="426" t="s">
        <v>123</v>
      </c>
      <c r="H7" s="426" t="s">
        <v>40</v>
      </c>
      <c r="I7" s="426" t="s">
        <v>40</v>
      </c>
      <c r="J7" s="426" t="s">
        <v>40</v>
      </c>
      <c r="K7" s="426" t="s">
        <v>130</v>
      </c>
      <c r="L7" s="426" t="s">
        <v>40</v>
      </c>
    </row>
    <row r="8" spans="1:12" s="242" customFormat="1" ht="24.75" customHeight="1">
      <c r="A8" s="533"/>
      <c r="B8" s="427" t="s">
        <v>124</v>
      </c>
      <c r="C8" s="427" t="s">
        <v>124</v>
      </c>
      <c r="D8" s="427"/>
      <c r="E8" s="427" t="s">
        <v>145</v>
      </c>
      <c r="F8" s="426" t="s">
        <v>125</v>
      </c>
      <c r="G8" s="426" t="s">
        <v>125</v>
      </c>
      <c r="H8" s="428" t="s">
        <v>125</v>
      </c>
      <c r="I8" s="428" t="s">
        <v>125</v>
      </c>
      <c r="J8" s="428" t="s">
        <v>125</v>
      </c>
      <c r="K8" s="429">
        <v>3</v>
      </c>
      <c r="L8" s="428" t="s">
        <v>125</v>
      </c>
    </row>
    <row r="9" spans="1:12" s="242" customFormat="1" ht="19.5" customHeight="1">
      <c r="A9" s="430" t="str">
        <f>'Distribution Rate Schedule'!A11</f>
        <v>Residential</v>
      </c>
      <c r="B9" s="431">
        <f>22692.68+339087.22</f>
        <v>361779.89999999997</v>
      </c>
      <c r="C9" s="431">
        <v>-4696</v>
      </c>
      <c r="D9" s="432">
        <f>'Low Voltage Rates'!C8</f>
        <v>117418066.48834497</v>
      </c>
      <c r="E9" s="433" t="str">
        <f>'Low Voltage Rates'!E8</f>
        <v>kWh</v>
      </c>
      <c r="F9" s="434">
        <f>B9/D9</f>
        <v>0.0030811263617248424</v>
      </c>
      <c r="G9" s="434">
        <f>C9/D9</f>
        <v>-3.999384541446294E-05</v>
      </c>
      <c r="H9" s="434">
        <f>F9+G9</f>
        <v>0.003041132516310379</v>
      </c>
      <c r="I9" s="434">
        <f>H9/2</f>
        <v>0.0015205662581551896</v>
      </c>
      <c r="J9" s="434">
        <f>H9/3</f>
        <v>0.0010137108387701264</v>
      </c>
      <c r="K9" s="435"/>
      <c r="L9" s="436">
        <f>IF($O$5="Y",ROUND(IF($K$8=2,I9,IF($K$8=3,J9,0)),4),IF($K$8=2,I9,IF($K$8=3,J9,0)))</f>
        <v>0.001</v>
      </c>
    </row>
    <row r="10" spans="1:15" s="242" customFormat="1" ht="19.5" customHeight="1">
      <c r="A10" s="430" t="str">
        <f>'Distribution Rate Schedule'!A12</f>
        <v>GS &lt; 50 kW</v>
      </c>
      <c r="B10" s="431">
        <f>32695.96+12514.83</f>
        <v>45210.79</v>
      </c>
      <c r="C10" s="431">
        <v>2767.22</v>
      </c>
      <c r="D10" s="432">
        <f>'Low Voltage Rates'!C9</f>
        <v>46182407.05503645</v>
      </c>
      <c r="E10" s="433" t="str">
        <f>'Low Voltage Rates'!E9</f>
        <v>kWh</v>
      </c>
      <c r="F10" s="434">
        <f aca="true" t="shared" si="0" ref="F10:F16">B10/D10</f>
        <v>0.0009789613162891541</v>
      </c>
      <c r="G10" s="434">
        <f aca="true" t="shared" si="1" ref="G10:G16">C10/D10</f>
        <v>5.9919354067063924E-05</v>
      </c>
      <c r="H10" s="434">
        <f aca="true" t="shared" si="2" ref="H10:H16">F10+G10</f>
        <v>0.001038880670356218</v>
      </c>
      <c r="I10" s="434">
        <f aca="true" t="shared" si="3" ref="I10:I16">H10/2</f>
        <v>0.000519440335178109</v>
      </c>
      <c r="J10" s="434">
        <f aca="true" t="shared" si="4" ref="J10:J16">H10/3</f>
        <v>0.00034629355678540604</v>
      </c>
      <c r="K10" s="435"/>
      <c r="L10" s="436">
        <f aca="true" t="shared" si="5" ref="L10:L15">IF($O$5="Y",ROUND(IF($K$8=2,I10,IF($K$8=3,J10,0)),4),IF($K$8=2,I10,IF($K$8=3,J10,0)))</f>
        <v>0.0003</v>
      </c>
      <c r="M10" s="437"/>
      <c r="N10" s="408"/>
      <c r="O10" s="408"/>
    </row>
    <row r="11" spans="1:12" s="242" customFormat="1" ht="19.5" customHeight="1">
      <c r="A11" s="430" t="str">
        <f>'Distribution Rate Schedule'!A13</f>
        <v>GS 50 kW - 999 kW</v>
      </c>
      <c r="B11" s="431">
        <f>D11/(D11+D12)*137335.34</f>
        <v>98749.44798131233</v>
      </c>
      <c r="C11" s="431"/>
      <c r="D11" s="432">
        <f>'Low Voltage Rates'!D10</f>
        <v>381271.21290053293</v>
      </c>
      <c r="E11" s="433" t="str">
        <f>'Low Voltage Rates'!E10</f>
        <v>kW</v>
      </c>
      <c r="F11" s="434">
        <f t="shared" si="0"/>
        <v>0.2590005346327428</v>
      </c>
      <c r="G11" s="434">
        <f t="shared" si="1"/>
        <v>0</v>
      </c>
      <c r="H11" s="434">
        <f t="shared" si="2"/>
        <v>0.2590005346327428</v>
      </c>
      <c r="I11" s="434">
        <f t="shared" si="3"/>
        <v>0.1295002673163714</v>
      </c>
      <c r="J11" s="434">
        <f t="shared" si="4"/>
        <v>0.08633351154424761</v>
      </c>
      <c r="K11" s="435"/>
      <c r="L11" s="436">
        <f t="shared" si="5"/>
        <v>0.0863</v>
      </c>
    </row>
    <row r="12" spans="1:12" s="242" customFormat="1" ht="19.5" customHeight="1">
      <c r="A12" s="430" t="str">
        <f>'Distribution Rate Schedule'!A14</f>
        <v>GS&gt;1000 kW</v>
      </c>
      <c r="B12" s="431">
        <f>D12/(D11+D12)*137335.34</f>
        <v>38585.89201868766</v>
      </c>
      <c r="C12" s="431"/>
      <c r="D12" s="432">
        <f>'Low Voltage Rates'!D11</f>
        <v>148979.97053713276</v>
      </c>
      <c r="E12" s="433" t="str">
        <f>'Low Voltage Rates'!E11</f>
        <v>kW</v>
      </c>
      <c r="F12" s="434">
        <f>B12/D12</f>
        <v>0.2590005346327428</v>
      </c>
      <c r="G12" s="434">
        <f>C12/D12</f>
        <v>0</v>
      </c>
      <c r="H12" s="434">
        <f>F12+G12</f>
        <v>0.2590005346327428</v>
      </c>
      <c r="I12" s="434">
        <f>H12/2</f>
        <v>0.1295002673163714</v>
      </c>
      <c r="J12" s="434">
        <f>H12/3</f>
        <v>0.08633351154424761</v>
      </c>
      <c r="K12" s="435"/>
      <c r="L12" s="436">
        <f>IF($O$5="Y",ROUND(IF($K$8=2,I12,IF($K$8=3,J12,0)),4),IF($K$8=2,I12,IF($K$8=3,J12,0)))</f>
        <v>0.0863</v>
      </c>
    </row>
    <row r="13" spans="1:12" s="242" customFormat="1" ht="19.5" customHeight="1" hidden="1">
      <c r="A13" s="430"/>
      <c r="B13" s="431"/>
      <c r="C13" s="431"/>
      <c r="D13" s="432">
        <f>'Low Voltage Rates'!D12</f>
        <v>0</v>
      </c>
      <c r="E13" s="433" t="str">
        <f>'Low Voltage Rates'!E12</f>
        <v>kW</v>
      </c>
      <c r="F13" s="434">
        <v>0</v>
      </c>
      <c r="G13" s="434">
        <v>0</v>
      </c>
      <c r="H13" s="434">
        <v>0</v>
      </c>
      <c r="I13" s="434">
        <f t="shared" si="3"/>
        <v>0</v>
      </c>
      <c r="J13" s="434">
        <f t="shared" si="4"/>
        <v>0</v>
      </c>
      <c r="K13" s="435"/>
      <c r="L13" s="436">
        <f t="shared" si="5"/>
        <v>0</v>
      </c>
    </row>
    <row r="14" spans="1:12" s="242" customFormat="1" ht="19.5" customHeight="1">
      <c r="A14" s="430" t="str">
        <f>'Distribution Rate Schedule'!A15</f>
        <v>Street Lighting</v>
      </c>
      <c r="B14" s="431"/>
      <c r="C14" s="431"/>
      <c r="D14" s="432">
        <f>'Low Voltage Rates'!D13</f>
        <v>8538.621682209448</v>
      </c>
      <c r="E14" s="433" t="str">
        <f>'Low Voltage Rates'!E13</f>
        <v>kW</v>
      </c>
      <c r="F14" s="434">
        <v>0</v>
      </c>
      <c r="G14" s="434">
        <v>0</v>
      </c>
      <c r="H14" s="434">
        <v>0</v>
      </c>
      <c r="I14" s="434">
        <f>H14/2</f>
        <v>0</v>
      </c>
      <c r="J14" s="434">
        <f>H14/3</f>
        <v>0</v>
      </c>
      <c r="K14" s="435"/>
      <c r="L14" s="436">
        <f>IF($O$5="Y",ROUND(IF($K$8=2,I14,IF($K$8=3,J14,0)),4),IF($K$8=2,I14,IF($K$8=3,J14,0)))</f>
        <v>0</v>
      </c>
    </row>
    <row r="15" spans="1:12" s="242" customFormat="1" ht="19.5" customHeight="1" hidden="1">
      <c r="A15" s="430" t="str">
        <f>'Distribution Rate Schedule'!A16</f>
        <v>microFIT Generator service</v>
      </c>
      <c r="B15" s="431"/>
      <c r="C15" s="431"/>
      <c r="D15" s="438">
        <f>'Low Voltage Rates'!D14</f>
        <v>0</v>
      </c>
      <c r="E15" s="433" t="str">
        <f>'Low Voltage Rates'!E14</f>
        <v>kW</v>
      </c>
      <c r="F15" s="434">
        <v>0</v>
      </c>
      <c r="G15" s="434">
        <v>0</v>
      </c>
      <c r="H15" s="434">
        <v>0</v>
      </c>
      <c r="I15" s="434">
        <f>H15/2</f>
        <v>0</v>
      </c>
      <c r="J15" s="434">
        <f>H15/3</f>
        <v>0</v>
      </c>
      <c r="K15" s="439"/>
      <c r="L15" s="436">
        <f t="shared" si="5"/>
        <v>0</v>
      </c>
    </row>
    <row r="16" spans="1:12" s="242" customFormat="1" ht="19.5" customHeight="1">
      <c r="A16" s="430" t="str">
        <f>'Distribution Rate Schedule'!A17</f>
        <v>USL</v>
      </c>
      <c r="B16" s="431">
        <v>19143.22</v>
      </c>
      <c r="C16" s="431">
        <v>3313.6</v>
      </c>
      <c r="D16" s="438">
        <f>'Low Voltage Rates'!C15</f>
        <v>615829.4710948495</v>
      </c>
      <c r="E16" s="433" t="str">
        <f>'Low Voltage Rates'!E15</f>
        <v>kWh</v>
      </c>
      <c r="F16" s="434">
        <f t="shared" si="0"/>
        <v>0.031085261259040296</v>
      </c>
      <c r="G16" s="434">
        <f t="shared" si="1"/>
        <v>0.0053807103354585025</v>
      </c>
      <c r="H16" s="434">
        <f t="shared" si="2"/>
        <v>0.0364659715944988</v>
      </c>
      <c r="I16" s="434">
        <f t="shared" si="3"/>
        <v>0.0182329857972494</v>
      </c>
      <c r="J16" s="434">
        <f t="shared" si="4"/>
        <v>0.012155323864832932</v>
      </c>
      <c r="K16" s="439"/>
      <c r="L16" s="436">
        <f>IF($O$5="Y",ROUND(IF($K$8=2,I16,IF($K$8=3,J16,0)),4),IF($K$8=2,I16,IF($K$8=3,J16,0)))</f>
        <v>0.0122</v>
      </c>
    </row>
    <row r="17" spans="1:12" s="242" customFormat="1" ht="19.5" customHeight="1" thickBot="1">
      <c r="A17" s="440" t="s">
        <v>40</v>
      </c>
      <c r="B17" s="441">
        <f>SUM(B9:B16)</f>
        <v>563469.2499999999</v>
      </c>
      <c r="C17" s="441">
        <f>SUM(C9:C16)</f>
        <v>1384.8199999999997</v>
      </c>
      <c r="D17" s="441"/>
      <c r="E17" s="442"/>
      <c r="F17" s="441"/>
      <c r="G17" s="441"/>
      <c r="H17" s="441"/>
      <c r="I17" s="441"/>
      <c r="J17" s="441"/>
      <c r="K17" s="441"/>
      <c r="L17" s="441"/>
    </row>
    <row r="18" ht="13.5" thickTop="1"/>
    <row r="19" ht="12.75">
      <c r="B19" s="224"/>
    </row>
  </sheetData>
  <sheetProtection/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6">
      <selection activeCell="F6" sqref="F6"/>
    </sheetView>
  </sheetViews>
  <sheetFormatPr defaultColWidth="9.140625" defaultRowHeight="12.75"/>
  <cols>
    <col min="1" max="1" width="39.57421875" style="0" bestFit="1" customWidth="1"/>
    <col min="2" max="2" width="22.28125" style="0" bestFit="1" customWidth="1"/>
    <col min="3" max="3" width="26.7109375" style="0" customWidth="1"/>
    <col min="4" max="4" width="22.7109375" style="0" customWidth="1"/>
    <col min="5" max="5" width="22.28125" style="0" bestFit="1" customWidth="1"/>
    <col min="6" max="9" width="10.00390625" style="0" customWidth="1"/>
  </cols>
  <sheetData>
    <row r="1" spans="1:4" ht="12.75">
      <c r="A1" s="522" t="str">
        <f>+'Revenue Input'!A1</f>
        <v>Woodstock Hydro Services Inc.</v>
      </c>
      <c r="B1" s="522"/>
      <c r="C1" s="522"/>
      <c r="D1" s="522"/>
    </row>
    <row r="2" spans="1:4" ht="12.75">
      <c r="A2" s="522" t="str">
        <f>+'Revenue Input'!A2</f>
        <v>, License Number ED-2003-0011, File Number EB-2010-0145</v>
      </c>
      <c r="B2" s="522"/>
      <c r="C2" s="522"/>
      <c r="D2" s="522"/>
    </row>
    <row r="3" spans="1:4" ht="12.75">
      <c r="A3" s="522">
        <f>+'Revenue Input'!A3</f>
        <v>0</v>
      </c>
      <c r="B3" s="522"/>
      <c r="C3" s="522"/>
      <c r="D3" s="522"/>
    </row>
    <row r="4" spans="1:4" ht="13.5" thickBot="1">
      <c r="A4" s="494"/>
      <c r="B4" s="494"/>
      <c r="C4" s="494"/>
      <c r="D4" s="494"/>
    </row>
    <row r="5" spans="1:6" ht="21" thickBot="1">
      <c r="A5" s="534" t="s">
        <v>194</v>
      </c>
      <c r="B5" s="534"/>
      <c r="C5" s="534"/>
      <c r="D5" s="534"/>
      <c r="E5" s="33" t="s">
        <v>131</v>
      </c>
      <c r="F5" s="105" t="str">
        <f>'Distribution Rate Schedule'!H5</f>
        <v>y</v>
      </c>
    </row>
    <row r="6" spans="1:5" ht="69" thickBot="1">
      <c r="A6" s="106" t="s">
        <v>0</v>
      </c>
      <c r="B6" s="106" t="s">
        <v>281</v>
      </c>
      <c r="C6" s="106" t="s">
        <v>276</v>
      </c>
      <c r="D6" s="106" t="s">
        <v>132</v>
      </c>
      <c r="E6" s="463" t="s">
        <v>219</v>
      </c>
    </row>
    <row r="7" spans="1:9" ht="15">
      <c r="A7" s="144" t="str">
        <f>'Distribution Rate Schedule'!A11</f>
        <v>Residential</v>
      </c>
      <c r="B7" s="410">
        <f>B19+D19+B30+D30</f>
        <v>-0.0001981501919150811</v>
      </c>
      <c r="C7" s="411"/>
      <c r="D7" s="486">
        <v>1.2</v>
      </c>
      <c r="E7" s="462">
        <v>0.47</v>
      </c>
      <c r="F7" s="33"/>
      <c r="G7" s="33"/>
      <c r="H7" s="33"/>
      <c r="I7" s="33"/>
    </row>
    <row r="8" spans="1:5" ht="15">
      <c r="A8" s="423" t="str">
        <f>'Distribution Rate Schedule'!A12</f>
        <v>GS &lt; 50 kW</v>
      </c>
      <c r="B8" s="412">
        <f>B20+D20+B31+D31</f>
        <v>-0.0007980982690704636</v>
      </c>
      <c r="C8" s="413"/>
      <c r="D8" s="414">
        <v>1.2</v>
      </c>
      <c r="E8" s="415">
        <v>0.47</v>
      </c>
    </row>
    <row r="9" spans="1:5" ht="15">
      <c r="A9" s="423" t="str">
        <f>'Distribution Rate Schedule'!A13</f>
        <v>GS 50 kW - 999 kW</v>
      </c>
      <c r="B9" s="412"/>
      <c r="C9" s="413">
        <f>C21+E21+C32+E32</f>
        <v>-0.44370268833363197</v>
      </c>
      <c r="D9" s="414">
        <v>1.2</v>
      </c>
      <c r="E9" s="415">
        <v>0.47</v>
      </c>
    </row>
    <row r="10" spans="1:5" ht="15">
      <c r="A10" s="423" t="str">
        <f>'Distribution Rate Schedule'!A14</f>
        <v>GS&gt;1000 kW</v>
      </c>
      <c r="B10" s="412"/>
      <c r="C10" s="413">
        <f>C22+E22+C33+E33</f>
        <v>-0.6790250880127315</v>
      </c>
      <c r="D10" s="414">
        <v>1.2</v>
      </c>
      <c r="E10" s="415">
        <v>0.47</v>
      </c>
    </row>
    <row r="11" spans="1:5" ht="15">
      <c r="A11" s="423"/>
      <c r="B11" s="412"/>
      <c r="C11" s="413"/>
      <c r="D11" s="414"/>
      <c r="E11" s="415"/>
    </row>
    <row r="12" spans="1:5" ht="15">
      <c r="A12" s="423" t="str">
        <f>'Distribution Rate Schedule'!A15</f>
        <v>Street Lighting</v>
      </c>
      <c r="B12" s="412"/>
      <c r="C12" s="413">
        <f>C24+E24+C35+E35</f>
        <v>-0.21504276349584425</v>
      </c>
      <c r="D12" s="414"/>
      <c r="E12" s="415"/>
    </row>
    <row r="13" spans="1:5" ht="15" hidden="1">
      <c r="A13" s="423" t="str">
        <f>'Distribution Rate Schedule'!A16</f>
        <v>microFIT Generator service</v>
      </c>
      <c r="B13" s="412"/>
      <c r="C13" s="413"/>
      <c r="D13" s="414"/>
      <c r="E13" s="415"/>
    </row>
    <row r="14" spans="1:5" ht="15.75" thickBot="1">
      <c r="A14" s="424" t="str">
        <f>'Distribution Rate Schedule'!A17</f>
        <v>USL</v>
      </c>
      <c r="B14" s="420">
        <f>B26+D26+B37+D37</f>
        <v>-0.0007980982690704636</v>
      </c>
      <c r="C14" s="421"/>
      <c r="D14" s="416"/>
      <c r="E14" s="417"/>
    </row>
    <row r="15" spans="2:5" ht="12.75">
      <c r="B15" s="477" t="s">
        <v>257</v>
      </c>
      <c r="C15" s="478"/>
      <c r="D15" s="471" t="s">
        <v>258</v>
      </c>
      <c r="E15" s="472"/>
    </row>
    <row r="17" spans="1:5" ht="13.5" thickBot="1">
      <c r="A17" s="2" t="s">
        <v>280</v>
      </c>
      <c r="B17" s="484" t="s">
        <v>260</v>
      </c>
      <c r="C17" s="485"/>
      <c r="D17" s="484" t="s">
        <v>261</v>
      </c>
      <c r="E17" s="485"/>
    </row>
    <row r="18" spans="1:5" ht="83.25" thickBot="1">
      <c r="A18" s="106" t="s">
        <v>0</v>
      </c>
      <c r="B18" s="470" t="s">
        <v>277</v>
      </c>
      <c r="C18" s="470" t="s">
        <v>254</v>
      </c>
      <c r="D18" s="106" t="s">
        <v>249</v>
      </c>
      <c r="E18" s="106" t="s">
        <v>250</v>
      </c>
    </row>
    <row r="19" spans="1:5" ht="15">
      <c r="A19" s="144" t="str">
        <f>'Distribution Rate Schedule'!A21</f>
        <v>Residential</v>
      </c>
      <c r="B19" s="410">
        <v>-0.00143</v>
      </c>
      <c r="C19" s="411"/>
      <c r="D19" s="411">
        <v>0.0008277518618380966</v>
      </c>
      <c r="E19" s="418"/>
    </row>
    <row r="20" spans="1:5" ht="15">
      <c r="A20" s="423" t="str">
        <f>'Distribution Rate Schedule'!A22</f>
        <v>GS &lt; 50 kW</v>
      </c>
      <c r="B20" s="412">
        <v>-0.00143</v>
      </c>
      <c r="C20" s="413"/>
      <c r="D20" s="413">
        <v>0.000222138791977524</v>
      </c>
      <c r="E20" s="419"/>
    </row>
    <row r="21" spans="1:5" ht="15">
      <c r="A21" s="423" t="str">
        <f>'Distribution Rate Schedule'!A23</f>
        <v>GS 50 kW - 999 kW</v>
      </c>
      <c r="B21" s="412"/>
      <c r="C21" s="413">
        <v>-0.54218</v>
      </c>
      <c r="D21" s="413"/>
      <c r="E21" s="413">
        <v>-0.048716078100961534</v>
      </c>
    </row>
    <row r="22" spans="1:5" ht="15">
      <c r="A22" s="423" t="str">
        <f>'Distribution Rate Schedule'!A24</f>
        <v>GS&gt;1000 kW</v>
      </c>
      <c r="B22" s="412"/>
      <c r="C22" s="413">
        <v>-0.65217</v>
      </c>
      <c r="D22" s="413"/>
      <c r="E22" s="413">
        <v>-0.20404497063310192</v>
      </c>
    </row>
    <row r="23" spans="1:5" ht="15">
      <c r="A23" s="425" t="s">
        <v>169</v>
      </c>
      <c r="B23" s="412"/>
      <c r="C23" s="413"/>
      <c r="D23" s="413"/>
      <c r="E23" s="419"/>
    </row>
    <row r="24" spans="1:5" ht="15">
      <c r="A24" s="423" t="str">
        <f>'Distribution Rate Schedule'!A25</f>
        <v>Street Lighting</v>
      </c>
      <c r="B24" s="412"/>
      <c r="C24" s="413">
        <v>-0.52266</v>
      </c>
      <c r="D24" s="413"/>
      <c r="E24" s="413">
        <v>0.16583155739423694</v>
      </c>
    </row>
    <row r="25" spans="1:5" ht="15" hidden="1">
      <c r="A25" s="423" t="str">
        <f>'Distribution Rate Schedule'!A26</f>
        <v>microFIT Generator service</v>
      </c>
      <c r="B25" s="412"/>
      <c r="C25" s="413"/>
      <c r="D25" s="413"/>
      <c r="E25" s="419"/>
    </row>
    <row r="26" spans="1:5" ht="15.75" thickBot="1">
      <c r="A26" s="424" t="str">
        <f>'Distribution Rate Schedule'!A27</f>
        <v>USL</v>
      </c>
      <c r="B26" s="420">
        <f>B20</f>
        <v>-0.00143</v>
      </c>
      <c r="C26" s="421"/>
      <c r="D26" s="413">
        <f>D20</f>
        <v>0.000222138791977524</v>
      </c>
      <c r="E26" s="422"/>
    </row>
    <row r="27" spans="1:5" ht="15">
      <c r="A27" s="207"/>
      <c r="B27" s="483"/>
      <c r="C27" s="483"/>
      <c r="D27" s="483"/>
      <c r="E27" s="483"/>
    </row>
    <row r="28" spans="1:5" ht="13.5" thickBot="1">
      <c r="A28" s="2" t="s">
        <v>279</v>
      </c>
      <c r="B28" s="484" t="s">
        <v>263</v>
      </c>
      <c r="C28" s="485"/>
      <c r="D28" s="484" t="s">
        <v>262</v>
      </c>
      <c r="E28" s="485"/>
    </row>
    <row r="29" spans="1:5" ht="83.25" thickBot="1">
      <c r="A29" s="106" t="s">
        <v>0</v>
      </c>
      <c r="B29" s="106" t="s">
        <v>255</v>
      </c>
      <c r="C29" s="106" t="s">
        <v>256</v>
      </c>
      <c r="D29" s="106" t="s">
        <v>249</v>
      </c>
      <c r="E29" s="106" t="s">
        <v>250</v>
      </c>
    </row>
    <row r="30" spans="1:5" ht="15">
      <c r="A30" s="144" t="str">
        <f>'Distribution Rate Schedule'!A31</f>
        <v>Residential</v>
      </c>
      <c r="B30" s="410">
        <v>0.00038864787756281473</v>
      </c>
      <c r="C30" s="411"/>
      <c r="D30" s="410">
        <v>1.545006868400765E-05</v>
      </c>
      <c r="E30" s="411"/>
    </row>
    <row r="31" spans="1:5" ht="15">
      <c r="A31" s="423" t="str">
        <f>'Distribution Rate Schedule'!A32</f>
        <v>GS &lt; 50 kW</v>
      </c>
      <c r="B31" s="412">
        <v>0.00038864786062876817</v>
      </c>
      <c r="C31" s="413"/>
      <c r="D31" s="412">
        <v>2.1115078323244392E-05</v>
      </c>
      <c r="E31" s="413"/>
    </row>
    <row r="32" spans="1:5" ht="15">
      <c r="A32" s="423" t="str">
        <f>'Distribution Rate Schedule'!A33</f>
        <v>GS 50 kW - 999 kW</v>
      </c>
      <c r="B32" s="412"/>
      <c r="C32" s="413">
        <v>0.14709616226355388</v>
      </c>
      <c r="D32" s="412"/>
      <c r="E32" s="413">
        <v>9.72275037757188E-05</v>
      </c>
    </row>
    <row r="33" spans="1:5" ht="15">
      <c r="A33" s="423" t="str">
        <f>'Distribution Rate Schedule'!A34</f>
        <v>GS&gt;1000 kW</v>
      </c>
      <c r="B33" s="412"/>
      <c r="C33" s="413">
        <v>0.1770833132735716</v>
      </c>
      <c r="D33" s="412"/>
      <c r="E33" s="413">
        <v>0.00010656934679870915</v>
      </c>
    </row>
    <row r="34" spans="1:5" ht="15">
      <c r="A34" s="425" t="s">
        <v>169</v>
      </c>
      <c r="B34" s="412"/>
      <c r="C34" s="413"/>
      <c r="D34" s="412"/>
      <c r="E34" s="413"/>
    </row>
    <row r="35" spans="1:5" ht="15">
      <c r="A35" s="423" t="str">
        <f>'Distribution Rate Schedule'!A35</f>
        <v>Street Lighting</v>
      </c>
      <c r="B35" s="412"/>
      <c r="C35" s="413">
        <v>0.14169005858988254</v>
      </c>
      <c r="D35" s="412"/>
      <c r="E35" s="413">
        <v>9.56205200362853E-05</v>
      </c>
    </row>
    <row r="36" spans="1:5" ht="15" hidden="1">
      <c r="A36" s="423" t="str">
        <f>'Distribution Rate Schedule'!A36</f>
        <v>microFIT Generator service</v>
      </c>
      <c r="B36" s="412"/>
      <c r="C36" s="413"/>
      <c r="D36" s="412"/>
      <c r="E36" s="413"/>
    </row>
    <row r="37" spans="1:5" ht="15.75" thickBot="1">
      <c r="A37" s="424" t="str">
        <f>'Distribution Rate Schedule'!A37</f>
        <v>USL</v>
      </c>
      <c r="B37" s="420">
        <f>B31</f>
        <v>0.00038864786062876817</v>
      </c>
      <c r="C37" s="421"/>
      <c r="D37" s="420">
        <f>D31</f>
        <v>2.1115078323244392E-05</v>
      </c>
      <c r="E37" s="421"/>
    </row>
    <row r="41" spans="2:3" ht="13.5" thickBot="1">
      <c r="B41" s="475" t="s">
        <v>259</v>
      </c>
      <c r="C41" s="476"/>
    </row>
    <row r="42" spans="1:3" ht="69" thickBot="1">
      <c r="A42" s="106" t="s">
        <v>0</v>
      </c>
      <c r="B42" s="470" t="s">
        <v>248</v>
      </c>
      <c r="C42" s="470" t="s">
        <v>247</v>
      </c>
    </row>
    <row r="43" spans="1:3" ht="15.75" thickBot="1">
      <c r="A43" s="469" t="s">
        <v>167</v>
      </c>
      <c r="B43" s="410">
        <f>-0.0014</f>
        <v>-0.0014</v>
      </c>
      <c r="C43" s="411"/>
    </row>
    <row r="44" spans="1:3" ht="15">
      <c r="A44" s="144" t="s">
        <v>168</v>
      </c>
      <c r="B44" s="412">
        <v>-0.0014</v>
      </c>
      <c r="C44" s="413"/>
    </row>
    <row r="45" spans="1:3" ht="15">
      <c r="A45" s="423" t="s">
        <v>206</v>
      </c>
      <c r="B45" s="412"/>
      <c r="C45" s="413">
        <v>-0.4471</v>
      </c>
    </row>
    <row r="46" spans="1:3" ht="15">
      <c r="A46" s="423" t="s">
        <v>207</v>
      </c>
      <c r="B46" s="412"/>
      <c r="C46" s="413">
        <v>-0.4471</v>
      </c>
    </row>
    <row r="47" spans="1:3" ht="15">
      <c r="A47" s="423" t="s">
        <v>169</v>
      </c>
      <c r="B47" s="412"/>
      <c r="C47" s="413">
        <v>-0.3361</v>
      </c>
    </row>
    <row r="48" spans="1:3" ht="15">
      <c r="A48" s="425" t="s">
        <v>170</v>
      </c>
      <c r="B48" s="412"/>
      <c r="C48" s="413">
        <v>-0.3838</v>
      </c>
    </row>
    <row r="49" spans="1:3" ht="15" hidden="1">
      <c r="A49" s="423" t="s">
        <v>213</v>
      </c>
      <c r="B49" s="412"/>
      <c r="C49" s="413"/>
    </row>
    <row r="50" spans="1:3" ht="15">
      <c r="A50" s="423" t="s">
        <v>171</v>
      </c>
      <c r="B50" s="412"/>
      <c r="C50" s="413"/>
    </row>
    <row r="51" spans="1:3" ht="15.75" thickBot="1">
      <c r="A51" s="424"/>
      <c r="B51" s="420"/>
      <c r="C51" s="421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355" verticalDpi="355" orientation="landscape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8">
      <selection activeCell="H31" sqref="H31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522" t="str">
        <f>+'Revenue Input'!A1</f>
        <v>Woodstock Hydro Services Inc.</v>
      </c>
      <c r="B1" s="522"/>
      <c r="C1" s="522"/>
      <c r="D1" s="522"/>
      <c r="E1" s="522"/>
    </row>
    <row r="2" spans="1:5" ht="12.75">
      <c r="A2" s="522" t="str">
        <f>+'Revenue Input'!A2</f>
        <v>, License Number ED-2003-0011, File Number EB-2010-0145</v>
      </c>
      <c r="B2" s="522"/>
      <c r="C2" s="522"/>
      <c r="D2" s="522"/>
      <c r="E2" s="522"/>
    </row>
    <row r="3" spans="1:5" ht="12.75">
      <c r="A3" s="522">
        <f>+'Revenue Input'!A3</f>
        <v>0</v>
      </c>
      <c r="B3" s="522"/>
      <c r="C3" s="522"/>
      <c r="D3" s="522"/>
      <c r="E3" s="522"/>
    </row>
    <row r="4" spans="1:5" ht="13.5" thickBot="1">
      <c r="A4" s="494"/>
      <c r="B4" s="494"/>
      <c r="C4" s="494"/>
      <c r="D4" s="494"/>
      <c r="E4" s="494"/>
    </row>
    <row r="5" spans="1:8" ht="21" thickBot="1">
      <c r="A5" s="536" t="s">
        <v>188</v>
      </c>
      <c r="B5" s="536"/>
      <c r="C5" s="536"/>
      <c r="D5" s="536"/>
      <c r="E5" s="536"/>
      <c r="G5" s="37" t="s">
        <v>111</v>
      </c>
      <c r="H5" s="142" t="s">
        <v>196</v>
      </c>
    </row>
    <row r="6" spans="1:5" ht="15">
      <c r="A6" s="535"/>
      <c r="B6" s="535"/>
      <c r="C6" s="535"/>
      <c r="D6" s="535"/>
      <c r="E6" s="535"/>
    </row>
    <row r="7" spans="1:11" ht="12.75">
      <c r="A7" s="537"/>
      <c r="B7" s="537"/>
      <c r="C7" s="537"/>
      <c r="D7" s="537"/>
      <c r="E7" s="537"/>
      <c r="F7" s="34"/>
      <c r="G7" s="34"/>
      <c r="H7" s="34"/>
      <c r="I7" s="34"/>
      <c r="J7" s="34"/>
      <c r="K7" s="34"/>
    </row>
    <row r="8" spans="1:5" ht="15">
      <c r="A8" s="535"/>
      <c r="B8" s="535"/>
      <c r="C8" s="535"/>
      <c r="D8" s="535"/>
      <c r="E8" s="535"/>
    </row>
    <row r="9" spans="1:12" s="8" customFormat="1" ht="17.25">
      <c r="A9" s="509" t="s">
        <v>189</v>
      </c>
      <c r="B9" s="509"/>
      <c r="C9" s="509"/>
      <c r="D9" s="509"/>
      <c r="E9" s="509"/>
      <c r="G9" s="17"/>
      <c r="H9" s="17"/>
      <c r="I9" s="17"/>
      <c r="J9" s="17"/>
      <c r="K9" s="17"/>
      <c r="L9" s="17"/>
    </row>
    <row r="10" spans="1:12" s="8" customFormat="1" ht="12.75">
      <c r="A10" s="58" t="s">
        <v>0</v>
      </c>
      <c r="B10" s="57" t="s">
        <v>24</v>
      </c>
      <c r="C10" s="57" t="s">
        <v>25</v>
      </c>
      <c r="D10" s="57" t="s">
        <v>17</v>
      </c>
      <c r="E10" s="57" t="s">
        <v>16</v>
      </c>
      <c r="G10" s="18"/>
      <c r="H10" s="18"/>
      <c r="I10" s="18"/>
      <c r="J10" s="18"/>
      <c r="K10" s="18"/>
      <c r="L10" s="18"/>
    </row>
    <row r="11" spans="1:12" s="8" customFormat="1" ht="18" customHeight="1">
      <c r="A11" s="80" t="str">
        <f>'Low Voltage Rates'!A8</f>
        <v>Residential</v>
      </c>
      <c r="B11" s="159">
        <v>0</v>
      </c>
      <c r="C11" s="159">
        <f>IF(+$H$5="Y",+ROUND(+'Rates By Rate Class'!D8,2),+'Rates By Rate Class'!D8)</f>
        <v>13.74</v>
      </c>
      <c r="D11" s="103">
        <v>0</v>
      </c>
      <c r="E11" s="103">
        <f>IF(+$H$5="Y",ROUND(+'Rates By Rate Class'!E8,4),+'Rates By Rate Class'!E8)</f>
        <v>0.0235</v>
      </c>
      <c r="G11" s="36"/>
      <c r="H11" s="36"/>
      <c r="I11" s="17"/>
      <c r="J11" s="17"/>
      <c r="K11" s="17"/>
      <c r="L11" s="17"/>
    </row>
    <row r="12" spans="1:12" s="8" customFormat="1" ht="18" customHeight="1">
      <c r="A12" s="80" t="str">
        <f>'Low Voltage Rates'!A9</f>
        <v>GS &lt; 50 kW</v>
      </c>
      <c r="B12" s="159">
        <v>0</v>
      </c>
      <c r="C12" s="159">
        <f>IF(+$H$5="Y",+ROUND(+'Rates By Rate Class'!D9,2),+'Rates By Rate Class'!D9)</f>
        <v>28.42</v>
      </c>
      <c r="D12" s="103">
        <v>0</v>
      </c>
      <c r="E12" s="103">
        <f>IF(+$H$5="Y",ROUND(+'Rates By Rate Class'!E9,4),+'Rates By Rate Class'!E9)</f>
        <v>0.0163</v>
      </c>
      <c r="G12" s="36"/>
      <c r="H12" s="36"/>
      <c r="I12" s="17"/>
      <c r="J12" s="17"/>
      <c r="K12" s="17"/>
      <c r="L12" s="17"/>
    </row>
    <row r="13" spans="1:12" s="8" customFormat="1" ht="18" customHeight="1">
      <c r="A13" s="80" t="str">
        <f>'Low Voltage Rates'!A10</f>
        <v>GS 50 kW - 999 kW</v>
      </c>
      <c r="B13" s="159">
        <v>0</v>
      </c>
      <c r="C13" s="159">
        <f>IF(+$H$5="Y",+ROUND(+'Rates By Rate Class'!D10,2),+'Rates By Rate Class'!D10)</f>
        <v>360.69</v>
      </c>
      <c r="D13" s="103">
        <f>IF(+$H$5="Y",ROUND(+'Rates By Rate Class'!E10,4),+'Rates By Rate Class'!E10)</f>
        <v>2.1129</v>
      </c>
      <c r="E13" s="103">
        <v>0</v>
      </c>
      <c r="G13" s="36"/>
      <c r="H13" s="36"/>
      <c r="I13" s="17"/>
      <c r="J13" s="17"/>
      <c r="K13" s="17"/>
      <c r="L13" s="17"/>
    </row>
    <row r="14" spans="1:12" s="222" customFormat="1" ht="18" customHeight="1">
      <c r="A14" s="80" t="str">
        <f>'Low Voltage Rates'!A11</f>
        <v>GS&gt;1000 kW</v>
      </c>
      <c r="B14" s="159">
        <v>0</v>
      </c>
      <c r="C14" s="159">
        <f>IF(+$H$5="Y",+ROUND(+'Rates By Rate Class'!D11,2),+'Rates By Rate Class'!D11)</f>
        <v>2335.85</v>
      </c>
      <c r="D14" s="103">
        <f>IF(+$H$5="Y",ROUND(+'Rates By Rate Class'!E11,4),+'Rates By Rate Class'!E11)</f>
        <v>1.44</v>
      </c>
      <c r="E14" s="103">
        <v>0</v>
      </c>
      <c r="G14" s="36"/>
      <c r="H14" s="36"/>
      <c r="I14" s="17"/>
      <c r="J14" s="17"/>
      <c r="K14" s="17"/>
      <c r="L14" s="17"/>
    </row>
    <row r="15" spans="1:12" s="226" customFormat="1" ht="18" customHeight="1">
      <c r="A15" s="80" t="str">
        <f>'Low Voltage Rates'!A13</f>
        <v>Street Lighting</v>
      </c>
      <c r="B15" s="159">
        <f>IF(+$H$5="Y",+ROUND(+'Rates By Rate Class'!D13,4),+'Rates By Rate Class'!D13)</f>
        <v>2.1992</v>
      </c>
      <c r="C15" s="159">
        <v>0</v>
      </c>
      <c r="D15" s="103">
        <f>IF(+$H$5="Y",ROUND(+'Rates By Rate Class'!E13,4),+'Rates By Rate Class'!E13)</f>
        <v>8.8266</v>
      </c>
      <c r="E15" s="103">
        <v>0</v>
      </c>
      <c r="G15" s="36"/>
      <c r="H15" s="36"/>
      <c r="I15" s="17"/>
      <c r="J15" s="17"/>
      <c r="K15" s="17"/>
      <c r="L15" s="17"/>
    </row>
    <row r="16" spans="1:12" s="8" customFormat="1" ht="18" customHeight="1">
      <c r="A16" s="80" t="str">
        <f>'Low Voltage Rates'!A14</f>
        <v>microFIT Generator service</v>
      </c>
      <c r="B16" s="159">
        <f>IF(+$H$5="Y",+ROUND(+'Rates By Rate Class'!D14,4),+'Rates By Rate Class'!D14)</f>
        <v>5.25</v>
      </c>
      <c r="C16" s="159">
        <v>0</v>
      </c>
      <c r="D16" s="103">
        <f>IF(+$H$5="Y",ROUND(+'Rates By Rate Class'!E14,4),+'Rates By Rate Class'!E14)</f>
        <v>0</v>
      </c>
      <c r="E16" s="103">
        <v>0</v>
      </c>
      <c r="G16" s="36"/>
      <c r="H16" s="36"/>
      <c r="I16" s="17"/>
      <c r="J16" s="17"/>
      <c r="K16" s="17"/>
      <c r="L16" s="17"/>
    </row>
    <row r="17" spans="1:12" s="8" customFormat="1" ht="18" customHeight="1">
      <c r="A17" s="80" t="str">
        <f>'Low Voltage Rates'!A15</f>
        <v>USL</v>
      </c>
      <c r="B17" s="159">
        <f>IF(+$H$5="Y",+ROUND(+'Rates By Rate Class'!D15,4),+'Rates By Rate Class'!D15)</f>
        <v>13.2728</v>
      </c>
      <c r="C17" s="159">
        <v>0</v>
      </c>
      <c r="D17" s="103">
        <v>0</v>
      </c>
      <c r="E17" s="103">
        <f>IF(+$H$5="Y",ROUND(+'Rates By Rate Class'!E15,4),+'Rates By Rate Class'!E15)</f>
        <v>0.0152</v>
      </c>
      <c r="G17" s="36"/>
      <c r="H17" s="36"/>
      <c r="I17" s="17"/>
      <c r="J17" s="17"/>
      <c r="K17" s="17"/>
      <c r="L17" s="17"/>
    </row>
    <row r="18" spans="1:12" ht="18.75" customHeight="1">
      <c r="A18" s="535"/>
      <c r="B18" s="535"/>
      <c r="C18" s="535"/>
      <c r="D18" s="535"/>
      <c r="E18" s="535"/>
      <c r="G18" s="17"/>
      <c r="H18" s="17"/>
      <c r="I18" s="17"/>
      <c r="J18" s="17"/>
      <c r="K18" s="17"/>
      <c r="L18" s="17"/>
    </row>
    <row r="19" spans="1:12" s="8" customFormat="1" ht="17.25">
      <c r="A19" s="509" t="s">
        <v>190</v>
      </c>
      <c r="B19" s="509"/>
      <c r="C19" s="509"/>
      <c r="D19" s="509"/>
      <c r="E19" s="509"/>
      <c r="G19" s="17"/>
      <c r="H19" s="17"/>
      <c r="I19" s="17"/>
      <c r="J19" s="17"/>
      <c r="K19" s="17"/>
      <c r="L19" s="17"/>
    </row>
    <row r="20" spans="1:12" s="8" customFormat="1" ht="12.75">
      <c r="A20" s="58" t="s">
        <v>0</v>
      </c>
      <c r="B20" s="57" t="s">
        <v>24</v>
      </c>
      <c r="C20" s="57" t="s">
        <v>25</v>
      </c>
      <c r="D20" s="57" t="s">
        <v>17</v>
      </c>
      <c r="E20" s="57" t="s">
        <v>16</v>
      </c>
      <c r="G20" s="17"/>
      <c r="H20" s="17"/>
      <c r="I20" s="17"/>
      <c r="J20" s="17"/>
      <c r="K20" s="17"/>
      <c r="L20" s="17"/>
    </row>
    <row r="21" spans="1:12" s="8" customFormat="1" ht="18" customHeight="1">
      <c r="A21" s="80" t="str">
        <f>A11</f>
        <v>Residential</v>
      </c>
      <c r="B21" s="103"/>
      <c r="C21" s="103"/>
      <c r="D21" s="103"/>
      <c r="E21" s="103">
        <f>IF(+$H$5="Y",+ROUND(+'Low Voltage Rates'!F8,4),+'Low Voltage Rates'!F8)</f>
        <v>0</v>
      </c>
      <c r="G21" s="36"/>
      <c r="H21" s="36"/>
      <c r="I21" s="17"/>
      <c r="J21" s="17"/>
      <c r="K21" s="17"/>
      <c r="L21" s="17"/>
    </row>
    <row r="22" spans="1:12" s="8" customFormat="1" ht="18" customHeight="1">
      <c r="A22" s="80" t="str">
        <f>A12</f>
        <v>GS &lt; 50 kW</v>
      </c>
      <c r="B22" s="103"/>
      <c r="C22" s="103"/>
      <c r="D22" s="103"/>
      <c r="E22" s="103">
        <f>IF(+$H$5="Y",+ROUND(+'Low Voltage Rates'!F9,4),+'Low Voltage Rates'!F9)</f>
        <v>0</v>
      </c>
      <c r="G22" s="36"/>
      <c r="H22" s="36"/>
      <c r="I22" s="17"/>
      <c r="J22" s="17"/>
      <c r="K22" s="17"/>
      <c r="L22" s="17"/>
    </row>
    <row r="23" spans="1:12" s="8" customFormat="1" ht="18" customHeight="1">
      <c r="A23" s="80" t="str">
        <f>A13</f>
        <v>GS 50 kW - 999 kW</v>
      </c>
      <c r="B23" s="103"/>
      <c r="C23" s="103"/>
      <c r="D23" s="103">
        <f>IF(+$H$5="Y",+ROUND(+'Low Voltage Rates'!G10,4),+'Low Voltage Rates'!G10)</f>
        <v>0</v>
      </c>
      <c r="E23" s="103"/>
      <c r="G23" s="36"/>
      <c r="H23" s="36"/>
      <c r="I23" s="17"/>
      <c r="J23" s="17"/>
      <c r="K23" s="17"/>
      <c r="L23" s="17"/>
    </row>
    <row r="24" spans="1:12" s="222" customFormat="1" ht="18" customHeight="1">
      <c r="A24" s="80" t="str">
        <f>A14</f>
        <v>GS&gt;1000 kW</v>
      </c>
      <c r="B24" s="103"/>
      <c r="C24" s="103"/>
      <c r="D24" s="103"/>
      <c r="E24" s="103"/>
      <c r="G24" s="36"/>
      <c r="H24" s="36"/>
      <c r="I24" s="17"/>
      <c r="J24" s="17"/>
      <c r="K24" s="17"/>
      <c r="L24" s="17"/>
    </row>
    <row r="25" spans="1:12" s="226" customFormat="1" ht="18" customHeight="1">
      <c r="A25" s="80" t="str">
        <f>A15</f>
        <v>Street Lighting</v>
      </c>
      <c r="B25" s="103"/>
      <c r="C25" s="103"/>
      <c r="D25" s="103">
        <f>IF(+$H$5="Y",+ROUND(+'Low Voltage Rates'!G13,4),+'Low Voltage Rates'!G13)</f>
        <v>0</v>
      </c>
      <c r="E25" s="103"/>
      <c r="G25" s="36"/>
      <c r="H25" s="36"/>
      <c r="I25" s="17"/>
      <c r="J25" s="17"/>
      <c r="K25" s="17"/>
      <c r="L25" s="17"/>
    </row>
    <row r="26" spans="1:12" s="8" customFormat="1" ht="18" customHeight="1">
      <c r="A26" s="80" t="str">
        <f>A16</f>
        <v>microFIT Generator service</v>
      </c>
      <c r="B26" s="103"/>
      <c r="C26" s="103"/>
      <c r="D26" s="103">
        <f>IF(+$H$5="Y",+ROUND(+'Low Voltage Rates'!G14,4),+'Low Voltage Rates'!G14)</f>
        <v>0</v>
      </c>
      <c r="E26" s="103"/>
      <c r="G26" s="36"/>
      <c r="H26" s="36"/>
      <c r="I26" s="17"/>
      <c r="J26" s="17"/>
      <c r="K26" s="17"/>
      <c r="L26" s="17"/>
    </row>
    <row r="27" spans="1:12" s="8" customFormat="1" ht="18" customHeight="1">
      <c r="A27" s="80" t="str">
        <f>A17</f>
        <v>USL</v>
      </c>
      <c r="B27" s="103"/>
      <c r="C27" s="103"/>
      <c r="D27" s="103"/>
      <c r="E27" s="103">
        <f>IF(+$H$5="Y",+ROUND(+'Low Voltage Rates'!F15,4),+'Low Voltage Rates'!F15)</f>
        <v>0</v>
      </c>
      <c r="G27" s="36"/>
      <c r="H27" s="36"/>
      <c r="I27" s="17"/>
      <c r="J27" s="17"/>
      <c r="K27" s="17"/>
      <c r="L27" s="17"/>
    </row>
    <row r="28" spans="1:12" s="8" customFormat="1" ht="15">
      <c r="A28" s="535"/>
      <c r="B28" s="535"/>
      <c r="C28" s="535"/>
      <c r="D28" s="535"/>
      <c r="E28" s="535"/>
      <c r="G28" s="17"/>
      <c r="H28" s="17"/>
      <c r="I28" s="17"/>
      <c r="J28" s="17"/>
      <c r="K28" s="17"/>
      <c r="L28" s="17"/>
    </row>
    <row r="29" spans="1:12" s="8" customFormat="1" ht="17.25">
      <c r="A29" s="509" t="s">
        <v>191</v>
      </c>
      <c r="B29" s="509"/>
      <c r="C29" s="509"/>
      <c r="D29" s="509"/>
      <c r="E29" s="509"/>
      <c r="G29" s="17"/>
      <c r="H29" s="17"/>
      <c r="I29" s="17"/>
      <c r="J29" s="17"/>
      <c r="K29" s="17"/>
      <c r="L29" s="17"/>
    </row>
    <row r="30" spans="1:12" s="8" customFormat="1" ht="12.75">
      <c r="A30" s="58" t="s">
        <v>0</v>
      </c>
      <c r="B30" s="57" t="s">
        <v>24</v>
      </c>
      <c r="C30" s="57" t="s">
        <v>25</v>
      </c>
      <c r="D30" s="57" t="s">
        <v>17</v>
      </c>
      <c r="E30" s="57" t="s">
        <v>16</v>
      </c>
      <c r="G30" s="18"/>
      <c r="H30" s="18"/>
      <c r="I30" s="18"/>
      <c r="J30" s="18"/>
      <c r="K30" s="18"/>
      <c r="L30" s="18"/>
    </row>
    <row r="31" spans="1:13" s="8" customFormat="1" ht="18" customHeight="1">
      <c r="A31" s="80" t="str">
        <f>A21</f>
        <v>Residential</v>
      </c>
      <c r="B31" s="159">
        <f aca="true" t="shared" si="0" ref="B31:E37">+B11+B21</f>
        <v>0</v>
      </c>
      <c r="C31" s="159">
        <f t="shared" si="0"/>
        <v>13.74</v>
      </c>
      <c r="D31" s="103">
        <f t="shared" si="0"/>
        <v>0</v>
      </c>
      <c r="E31" s="103">
        <f t="shared" si="0"/>
        <v>0.0235</v>
      </c>
      <c r="G31" s="36"/>
      <c r="H31" s="36"/>
      <c r="I31" s="17"/>
      <c r="J31" s="17"/>
      <c r="K31" s="17"/>
      <c r="L31" s="17"/>
      <c r="M31" s="102"/>
    </row>
    <row r="32" spans="1:13" s="8" customFormat="1" ht="18" customHeight="1">
      <c r="A32" s="80" t="str">
        <f>A22</f>
        <v>GS &lt; 50 kW</v>
      </c>
      <c r="B32" s="159">
        <f t="shared" si="0"/>
        <v>0</v>
      </c>
      <c r="C32" s="159">
        <f t="shared" si="0"/>
        <v>28.42</v>
      </c>
      <c r="D32" s="103">
        <f t="shared" si="0"/>
        <v>0</v>
      </c>
      <c r="E32" s="103">
        <f t="shared" si="0"/>
        <v>0.0163</v>
      </c>
      <c r="G32" s="36"/>
      <c r="H32" s="36"/>
      <c r="I32" s="17"/>
      <c r="J32" s="17"/>
      <c r="K32" s="17"/>
      <c r="L32" s="17"/>
      <c r="M32" s="102"/>
    </row>
    <row r="33" spans="1:13" s="8" customFormat="1" ht="18" customHeight="1">
      <c r="A33" s="80" t="str">
        <f>A23</f>
        <v>GS 50 kW - 999 kW</v>
      </c>
      <c r="B33" s="159">
        <f t="shared" si="0"/>
        <v>0</v>
      </c>
      <c r="C33" s="159">
        <f t="shared" si="0"/>
        <v>360.69</v>
      </c>
      <c r="D33" s="103">
        <f t="shared" si="0"/>
        <v>2.1129</v>
      </c>
      <c r="E33" s="103">
        <f t="shared" si="0"/>
        <v>0</v>
      </c>
      <c r="G33" s="36"/>
      <c r="H33" s="36"/>
      <c r="I33" s="17"/>
      <c r="J33" s="17"/>
      <c r="K33" s="17"/>
      <c r="L33" s="17"/>
      <c r="M33" s="102"/>
    </row>
    <row r="34" spans="1:13" s="222" customFormat="1" ht="18" customHeight="1">
      <c r="A34" s="80" t="str">
        <f>A24</f>
        <v>GS&gt;1000 kW</v>
      </c>
      <c r="B34" s="159">
        <f t="shared" si="0"/>
        <v>0</v>
      </c>
      <c r="C34" s="159">
        <f t="shared" si="0"/>
        <v>2335.85</v>
      </c>
      <c r="D34" s="103">
        <f t="shared" si="0"/>
        <v>1.44</v>
      </c>
      <c r="E34" s="103">
        <f t="shared" si="0"/>
        <v>0</v>
      </c>
      <c r="G34" s="36"/>
      <c r="H34" s="36"/>
      <c r="I34" s="17"/>
      <c r="J34" s="17"/>
      <c r="K34" s="17"/>
      <c r="L34" s="17"/>
      <c r="M34" s="102"/>
    </row>
    <row r="35" spans="1:13" s="226" customFormat="1" ht="17.25" customHeight="1">
      <c r="A35" s="80" t="str">
        <f>A25</f>
        <v>Street Lighting</v>
      </c>
      <c r="B35" s="159">
        <f t="shared" si="0"/>
        <v>2.1992</v>
      </c>
      <c r="C35" s="159">
        <f t="shared" si="0"/>
        <v>0</v>
      </c>
      <c r="D35" s="103">
        <f t="shared" si="0"/>
        <v>8.8266</v>
      </c>
      <c r="E35" s="103">
        <f t="shared" si="0"/>
        <v>0</v>
      </c>
      <c r="G35" s="36"/>
      <c r="H35" s="36"/>
      <c r="I35" s="17"/>
      <c r="J35" s="17"/>
      <c r="K35" s="17"/>
      <c r="L35" s="17"/>
      <c r="M35" s="102"/>
    </row>
    <row r="36" spans="1:13" s="8" customFormat="1" ht="18" customHeight="1">
      <c r="A36" s="80" t="str">
        <f>A26</f>
        <v>microFIT Generator service</v>
      </c>
      <c r="B36" s="159">
        <f t="shared" si="0"/>
        <v>5.25</v>
      </c>
      <c r="C36" s="159">
        <f t="shared" si="0"/>
        <v>0</v>
      </c>
      <c r="D36" s="103">
        <f t="shared" si="0"/>
        <v>0</v>
      </c>
      <c r="E36" s="103">
        <f t="shared" si="0"/>
        <v>0</v>
      </c>
      <c r="G36" s="36"/>
      <c r="H36" s="36"/>
      <c r="I36" s="17"/>
      <c r="J36" s="17"/>
      <c r="K36" s="17"/>
      <c r="L36" s="17"/>
      <c r="M36" s="102"/>
    </row>
    <row r="37" spans="1:13" s="8" customFormat="1" ht="18" customHeight="1">
      <c r="A37" s="80" t="str">
        <f>A27</f>
        <v>USL</v>
      </c>
      <c r="B37" s="159">
        <f t="shared" si="0"/>
        <v>13.2728</v>
      </c>
      <c r="C37" s="159">
        <f t="shared" si="0"/>
        <v>0</v>
      </c>
      <c r="D37" s="103">
        <f t="shared" si="0"/>
        <v>0</v>
      </c>
      <c r="E37" s="103">
        <f t="shared" si="0"/>
        <v>0.0152</v>
      </c>
      <c r="G37" s="36"/>
      <c r="H37" s="36"/>
      <c r="I37" s="17"/>
      <c r="J37" s="17"/>
      <c r="K37" s="17"/>
      <c r="L37" s="17"/>
      <c r="M37" s="102"/>
    </row>
    <row r="38" spans="1:12" s="8" customFormat="1" ht="15.75" thickBot="1">
      <c r="A38" s="535"/>
      <c r="B38" s="535"/>
      <c r="C38" s="535"/>
      <c r="D38" s="535"/>
      <c r="E38" s="535"/>
      <c r="G38" s="17"/>
      <c r="H38" s="17"/>
      <c r="I38" s="17"/>
      <c r="J38" s="17"/>
      <c r="K38" s="17"/>
      <c r="L38" s="17"/>
    </row>
    <row r="39" spans="1:12" s="8" customFormat="1" ht="18" customHeight="1" thickBot="1">
      <c r="A39" s="33" t="s">
        <v>117</v>
      </c>
      <c r="B39" s="39"/>
      <c r="C39" s="39"/>
      <c r="D39" s="104">
        <f>'Transformer Allowance'!B18</f>
        <v>-0.6</v>
      </c>
      <c r="E39" s="39"/>
      <c r="G39" s="17"/>
      <c r="H39" s="17"/>
      <c r="I39" s="17"/>
      <c r="J39" s="17"/>
      <c r="K39" s="17"/>
      <c r="L39" s="17"/>
    </row>
    <row r="40" ht="12.75">
      <c r="H40" s="468"/>
    </row>
  </sheetData>
  <sheetProtection/>
  <mergeCells count="14">
    <mergeCell ref="A38:E38"/>
    <mergeCell ref="A1:E1"/>
    <mergeCell ref="A2:E2"/>
    <mergeCell ref="A3:E3"/>
    <mergeCell ref="A4:E4"/>
    <mergeCell ref="A9:E9"/>
    <mergeCell ref="A5:E5"/>
    <mergeCell ref="A19:E19"/>
    <mergeCell ref="A29:E29"/>
    <mergeCell ref="A7:E7"/>
    <mergeCell ref="A6:E6"/>
    <mergeCell ref="A8:E8"/>
    <mergeCell ref="A18:E18"/>
    <mergeCell ref="A28:E28"/>
  </mergeCells>
  <printOptions/>
  <pageMargins left="0.75" right="0.75" top="1" bottom="1" header="0.5" footer="0.5"/>
  <pageSetup fitToHeight="1" fitToWidth="1" horizontalDpi="355" verticalDpi="3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5" zoomScaleNormal="85" zoomScalePageLayoutView="0" workbookViewId="0" topLeftCell="A18">
      <selection activeCell="B24" sqref="B24"/>
    </sheetView>
  </sheetViews>
  <sheetFormatPr defaultColWidth="9.140625" defaultRowHeight="12.75"/>
  <cols>
    <col min="1" max="1" width="42.8515625" style="0" bestFit="1" customWidth="1"/>
    <col min="2" max="5" width="11.7109375" style="0" customWidth="1"/>
    <col min="6" max="6" width="13.7109375" style="0" customWidth="1"/>
    <col min="7" max="7" width="13.421875" style="0" bestFit="1" customWidth="1"/>
    <col min="8" max="8" width="10.8515625" style="0" customWidth="1"/>
    <col min="9" max="9" width="7.28125" style="0" bestFit="1" customWidth="1"/>
    <col min="10" max="11" width="13.00390625" style="0" customWidth="1"/>
    <col min="12" max="12" width="15.7109375" style="0" customWidth="1"/>
    <col min="13" max="13" width="1.57421875" style="0" customWidth="1"/>
  </cols>
  <sheetData>
    <row r="1" spans="1:12" ht="12.75">
      <c r="A1" s="493" t="str">
        <f>+'Revenue Input'!A1</f>
        <v>Woodstock Hydro Services Inc.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12.75">
      <c r="A2" s="493" t="str">
        <f>+'Revenue Input'!A2</f>
        <v>, License Number ED-2003-0011, File Number EB-2010-0145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2.7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21">
      <c r="A5" s="529" t="s">
        <v>65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2" ht="21" thickBot="1">
      <c r="A6" s="547" t="s">
        <v>197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</row>
    <row r="7" spans="1:12" ht="51.75">
      <c r="A7" s="538" t="s">
        <v>0</v>
      </c>
      <c r="B7" s="541" t="s">
        <v>48</v>
      </c>
      <c r="C7" s="542"/>
      <c r="D7" s="542"/>
      <c r="E7" s="542"/>
      <c r="F7" s="543" t="s">
        <v>49</v>
      </c>
      <c r="G7" s="544"/>
      <c r="H7" s="544"/>
      <c r="I7" s="544"/>
      <c r="J7" s="545" t="s">
        <v>50</v>
      </c>
      <c r="K7" s="546"/>
      <c r="L7" s="189" t="s">
        <v>51</v>
      </c>
    </row>
    <row r="8" spans="1:12" ht="51.75" customHeight="1">
      <c r="A8" s="539"/>
      <c r="B8" s="107" t="s">
        <v>101</v>
      </c>
      <c r="C8" s="108" t="s">
        <v>53</v>
      </c>
      <c r="D8" s="108" t="s">
        <v>136</v>
      </c>
      <c r="E8" s="109" t="s">
        <v>40</v>
      </c>
      <c r="F8" s="110" t="s">
        <v>52</v>
      </c>
      <c r="G8" s="108" t="s">
        <v>53</v>
      </c>
      <c r="H8" s="108" t="s">
        <v>136</v>
      </c>
      <c r="I8" s="109" t="s">
        <v>40</v>
      </c>
      <c r="J8" s="217" t="s">
        <v>112</v>
      </c>
      <c r="K8" s="213" t="s">
        <v>113</v>
      </c>
      <c r="L8" s="112">
        <v>2010</v>
      </c>
    </row>
    <row r="9" spans="1:12" ht="13.5" thickBot="1">
      <c r="A9" s="540"/>
      <c r="B9" s="113" t="s">
        <v>21</v>
      </c>
      <c r="C9" s="114" t="s">
        <v>21</v>
      </c>
      <c r="D9" s="114" t="s">
        <v>21</v>
      </c>
      <c r="E9" s="115" t="s">
        <v>21</v>
      </c>
      <c r="F9" s="116" t="s">
        <v>54</v>
      </c>
      <c r="G9" s="114" t="s">
        <v>54</v>
      </c>
      <c r="H9" s="114" t="s">
        <v>54</v>
      </c>
      <c r="I9" s="115" t="s">
        <v>54</v>
      </c>
      <c r="J9" s="218" t="s">
        <v>55</v>
      </c>
      <c r="K9" s="214" t="s">
        <v>55</v>
      </c>
      <c r="L9" s="118"/>
    </row>
    <row r="10" spans="1:12" ht="18" customHeight="1">
      <c r="A10" s="145" t="str">
        <f>'2011 Rate Rider'!A7</f>
        <v>Residential</v>
      </c>
      <c r="B10" s="119">
        <f>0.0061+0.0047</f>
        <v>0.0108</v>
      </c>
      <c r="C10" s="120">
        <f>0.0052+0.0013</f>
        <v>0.0065</v>
      </c>
      <c r="D10" s="120">
        <v>0.007</v>
      </c>
      <c r="E10" s="123">
        <f>SUM(B10:D10)</f>
        <v>0.0243</v>
      </c>
      <c r="F10" s="124">
        <v>0</v>
      </c>
      <c r="G10" s="125"/>
      <c r="H10" s="125"/>
      <c r="I10" s="126"/>
      <c r="J10" s="219">
        <v>0.065</v>
      </c>
      <c r="K10" s="215">
        <v>0.075</v>
      </c>
      <c r="L10" s="129">
        <v>1.044</v>
      </c>
    </row>
    <row r="11" spans="1:12" ht="18" customHeight="1">
      <c r="A11" s="145" t="str">
        <f>'2011 Rate Rider'!A8</f>
        <v>GS &lt; 50 kW</v>
      </c>
      <c r="B11" s="121">
        <f>0.0055+0.0043</f>
        <v>0.0098</v>
      </c>
      <c r="C11" s="120">
        <f>0.0052+0.0013</f>
        <v>0.0065</v>
      </c>
      <c r="D11" s="120">
        <v>0.007</v>
      </c>
      <c r="E11" s="123">
        <f aca="true" t="shared" si="0" ref="E11:E16">SUM(B11:D11)</f>
        <v>0.023299999999999998</v>
      </c>
      <c r="F11" s="127">
        <v>0</v>
      </c>
      <c r="G11" s="126"/>
      <c r="H11" s="126"/>
      <c r="I11" s="126"/>
      <c r="J11" s="219">
        <v>0.065</v>
      </c>
      <c r="K11" s="215">
        <v>0.075</v>
      </c>
      <c r="L11" s="129">
        <v>1.044</v>
      </c>
    </row>
    <row r="12" spans="1:12" ht="18" customHeight="1">
      <c r="A12" s="145" t="str">
        <f>'2011 Rate Rider'!A9</f>
        <v>GS 50 kW - 999 kW</v>
      </c>
      <c r="B12" s="126"/>
      <c r="C12" s="120">
        <f>0.0052+0.0013</f>
        <v>0.0065</v>
      </c>
      <c r="D12" s="120">
        <v>0.007</v>
      </c>
      <c r="E12" s="123">
        <f t="shared" si="0"/>
        <v>0.0135</v>
      </c>
      <c r="F12" s="128">
        <f>2.3677+1.8706</f>
        <v>4.238300000000001</v>
      </c>
      <c r="G12" s="126"/>
      <c r="H12" s="126"/>
      <c r="I12" s="123">
        <f>SUM(F12:H12)</f>
        <v>4.238300000000001</v>
      </c>
      <c r="J12" s="219">
        <v>0.06072</v>
      </c>
      <c r="K12" s="216">
        <v>0.06072</v>
      </c>
      <c r="L12" s="129">
        <v>1.044</v>
      </c>
    </row>
    <row r="13" spans="1:12" ht="18" customHeight="1">
      <c r="A13" s="145" t="str">
        <f>'2011 Rate Rider'!A10</f>
        <v>GS&gt;1000 kW</v>
      </c>
      <c r="B13" s="126"/>
      <c r="C13" s="120">
        <f>0.0052+0.0013</f>
        <v>0.0065</v>
      </c>
      <c r="D13" s="120">
        <v>0.007</v>
      </c>
      <c r="E13" s="123"/>
      <c r="F13" s="128">
        <f>2.3677+1.8706</f>
        <v>4.238300000000001</v>
      </c>
      <c r="G13" s="126"/>
      <c r="H13" s="126"/>
      <c r="I13" s="123">
        <f>SUM(F13:H13)</f>
        <v>4.238300000000001</v>
      </c>
      <c r="J13" s="219">
        <v>0.06072</v>
      </c>
      <c r="K13" s="216">
        <v>0.06072</v>
      </c>
      <c r="L13" s="129">
        <v>1.044</v>
      </c>
    </row>
    <row r="14" spans="1:12" ht="18" customHeight="1">
      <c r="A14" s="145" t="str">
        <f>'2011 Rate Rider'!A12</f>
        <v>Street Lighting</v>
      </c>
      <c r="B14" s="126"/>
      <c r="C14" s="120">
        <f>0.0052+0.0013</f>
        <v>0.0065</v>
      </c>
      <c r="D14" s="120">
        <v>0.007</v>
      </c>
      <c r="E14" s="123">
        <f t="shared" si="0"/>
        <v>0.0135</v>
      </c>
      <c r="F14" s="128">
        <f>1.7475+1.3806</f>
        <v>3.1281</v>
      </c>
      <c r="G14" s="126"/>
      <c r="H14" s="126"/>
      <c r="I14" s="123">
        <f>SUM(F14:H14)</f>
        <v>3.1281</v>
      </c>
      <c r="J14" s="219">
        <v>0.06072</v>
      </c>
      <c r="K14" s="216">
        <v>0.06072</v>
      </c>
      <c r="L14" s="129">
        <v>1.044</v>
      </c>
    </row>
    <row r="15" spans="1:12" ht="18" customHeight="1">
      <c r="A15" s="145" t="str">
        <f>'2011 Rate Rider'!A13</f>
        <v>microFIT Generator service</v>
      </c>
      <c r="B15" s="126"/>
      <c r="C15" s="120">
        <v>0</v>
      </c>
      <c r="D15" s="122">
        <v>0</v>
      </c>
      <c r="E15" s="123">
        <f t="shared" si="0"/>
        <v>0</v>
      </c>
      <c r="F15" s="128">
        <v>0</v>
      </c>
      <c r="G15" s="126"/>
      <c r="H15" s="126"/>
      <c r="I15" s="123">
        <f>SUM(F15:H15)</f>
        <v>0</v>
      </c>
      <c r="J15" s="219">
        <v>0.06072</v>
      </c>
      <c r="K15" s="216">
        <v>0.06072</v>
      </c>
      <c r="L15" s="129">
        <v>1.044</v>
      </c>
    </row>
    <row r="16" spans="1:12" ht="18" customHeight="1">
      <c r="A16" s="145" t="str">
        <f>'2011 Rate Rider'!A14</f>
        <v>USL</v>
      </c>
      <c r="B16" s="121">
        <f>0.0055+0.0043</f>
        <v>0.0098</v>
      </c>
      <c r="C16" s="120">
        <f>0.0052+0.0013</f>
        <v>0.0065</v>
      </c>
      <c r="D16" s="122">
        <v>0.007</v>
      </c>
      <c r="E16" s="123">
        <f t="shared" si="0"/>
        <v>0.023299999999999998</v>
      </c>
      <c r="F16" s="127">
        <v>0</v>
      </c>
      <c r="G16" s="126"/>
      <c r="H16" s="126"/>
      <c r="I16" s="126"/>
      <c r="J16" s="129">
        <v>0.06072</v>
      </c>
      <c r="K16" s="215">
        <v>0.06072</v>
      </c>
      <c r="L16" s="129">
        <v>1.044</v>
      </c>
    </row>
    <row r="17" spans="1:12" ht="18" customHeight="1">
      <c r="A17" s="207"/>
      <c r="B17" s="209"/>
      <c r="C17" s="210"/>
      <c r="D17" s="211"/>
      <c r="E17" s="208"/>
      <c r="F17" s="212"/>
      <c r="G17" s="212"/>
      <c r="H17" s="212"/>
      <c r="I17" s="212"/>
      <c r="J17" s="210"/>
      <c r="K17" s="210"/>
      <c r="L17" s="210"/>
    </row>
    <row r="18" spans="1:12" ht="18" customHeight="1">
      <c r="A18" s="207"/>
      <c r="B18" s="209"/>
      <c r="C18" s="210"/>
      <c r="D18" s="211"/>
      <c r="E18" s="208"/>
      <c r="F18" s="212"/>
      <c r="G18" s="212"/>
      <c r="H18" s="212"/>
      <c r="I18" s="212"/>
      <c r="J18" s="210"/>
      <c r="K18" s="210"/>
      <c r="L18" s="210"/>
    </row>
    <row r="19" spans="1:12" ht="15">
      <c r="A19" s="23"/>
      <c r="B19" s="24"/>
      <c r="E19" s="25"/>
      <c r="I19" s="25"/>
      <c r="J19" s="25"/>
      <c r="K19" s="25"/>
      <c r="L19" s="22"/>
    </row>
    <row r="20" spans="1:12" ht="21" thickBot="1">
      <c r="A20" s="547" t="s">
        <v>198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</row>
    <row r="21" spans="1:12" ht="51.75">
      <c r="A21" s="538" t="s">
        <v>0</v>
      </c>
      <c r="B21" s="541" t="s">
        <v>48</v>
      </c>
      <c r="C21" s="542"/>
      <c r="D21" s="542"/>
      <c r="E21" s="542"/>
      <c r="F21" s="543" t="s">
        <v>49</v>
      </c>
      <c r="G21" s="544"/>
      <c r="H21" s="544"/>
      <c r="I21" s="544"/>
      <c r="J21" s="545" t="s">
        <v>50</v>
      </c>
      <c r="K21" s="546"/>
      <c r="L21" s="189" t="s">
        <v>51</v>
      </c>
    </row>
    <row r="22" spans="1:12" ht="52.5">
      <c r="A22" s="539"/>
      <c r="B22" s="107" t="s">
        <v>101</v>
      </c>
      <c r="C22" s="108" t="s">
        <v>53</v>
      </c>
      <c r="D22" s="108" t="s">
        <v>136</v>
      </c>
      <c r="E22" s="109" t="s">
        <v>40</v>
      </c>
      <c r="F22" s="110" t="s">
        <v>52</v>
      </c>
      <c r="G22" s="108" t="s">
        <v>53</v>
      </c>
      <c r="H22" s="108" t="s">
        <v>136</v>
      </c>
      <c r="I22" s="109" t="s">
        <v>40</v>
      </c>
      <c r="J22" s="111" t="s">
        <v>112</v>
      </c>
      <c r="K22" s="220" t="s">
        <v>113</v>
      </c>
      <c r="L22" s="112">
        <v>2011</v>
      </c>
    </row>
    <row r="23" spans="1:12" ht="13.5" thickBot="1">
      <c r="A23" s="540"/>
      <c r="B23" s="113" t="s">
        <v>21</v>
      </c>
      <c r="C23" s="114" t="s">
        <v>21</v>
      </c>
      <c r="D23" s="114" t="s">
        <v>21</v>
      </c>
      <c r="E23" s="115" t="s">
        <v>21</v>
      </c>
      <c r="F23" s="116" t="s">
        <v>54</v>
      </c>
      <c r="G23" s="114" t="s">
        <v>54</v>
      </c>
      <c r="H23" s="114" t="s">
        <v>54</v>
      </c>
      <c r="I23" s="115" t="s">
        <v>54</v>
      </c>
      <c r="J23" s="117" t="s">
        <v>55</v>
      </c>
      <c r="K23" s="214" t="s">
        <v>55</v>
      </c>
      <c r="L23" s="118"/>
    </row>
    <row r="24" spans="1:12" ht="15">
      <c r="A24" s="145" t="str">
        <f>A10</f>
        <v>Residential</v>
      </c>
      <c r="B24" s="119">
        <v>0.010700682116083774</v>
      </c>
      <c r="C24" s="120">
        <f>0.0052+0.0013</f>
        <v>0.0065</v>
      </c>
      <c r="D24" s="120">
        <v>0.007</v>
      </c>
      <c r="E24" s="123">
        <f aca="true" t="shared" si="1" ref="E24:E30">SUM(B24:D24)</f>
        <v>0.024200682116083772</v>
      </c>
      <c r="F24" s="124">
        <v>0</v>
      </c>
      <c r="G24" s="125"/>
      <c r="H24" s="125"/>
      <c r="I24" s="126"/>
      <c r="J24" s="219">
        <v>0.065</v>
      </c>
      <c r="K24" s="215">
        <v>0.075</v>
      </c>
      <c r="L24" s="129">
        <v>1.0431</v>
      </c>
    </row>
    <row r="25" spans="1:12" ht="15">
      <c r="A25" s="145" t="str">
        <f>A11</f>
        <v>GS &lt; 50 kW</v>
      </c>
      <c r="B25" s="121">
        <v>0.009143387852413433</v>
      </c>
      <c r="C25" s="120">
        <f>0.0052+0.0013</f>
        <v>0.0065</v>
      </c>
      <c r="D25" s="120">
        <v>0.007</v>
      </c>
      <c r="E25" s="123">
        <f t="shared" si="1"/>
        <v>0.022643387852413432</v>
      </c>
      <c r="F25" s="127">
        <v>0</v>
      </c>
      <c r="G25" s="126"/>
      <c r="H25" s="126"/>
      <c r="I25" s="126"/>
      <c r="J25" s="219">
        <v>0.065</v>
      </c>
      <c r="K25" s="215">
        <v>0.075</v>
      </c>
      <c r="L25" s="129">
        <v>1.0431</v>
      </c>
    </row>
    <row r="26" spans="1:12" ht="15">
      <c r="A26" s="145" t="str">
        <f>A12</f>
        <v>GS 50 kW - 999 kW</v>
      </c>
      <c r="B26" s="126"/>
      <c r="C26" s="120">
        <f>0.0052+0.0013</f>
        <v>0.0065</v>
      </c>
      <c r="D26" s="120">
        <v>0.007</v>
      </c>
      <c r="E26" s="123">
        <f t="shared" si="1"/>
        <v>0.0135</v>
      </c>
      <c r="F26" s="128">
        <v>2.9045664532352884</v>
      </c>
      <c r="G26" s="126"/>
      <c r="H26" s="126"/>
      <c r="I26" s="123">
        <f>SUM(F26:H26)</f>
        <v>2.9045664532352884</v>
      </c>
      <c r="J26" s="129">
        <v>0.06072</v>
      </c>
      <c r="K26" s="215">
        <v>0.06072</v>
      </c>
      <c r="L26" s="129">
        <v>1.0431</v>
      </c>
    </row>
    <row r="27" spans="1:12" ht="15">
      <c r="A27" s="145" t="str">
        <f>A13</f>
        <v>GS&gt;1000 kW</v>
      </c>
      <c r="B27" s="126"/>
      <c r="C27" s="120">
        <f>0.0052+0.0013</f>
        <v>0.0065</v>
      </c>
      <c r="D27" s="120">
        <v>0.007</v>
      </c>
      <c r="E27" s="123">
        <f t="shared" si="1"/>
        <v>0.0135</v>
      </c>
      <c r="F27" s="128">
        <v>5.074123105380593</v>
      </c>
      <c r="G27" s="126"/>
      <c r="H27" s="126"/>
      <c r="I27" s="123">
        <f>SUM(F27:H27)</f>
        <v>5.074123105380593</v>
      </c>
      <c r="J27" s="129">
        <v>0.06072</v>
      </c>
      <c r="K27" s="215">
        <v>0.06072</v>
      </c>
      <c r="L27" s="129">
        <v>1.0431</v>
      </c>
    </row>
    <row r="28" spans="1:15" ht="15">
      <c r="A28" s="145" t="str">
        <f>A14</f>
        <v>Street Lighting</v>
      </c>
      <c r="B28" s="126"/>
      <c r="C28" s="120">
        <f>0.0052+0.0013</f>
        <v>0.0065</v>
      </c>
      <c r="D28" s="120">
        <v>0.007</v>
      </c>
      <c r="E28" s="123">
        <f>SUM(B28:D28)</f>
        <v>0.0135</v>
      </c>
      <c r="F28" s="128">
        <v>2.114539171604757</v>
      </c>
      <c r="G28" s="126"/>
      <c r="H28" s="126"/>
      <c r="I28" s="123">
        <f>SUM(F28:H28)</f>
        <v>2.114539171604757</v>
      </c>
      <c r="J28" s="129">
        <v>0.06072</v>
      </c>
      <c r="K28" s="215">
        <v>0.06072</v>
      </c>
      <c r="L28" s="129">
        <v>1.0431</v>
      </c>
      <c r="O28" s="22"/>
    </row>
    <row r="29" spans="1:12" ht="15">
      <c r="A29" s="145" t="str">
        <f>A15</f>
        <v>microFIT Generator service</v>
      </c>
      <c r="B29" s="126"/>
      <c r="C29" s="120">
        <v>0</v>
      </c>
      <c r="D29" s="122">
        <v>0</v>
      </c>
      <c r="E29" s="123">
        <f t="shared" si="1"/>
        <v>0</v>
      </c>
      <c r="F29" s="128">
        <v>0</v>
      </c>
      <c r="G29" s="126"/>
      <c r="H29" s="126"/>
      <c r="I29" s="123">
        <f>SUM(F29:H29)</f>
        <v>0</v>
      </c>
      <c r="J29" s="129">
        <v>0</v>
      </c>
      <c r="K29" s="221">
        <v>0</v>
      </c>
      <c r="L29" s="129">
        <v>1.0431</v>
      </c>
    </row>
    <row r="30" spans="1:12" ht="15">
      <c r="A30" s="228" t="str">
        <f>A16</f>
        <v>USL</v>
      </c>
      <c r="B30" s="121">
        <v>0.0071531600962254855</v>
      </c>
      <c r="C30" s="120">
        <f>0.0052+0.0013</f>
        <v>0.0065</v>
      </c>
      <c r="D30" s="122">
        <v>0.007</v>
      </c>
      <c r="E30" s="123">
        <f t="shared" si="1"/>
        <v>0.020653160096225486</v>
      </c>
      <c r="F30" s="127">
        <v>0</v>
      </c>
      <c r="G30" s="126"/>
      <c r="H30" s="126"/>
      <c r="I30" s="126"/>
      <c r="J30" s="129">
        <v>0.06072</v>
      </c>
      <c r="K30" s="215">
        <v>0.06072</v>
      </c>
      <c r="L30" s="129">
        <v>1.0431</v>
      </c>
    </row>
    <row r="40" spans="11:12" ht="12.75">
      <c r="K40" s="224"/>
      <c r="L40" s="224"/>
    </row>
  </sheetData>
  <sheetProtection/>
  <mergeCells count="15">
    <mergeCell ref="A1:L1"/>
    <mergeCell ref="A2:L2"/>
    <mergeCell ref="A3:L3"/>
    <mergeCell ref="A4:L4"/>
    <mergeCell ref="A5:L5"/>
    <mergeCell ref="A20:L20"/>
    <mergeCell ref="A21:A23"/>
    <mergeCell ref="B21:E21"/>
    <mergeCell ref="F21:I21"/>
    <mergeCell ref="J21:K21"/>
    <mergeCell ref="A7:A9"/>
    <mergeCell ref="B7:E7"/>
    <mergeCell ref="F7:I7"/>
    <mergeCell ref="J7:K7"/>
    <mergeCell ref="A6:L6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3"/>
  <sheetViews>
    <sheetView showGridLines="0" tabSelected="1" zoomScaleSheetLayoutView="70" zoomScalePageLayoutView="0" workbookViewId="0" topLeftCell="A196">
      <selection activeCell="F198" sqref="F198"/>
    </sheetView>
  </sheetViews>
  <sheetFormatPr defaultColWidth="9.140625" defaultRowHeight="12.75"/>
  <cols>
    <col min="1" max="1" width="8.8515625" style="242" customWidth="1"/>
    <col min="2" max="2" width="1.57421875" style="242" customWidth="1"/>
    <col min="3" max="3" width="11.140625" style="242" bestFit="1" customWidth="1"/>
    <col min="4" max="4" width="7.28125" style="242" customWidth="1"/>
    <col min="5" max="5" width="1.28515625" style="242" customWidth="1"/>
    <col min="6" max="6" width="34.00390625" style="242" customWidth="1"/>
    <col min="7" max="7" width="11.00390625" style="242" bestFit="1" customWidth="1"/>
    <col min="8" max="8" width="9.7109375" style="242" bestFit="1" customWidth="1"/>
    <col min="9" max="9" width="13.7109375" style="242" bestFit="1" customWidth="1"/>
    <col min="10" max="10" width="11.00390625" style="242" bestFit="1" customWidth="1"/>
    <col min="11" max="11" width="11.57421875" style="242" bestFit="1" customWidth="1"/>
    <col min="12" max="12" width="14.7109375" style="242" bestFit="1" customWidth="1"/>
    <col min="13" max="13" width="13.57421875" style="242" bestFit="1" customWidth="1"/>
    <col min="14" max="14" width="11.00390625" style="242" bestFit="1" customWidth="1"/>
    <col min="15" max="15" width="14.00390625" style="242" bestFit="1" customWidth="1"/>
    <col min="16" max="16" width="1.57421875" style="242" customWidth="1"/>
    <col min="17" max="16384" width="8.8515625" style="242" customWidth="1"/>
  </cols>
  <sheetData>
    <row r="1" spans="1:15" ht="13.5">
      <c r="A1" s="482"/>
      <c r="B1" s="565" t="str">
        <f>+'Revenue Input'!A1</f>
        <v>Woodstock Hydro Services Inc.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3.5">
      <c r="A2" s="482"/>
      <c r="B2" s="565" t="str">
        <f>+'Revenue Input'!A2</f>
        <v>, License Number ED-2003-0011, File Number EB-2010-0145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ht="13.5">
      <c r="A3" s="482"/>
      <c r="B3" s="565">
        <f>+'Revenue Input'!A3</f>
        <v>0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ht="51.75" customHeight="1">
      <c r="A4" s="482"/>
      <c r="B4" s="243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21">
      <c r="A5" s="482"/>
      <c r="B5" s="243"/>
      <c r="C5" s="568" t="s">
        <v>235</v>
      </c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</row>
    <row r="6" spans="1:15" ht="18">
      <c r="A6" s="482"/>
      <c r="B6" s="243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</row>
    <row r="7" spans="1:15" ht="14.25" thickBot="1">
      <c r="A7" s="482"/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</row>
    <row r="8" spans="2:16" ht="23.25">
      <c r="B8" s="244"/>
      <c r="C8" s="569" t="s">
        <v>47</v>
      </c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245"/>
    </row>
    <row r="9" spans="2:16" ht="18" thickBot="1">
      <c r="B9" s="246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247"/>
    </row>
    <row r="10" spans="2:16" ht="21" thickBot="1">
      <c r="B10" s="246"/>
      <c r="C10" s="248" t="s">
        <v>223</v>
      </c>
      <c r="D10" s="249">
        <v>600</v>
      </c>
      <c r="E10" s="250"/>
      <c r="F10" s="251"/>
      <c r="G10" s="553" t="s">
        <v>158</v>
      </c>
      <c r="H10" s="554"/>
      <c r="I10" s="555"/>
      <c r="J10" s="553" t="s">
        <v>199</v>
      </c>
      <c r="K10" s="554"/>
      <c r="L10" s="555"/>
      <c r="M10" s="553" t="s">
        <v>72</v>
      </c>
      <c r="N10" s="554"/>
      <c r="O10" s="555"/>
      <c r="P10" s="247"/>
    </row>
    <row r="11" spans="2:16" ht="27.75" thickBot="1">
      <c r="B11" s="246"/>
      <c r="C11" s="250"/>
      <c r="D11" s="250"/>
      <c r="E11" s="252"/>
      <c r="F11" s="253"/>
      <c r="G11" s="254" t="s">
        <v>66</v>
      </c>
      <c r="H11" s="255" t="s">
        <v>67</v>
      </c>
      <c r="I11" s="256" t="s">
        <v>68</v>
      </c>
      <c r="J11" s="254" t="s">
        <v>66</v>
      </c>
      <c r="K11" s="255" t="s">
        <v>67</v>
      </c>
      <c r="L11" s="256" t="s">
        <v>68</v>
      </c>
      <c r="M11" s="257" t="s">
        <v>73</v>
      </c>
      <c r="N11" s="258" t="s">
        <v>74</v>
      </c>
      <c r="O11" s="259" t="s">
        <v>75</v>
      </c>
      <c r="P11" s="247"/>
    </row>
    <row r="12" spans="2:16" ht="15.75" thickBot="1">
      <c r="B12" s="246"/>
      <c r="C12" s="556" t="s">
        <v>69</v>
      </c>
      <c r="D12" s="557"/>
      <c r="E12" s="250"/>
      <c r="F12" s="260" t="s">
        <v>70</v>
      </c>
      <c r="G12" s="261"/>
      <c r="H12" s="262"/>
      <c r="I12" s="263">
        <f>+'2010 Existing Rates'!$C$8</f>
        <v>11.1</v>
      </c>
      <c r="J12" s="261"/>
      <c r="K12" s="262"/>
      <c r="L12" s="264">
        <f>'Rate Schedule (Part 1)'!$E$12</f>
        <v>13.74</v>
      </c>
      <c r="M12" s="265">
        <f aca="true" t="shared" si="0" ref="M12:M20">+L12-I12</f>
        <v>2.6400000000000006</v>
      </c>
      <c r="N12" s="266">
        <f>IF(I12=0," ",(+M12/I12))</f>
        <v>0.2378378378378379</v>
      </c>
      <c r="O12" s="267">
        <f>L12/L30</f>
        <v>0.44794336988700195</v>
      </c>
      <c r="P12" s="247"/>
    </row>
    <row r="13" spans="2:16" ht="18" thickBot="1">
      <c r="B13" s="246"/>
      <c r="C13" s="268">
        <v>100</v>
      </c>
      <c r="D13" s="269" t="s">
        <v>16</v>
      </c>
      <c r="E13" s="250"/>
      <c r="F13" s="270" t="s">
        <v>71</v>
      </c>
      <c r="G13" s="271">
        <f>+C13</f>
        <v>100</v>
      </c>
      <c r="H13" s="272">
        <f>'2010 Existing Rates'!$B$58</f>
        <v>0.019</v>
      </c>
      <c r="I13" s="273">
        <f>+G13*H13</f>
        <v>1.9</v>
      </c>
      <c r="J13" s="271">
        <f>+C13</f>
        <v>100</v>
      </c>
      <c r="K13" s="274">
        <f>'Rate Schedule (Part 1)'!$E$13</f>
        <v>0.0235</v>
      </c>
      <c r="L13" s="275">
        <f>+J13*K13</f>
        <v>2.35</v>
      </c>
      <c r="M13" s="276">
        <f t="shared" si="0"/>
        <v>0.4500000000000002</v>
      </c>
      <c r="N13" s="277">
        <f aca="true" t="shared" si="1" ref="N13:N26">IF(I13=0," ",(+M13/I13))</f>
        <v>0.236842105263158</v>
      </c>
      <c r="O13" s="278">
        <f>L13/L30</f>
        <v>0.07661331289915972</v>
      </c>
      <c r="P13" s="247"/>
    </row>
    <row r="14" spans="2:16" ht="17.25">
      <c r="B14" s="246"/>
      <c r="C14" s="279"/>
      <c r="D14" s="280"/>
      <c r="E14" s="250"/>
      <c r="F14" s="270" t="s">
        <v>220</v>
      </c>
      <c r="G14" s="281"/>
      <c r="H14" s="282"/>
      <c r="I14" s="273">
        <v>0</v>
      </c>
      <c r="J14" s="281"/>
      <c r="K14" s="282"/>
      <c r="L14" s="275">
        <f>'Rate Schedule (Part 1)'!$E$14</f>
        <v>0.47</v>
      </c>
      <c r="M14" s="276">
        <f t="shared" si="0"/>
        <v>0.47</v>
      </c>
      <c r="N14" s="277" t="str">
        <f t="shared" si="1"/>
        <v> </v>
      </c>
      <c r="O14" s="278">
        <f>L14/L30</f>
        <v>0.015322662579831944</v>
      </c>
      <c r="P14" s="247"/>
    </row>
    <row r="15" spans="2:16" ht="17.25">
      <c r="B15" s="246"/>
      <c r="C15" s="279"/>
      <c r="D15" s="283"/>
      <c r="E15" s="250"/>
      <c r="F15" s="270" t="s">
        <v>134</v>
      </c>
      <c r="G15" s="284"/>
      <c r="H15" s="285"/>
      <c r="I15" s="273">
        <f>'2010 Existing Rates'!$B$45</f>
        <v>1.63</v>
      </c>
      <c r="J15" s="284"/>
      <c r="K15" s="285"/>
      <c r="L15" s="275">
        <f>'Rate Schedule (Part 1)'!$E$15</f>
        <v>1.2</v>
      </c>
      <c r="M15" s="276">
        <f t="shared" si="0"/>
        <v>-0.42999999999999994</v>
      </c>
      <c r="N15" s="277">
        <f t="shared" si="1"/>
        <v>-0.26380368098159507</v>
      </c>
      <c r="O15" s="278">
        <f>L15/L30</f>
        <v>0.039121691693187945</v>
      </c>
      <c r="P15" s="247"/>
    </row>
    <row r="16" spans="2:16" ht="17.25">
      <c r="B16" s="246"/>
      <c r="C16" s="279"/>
      <c r="D16" s="283"/>
      <c r="E16" s="250"/>
      <c r="F16" s="270" t="s">
        <v>126</v>
      </c>
      <c r="G16" s="271">
        <f>C13</f>
        <v>100</v>
      </c>
      <c r="H16" s="272"/>
      <c r="I16" s="286">
        <f>+G16*H16</f>
        <v>0</v>
      </c>
      <c r="J16" s="271">
        <f>C13</f>
        <v>100</v>
      </c>
      <c r="K16" s="274">
        <f>'Rate Schedule (Part 1)'!$E$16</f>
        <v>0.001</v>
      </c>
      <c r="L16" s="275">
        <f>J16*K16</f>
        <v>0.1</v>
      </c>
      <c r="M16" s="276">
        <f t="shared" si="0"/>
        <v>0.1</v>
      </c>
      <c r="N16" s="277" t="str">
        <f t="shared" si="1"/>
        <v> </v>
      </c>
      <c r="O16" s="278">
        <f>L16/$L$30</f>
        <v>0.003260140974432329</v>
      </c>
      <c r="P16" s="247"/>
    </row>
    <row r="17" spans="2:16" ht="27">
      <c r="B17" s="246"/>
      <c r="C17" s="279"/>
      <c r="D17" s="283"/>
      <c r="E17" s="250"/>
      <c r="F17" s="270" t="s">
        <v>268</v>
      </c>
      <c r="G17" s="406">
        <f>G16</f>
        <v>100</v>
      </c>
      <c r="H17" s="288">
        <f>+'2010 Existing Rates'!$B$21</f>
        <v>-0.0014</v>
      </c>
      <c r="I17" s="286">
        <f>+G17*H17</f>
        <v>-0.13999999999999999</v>
      </c>
      <c r="J17" s="406">
        <f>J16</f>
        <v>100</v>
      </c>
      <c r="K17" s="479">
        <f>'Rate Schedule (Part 1)'!$E$17</f>
        <v>-0.00143</v>
      </c>
      <c r="L17" s="275">
        <f>J17*K17</f>
        <v>-0.14300000000000002</v>
      </c>
      <c r="M17" s="276">
        <f>+L17-I17</f>
        <v>-0.0030000000000000304</v>
      </c>
      <c r="N17" s="277">
        <f>IF(I17=0," ",(+M17/I17))</f>
        <v>0.021428571428571647</v>
      </c>
      <c r="O17" s="278">
        <f>L17/$L$30</f>
        <v>-0.004662001593438231</v>
      </c>
      <c r="P17" s="247"/>
    </row>
    <row r="18" spans="2:16" ht="27">
      <c r="B18" s="246"/>
      <c r="C18" s="279"/>
      <c r="D18" s="283"/>
      <c r="E18" s="250"/>
      <c r="F18" s="270" t="s">
        <v>269</v>
      </c>
      <c r="G18" s="406">
        <f>G17</f>
        <v>100</v>
      </c>
      <c r="H18" s="288"/>
      <c r="I18" s="286">
        <f>+G18*H18</f>
        <v>0</v>
      </c>
      <c r="J18" s="406">
        <f>J17</f>
        <v>100</v>
      </c>
      <c r="K18" s="479">
        <f>'Rate Schedule (Part 1)'!$E$18</f>
        <v>0.0008277518618380966</v>
      </c>
      <c r="L18" s="275">
        <f>J18*K18</f>
        <v>0.08277518618380966</v>
      </c>
      <c r="M18" s="276">
        <f>+L18-I18</f>
        <v>0.08277518618380966</v>
      </c>
      <c r="N18" s="277" t="str">
        <f>IF(I18=0," ",(+M18/I18))</f>
        <v> </v>
      </c>
      <c r="O18" s="278">
        <f>L18/$L$30</f>
        <v>0.0026985877614410267</v>
      </c>
      <c r="P18" s="247"/>
    </row>
    <row r="19" spans="2:16" ht="27">
      <c r="B19" s="246"/>
      <c r="C19" s="279"/>
      <c r="D19" s="283"/>
      <c r="E19" s="250"/>
      <c r="F19" s="270" t="s">
        <v>270</v>
      </c>
      <c r="G19" s="406">
        <f>G18</f>
        <v>100</v>
      </c>
      <c r="H19" s="288"/>
      <c r="I19" s="286">
        <f>+G19*H19</f>
        <v>0</v>
      </c>
      <c r="J19" s="406">
        <f>J18</f>
        <v>100</v>
      </c>
      <c r="K19" s="479">
        <f>'Rate Schedule (Part 1)'!$E$19</f>
        <v>0.00038864787756281473</v>
      </c>
      <c r="L19" s="275">
        <f>J19*K19</f>
        <v>0.03886478775628147</v>
      </c>
      <c r="M19" s="276">
        <f>+L19-I19</f>
        <v>0.03886478775628147</v>
      </c>
      <c r="N19" s="277" t="str">
        <f>IF(I19=0," ",(+M19/I19))</f>
        <v> </v>
      </c>
      <c r="O19" s="278">
        <f>L19/$L$30</f>
        <v>0.001267046870268691</v>
      </c>
      <c r="P19" s="247"/>
    </row>
    <row r="20" spans="2:16" ht="27.75" thickBot="1">
      <c r="B20" s="246"/>
      <c r="C20" s="250"/>
      <c r="D20" s="250"/>
      <c r="E20" s="250"/>
      <c r="F20" s="270" t="s">
        <v>271</v>
      </c>
      <c r="G20" s="287">
        <f>+C13</f>
        <v>100</v>
      </c>
      <c r="H20" s="288"/>
      <c r="I20" s="286">
        <f>+G20*H20</f>
        <v>0</v>
      </c>
      <c r="J20" s="287">
        <f>+C13</f>
        <v>100</v>
      </c>
      <c r="K20" s="479">
        <f>'Rate Schedule (Part 1)'!$E$20</f>
        <v>1.545006868400765E-05</v>
      </c>
      <c r="L20" s="289">
        <f>+J20*K20</f>
        <v>0.001545006868400765</v>
      </c>
      <c r="M20" s="276">
        <f t="shared" si="0"/>
        <v>0.001545006868400765</v>
      </c>
      <c r="N20" s="277" t="str">
        <f t="shared" si="1"/>
        <v> </v>
      </c>
      <c r="O20" s="278">
        <f>L20/$L$30</f>
        <v>5.03694019745271E-05</v>
      </c>
      <c r="P20" s="247"/>
    </row>
    <row r="21" spans="2:16" ht="14.25" thickBot="1">
      <c r="B21" s="246"/>
      <c r="C21" s="250"/>
      <c r="D21" s="250"/>
      <c r="E21" s="250"/>
      <c r="F21" s="290" t="s">
        <v>200</v>
      </c>
      <c r="G21" s="548"/>
      <c r="H21" s="549"/>
      <c r="I21" s="291">
        <f>SUM(I12:I20)</f>
        <v>14.489999999999998</v>
      </c>
      <c r="J21" s="548"/>
      <c r="K21" s="549"/>
      <c r="L21" s="291">
        <f>SUM(L12:L20)</f>
        <v>17.84018498080849</v>
      </c>
      <c r="M21" s="291">
        <f>SUM(M12:M20)</f>
        <v>3.3501849808084923</v>
      </c>
      <c r="N21" s="292">
        <f>+M21/I21</f>
        <v>0.231206692947446</v>
      </c>
      <c r="O21" s="293">
        <f>L21/L30</f>
        <v>0.5816151804738598</v>
      </c>
      <c r="P21" s="247"/>
    </row>
    <row r="22" spans="2:16" ht="14.25" thickBot="1">
      <c r="B22" s="246"/>
      <c r="C22" s="250"/>
      <c r="D22" s="250"/>
      <c r="E22" s="250"/>
      <c r="F22" s="270" t="s">
        <v>201</v>
      </c>
      <c r="G22" s="294">
        <f>C13*'Other Electriciy Rates'!$L$10</f>
        <v>104.4</v>
      </c>
      <c r="H22" s="295">
        <f>'Other Electriciy Rates'!$B$10</f>
        <v>0.0108</v>
      </c>
      <c r="I22" s="273">
        <f>+G22*H22</f>
        <v>1.12752</v>
      </c>
      <c r="J22" s="294">
        <f>'BILL IMPACTS'!C13*'Other Electriciy Rates'!$L$24</f>
        <v>104.30999999999999</v>
      </c>
      <c r="K22" s="479">
        <f>'Other Electriciy Rates'!$B$24</f>
        <v>0.010700682116083774</v>
      </c>
      <c r="L22" s="273">
        <f>+J22*K22</f>
        <v>1.1161881515286984</v>
      </c>
      <c r="M22" s="296">
        <f>+L22-I22</f>
        <v>-0.011331848471301642</v>
      </c>
      <c r="N22" s="297">
        <f t="shared" si="1"/>
        <v>-0.010050241655404465</v>
      </c>
      <c r="O22" s="267">
        <f>L22/L30</f>
        <v>0.03638930727974591</v>
      </c>
      <c r="P22" s="247"/>
    </row>
    <row r="23" spans="2:16" ht="14.25" thickBot="1">
      <c r="B23" s="246"/>
      <c r="C23" s="250"/>
      <c r="D23" s="250"/>
      <c r="E23" s="250"/>
      <c r="F23" s="290" t="s">
        <v>202</v>
      </c>
      <c r="G23" s="548"/>
      <c r="H23" s="549"/>
      <c r="I23" s="291">
        <f>I21+I22</f>
        <v>15.617519999999999</v>
      </c>
      <c r="J23" s="548"/>
      <c r="K23" s="549"/>
      <c r="L23" s="291">
        <f>L21+L22</f>
        <v>18.95637313233719</v>
      </c>
      <c r="M23" s="291">
        <f>M21+M22</f>
        <v>3.3388531323371904</v>
      </c>
      <c r="N23" s="292">
        <f>+M23/I23</f>
        <v>0.21378894551357647</v>
      </c>
      <c r="O23" s="298">
        <f>L23/L30</f>
        <v>0.6180044877536058</v>
      </c>
      <c r="P23" s="247"/>
    </row>
    <row r="24" spans="2:16" ht="13.5">
      <c r="B24" s="246"/>
      <c r="C24" s="250"/>
      <c r="D24" s="250"/>
      <c r="E24" s="250"/>
      <c r="F24" s="299" t="s">
        <v>76</v>
      </c>
      <c r="G24" s="300">
        <f>+'Other Electriciy Rates'!$L$10*C13</f>
        <v>104.4</v>
      </c>
      <c r="H24" s="301">
        <f>'Other Electriciy Rates'!$C$10+'Other Electriciy Rates'!$D$10</f>
        <v>0.0135</v>
      </c>
      <c r="I24" s="302">
        <f>+G24*H24</f>
        <v>1.4094</v>
      </c>
      <c r="J24" s="300">
        <f>J22</f>
        <v>104.30999999999999</v>
      </c>
      <c r="K24" s="301">
        <f>'Other Electriciy Rates'!$C$24+'Other Electriciy Rates'!$D$24</f>
        <v>0.0135</v>
      </c>
      <c r="L24" s="303">
        <f>+J24*K24</f>
        <v>1.4081849999999998</v>
      </c>
      <c r="M24" s="304">
        <f>+L24-I24</f>
        <v>-0.0012150000000001882</v>
      </c>
      <c r="N24" s="305">
        <f t="shared" si="1"/>
        <v>-0.0008620689655173748</v>
      </c>
      <c r="O24" s="306">
        <f>L24/L30</f>
        <v>0.04590881618080988</v>
      </c>
      <c r="P24" s="247"/>
    </row>
    <row r="25" spans="2:16" ht="13.5">
      <c r="B25" s="246"/>
      <c r="C25" s="250"/>
      <c r="D25" s="250"/>
      <c r="E25" s="250"/>
      <c r="F25" s="307" t="s">
        <v>224</v>
      </c>
      <c r="G25" s="271">
        <f>IF('Other Electriciy Rates'!$L$10*C13&lt;$D$10,'Other Electriciy Rates'!$L$10*C13,$D$10)</f>
        <v>104.4</v>
      </c>
      <c r="H25" s="308">
        <f>'Other Electriciy Rates'!$J$10</f>
        <v>0.065</v>
      </c>
      <c r="I25" s="273">
        <f>+G25*H25</f>
        <v>6.7860000000000005</v>
      </c>
      <c r="J25" s="271">
        <f>IF('Other Electriciy Rates'!$L$24*C13&lt;$D$10,'Other Electriciy Rates'!$L$24*C13,$D$10)</f>
        <v>104.30999999999999</v>
      </c>
      <c r="K25" s="308">
        <f>'Other Electriciy Rates'!$J$24</f>
        <v>0.065</v>
      </c>
      <c r="L25" s="275">
        <f>+J25*K25</f>
        <v>6.78015</v>
      </c>
      <c r="M25" s="276">
        <f>+L25-I25</f>
        <v>-0.005850000000000577</v>
      </c>
      <c r="N25" s="277">
        <f t="shared" si="1"/>
        <v>-0.0008620689655173264</v>
      </c>
      <c r="O25" s="278">
        <f>L25/L30</f>
        <v>0.22104244827797354</v>
      </c>
      <c r="P25" s="247"/>
    </row>
    <row r="26" spans="2:16" ht="14.25" thickBot="1">
      <c r="B26" s="246"/>
      <c r="C26" s="250"/>
      <c r="D26" s="250"/>
      <c r="E26" s="250"/>
      <c r="F26" s="307" t="s">
        <v>225</v>
      </c>
      <c r="G26" s="309">
        <f>IF(G25&lt;$D$10,0,(C13*'Other Electriciy Rates'!$L$10)-G25)</f>
        <v>0</v>
      </c>
      <c r="H26" s="310">
        <f>'Other Electriciy Rates'!$K$10</f>
        <v>0.075</v>
      </c>
      <c r="I26" s="311">
        <f>+G26*H26</f>
        <v>0</v>
      </c>
      <c r="J26" s="309">
        <f>IF(J25&lt;$D$10,0,(C13*'Other Electriciy Rates'!$L$24)-J25)</f>
        <v>0</v>
      </c>
      <c r="K26" s="310">
        <f>'Other Electriciy Rates'!$K$24</f>
        <v>0.075</v>
      </c>
      <c r="L26" s="312">
        <f>+J26*K26</f>
        <v>0</v>
      </c>
      <c r="M26" s="313">
        <f>+L26-I26</f>
        <v>0</v>
      </c>
      <c r="N26" s="314" t="str">
        <f t="shared" si="1"/>
        <v> </v>
      </c>
      <c r="O26" s="315">
        <f>L26/L30</f>
        <v>0</v>
      </c>
      <c r="P26" s="247"/>
    </row>
    <row r="27" spans="2:16" ht="14.25" thickBot="1">
      <c r="B27" s="246"/>
      <c r="C27" s="250"/>
      <c r="D27" s="250"/>
      <c r="E27" s="250"/>
      <c r="F27" s="316" t="s">
        <v>222</v>
      </c>
      <c r="G27" s="317"/>
      <c r="H27" s="318"/>
      <c r="I27" s="319">
        <f>SUM(I24:I26)</f>
        <v>8.195400000000001</v>
      </c>
      <c r="J27" s="558"/>
      <c r="K27" s="559"/>
      <c r="L27" s="319">
        <f>SUM(L24:L26)</f>
        <v>8.188335</v>
      </c>
      <c r="M27" s="319">
        <f>SUM(M24:M26)</f>
        <v>-0.007065000000000765</v>
      </c>
      <c r="N27" s="320">
        <f>+M27/I27</f>
        <v>-0.0008620689655173346</v>
      </c>
      <c r="O27" s="321">
        <f>L27/L30</f>
        <v>0.2669512644587834</v>
      </c>
      <c r="P27" s="247"/>
    </row>
    <row r="28" spans="2:16" ht="14.25" thickBot="1">
      <c r="B28" s="246"/>
      <c r="C28" s="250"/>
      <c r="D28" s="322"/>
      <c r="E28" s="250"/>
      <c r="F28" s="290" t="s">
        <v>157</v>
      </c>
      <c r="G28" s="548"/>
      <c r="H28" s="549"/>
      <c r="I28" s="291">
        <f>I23+I27</f>
        <v>23.81292</v>
      </c>
      <c r="J28" s="548"/>
      <c r="K28" s="549"/>
      <c r="L28" s="291">
        <f>L23+L27</f>
        <v>27.144708132337193</v>
      </c>
      <c r="M28" s="291">
        <f>M23+M27</f>
        <v>3.3317881323371896</v>
      </c>
      <c r="N28" s="292">
        <f>+M28/I28</f>
        <v>0.13991514406201297</v>
      </c>
      <c r="O28" s="298">
        <f>L28/L30</f>
        <v>0.8849557522123893</v>
      </c>
      <c r="P28" s="323"/>
    </row>
    <row r="29" spans="2:16" ht="14.25" thickBot="1">
      <c r="B29" s="246"/>
      <c r="C29" s="250"/>
      <c r="D29" s="250"/>
      <c r="E29" s="250"/>
      <c r="F29" s="324" t="s">
        <v>205</v>
      </c>
      <c r="G29" s="317"/>
      <c r="H29" s="325">
        <v>0.05</v>
      </c>
      <c r="I29" s="326">
        <f>I28*H29</f>
        <v>1.1906459999999999</v>
      </c>
      <c r="J29" s="317"/>
      <c r="K29" s="325">
        <v>0.13</v>
      </c>
      <c r="L29" s="327">
        <f>L28*K29</f>
        <v>3.5288120572038353</v>
      </c>
      <c r="M29" s="328">
        <f>+L29-I29</f>
        <v>2.3381660572038356</v>
      </c>
      <c r="N29" s="329">
        <f>IF(I29=0," ",(+M29/I29))</f>
        <v>1.9637793745612346</v>
      </c>
      <c r="O29" s="315">
        <f>L29/L30</f>
        <v>0.11504424778761062</v>
      </c>
      <c r="P29" s="247"/>
    </row>
    <row r="30" spans="2:16" s="338" customFormat="1" ht="15" thickBot="1">
      <c r="B30" s="330"/>
      <c r="C30" s="331"/>
      <c r="D30" s="331"/>
      <c r="E30" s="332"/>
      <c r="F30" s="333" t="s">
        <v>78</v>
      </c>
      <c r="G30" s="560"/>
      <c r="H30" s="561"/>
      <c r="I30" s="334">
        <f>I28+I29</f>
        <v>25.003566</v>
      </c>
      <c r="J30" s="560"/>
      <c r="K30" s="561"/>
      <c r="L30" s="334">
        <f>L28+L29</f>
        <v>30.67352018954103</v>
      </c>
      <c r="M30" s="334">
        <f>M28+M29</f>
        <v>5.669954189541025</v>
      </c>
      <c r="N30" s="335">
        <f>+M30/I30</f>
        <v>0.22676582170483303</v>
      </c>
      <c r="O30" s="336">
        <f>O28+O29</f>
        <v>0.9999999999999999</v>
      </c>
      <c r="P30" s="337"/>
    </row>
    <row r="31" spans="2:16" ht="24" thickBot="1">
      <c r="B31" s="339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340"/>
    </row>
    <row r="32" ht="14.25" thickBot="1"/>
    <row r="33" spans="2:16" ht="23.25">
      <c r="B33" s="244"/>
      <c r="C33" s="569" t="s">
        <v>47</v>
      </c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245"/>
    </row>
    <row r="34" spans="2:16" ht="18" thickBot="1">
      <c r="B34" s="246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247"/>
    </row>
    <row r="35" spans="2:16" ht="21" thickBot="1">
      <c r="B35" s="246"/>
      <c r="C35" s="331"/>
      <c r="D35" s="331"/>
      <c r="E35" s="250"/>
      <c r="F35" s="251"/>
      <c r="G35" s="553" t="s">
        <v>158</v>
      </c>
      <c r="H35" s="554"/>
      <c r="I35" s="555"/>
      <c r="J35" s="553" t="s">
        <v>199</v>
      </c>
      <c r="K35" s="554"/>
      <c r="L35" s="555"/>
      <c r="M35" s="553" t="s">
        <v>72</v>
      </c>
      <c r="N35" s="554"/>
      <c r="O35" s="555"/>
      <c r="P35" s="247"/>
    </row>
    <row r="36" spans="2:16" ht="27.75" thickBot="1">
      <c r="B36" s="246"/>
      <c r="C36" s="250"/>
      <c r="D36" s="250"/>
      <c r="E36" s="252"/>
      <c r="F36" s="253"/>
      <c r="G36" s="254" t="s">
        <v>66</v>
      </c>
      <c r="H36" s="255" t="s">
        <v>67</v>
      </c>
      <c r="I36" s="256" t="s">
        <v>68</v>
      </c>
      <c r="J36" s="254" t="s">
        <v>66</v>
      </c>
      <c r="K36" s="255" t="s">
        <v>67</v>
      </c>
      <c r="L36" s="256" t="s">
        <v>68</v>
      </c>
      <c r="M36" s="257" t="s">
        <v>73</v>
      </c>
      <c r="N36" s="258" t="s">
        <v>74</v>
      </c>
      <c r="O36" s="259" t="s">
        <v>75</v>
      </c>
      <c r="P36" s="247"/>
    </row>
    <row r="37" spans="2:16" ht="15.75" thickBot="1">
      <c r="B37" s="246"/>
      <c r="C37" s="556" t="s">
        <v>69</v>
      </c>
      <c r="D37" s="557"/>
      <c r="E37" s="250"/>
      <c r="F37" s="260" t="s">
        <v>70</v>
      </c>
      <c r="G37" s="261"/>
      <c r="H37" s="262"/>
      <c r="I37" s="263">
        <f>+'2010 Existing Rates'!$C$8</f>
        <v>11.1</v>
      </c>
      <c r="J37" s="261"/>
      <c r="K37" s="262"/>
      <c r="L37" s="264">
        <f>'Rate Schedule (Part 1)'!$E$12</f>
        <v>13.74</v>
      </c>
      <c r="M37" s="265">
        <f>+L37-I37</f>
        <v>2.6400000000000006</v>
      </c>
      <c r="N37" s="266">
        <f>IF(I37=0," ",(+M37/I37))</f>
        <v>0.2378378378378379</v>
      </c>
      <c r="O37" s="267">
        <f>L37/L55</f>
        <v>0.27173563467254525</v>
      </c>
      <c r="P37" s="247"/>
    </row>
    <row r="38" spans="2:16" ht="18" thickBot="1">
      <c r="B38" s="246"/>
      <c r="C38" s="268">
        <v>250</v>
      </c>
      <c r="D38" s="269" t="s">
        <v>16</v>
      </c>
      <c r="E38" s="250"/>
      <c r="F38" s="270" t="s">
        <v>71</v>
      </c>
      <c r="G38" s="271">
        <f>+C38</f>
        <v>250</v>
      </c>
      <c r="H38" s="272">
        <f>'2010 Existing Rates'!$B$58</f>
        <v>0.019</v>
      </c>
      <c r="I38" s="273">
        <f>+G38*H38</f>
        <v>4.75</v>
      </c>
      <c r="J38" s="271">
        <f>+C38</f>
        <v>250</v>
      </c>
      <c r="K38" s="274">
        <f>'Rate Schedule (Part 1)'!$E$13</f>
        <v>0.0235</v>
      </c>
      <c r="L38" s="275">
        <f>+J38*K38</f>
        <v>5.875</v>
      </c>
      <c r="M38" s="276">
        <f>+L38-I38</f>
        <v>1.125</v>
      </c>
      <c r="N38" s="277">
        <f aca="true" t="shared" si="2" ref="N38:N51">IF(I38=0," ",(+M38/I38))</f>
        <v>0.23684210526315788</v>
      </c>
      <c r="O38" s="278">
        <f>L38/L55</f>
        <v>0.11618972734361013</v>
      </c>
      <c r="P38" s="247"/>
    </row>
    <row r="39" spans="2:16" ht="17.25">
      <c r="B39" s="246"/>
      <c r="C39" s="279"/>
      <c r="D39" s="280"/>
      <c r="E39" s="250"/>
      <c r="F39" s="270" t="s">
        <v>220</v>
      </c>
      <c r="G39" s="281"/>
      <c r="H39" s="282"/>
      <c r="I39" s="273">
        <v>0</v>
      </c>
      <c r="J39" s="281"/>
      <c r="K39" s="282"/>
      <c r="L39" s="275">
        <f>'Rate Schedule (Part 1)'!$E$14</f>
        <v>0.47</v>
      </c>
      <c r="M39" s="276">
        <f>+L39-I39</f>
        <v>0.47</v>
      </c>
      <c r="N39" s="277" t="str">
        <f t="shared" si="2"/>
        <v> </v>
      </c>
      <c r="O39" s="278">
        <f>L39/L55</f>
        <v>0.00929517818748881</v>
      </c>
      <c r="P39" s="247"/>
    </row>
    <row r="40" spans="2:16" ht="17.25">
      <c r="B40" s="246"/>
      <c r="C40" s="279"/>
      <c r="D40" s="283"/>
      <c r="E40" s="250"/>
      <c r="F40" s="270" t="s">
        <v>134</v>
      </c>
      <c r="G40" s="284"/>
      <c r="H40" s="285"/>
      <c r="I40" s="273">
        <f>'2010 Existing Rates'!$B$45</f>
        <v>1.63</v>
      </c>
      <c r="J40" s="284"/>
      <c r="K40" s="285"/>
      <c r="L40" s="275">
        <f>'Rate Schedule (Part 1)'!$E$15</f>
        <v>1.2</v>
      </c>
      <c r="M40" s="276">
        <f>+L40-I40</f>
        <v>-0.42999999999999994</v>
      </c>
      <c r="N40" s="277">
        <f t="shared" si="2"/>
        <v>-0.26380368098159507</v>
      </c>
      <c r="O40" s="278">
        <f>L40/$L$55</f>
        <v>0.02373236984039696</v>
      </c>
      <c r="P40" s="247"/>
    </row>
    <row r="41" spans="2:16" ht="17.25">
      <c r="B41" s="246"/>
      <c r="C41" s="279"/>
      <c r="D41" s="283"/>
      <c r="E41" s="250"/>
      <c r="F41" s="270" t="s">
        <v>126</v>
      </c>
      <c r="G41" s="271">
        <f>C38</f>
        <v>250</v>
      </c>
      <c r="H41" s="272"/>
      <c r="I41" s="286">
        <f>+G41*H41</f>
        <v>0</v>
      </c>
      <c r="J41" s="271">
        <f>C38</f>
        <v>250</v>
      </c>
      <c r="K41" s="479">
        <f>'Rate Schedule (Part 1)'!$E$16</f>
        <v>0.001</v>
      </c>
      <c r="L41" s="275">
        <f>J41*K41</f>
        <v>0.25</v>
      </c>
      <c r="M41" s="276">
        <f>+L41-I41</f>
        <v>0.25</v>
      </c>
      <c r="N41" s="277" t="str">
        <f>IF(I41=0," ",(+M41/I41))</f>
        <v> </v>
      </c>
      <c r="O41" s="278">
        <f>L41/$L$55</f>
        <v>0.004944243716749367</v>
      </c>
      <c r="P41" s="247"/>
    </row>
    <row r="42" spans="2:16" ht="27">
      <c r="B42" s="246"/>
      <c r="C42" s="279"/>
      <c r="D42" s="283"/>
      <c r="E42" s="250"/>
      <c r="F42" s="270" t="s">
        <v>268</v>
      </c>
      <c r="G42" s="406">
        <f>G41</f>
        <v>250</v>
      </c>
      <c r="H42" s="288">
        <f>+'2010 Existing Rates'!$B$21</f>
        <v>-0.0014</v>
      </c>
      <c r="I42" s="286">
        <f>+G42*H42</f>
        <v>-0.35</v>
      </c>
      <c r="J42" s="406">
        <f>J41</f>
        <v>250</v>
      </c>
      <c r="K42" s="479">
        <f>'Rate Schedule (Part 1)'!$E$17</f>
        <v>-0.00143</v>
      </c>
      <c r="L42" s="275">
        <f>J42*K42</f>
        <v>-0.35750000000000004</v>
      </c>
      <c r="M42" s="276">
        <f>+L42-I42</f>
        <v>-0.007500000000000062</v>
      </c>
      <c r="N42" s="277">
        <f>IF(I42=0," ",(+M42/I42))</f>
        <v>0.02142857142857161</v>
      </c>
      <c r="O42" s="278">
        <f>L42/$L$55</f>
        <v>-0.0070702685149515955</v>
      </c>
      <c r="P42" s="247"/>
    </row>
    <row r="43" spans="2:16" ht="27">
      <c r="B43" s="246"/>
      <c r="C43" s="279"/>
      <c r="D43" s="283"/>
      <c r="E43" s="250"/>
      <c r="F43" s="270" t="s">
        <v>269</v>
      </c>
      <c r="G43" s="406">
        <f>G42</f>
        <v>250</v>
      </c>
      <c r="H43" s="288"/>
      <c r="I43" s="286">
        <f>+G43*H43</f>
        <v>0</v>
      </c>
      <c r="J43" s="406">
        <f>J42</f>
        <v>250</v>
      </c>
      <c r="K43" s="479">
        <f>'Rate Schedule (Part 1)'!$E$18</f>
        <v>0.0008277518618380966</v>
      </c>
      <c r="L43" s="275">
        <f>J43*K43</f>
        <v>0.20693796545952414</v>
      </c>
      <c r="M43" s="276">
        <f>+L43-I43</f>
        <v>0.20693796545952414</v>
      </c>
      <c r="N43" s="277" t="str">
        <f>IF(I43=0," ",(+M43/I43))</f>
        <v> </v>
      </c>
      <c r="O43" s="278">
        <f>L43/$L$55</f>
        <v>0.004092606941920599</v>
      </c>
      <c r="P43" s="247"/>
    </row>
    <row r="44" spans="2:16" ht="27">
      <c r="B44" s="246"/>
      <c r="C44" s="279"/>
      <c r="D44" s="283"/>
      <c r="E44" s="250"/>
      <c r="F44" s="270" t="s">
        <v>270</v>
      </c>
      <c r="G44" s="406">
        <f>G43</f>
        <v>250</v>
      </c>
      <c r="H44" s="288"/>
      <c r="I44" s="286">
        <f>+G44*H44</f>
        <v>0</v>
      </c>
      <c r="J44" s="406">
        <f>J43</f>
        <v>250</v>
      </c>
      <c r="K44" s="479">
        <f>'Rate Schedule (Part 1)'!$E$19</f>
        <v>0.00038864787756281473</v>
      </c>
      <c r="L44" s="275">
        <f>J44*K44</f>
        <v>0.09716196939070368</v>
      </c>
      <c r="M44" s="276">
        <f>+L44-I44</f>
        <v>0.09716196939070368</v>
      </c>
      <c r="N44" s="277" t="str">
        <f>IF(I44=0," ",(+M44/I44))</f>
        <v> </v>
      </c>
      <c r="O44" s="278">
        <f>L44/$L$55</f>
        <v>0.001921569826667924</v>
      </c>
      <c r="P44" s="247"/>
    </row>
    <row r="45" spans="2:16" ht="27.75" thickBot="1">
      <c r="B45" s="246"/>
      <c r="C45" s="250"/>
      <c r="D45" s="250"/>
      <c r="E45" s="250"/>
      <c r="F45" s="270" t="s">
        <v>271</v>
      </c>
      <c r="G45" s="406">
        <f>G44</f>
        <v>250</v>
      </c>
      <c r="H45" s="288"/>
      <c r="I45" s="286">
        <f>+G45*H45</f>
        <v>0</v>
      </c>
      <c r="J45" s="287">
        <f>+C38</f>
        <v>250</v>
      </c>
      <c r="K45" s="479">
        <f>'Rate Schedule (Part 1)'!$E$20</f>
        <v>1.545006868400765E-05</v>
      </c>
      <c r="L45" s="275">
        <f>J45*K45</f>
        <v>0.003862517171001912</v>
      </c>
      <c r="M45" s="276">
        <f>+L45-I45</f>
        <v>0.003862517171001912</v>
      </c>
      <c r="N45" s="277" t="str">
        <f>IF(I45=0," ",(+M45/I45))</f>
        <v> </v>
      </c>
      <c r="O45" s="278">
        <f>L45/$L$55</f>
        <v>7.638890501425097E-05</v>
      </c>
      <c r="P45" s="247"/>
    </row>
    <row r="46" spans="2:16" ht="14.25" thickBot="1">
      <c r="B46" s="246"/>
      <c r="C46" s="250"/>
      <c r="D46" s="250"/>
      <c r="E46" s="250"/>
      <c r="F46" s="290" t="s">
        <v>200</v>
      </c>
      <c r="G46" s="548"/>
      <c r="H46" s="549"/>
      <c r="I46" s="291">
        <f>SUM(I37:I45)</f>
        <v>17.13</v>
      </c>
      <c r="J46" s="548"/>
      <c r="K46" s="549"/>
      <c r="L46" s="291">
        <f>SUM(L37:L45)</f>
        <v>21.485462452021228</v>
      </c>
      <c r="M46" s="291">
        <f>SUM(M37:M45)</f>
        <v>4.3554624520212295</v>
      </c>
      <c r="N46" s="292">
        <f>+M46/I46</f>
        <v>0.254259337537725</v>
      </c>
      <c r="O46" s="293">
        <f>L46/L55</f>
        <v>0.4249174509194416</v>
      </c>
      <c r="P46" s="247"/>
    </row>
    <row r="47" spans="2:16" ht="14.25" thickBot="1">
      <c r="B47" s="246"/>
      <c r="C47" s="250"/>
      <c r="D47" s="250"/>
      <c r="E47" s="250"/>
      <c r="F47" s="270" t="s">
        <v>201</v>
      </c>
      <c r="G47" s="294">
        <f>C38*'Other Electriciy Rates'!$L$10</f>
        <v>261</v>
      </c>
      <c r="H47" s="295">
        <f>'Other Electriciy Rates'!$B$10</f>
        <v>0.0108</v>
      </c>
      <c r="I47" s="273">
        <f>+G47*H47</f>
        <v>2.8188</v>
      </c>
      <c r="J47" s="294">
        <f>'BILL IMPACTS'!C38*'Other Electriciy Rates'!$L$24</f>
        <v>260.775</v>
      </c>
      <c r="K47" s="375">
        <f>'Other Electriciy Rates'!$B$24</f>
        <v>0.010700682116083774</v>
      </c>
      <c r="L47" s="273">
        <f>+J47*K47</f>
        <v>2.790470378821746</v>
      </c>
      <c r="M47" s="296">
        <f>+L47-I47</f>
        <v>-0.028329621178253994</v>
      </c>
      <c r="N47" s="297">
        <f t="shared" si="2"/>
        <v>-0.010050241655404425</v>
      </c>
      <c r="O47" s="267">
        <f>L47/L55</f>
        <v>0.05518706254905858</v>
      </c>
      <c r="P47" s="247"/>
    </row>
    <row r="48" spans="2:16" ht="14.25" thickBot="1">
      <c r="B48" s="246"/>
      <c r="C48" s="250"/>
      <c r="D48" s="250"/>
      <c r="E48" s="250"/>
      <c r="F48" s="290" t="s">
        <v>202</v>
      </c>
      <c r="G48" s="548"/>
      <c r="H48" s="549"/>
      <c r="I48" s="291">
        <f>I46+I47</f>
        <v>19.9488</v>
      </c>
      <c r="J48" s="548"/>
      <c r="K48" s="549"/>
      <c r="L48" s="291">
        <f>L46+L47</f>
        <v>24.275932830842972</v>
      </c>
      <c r="M48" s="291">
        <f>M46+M47</f>
        <v>4.3271328308429755</v>
      </c>
      <c r="N48" s="292">
        <f>+M48/I48</f>
        <v>0.2169119360985611</v>
      </c>
      <c r="O48" s="298">
        <f>L48/L55</f>
        <v>0.4801045134685002</v>
      </c>
      <c r="P48" s="247"/>
    </row>
    <row r="49" spans="2:16" ht="13.5">
      <c r="B49" s="246"/>
      <c r="C49" s="250"/>
      <c r="D49" s="250"/>
      <c r="E49" s="250"/>
      <c r="F49" s="299" t="s">
        <v>76</v>
      </c>
      <c r="G49" s="300">
        <f>+'Other Electriciy Rates'!$L$10*C38</f>
        <v>261</v>
      </c>
      <c r="H49" s="301">
        <f>'Other Electriciy Rates'!$C$10+'Other Electriciy Rates'!$D$10</f>
        <v>0.0135</v>
      </c>
      <c r="I49" s="302">
        <f>+G49*H49</f>
        <v>3.5235</v>
      </c>
      <c r="J49" s="300">
        <f>J47</f>
        <v>260.775</v>
      </c>
      <c r="K49" s="301">
        <f>'Other Electriciy Rates'!$C$24+'Other Electriciy Rates'!$D$24</f>
        <v>0.0135</v>
      </c>
      <c r="L49" s="303">
        <f>+J49*K49</f>
        <v>3.5204625</v>
      </c>
      <c r="M49" s="304">
        <f>+L49-I49</f>
        <v>-0.0030375000000000263</v>
      </c>
      <c r="N49" s="305">
        <f t="shared" si="2"/>
        <v>-0.0008620689655172488</v>
      </c>
      <c r="O49" s="306">
        <f>L49/L55</f>
        <v>0.06962409838270707</v>
      </c>
      <c r="P49" s="247"/>
    </row>
    <row r="50" spans="2:16" ht="13.5">
      <c r="B50" s="246"/>
      <c r="C50" s="250"/>
      <c r="D50" s="250"/>
      <c r="E50" s="250"/>
      <c r="F50" s="307" t="s">
        <v>224</v>
      </c>
      <c r="G50" s="271">
        <f>IF('Other Electriciy Rates'!$L$10*C38&lt;$D$10,'Other Electriciy Rates'!$L$10*C38,$D$10)</f>
        <v>261</v>
      </c>
      <c r="H50" s="308">
        <f>'Other Electriciy Rates'!$J$10</f>
        <v>0.065</v>
      </c>
      <c r="I50" s="273">
        <f>+G50*H50</f>
        <v>16.965</v>
      </c>
      <c r="J50" s="271">
        <f>IF('Other Electriciy Rates'!$L$24*C38&lt;$D$10,'Other Electriciy Rates'!$L$24*C38,$D$10)</f>
        <v>260.775</v>
      </c>
      <c r="K50" s="308">
        <f>'Other Electriciy Rates'!$J$24</f>
        <v>0.065</v>
      </c>
      <c r="L50" s="275">
        <f>+J50*K50</f>
        <v>16.950374999999998</v>
      </c>
      <c r="M50" s="276">
        <f>+L50-I50</f>
        <v>-0.01462500000000233</v>
      </c>
      <c r="N50" s="277">
        <f t="shared" si="2"/>
        <v>-0.0008620689655173787</v>
      </c>
      <c r="O50" s="278">
        <f>L50/L55</f>
        <v>0.3352271403611822</v>
      </c>
      <c r="P50" s="247"/>
    </row>
    <row r="51" spans="2:16" ht="14.25" thickBot="1">
      <c r="B51" s="246"/>
      <c r="C51" s="250"/>
      <c r="D51" s="250"/>
      <c r="E51" s="250"/>
      <c r="F51" s="307" t="s">
        <v>225</v>
      </c>
      <c r="G51" s="309">
        <f>IF(G50&lt;$D$10,0,(C38*'Other Electriciy Rates'!$L$10)-G50)</f>
        <v>0</v>
      </c>
      <c r="H51" s="310">
        <f>'Other Electriciy Rates'!$K$10</f>
        <v>0.075</v>
      </c>
      <c r="I51" s="311">
        <f>+G51*H51</f>
        <v>0</v>
      </c>
      <c r="J51" s="309">
        <f>IF(J50&lt;$D$10,0,(C38*'Other Electriciy Rates'!$L$24)-J50)</f>
        <v>0</v>
      </c>
      <c r="K51" s="310">
        <f>'Other Electriciy Rates'!$K$24</f>
        <v>0.075</v>
      </c>
      <c r="L51" s="312">
        <f>+J51*K51</f>
        <v>0</v>
      </c>
      <c r="M51" s="313">
        <f>+L51-I51</f>
        <v>0</v>
      </c>
      <c r="N51" s="314" t="str">
        <f t="shared" si="2"/>
        <v> </v>
      </c>
      <c r="O51" s="315">
        <f>L51/L55</f>
        <v>0</v>
      </c>
      <c r="P51" s="247"/>
    </row>
    <row r="52" spans="2:16" ht="14.25" thickBot="1">
      <c r="B52" s="246"/>
      <c r="C52" s="250"/>
      <c r="D52" s="250"/>
      <c r="E52" s="250"/>
      <c r="F52" s="316" t="s">
        <v>222</v>
      </c>
      <c r="G52" s="317"/>
      <c r="H52" s="318"/>
      <c r="I52" s="319">
        <f>SUM(I49:I51)</f>
        <v>20.4885</v>
      </c>
      <c r="J52" s="558"/>
      <c r="K52" s="559"/>
      <c r="L52" s="319">
        <f>SUM(L49:L51)</f>
        <v>20.4708375</v>
      </c>
      <c r="M52" s="319">
        <f>SUM(M49:M51)</f>
        <v>-0.017662500000002357</v>
      </c>
      <c r="N52" s="320">
        <f>+M52/I52</f>
        <v>-0.0008620689655173565</v>
      </c>
      <c r="O52" s="321">
        <f>L52/L55</f>
        <v>0.40485123874388923</v>
      </c>
      <c r="P52" s="247"/>
    </row>
    <row r="53" spans="2:16" ht="14.25" thickBot="1">
      <c r="B53" s="246"/>
      <c r="C53" s="250"/>
      <c r="D53" s="250"/>
      <c r="E53" s="250"/>
      <c r="F53" s="290" t="s">
        <v>157</v>
      </c>
      <c r="G53" s="548"/>
      <c r="H53" s="549"/>
      <c r="I53" s="291">
        <f>I48+I52</f>
        <v>40.43729999999999</v>
      </c>
      <c r="J53" s="548"/>
      <c r="K53" s="549"/>
      <c r="L53" s="291">
        <f>L48+L52</f>
        <v>44.74677033084297</v>
      </c>
      <c r="M53" s="291">
        <f>M48+M52</f>
        <v>4.309470330842974</v>
      </c>
      <c r="N53" s="292">
        <f>+M53/I53</f>
        <v>0.10657166355921326</v>
      </c>
      <c r="O53" s="298">
        <f>L53/L55</f>
        <v>0.8849557522123894</v>
      </c>
      <c r="P53" s="323"/>
    </row>
    <row r="54" spans="2:16" ht="14.25" thickBot="1">
      <c r="B54" s="246"/>
      <c r="C54" s="250"/>
      <c r="D54" s="250"/>
      <c r="E54" s="250"/>
      <c r="F54" s="324" t="s">
        <v>205</v>
      </c>
      <c r="G54" s="317"/>
      <c r="H54" s="325">
        <v>0.05</v>
      </c>
      <c r="I54" s="326">
        <f>I53*H54</f>
        <v>2.0218649999999996</v>
      </c>
      <c r="J54" s="317"/>
      <c r="K54" s="325">
        <v>0.13</v>
      </c>
      <c r="L54" s="327">
        <f>L53*K54</f>
        <v>5.817080143009586</v>
      </c>
      <c r="M54" s="328">
        <f>+L54-I54</f>
        <v>3.7952151430095866</v>
      </c>
      <c r="N54" s="329">
        <f>IF(I54=0," ",(+M54/I54))</f>
        <v>1.877086325253955</v>
      </c>
      <c r="O54" s="315">
        <f>L54/L55</f>
        <v>0.11504424778761063</v>
      </c>
      <c r="P54" s="247"/>
    </row>
    <row r="55" spans="2:17" ht="15" thickBot="1">
      <c r="B55" s="330"/>
      <c r="C55" s="331"/>
      <c r="D55" s="331"/>
      <c r="E55" s="332"/>
      <c r="F55" s="333" t="s">
        <v>78</v>
      </c>
      <c r="G55" s="560"/>
      <c r="H55" s="561"/>
      <c r="I55" s="334">
        <f>I53+I54</f>
        <v>42.45916499999999</v>
      </c>
      <c r="J55" s="560"/>
      <c r="K55" s="561"/>
      <c r="L55" s="334">
        <f>L53+L54</f>
        <v>50.563850473852554</v>
      </c>
      <c r="M55" s="334">
        <f>M53+M54</f>
        <v>8.10468547385256</v>
      </c>
      <c r="N55" s="335">
        <f>+M55/I55</f>
        <v>0.19088188554467717</v>
      </c>
      <c r="O55" s="336">
        <f>O53+O54</f>
        <v>1</v>
      </c>
      <c r="P55" s="337"/>
      <c r="Q55" s="338"/>
    </row>
    <row r="56" spans="2:16" ht="24" thickBot="1">
      <c r="B56" s="339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340"/>
    </row>
    <row r="57" ht="14.25" thickBot="1"/>
    <row r="58" spans="2:16" ht="23.25">
      <c r="B58" s="244"/>
      <c r="C58" s="569" t="s">
        <v>47</v>
      </c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245"/>
    </row>
    <row r="59" spans="2:16" ht="18" thickBot="1">
      <c r="B59" s="246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247"/>
    </row>
    <row r="60" spans="2:16" ht="21" thickBot="1">
      <c r="B60" s="246"/>
      <c r="C60" s="331"/>
      <c r="D60" s="331"/>
      <c r="E60" s="250"/>
      <c r="F60" s="251"/>
      <c r="G60" s="553" t="s">
        <v>158</v>
      </c>
      <c r="H60" s="554"/>
      <c r="I60" s="555"/>
      <c r="J60" s="553" t="s">
        <v>199</v>
      </c>
      <c r="K60" s="554"/>
      <c r="L60" s="555"/>
      <c r="M60" s="553" t="s">
        <v>72</v>
      </c>
      <c r="N60" s="554"/>
      <c r="O60" s="555"/>
      <c r="P60" s="247"/>
    </row>
    <row r="61" spans="2:16" ht="27.75" thickBot="1">
      <c r="B61" s="246"/>
      <c r="C61" s="250"/>
      <c r="D61" s="250"/>
      <c r="E61" s="252"/>
      <c r="F61" s="253"/>
      <c r="G61" s="254" t="s">
        <v>66</v>
      </c>
      <c r="H61" s="255" t="s">
        <v>67</v>
      </c>
      <c r="I61" s="256" t="s">
        <v>68</v>
      </c>
      <c r="J61" s="254" t="s">
        <v>66</v>
      </c>
      <c r="K61" s="255" t="s">
        <v>67</v>
      </c>
      <c r="L61" s="256" t="s">
        <v>68</v>
      </c>
      <c r="M61" s="257" t="s">
        <v>73</v>
      </c>
      <c r="N61" s="258" t="s">
        <v>74</v>
      </c>
      <c r="O61" s="259" t="s">
        <v>75</v>
      </c>
      <c r="P61" s="247"/>
    </row>
    <row r="62" spans="2:16" ht="15.75" thickBot="1">
      <c r="B62" s="246"/>
      <c r="C62" s="556" t="s">
        <v>69</v>
      </c>
      <c r="D62" s="557"/>
      <c r="E62" s="250"/>
      <c r="F62" s="260" t="s">
        <v>70</v>
      </c>
      <c r="G62" s="261"/>
      <c r="H62" s="262"/>
      <c r="I62" s="263">
        <f>+'2010 Existing Rates'!$C$8</f>
        <v>11.1</v>
      </c>
      <c r="J62" s="261"/>
      <c r="K62" s="262"/>
      <c r="L62" s="264">
        <f>'Rate Schedule (Part 1)'!$E$12</f>
        <v>13.74</v>
      </c>
      <c r="M62" s="265">
        <f aca="true" t="shared" si="3" ref="M62:M70">+L62-I62</f>
        <v>2.6400000000000006</v>
      </c>
      <c r="N62" s="266">
        <f>IF(I62=0," ",(+M62/I62))</f>
        <v>0.2378378378378379</v>
      </c>
      <c r="O62" s="267">
        <f>L62/L80</f>
        <v>0.16412946690717084</v>
      </c>
      <c r="P62" s="247"/>
    </row>
    <row r="63" spans="2:16" ht="18" thickBot="1">
      <c r="B63" s="246"/>
      <c r="C63" s="268">
        <v>500</v>
      </c>
      <c r="D63" s="269" t="s">
        <v>16</v>
      </c>
      <c r="E63" s="250"/>
      <c r="F63" s="270" t="s">
        <v>71</v>
      </c>
      <c r="G63" s="271">
        <f>+C63</f>
        <v>500</v>
      </c>
      <c r="H63" s="272">
        <f>'2010 Existing Rates'!$B$58</f>
        <v>0.019</v>
      </c>
      <c r="I63" s="273">
        <f>+G63*H63</f>
        <v>9.5</v>
      </c>
      <c r="J63" s="271">
        <f>+C63</f>
        <v>500</v>
      </c>
      <c r="K63" s="274">
        <f>'Rate Schedule (Part 1)'!$E$13</f>
        <v>0.0235</v>
      </c>
      <c r="L63" s="275">
        <f>+J63*K63</f>
        <v>11.75</v>
      </c>
      <c r="M63" s="276">
        <f t="shared" si="3"/>
        <v>2.25</v>
      </c>
      <c r="N63" s="277">
        <f aca="true" t="shared" si="4" ref="N63:N76">IF(I63=0," ",(+M63/I63))</f>
        <v>0.23684210526315788</v>
      </c>
      <c r="O63" s="278">
        <f>L63/L80</f>
        <v>0.14035816857054276</v>
      </c>
      <c r="P63" s="247"/>
    </row>
    <row r="64" spans="2:16" ht="17.25">
      <c r="B64" s="246"/>
      <c r="C64" s="279"/>
      <c r="D64" s="280"/>
      <c r="E64" s="250"/>
      <c r="F64" s="270" t="s">
        <v>220</v>
      </c>
      <c r="G64" s="281"/>
      <c r="H64" s="282"/>
      <c r="I64" s="273">
        <v>0</v>
      </c>
      <c r="J64" s="281"/>
      <c r="K64" s="282"/>
      <c r="L64" s="275">
        <f>'Rate Schedule (Part 1)'!$E$14</f>
        <v>0.47</v>
      </c>
      <c r="M64" s="276">
        <f t="shared" si="3"/>
        <v>0.47</v>
      </c>
      <c r="N64" s="277" t="str">
        <f t="shared" si="4"/>
        <v> </v>
      </c>
      <c r="O64" s="278">
        <f>L64/L80</f>
        <v>0.00561432674282171</v>
      </c>
      <c r="P64" s="247"/>
    </row>
    <row r="65" spans="2:16" ht="17.25">
      <c r="B65" s="246"/>
      <c r="C65" s="279"/>
      <c r="D65" s="283"/>
      <c r="E65" s="250"/>
      <c r="F65" s="270" t="s">
        <v>134</v>
      </c>
      <c r="G65" s="284"/>
      <c r="H65" s="285"/>
      <c r="I65" s="273">
        <f>'2010 Existing Rates'!$B$45</f>
        <v>1.63</v>
      </c>
      <c r="J65" s="284"/>
      <c r="K65" s="285"/>
      <c r="L65" s="275">
        <f>'Rate Schedule (Part 1)'!$E$15</f>
        <v>1.2</v>
      </c>
      <c r="M65" s="276">
        <f t="shared" si="3"/>
        <v>-0.42999999999999994</v>
      </c>
      <c r="N65" s="277">
        <f t="shared" si="4"/>
        <v>-0.26380368098159507</v>
      </c>
      <c r="O65" s="278">
        <f>L65/L80</f>
        <v>0.014334451258268195</v>
      </c>
      <c r="P65" s="247"/>
    </row>
    <row r="66" spans="2:16" ht="17.25">
      <c r="B66" s="246"/>
      <c r="C66" s="279"/>
      <c r="D66" s="283"/>
      <c r="E66" s="250"/>
      <c r="F66" s="270" t="s">
        <v>126</v>
      </c>
      <c r="G66" s="271">
        <f>C63</f>
        <v>500</v>
      </c>
      <c r="H66" s="272"/>
      <c r="I66" s="286">
        <f>+G66*H66</f>
        <v>0</v>
      </c>
      <c r="J66" s="271">
        <f>C63</f>
        <v>500</v>
      </c>
      <c r="K66" s="479">
        <f>'Rate Schedule (Part 1)'!$E$16</f>
        <v>0.001</v>
      </c>
      <c r="L66" s="275">
        <f>J66*K66</f>
        <v>0.5</v>
      </c>
      <c r="M66" s="276">
        <f t="shared" si="3"/>
        <v>0.5</v>
      </c>
      <c r="N66" s="277" t="str">
        <f t="shared" si="4"/>
        <v> </v>
      </c>
      <c r="O66" s="278">
        <f>L66/L80</f>
        <v>0.005972688024278415</v>
      </c>
      <c r="P66" s="247"/>
    </row>
    <row r="67" spans="2:16" ht="27">
      <c r="B67" s="246"/>
      <c r="C67" s="279"/>
      <c r="D67" s="283"/>
      <c r="E67" s="250"/>
      <c r="F67" s="270" t="s">
        <v>268</v>
      </c>
      <c r="G67" s="406">
        <f>G66</f>
        <v>500</v>
      </c>
      <c r="H67" s="288">
        <f>+'2010 Existing Rates'!$B$21</f>
        <v>-0.0014</v>
      </c>
      <c r="I67" s="286">
        <f>+G67*H67</f>
        <v>-0.7</v>
      </c>
      <c r="J67" s="406">
        <f>J66</f>
        <v>500</v>
      </c>
      <c r="K67" s="479">
        <f>'Rate Schedule (Part 1)'!$E$17</f>
        <v>-0.00143</v>
      </c>
      <c r="L67" s="275">
        <f>J67*K67</f>
        <v>-0.7150000000000001</v>
      </c>
      <c r="M67" s="276">
        <f t="shared" si="3"/>
        <v>-0.015000000000000124</v>
      </c>
      <c r="N67" s="277">
        <f t="shared" si="4"/>
        <v>0.02142857142857161</v>
      </c>
      <c r="O67" s="278">
        <f>L67/L80</f>
        <v>-0.008540943874718133</v>
      </c>
      <c r="P67" s="247"/>
    </row>
    <row r="68" spans="2:16" ht="27">
      <c r="B68" s="246"/>
      <c r="C68" s="279"/>
      <c r="D68" s="283"/>
      <c r="E68" s="250"/>
      <c r="F68" s="270" t="s">
        <v>269</v>
      </c>
      <c r="G68" s="406">
        <f>G67</f>
        <v>500</v>
      </c>
      <c r="H68" s="288"/>
      <c r="I68" s="286">
        <f>+G68*H68</f>
        <v>0</v>
      </c>
      <c r="J68" s="406">
        <f>J67</f>
        <v>500</v>
      </c>
      <c r="K68" s="479">
        <f>'Rate Schedule (Part 1)'!$E$18</f>
        <v>0.0008277518618380966</v>
      </c>
      <c r="L68" s="275">
        <f>J68*K68</f>
        <v>0.4138759309190483</v>
      </c>
      <c r="M68" s="276">
        <f t="shared" si="3"/>
        <v>0.4138759309190483</v>
      </c>
      <c r="N68" s="277" t="str">
        <f t="shared" si="4"/>
        <v> </v>
      </c>
      <c r="O68" s="278">
        <f>L68/L80</f>
        <v>0.00494390363227456</v>
      </c>
      <c r="P68" s="247"/>
    </row>
    <row r="69" spans="2:16" ht="27">
      <c r="B69" s="246"/>
      <c r="C69" s="279"/>
      <c r="D69" s="283"/>
      <c r="E69" s="250"/>
      <c r="F69" s="270" t="s">
        <v>270</v>
      </c>
      <c r="G69" s="406">
        <f>G68</f>
        <v>500</v>
      </c>
      <c r="H69" s="288"/>
      <c r="I69" s="286">
        <f>+G69*H69</f>
        <v>0</v>
      </c>
      <c r="J69" s="406">
        <f>J68</f>
        <v>500</v>
      </c>
      <c r="K69" s="479">
        <f>'Rate Schedule (Part 1)'!$E$19</f>
        <v>0.00038864787756281473</v>
      </c>
      <c r="L69" s="275">
        <f>J69*K69</f>
        <v>0.19432393878140736</v>
      </c>
      <c r="M69" s="276">
        <f t="shared" si="3"/>
        <v>0.19432393878140736</v>
      </c>
      <c r="N69" s="277" t="str">
        <f t="shared" si="4"/>
        <v> </v>
      </c>
      <c r="O69" s="278">
        <f>L69/L80</f>
        <v>0.002321272523980647</v>
      </c>
      <c r="P69" s="247"/>
    </row>
    <row r="70" spans="2:16" ht="27.75" thickBot="1">
      <c r="B70" s="246"/>
      <c r="C70" s="250"/>
      <c r="D70" s="250"/>
      <c r="E70" s="250"/>
      <c r="F70" s="270" t="s">
        <v>271</v>
      </c>
      <c r="G70" s="406">
        <f>G69</f>
        <v>500</v>
      </c>
      <c r="H70" s="288"/>
      <c r="I70" s="286">
        <f>+G70*H70</f>
        <v>0</v>
      </c>
      <c r="J70" s="287">
        <f>+C63</f>
        <v>500</v>
      </c>
      <c r="K70" s="479">
        <f>'Rate Schedule (Part 1)'!$E$20</f>
        <v>1.545006868400765E-05</v>
      </c>
      <c r="L70" s="275">
        <f>J70*K70</f>
        <v>0.007725034342003824</v>
      </c>
      <c r="M70" s="276">
        <f t="shared" si="3"/>
        <v>0.007725034342003824</v>
      </c>
      <c r="N70" s="277" t="str">
        <f t="shared" si="4"/>
        <v> </v>
      </c>
      <c r="O70" s="278">
        <f>L70/L80</f>
        <v>9.227844020325144E-05</v>
      </c>
      <c r="P70" s="247"/>
    </row>
    <row r="71" spans="2:16" ht="14.25" thickBot="1">
      <c r="B71" s="246"/>
      <c r="C71" s="250"/>
      <c r="D71" s="250"/>
      <c r="E71" s="250"/>
      <c r="F71" s="290" t="s">
        <v>200</v>
      </c>
      <c r="G71" s="548"/>
      <c r="H71" s="549"/>
      <c r="I71" s="291">
        <f>SUM(I62:I70)</f>
        <v>21.53</v>
      </c>
      <c r="J71" s="548"/>
      <c r="K71" s="549"/>
      <c r="L71" s="291">
        <f>SUM(L62:L70)</f>
        <v>27.560924904042462</v>
      </c>
      <c r="M71" s="291">
        <f>SUM(M62:M70)</f>
        <v>6.03092490404246</v>
      </c>
      <c r="N71" s="292">
        <f>+M71/I71</f>
        <v>0.2801172737595197</v>
      </c>
      <c r="O71" s="293">
        <f>L71/L80</f>
        <v>0.3292256122248223</v>
      </c>
      <c r="P71" s="247"/>
    </row>
    <row r="72" spans="2:16" ht="14.25" thickBot="1">
      <c r="B72" s="246"/>
      <c r="C72" s="250"/>
      <c r="D72" s="250"/>
      <c r="E72" s="250"/>
      <c r="F72" s="270" t="s">
        <v>201</v>
      </c>
      <c r="G72" s="294">
        <f>C63*'Other Electriciy Rates'!$L$10</f>
        <v>522</v>
      </c>
      <c r="H72" s="295">
        <f>'Other Electriciy Rates'!$B$10</f>
        <v>0.0108</v>
      </c>
      <c r="I72" s="273">
        <f>+G72*H72</f>
        <v>5.6376</v>
      </c>
      <c r="J72" s="294">
        <f>'BILL IMPACTS'!C63*'Other Electriciy Rates'!$L$24</f>
        <v>521.55</v>
      </c>
      <c r="K72" s="375">
        <f>'Other Electriciy Rates'!$B$24</f>
        <v>0.010700682116083774</v>
      </c>
      <c r="L72" s="273">
        <f>+J72*K72</f>
        <v>5.580940757643492</v>
      </c>
      <c r="M72" s="296">
        <f>+L72-I72</f>
        <v>-0.05665924235650799</v>
      </c>
      <c r="N72" s="297">
        <f t="shared" si="4"/>
        <v>-0.010050241655404425</v>
      </c>
      <c r="O72" s="267">
        <f>L72/L80</f>
        <v>0.06666643605476917</v>
      </c>
      <c r="P72" s="247"/>
    </row>
    <row r="73" spans="2:16" ht="14.25" thickBot="1">
      <c r="B73" s="246"/>
      <c r="C73" s="250"/>
      <c r="D73" s="250"/>
      <c r="E73" s="250"/>
      <c r="F73" s="290" t="s">
        <v>202</v>
      </c>
      <c r="G73" s="548"/>
      <c r="H73" s="549"/>
      <c r="I73" s="291">
        <f>I71+I72</f>
        <v>27.1676</v>
      </c>
      <c r="J73" s="548"/>
      <c r="K73" s="549"/>
      <c r="L73" s="291">
        <f>L71+L72</f>
        <v>33.141865661685955</v>
      </c>
      <c r="M73" s="291">
        <f>M71+M72</f>
        <v>5.974265661685952</v>
      </c>
      <c r="N73" s="292">
        <f>+M73/I73</f>
        <v>0.21990406446229893</v>
      </c>
      <c r="O73" s="298">
        <f>L73/L80</f>
        <v>0.39589204827959146</v>
      </c>
      <c r="P73" s="247"/>
    </row>
    <row r="74" spans="2:16" ht="13.5">
      <c r="B74" s="246"/>
      <c r="C74" s="250"/>
      <c r="D74" s="250"/>
      <c r="E74" s="250"/>
      <c r="F74" s="299" t="s">
        <v>76</v>
      </c>
      <c r="G74" s="300">
        <f>+'Other Electriciy Rates'!$L$10*C63</f>
        <v>522</v>
      </c>
      <c r="H74" s="301">
        <f>'Other Electriciy Rates'!$C$10+'Other Electriciy Rates'!$D$10</f>
        <v>0.0135</v>
      </c>
      <c r="I74" s="302">
        <f>+G74*H74</f>
        <v>7.047</v>
      </c>
      <c r="J74" s="300">
        <f>J72</f>
        <v>521.55</v>
      </c>
      <c r="K74" s="301">
        <f>'Other Electriciy Rates'!$C$24+'Other Electriciy Rates'!$D$24</f>
        <v>0.0135</v>
      </c>
      <c r="L74" s="303">
        <f>+J74*K74</f>
        <v>7.040925</v>
      </c>
      <c r="M74" s="304">
        <f>+L74-I74</f>
        <v>-0.006075000000000053</v>
      </c>
      <c r="N74" s="305">
        <f t="shared" si="4"/>
        <v>-0.0008620689655172488</v>
      </c>
      <c r="O74" s="306">
        <f>L74/L80</f>
        <v>0.08410649685468499</v>
      </c>
      <c r="P74" s="247"/>
    </row>
    <row r="75" spans="2:16" ht="13.5">
      <c r="B75" s="246"/>
      <c r="C75" s="250"/>
      <c r="D75" s="250"/>
      <c r="E75" s="250"/>
      <c r="F75" s="307" t="s">
        <v>224</v>
      </c>
      <c r="G75" s="271">
        <f>IF('Other Electriciy Rates'!$L$10*C63&lt;$D$10,'Other Electriciy Rates'!$L$10*C63,$D$10)</f>
        <v>522</v>
      </c>
      <c r="H75" s="308">
        <f>'Other Electriciy Rates'!$J$10</f>
        <v>0.065</v>
      </c>
      <c r="I75" s="273">
        <f>+G75*H75</f>
        <v>33.93</v>
      </c>
      <c r="J75" s="271">
        <f>IF('Other Electriciy Rates'!$L$24*C63&lt;$D$10,'Other Electriciy Rates'!$L$24*C63,$D$10)</f>
        <v>521.55</v>
      </c>
      <c r="K75" s="308">
        <f>'Other Electriciy Rates'!$J$24</f>
        <v>0.065</v>
      </c>
      <c r="L75" s="275">
        <f>+J75*K75</f>
        <v>33.900749999999995</v>
      </c>
      <c r="M75" s="276">
        <f>+L75-I75</f>
        <v>-0.02925000000000466</v>
      </c>
      <c r="N75" s="277">
        <f t="shared" si="4"/>
        <v>-0.0008620689655173787</v>
      </c>
      <c r="O75" s="278">
        <f>L75/L80</f>
        <v>0.4049572070781129</v>
      </c>
      <c r="P75" s="247"/>
    </row>
    <row r="76" spans="2:16" ht="14.25" thickBot="1">
      <c r="B76" s="246"/>
      <c r="C76" s="250"/>
      <c r="D76" s="250"/>
      <c r="E76" s="250"/>
      <c r="F76" s="307" t="s">
        <v>225</v>
      </c>
      <c r="G76" s="309">
        <f>IF(G75&lt;$D$10,0,(C63*'Other Electriciy Rates'!$L$10)-G75)</f>
        <v>0</v>
      </c>
      <c r="H76" s="310">
        <f>'Other Electriciy Rates'!$K$10</f>
        <v>0.075</v>
      </c>
      <c r="I76" s="311">
        <f>+G76*H76</f>
        <v>0</v>
      </c>
      <c r="J76" s="309">
        <f>IF(J75&lt;$D$10,0,(C63*'Other Electriciy Rates'!$L$24)-J75)</f>
        <v>0</v>
      </c>
      <c r="K76" s="310">
        <f>'Other Electriciy Rates'!$K$24</f>
        <v>0.075</v>
      </c>
      <c r="L76" s="312">
        <f>+J76*K76</f>
        <v>0</v>
      </c>
      <c r="M76" s="313">
        <f>+L76-I76</f>
        <v>0</v>
      </c>
      <c r="N76" s="314" t="str">
        <f t="shared" si="4"/>
        <v> </v>
      </c>
      <c r="O76" s="315">
        <f>L76/L80</f>
        <v>0</v>
      </c>
      <c r="P76" s="247"/>
    </row>
    <row r="77" spans="2:16" ht="14.25" thickBot="1">
      <c r="B77" s="246"/>
      <c r="C77" s="250"/>
      <c r="D77" s="250"/>
      <c r="E77" s="250"/>
      <c r="F77" s="316" t="s">
        <v>222</v>
      </c>
      <c r="G77" s="317"/>
      <c r="H77" s="318"/>
      <c r="I77" s="319">
        <f>SUM(I74:I76)</f>
        <v>40.977</v>
      </c>
      <c r="J77" s="558"/>
      <c r="K77" s="559"/>
      <c r="L77" s="319">
        <f>SUM(L74:L76)</f>
        <v>40.941675</v>
      </c>
      <c r="M77" s="319">
        <f>SUM(M74:M76)</f>
        <v>-0.035325000000004714</v>
      </c>
      <c r="N77" s="320">
        <f>+M77/I77</f>
        <v>-0.0008620689655173565</v>
      </c>
      <c r="O77" s="321">
        <f>L77/L80</f>
        <v>0.4890637039327979</v>
      </c>
      <c r="P77" s="247"/>
    </row>
    <row r="78" spans="2:16" ht="14.25" thickBot="1">
      <c r="B78" s="246"/>
      <c r="C78" s="250"/>
      <c r="D78" s="250"/>
      <c r="E78" s="250"/>
      <c r="F78" s="290" t="s">
        <v>157</v>
      </c>
      <c r="G78" s="548"/>
      <c r="H78" s="549"/>
      <c r="I78" s="291">
        <f>I73+I77</f>
        <v>68.1446</v>
      </c>
      <c r="J78" s="548"/>
      <c r="K78" s="549"/>
      <c r="L78" s="291">
        <f>L73+L77</f>
        <v>74.08354066168596</v>
      </c>
      <c r="M78" s="291">
        <f>M73+M77</f>
        <v>5.9389406616859475</v>
      </c>
      <c r="N78" s="292">
        <f>+M78/I78</f>
        <v>0.08715203642967964</v>
      </c>
      <c r="O78" s="298">
        <f>L78/L80</f>
        <v>0.8849557522123894</v>
      </c>
      <c r="P78" s="323"/>
    </row>
    <row r="79" spans="2:16" ht="14.25" thickBot="1">
      <c r="B79" s="246"/>
      <c r="C79" s="250"/>
      <c r="D79" s="250"/>
      <c r="E79" s="250"/>
      <c r="F79" s="324" t="s">
        <v>205</v>
      </c>
      <c r="G79" s="317"/>
      <c r="H79" s="325">
        <v>0.05</v>
      </c>
      <c r="I79" s="326">
        <f>I78*H79</f>
        <v>3.40723</v>
      </c>
      <c r="J79" s="317"/>
      <c r="K79" s="325">
        <v>0.13</v>
      </c>
      <c r="L79" s="327">
        <f>L78*K79</f>
        <v>9.630860286019175</v>
      </c>
      <c r="M79" s="328">
        <f>+L79-I79</f>
        <v>6.223630286019175</v>
      </c>
      <c r="N79" s="329">
        <f>IF(I79=0," ",(+M79/I79))</f>
        <v>1.8265952947171673</v>
      </c>
      <c r="O79" s="315">
        <f>L79/L80</f>
        <v>0.11504424778761063</v>
      </c>
      <c r="P79" s="247"/>
    </row>
    <row r="80" spans="2:16" ht="15" thickBot="1">
      <c r="B80" s="330"/>
      <c r="C80" s="331"/>
      <c r="D80" s="331"/>
      <c r="E80" s="332"/>
      <c r="F80" s="333" t="s">
        <v>78</v>
      </c>
      <c r="G80" s="560"/>
      <c r="H80" s="561"/>
      <c r="I80" s="334">
        <f>I78+I79</f>
        <v>71.55183</v>
      </c>
      <c r="J80" s="560"/>
      <c r="K80" s="561"/>
      <c r="L80" s="334">
        <f>L78+L79</f>
        <v>83.71440094770513</v>
      </c>
      <c r="M80" s="334">
        <f>M78+M79</f>
        <v>12.162570947705122</v>
      </c>
      <c r="N80" s="335">
        <f>+M80/I80</f>
        <v>0.16998266777670287</v>
      </c>
      <c r="O80" s="336">
        <f>O78+O79</f>
        <v>1</v>
      </c>
      <c r="P80" s="337"/>
    </row>
    <row r="81" spans="2:16" ht="24" thickBot="1">
      <c r="B81" s="339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340"/>
    </row>
    <row r="83" ht="14.25" thickBot="1"/>
    <row r="84" spans="2:16" ht="23.25">
      <c r="B84" s="244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245"/>
    </row>
    <row r="85" spans="2:16" ht="23.25">
      <c r="B85" s="246"/>
      <c r="C85" s="552" t="s">
        <v>47</v>
      </c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247"/>
    </row>
    <row r="86" spans="2:16" ht="24" thickBot="1">
      <c r="B86" s="246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247"/>
    </row>
    <row r="87" spans="2:16" ht="21" thickBot="1">
      <c r="B87" s="246"/>
      <c r="C87" s="331"/>
      <c r="D87" s="331"/>
      <c r="E87" s="250"/>
      <c r="F87" s="251"/>
      <c r="G87" s="553" t="s">
        <v>158</v>
      </c>
      <c r="H87" s="554"/>
      <c r="I87" s="555"/>
      <c r="J87" s="553" t="s">
        <v>199</v>
      </c>
      <c r="K87" s="554"/>
      <c r="L87" s="555"/>
      <c r="M87" s="553" t="s">
        <v>72</v>
      </c>
      <c r="N87" s="554"/>
      <c r="O87" s="555"/>
      <c r="P87" s="247"/>
    </row>
    <row r="88" spans="2:16" ht="27.75" thickBot="1">
      <c r="B88" s="246"/>
      <c r="C88" s="250"/>
      <c r="D88" s="250"/>
      <c r="E88" s="252"/>
      <c r="F88" s="253"/>
      <c r="G88" s="254" t="s">
        <v>66</v>
      </c>
      <c r="H88" s="255" t="s">
        <v>67</v>
      </c>
      <c r="I88" s="256" t="s">
        <v>68</v>
      </c>
      <c r="J88" s="254" t="s">
        <v>66</v>
      </c>
      <c r="K88" s="255" t="s">
        <v>67</v>
      </c>
      <c r="L88" s="256" t="s">
        <v>68</v>
      </c>
      <c r="M88" s="257" t="s">
        <v>73</v>
      </c>
      <c r="N88" s="258" t="s">
        <v>74</v>
      </c>
      <c r="O88" s="259" t="s">
        <v>75</v>
      </c>
      <c r="P88" s="247"/>
    </row>
    <row r="89" spans="2:16" ht="15.75" thickBot="1">
      <c r="B89" s="246"/>
      <c r="C89" s="556" t="s">
        <v>69</v>
      </c>
      <c r="D89" s="557"/>
      <c r="E89" s="250"/>
      <c r="F89" s="260" t="s">
        <v>70</v>
      </c>
      <c r="G89" s="261"/>
      <c r="H89" s="262"/>
      <c r="I89" s="263">
        <f>+'2010 Existing Rates'!$C$8</f>
        <v>11.1</v>
      </c>
      <c r="J89" s="261"/>
      <c r="K89" s="262"/>
      <c r="L89" s="264">
        <f>'Rate Schedule (Part 1)'!$E$12</f>
        <v>13.74</v>
      </c>
      <c r="M89" s="265">
        <f aca="true" t="shared" si="5" ref="M89:M97">+L89-I89</f>
        <v>2.6400000000000006</v>
      </c>
      <c r="N89" s="266">
        <f>IF(I89=0," ",(+M89/I89))</f>
        <v>0.2378378378378379</v>
      </c>
      <c r="O89" s="267">
        <f>L89/L107</f>
        <v>0.1089225435361008</v>
      </c>
      <c r="P89" s="247"/>
    </row>
    <row r="90" spans="2:16" ht="18" thickBot="1">
      <c r="B90" s="246"/>
      <c r="C90" s="341">
        <v>800</v>
      </c>
      <c r="D90" s="342" t="s">
        <v>16</v>
      </c>
      <c r="E90" s="250"/>
      <c r="F90" s="270" t="s">
        <v>71</v>
      </c>
      <c r="G90" s="271">
        <f>+C90</f>
        <v>800</v>
      </c>
      <c r="H90" s="272">
        <f>'2010 Existing Rates'!$B$58</f>
        <v>0.019</v>
      </c>
      <c r="I90" s="273">
        <f>+G90*H90</f>
        <v>15.2</v>
      </c>
      <c r="J90" s="271">
        <f>+C90</f>
        <v>800</v>
      </c>
      <c r="K90" s="274">
        <f>'Rate Schedule (Part 1)'!$E$13</f>
        <v>0.0235</v>
      </c>
      <c r="L90" s="275">
        <f>+J90*K90</f>
        <v>18.8</v>
      </c>
      <c r="M90" s="276">
        <f t="shared" si="5"/>
        <v>3.6000000000000014</v>
      </c>
      <c r="N90" s="277">
        <f aca="true" t="shared" si="6" ref="N90:N103">IF(I90=0," ",(+M90/I90))</f>
        <v>0.236842105263158</v>
      </c>
      <c r="O90" s="278">
        <f>L90/L107</f>
        <v>0.14903521240747417</v>
      </c>
      <c r="P90" s="247"/>
    </row>
    <row r="91" spans="2:16" ht="17.25">
      <c r="B91" s="246"/>
      <c r="C91" s="279"/>
      <c r="D91" s="283"/>
      <c r="E91" s="250"/>
      <c r="F91" s="270" t="s">
        <v>220</v>
      </c>
      <c r="G91" s="281"/>
      <c r="H91" s="282"/>
      <c r="I91" s="273">
        <v>0</v>
      </c>
      <c r="J91" s="281"/>
      <c r="K91" s="282"/>
      <c r="L91" s="275">
        <f>'Rate Schedule (Part 1)'!$E$14</f>
        <v>0.47</v>
      </c>
      <c r="M91" s="276">
        <f t="shared" si="5"/>
        <v>0.47</v>
      </c>
      <c r="N91" s="277" t="str">
        <f t="shared" si="6"/>
        <v> </v>
      </c>
      <c r="O91" s="278">
        <f>L91/L107</f>
        <v>0.003725880310186854</v>
      </c>
      <c r="P91" s="247"/>
    </row>
    <row r="92" spans="2:16" ht="17.25">
      <c r="B92" s="246"/>
      <c r="C92" s="279"/>
      <c r="D92" s="283"/>
      <c r="E92" s="250"/>
      <c r="F92" s="270" t="s">
        <v>134</v>
      </c>
      <c r="G92" s="284"/>
      <c r="H92" s="285"/>
      <c r="I92" s="273">
        <f>'2010 Existing Rates'!$B$45</f>
        <v>1.63</v>
      </c>
      <c r="J92" s="284"/>
      <c r="K92" s="285"/>
      <c r="L92" s="275">
        <f>'Rate Schedule (Part 1)'!$E$15</f>
        <v>1.2</v>
      </c>
      <c r="M92" s="276">
        <f t="shared" si="5"/>
        <v>-0.42999999999999994</v>
      </c>
      <c r="N92" s="277">
        <f t="shared" si="6"/>
        <v>-0.26380368098159507</v>
      </c>
      <c r="O92" s="278">
        <f>L92/L107</f>
        <v>0.009512885898349414</v>
      </c>
      <c r="P92" s="247"/>
    </row>
    <row r="93" spans="1:16" ht="13.5">
      <c r="A93" s="247"/>
      <c r="B93" s="343"/>
      <c r="C93" s="250"/>
      <c r="D93" s="250"/>
      <c r="E93" s="250"/>
      <c r="F93" s="270" t="s">
        <v>126</v>
      </c>
      <c r="G93" s="271">
        <f>C90</f>
        <v>800</v>
      </c>
      <c r="H93" s="272"/>
      <c r="I93" s="286">
        <f>+G93*H93</f>
        <v>0</v>
      </c>
      <c r="J93" s="271">
        <f>C90</f>
        <v>800</v>
      </c>
      <c r="K93" s="479">
        <f>'Rate Schedule (Part 1)'!$E$16</f>
        <v>0.001</v>
      </c>
      <c r="L93" s="275">
        <f>J93*K93</f>
        <v>0.8</v>
      </c>
      <c r="M93" s="276">
        <f t="shared" si="5"/>
        <v>0.8</v>
      </c>
      <c r="N93" s="277" t="str">
        <f t="shared" si="6"/>
        <v> </v>
      </c>
      <c r="O93" s="278">
        <f>L93/L107</f>
        <v>0.006341923932232944</v>
      </c>
      <c r="P93" s="247"/>
    </row>
    <row r="94" spans="1:16" ht="27">
      <c r="A94" s="247"/>
      <c r="B94" s="343"/>
      <c r="C94" s="250"/>
      <c r="D94" s="250"/>
      <c r="E94" s="250"/>
      <c r="F94" s="270" t="s">
        <v>268</v>
      </c>
      <c r="G94" s="406">
        <f>G93</f>
        <v>800</v>
      </c>
      <c r="H94" s="288">
        <f>+'2010 Existing Rates'!$B$21</f>
        <v>-0.0014</v>
      </c>
      <c r="I94" s="286">
        <f>+G94*H94</f>
        <v>-1.1199999999999999</v>
      </c>
      <c r="J94" s="406">
        <f>J93</f>
        <v>800</v>
      </c>
      <c r="K94" s="479">
        <f>'Rate Schedule (Part 1)'!$E$17</f>
        <v>-0.00143</v>
      </c>
      <c r="L94" s="275">
        <f>J94*K94</f>
        <v>-1.1440000000000001</v>
      </c>
      <c r="M94" s="276">
        <f t="shared" si="5"/>
        <v>-0.024000000000000243</v>
      </c>
      <c r="N94" s="277">
        <f t="shared" si="6"/>
        <v>0.021428571428571647</v>
      </c>
      <c r="O94" s="278">
        <f>L94/L107</f>
        <v>-0.00906895122309311</v>
      </c>
      <c r="P94" s="247"/>
    </row>
    <row r="95" spans="1:16" ht="27">
      <c r="A95" s="247"/>
      <c r="B95" s="343"/>
      <c r="C95" s="250"/>
      <c r="D95" s="250"/>
      <c r="E95" s="250"/>
      <c r="F95" s="270" t="s">
        <v>269</v>
      </c>
      <c r="G95" s="406">
        <f>G94</f>
        <v>800</v>
      </c>
      <c r="H95" s="288"/>
      <c r="I95" s="286">
        <f>+G95*H95</f>
        <v>0</v>
      </c>
      <c r="J95" s="406">
        <f>J94</f>
        <v>800</v>
      </c>
      <c r="K95" s="479">
        <f>'Rate Schedule (Part 1)'!$E$18</f>
        <v>0.0008277518618380966</v>
      </c>
      <c r="L95" s="275">
        <f>J95*K95</f>
        <v>0.6622014894704773</v>
      </c>
      <c r="M95" s="276">
        <f t="shared" si="5"/>
        <v>0.6622014894704773</v>
      </c>
      <c r="N95" s="277" t="str">
        <f t="shared" si="6"/>
        <v> </v>
      </c>
      <c r="O95" s="278">
        <f>L95/L107</f>
        <v>0.005249539342541402</v>
      </c>
      <c r="P95" s="247"/>
    </row>
    <row r="96" spans="1:16" ht="27">
      <c r="A96" s="247"/>
      <c r="B96" s="343"/>
      <c r="C96" s="250"/>
      <c r="D96" s="250"/>
      <c r="E96" s="250"/>
      <c r="F96" s="270" t="s">
        <v>270</v>
      </c>
      <c r="G96" s="406">
        <f>G95</f>
        <v>800</v>
      </c>
      <c r="H96" s="288"/>
      <c r="I96" s="286">
        <f>+G96*H96</f>
        <v>0</v>
      </c>
      <c r="J96" s="406">
        <f>J95</f>
        <v>800</v>
      </c>
      <c r="K96" s="479">
        <f>'Rate Schedule (Part 1)'!$E$19</f>
        <v>0.00038864787756281473</v>
      </c>
      <c r="L96" s="275">
        <f>J96*K96</f>
        <v>0.3109183020502518</v>
      </c>
      <c r="M96" s="276">
        <f t="shared" si="5"/>
        <v>0.3109183020502518</v>
      </c>
      <c r="N96" s="277" t="str">
        <f t="shared" si="6"/>
        <v> </v>
      </c>
      <c r="O96" s="278">
        <f>L96/L107</f>
        <v>0.0024647752759271533</v>
      </c>
      <c r="P96" s="247"/>
    </row>
    <row r="97" spans="1:16" ht="27.75" thickBot="1">
      <c r="A97" s="247"/>
      <c r="B97" s="343"/>
      <c r="C97" s="250"/>
      <c r="D97" s="250"/>
      <c r="E97" s="250"/>
      <c r="F97" s="270" t="s">
        <v>271</v>
      </c>
      <c r="G97" s="406">
        <f>G96</f>
        <v>800</v>
      </c>
      <c r="H97" s="288"/>
      <c r="I97" s="286">
        <f>+G97*H97</f>
        <v>0</v>
      </c>
      <c r="J97" s="287">
        <f>+C90</f>
        <v>800</v>
      </c>
      <c r="K97" s="488">
        <f>'Rate Schedule (Part 1)'!$E$20</f>
        <v>1.545006868400765E-05</v>
      </c>
      <c r="L97" s="275">
        <f>J97*K97</f>
        <v>0.01236005494720612</v>
      </c>
      <c r="M97" s="276">
        <f t="shared" si="5"/>
        <v>0.01236005494720612</v>
      </c>
      <c r="N97" s="277" t="str">
        <f t="shared" si="6"/>
        <v> </v>
      </c>
      <c r="O97" s="278">
        <f>L97/L107</f>
        <v>9.798316034175085E-05</v>
      </c>
      <c r="P97" s="344"/>
    </row>
    <row r="98" spans="1:16" ht="14.25" thickBot="1">
      <c r="A98" s="247"/>
      <c r="F98" s="290" t="s">
        <v>200</v>
      </c>
      <c r="G98" s="562"/>
      <c r="H98" s="563"/>
      <c r="I98" s="291">
        <f>SUM(I89:I97)</f>
        <v>26.809999999999995</v>
      </c>
      <c r="J98" s="562"/>
      <c r="K98" s="563"/>
      <c r="L98" s="291">
        <f>SUM(L89:L97)</f>
        <v>34.85147984646794</v>
      </c>
      <c r="M98" s="291">
        <f>SUM(M89:M97)</f>
        <v>8.041479846467938</v>
      </c>
      <c r="N98" s="292">
        <f>+M98/I98</f>
        <v>0.29994329901036704</v>
      </c>
      <c r="O98" s="293">
        <f>L98/L107</f>
        <v>0.2762817926400614</v>
      </c>
      <c r="P98" s="344"/>
    </row>
    <row r="99" spans="1:16" ht="14.25" thickBot="1">
      <c r="A99" s="247"/>
      <c r="F99" s="270" t="s">
        <v>201</v>
      </c>
      <c r="G99" s="294">
        <f>C90*'Other Electriciy Rates'!$L$10</f>
        <v>835.2</v>
      </c>
      <c r="H99" s="295">
        <f>'Other Electriciy Rates'!$B$10</f>
        <v>0.0108</v>
      </c>
      <c r="I99" s="273">
        <f>+G99*H99</f>
        <v>9.02016</v>
      </c>
      <c r="J99" s="294">
        <f>'BILL IMPACTS'!C90*'Other Electriciy Rates'!$L$24</f>
        <v>834.4799999999999</v>
      </c>
      <c r="K99" s="375">
        <f>'Other Electriciy Rates'!$B$24</f>
        <v>0.010700682116083774</v>
      </c>
      <c r="L99" s="273">
        <f>+J99*K99</f>
        <v>8.929505212229587</v>
      </c>
      <c r="M99" s="296">
        <f>+L99-I99</f>
        <v>-0.09065478777041314</v>
      </c>
      <c r="N99" s="297">
        <f t="shared" si="6"/>
        <v>-0.010050241655404465</v>
      </c>
      <c r="O99" s="267">
        <f>L99/L107</f>
        <v>0.07078780351054703</v>
      </c>
      <c r="P99" s="344"/>
    </row>
    <row r="100" spans="1:16" ht="14.25" thickBot="1">
      <c r="A100" s="247"/>
      <c r="F100" s="290" t="s">
        <v>202</v>
      </c>
      <c r="G100" s="548"/>
      <c r="H100" s="549"/>
      <c r="I100" s="291">
        <f>I98+I99</f>
        <v>35.83015999999999</v>
      </c>
      <c r="J100" s="548"/>
      <c r="K100" s="549"/>
      <c r="L100" s="291">
        <f>L98+L99</f>
        <v>43.780985058697524</v>
      </c>
      <c r="M100" s="291">
        <f>M98+M99</f>
        <v>7.950825058697525</v>
      </c>
      <c r="N100" s="292">
        <f>+M100/I100</f>
        <v>0.22190314133951752</v>
      </c>
      <c r="O100" s="298">
        <f>L100/L107</f>
        <v>0.3470695961506084</v>
      </c>
      <c r="P100" s="344"/>
    </row>
    <row r="101" spans="1:16" ht="13.5">
      <c r="A101" s="247"/>
      <c r="F101" s="299" t="s">
        <v>76</v>
      </c>
      <c r="G101" s="300">
        <f>+'Other Electriciy Rates'!$L$10*C90</f>
        <v>835.2</v>
      </c>
      <c r="H101" s="301">
        <f>'Other Electriciy Rates'!$C$10+'Other Electriciy Rates'!$D$10</f>
        <v>0.0135</v>
      </c>
      <c r="I101" s="302">
        <f>+G101*H101</f>
        <v>11.2752</v>
      </c>
      <c r="J101" s="300">
        <f>J99</f>
        <v>834.4799999999999</v>
      </c>
      <c r="K101" s="301">
        <f>'Other Electriciy Rates'!$C$24+'Other Electriciy Rates'!$D$24</f>
        <v>0.0135</v>
      </c>
      <c r="L101" s="303">
        <f>+J101*K101</f>
        <v>11.265479999999998</v>
      </c>
      <c r="M101" s="304">
        <f>+L101-I101</f>
        <v>-0.009720000000001505</v>
      </c>
      <c r="N101" s="305">
        <f t="shared" si="6"/>
        <v>-0.0008620689655173748</v>
      </c>
      <c r="O101" s="306">
        <f>L101/L107</f>
        <v>0.08930602152511445</v>
      </c>
      <c r="P101" s="344"/>
    </row>
    <row r="102" spans="1:16" ht="13.5">
      <c r="A102" s="247"/>
      <c r="B102" s="343"/>
      <c r="C102" s="250"/>
      <c r="D102" s="250"/>
      <c r="E102" s="250"/>
      <c r="F102" s="307" t="s">
        <v>224</v>
      </c>
      <c r="G102" s="271">
        <f>IF('Other Electriciy Rates'!$L$10*C90&lt;$D$10,'Other Electriciy Rates'!$L$10*C90,$D$10)</f>
        <v>600</v>
      </c>
      <c r="H102" s="308">
        <f>'Other Electriciy Rates'!$J$10</f>
        <v>0.065</v>
      </c>
      <c r="I102" s="273">
        <f>+G102*H102</f>
        <v>39</v>
      </c>
      <c r="J102" s="271">
        <f>IF('Other Electriciy Rates'!$L$24*C90&lt;$D$10,'Other Electriciy Rates'!$L$24*C90,$D$10)</f>
        <v>600</v>
      </c>
      <c r="K102" s="308">
        <f>'Other Electriciy Rates'!$J$24</f>
        <v>0.065</v>
      </c>
      <c r="L102" s="275">
        <f>+J102*K102</f>
        <v>39</v>
      </c>
      <c r="M102" s="276">
        <f>+L102-I102</f>
        <v>0</v>
      </c>
      <c r="N102" s="277">
        <f t="shared" si="6"/>
        <v>0</v>
      </c>
      <c r="O102" s="278">
        <f>L102/L107</f>
        <v>0.30916879169635597</v>
      </c>
      <c r="P102" s="344"/>
    </row>
    <row r="103" spans="1:16" ht="14.25" thickBot="1">
      <c r="A103" s="343"/>
      <c r="B103" s="343"/>
      <c r="C103" s="250"/>
      <c r="D103" s="250"/>
      <c r="E103" s="250"/>
      <c r="F103" s="307" t="s">
        <v>225</v>
      </c>
      <c r="G103" s="309">
        <f>IF(G102&lt;$D$10,0,(C90*'Other Electriciy Rates'!$L$10)-G102)</f>
        <v>235.20000000000005</v>
      </c>
      <c r="H103" s="310">
        <f>'Other Electriciy Rates'!$K$10</f>
        <v>0.075</v>
      </c>
      <c r="I103" s="311">
        <f>+G103*H103</f>
        <v>17.640000000000004</v>
      </c>
      <c r="J103" s="309">
        <f>IF(J102&lt;$D$10,0,(C90*'Other Electriciy Rates'!$L$24)-J102)</f>
        <v>234.4799999999999</v>
      </c>
      <c r="K103" s="310">
        <f>'Other Electriciy Rates'!$K$24</f>
        <v>0.075</v>
      </c>
      <c r="L103" s="312">
        <f>+J103*K103</f>
        <v>17.58599999999999</v>
      </c>
      <c r="M103" s="313">
        <f>+L103-I103</f>
        <v>-0.054000000000012705</v>
      </c>
      <c r="N103" s="314">
        <f t="shared" si="6"/>
        <v>-0.0030612244897966377</v>
      </c>
      <c r="O103" s="315">
        <f>L103/L107</f>
        <v>0.1394113428403106</v>
      </c>
      <c r="P103" s="247"/>
    </row>
    <row r="104" spans="2:16" ht="14.25" thickBot="1">
      <c r="B104" s="246"/>
      <c r="C104" s="250"/>
      <c r="D104" s="250"/>
      <c r="E104" s="250"/>
      <c r="F104" s="316" t="s">
        <v>222</v>
      </c>
      <c r="G104" s="317"/>
      <c r="H104" s="318"/>
      <c r="I104" s="319">
        <f>SUM(I101:I103)</f>
        <v>67.9152</v>
      </c>
      <c r="J104" s="558"/>
      <c r="K104" s="559"/>
      <c r="L104" s="319">
        <f>SUM(L101:L103)</f>
        <v>67.85147999999998</v>
      </c>
      <c r="M104" s="319">
        <f>SUM(M101:M103)</f>
        <v>-0.06372000000001421</v>
      </c>
      <c r="N104" s="320">
        <f>+M104/I104</f>
        <v>-0.0009382288500956223</v>
      </c>
      <c r="O104" s="321">
        <f>L104/L107</f>
        <v>0.5378861560617809</v>
      </c>
      <c r="P104" s="247"/>
    </row>
    <row r="105" spans="2:16" ht="14.25" thickBot="1">
      <c r="B105" s="246"/>
      <c r="C105" s="250"/>
      <c r="D105" s="250"/>
      <c r="E105" s="250"/>
      <c r="F105" s="290" t="s">
        <v>157</v>
      </c>
      <c r="G105" s="548"/>
      <c r="H105" s="549"/>
      <c r="I105" s="291">
        <f>I100+I104</f>
        <v>103.74535999999999</v>
      </c>
      <c r="J105" s="548"/>
      <c r="K105" s="549"/>
      <c r="L105" s="291">
        <f>L100+L104</f>
        <v>111.6324650586975</v>
      </c>
      <c r="M105" s="291">
        <f>M100+M104</f>
        <v>7.887105058697511</v>
      </c>
      <c r="N105" s="292">
        <f>+M105/I105</f>
        <v>0.07602368972161754</v>
      </c>
      <c r="O105" s="298">
        <f>L105/L107</f>
        <v>0.8849557522123894</v>
      </c>
      <c r="P105" s="247"/>
    </row>
    <row r="106" spans="2:16" ht="14.25" thickBot="1">
      <c r="B106" s="246"/>
      <c r="C106" s="250"/>
      <c r="D106" s="250"/>
      <c r="E106" s="250"/>
      <c r="F106" s="324" t="s">
        <v>205</v>
      </c>
      <c r="G106" s="317"/>
      <c r="H106" s="325">
        <v>0.05</v>
      </c>
      <c r="I106" s="326">
        <f>I105*H106</f>
        <v>5.1872679999999995</v>
      </c>
      <c r="J106" s="317"/>
      <c r="K106" s="325">
        <v>0.13</v>
      </c>
      <c r="L106" s="327">
        <f>L105*K106</f>
        <v>14.512220457630676</v>
      </c>
      <c r="M106" s="328">
        <f>+L106-I106</f>
        <v>9.324952457630676</v>
      </c>
      <c r="N106" s="329">
        <f>IF(I106=0," ",(+M106/I106))</f>
        <v>1.7976615932762057</v>
      </c>
      <c r="O106" s="315">
        <f>L106/L107</f>
        <v>0.11504424778761062</v>
      </c>
      <c r="P106" s="247"/>
    </row>
    <row r="107" spans="2:16" ht="15" thickBot="1">
      <c r="B107" s="246"/>
      <c r="C107" s="250"/>
      <c r="D107" s="250"/>
      <c r="E107" s="345"/>
      <c r="F107" s="333" t="s">
        <v>78</v>
      </c>
      <c r="G107" s="560"/>
      <c r="H107" s="561"/>
      <c r="I107" s="334">
        <f>I105+I106</f>
        <v>108.932628</v>
      </c>
      <c r="J107" s="560"/>
      <c r="K107" s="561"/>
      <c r="L107" s="334">
        <f>L105+L106</f>
        <v>126.14468551632818</v>
      </c>
      <c r="M107" s="334">
        <f>M105+M106</f>
        <v>17.212057516328187</v>
      </c>
      <c r="N107" s="335">
        <f>+M107/I107</f>
        <v>0.15800644703374078</v>
      </c>
      <c r="O107" s="336">
        <f>O105+O106</f>
        <v>1</v>
      </c>
      <c r="P107" s="247"/>
    </row>
    <row r="108" spans="2:16" ht="15" thickBot="1">
      <c r="B108" s="339"/>
      <c r="C108" s="346"/>
      <c r="D108" s="346"/>
      <c r="E108" s="346"/>
      <c r="F108" s="347"/>
      <c r="G108" s="348"/>
      <c r="H108" s="349"/>
      <c r="I108" s="350"/>
      <c r="J108" s="348"/>
      <c r="K108" s="351"/>
      <c r="L108" s="350"/>
      <c r="M108" s="352"/>
      <c r="N108" s="353"/>
      <c r="O108" s="354"/>
      <c r="P108" s="340"/>
    </row>
    <row r="109" ht="14.25" thickBot="1"/>
    <row r="110" spans="2:16" ht="23.25">
      <c r="B110" s="244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245"/>
    </row>
    <row r="111" spans="2:16" ht="23.25">
      <c r="B111" s="246"/>
      <c r="C111" s="552" t="s">
        <v>47</v>
      </c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247"/>
    </row>
    <row r="112" spans="2:16" ht="24" thickBot="1">
      <c r="B112" s="246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  <c r="N112" s="550"/>
      <c r="O112" s="550"/>
      <c r="P112" s="247"/>
    </row>
    <row r="113" spans="2:16" ht="21" thickBot="1">
      <c r="B113" s="246"/>
      <c r="C113" s="331"/>
      <c r="D113" s="331"/>
      <c r="E113" s="250"/>
      <c r="F113" s="251"/>
      <c r="G113" s="553" t="s">
        <v>158</v>
      </c>
      <c r="H113" s="554"/>
      <c r="I113" s="555"/>
      <c r="J113" s="553" t="s">
        <v>199</v>
      </c>
      <c r="K113" s="554"/>
      <c r="L113" s="555"/>
      <c r="M113" s="553" t="s">
        <v>72</v>
      </c>
      <c r="N113" s="554"/>
      <c r="O113" s="555"/>
      <c r="P113" s="247"/>
    </row>
    <row r="114" spans="2:16" ht="27.75" thickBot="1">
      <c r="B114" s="246"/>
      <c r="C114" s="250"/>
      <c r="D114" s="250"/>
      <c r="E114" s="252"/>
      <c r="F114" s="253"/>
      <c r="G114" s="254" t="s">
        <v>66</v>
      </c>
      <c r="H114" s="255" t="s">
        <v>67</v>
      </c>
      <c r="I114" s="256" t="s">
        <v>68</v>
      </c>
      <c r="J114" s="254" t="s">
        <v>66</v>
      </c>
      <c r="K114" s="255" t="s">
        <v>67</v>
      </c>
      <c r="L114" s="256" t="s">
        <v>68</v>
      </c>
      <c r="M114" s="257" t="s">
        <v>73</v>
      </c>
      <c r="N114" s="258" t="s">
        <v>74</v>
      </c>
      <c r="O114" s="259" t="s">
        <v>75</v>
      </c>
      <c r="P114" s="247"/>
    </row>
    <row r="115" spans="2:16" ht="15.75" thickBot="1">
      <c r="B115" s="246"/>
      <c r="C115" s="556" t="s">
        <v>69</v>
      </c>
      <c r="D115" s="557"/>
      <c r="E115" s="250"/>
      <c r="F115" s="260" t="s">
        <v>70</v>
      </c>
      <c r="G115" s="261"/>
      <c r="H115" s="262"/>
      <c r="I115" s="263">
        <f>+'2010 Existing Rates'!$C$8</f>
        <v>11.1</v>
      </c>
      <c r="J115" s="261"/>
      <c r="K115" s="262"/>
      <c r="L115" s="264">
        <f>'Rate Schedule (Part 1)'!$E$12</f>
        <v>13.74</v>
      </c>
      <c r="M115" s="265">
        <f aca="true" t="shared" si="7" ref="M115:M123">+L115-I115</f>
        <v>2.6400000000000006</v>
      </c>
      <c r="N115" s="266">
        <f>IF(I115=0," ",(+M115/I115))</f>
        <v>0.2378378378378379</v>
      </c>
      <c r="O115" s="267">
        <f>L115/L133</f>
        <v>0.08863227707614806</v>
      </c>
      <c r="P115" s="247"/>
    </row>
    <row r="116" spans="2:16" ht="18" thickBot="1">
      <c r="B116" s="246"/>
      <c r="C116" s="341">
        <v>1000</v>
      </c>
      <c r="D116" s="342" t="s">
        <v>16</v>
      </c>
      <c r="E116" s="250"/>
      <c r="F116" s="270" t="s">
        <v>71</v>
      </c>
      <c r="G116" s="271">
        <f>+C116</f>
        <v>1000</v>
      </c>
      <c r="H116" s="272">
        <f>'2010 Existing Rates'!$B$58</f>
        <v>0.019</v>
      </c>
      <c r="I116" s="273">
        <f>+G116*H116</f>
        <v>19</v>
      </c>
      <c r="J116" s="271">
        <f>+C116</f>
        <v>1000</v>
      </c>
      <c r="K116" s="274">
        <f>'Rate Schedule (Part 1)'!$E$13</f>
        <v>0.0235</v>
      </c>
      <c r="L116" s="275">
        <f>+J116*K116</f>
        <v>23.5</v>
      </c>
      <c r="M116" s="276">
        <f t="shared" si="7"/>
        <v>4.5</v>
      </c>
      <c r="N116" s="277">
        <f aca="true" t="shared" si="8" ref="N116:N129">IF(I116=0," ",(+M116/I116))</f>
        <v>0.23684210526315788</v>
      </c>
      <c r="O116" s="278">
        <f>L116/L133</f>
        <v>0.15159086690607562</v>
      </c>
      <c r="P116" s="247"/>
    </row>
    <row r="117" spans="2:16" ht="17.25">
      <c r="B117" s="246"/>
      <c r="C117" s="279"/>
      <c r="D117" s="283"/>
      <c r="E117" s="250"/>
      <c r="F117" s="270" t="s">
        <v>220</v>
      </c>
      <c r="G117" s="281"/>
      <c r="H117" s="282"/>
      <c r="I117" s="273">
        <v>0</v>
      </c>
      <c r="J117" s="281"/>
      <c r="K117" s="282"/>
      <c r="L117" s="275">
        <f>'Rate Schedule (Part 1)'!$E$14</f>
        <v>0.47</v>
      </c>
      <c r="M117" s="276">
        <f t="shared" si="7"/>
        <v>0.47</v>
      </c>
      <c r="N117" s="277" t="str">
        <f t="shared" si="8"/>
        <v> </v>
      </c>
      <c r="O117" s="278">
        <f>L117/L133</f>
        <v>0.0030318173381215126</v>
      </c>
      <c r="P117" s="247"/>
    </row>
    <row r="118" spans="2:16" ht="17.25">
      <c r="B118" s="246"/>
      <c r="C118" s="279"/>
      <c r="D118" s="283"/>
      <c r="E118" s="250"/>
      <c r="F118" s="270" t="s">
        <v>134</v>
      </c>
      <c r="G118" s="284"/>
      <c r="H118" s="285"/>
      <c r="I118" s="273">
        <f>'2010 Existing Rates'!$B$45</f>
        <v>1.63</v>
      </c>
      <c r="J118" s="284"/>
      <c r="K118" s="285"/>
      <c r="L118" s="275">
        <f>'Rate Schedule (Part 1)'!$E$15</f>
        <v>1.2</v>
      </c>
      <c r="M118" s="276">
        <f t="shared" si="7"/>
        <v>-0.42999999999999994</v>
      </c>
      <c r="N118" s="277">
        <f t="shared" si="8"/>
        <v>-0.26380368098159507</v>
      </c>
      <c r="O118" s="278">
        <f>L118/L133</f>
        <v>0.007740810224991096</v>
      </c>
      <c r="P118" s="247"/>
    </row>
    <row r="119" spans="1:16" ht="13.5">
      <c r="A119" s="247"/>
      <c r="B119" s="343"/>
      <c r="C119" s="250"/>
      <c r="D119" s="250"/>
      <c r="E119" s="250"/>
      <c r="F119" s="270" t="s">
        <v>126</v>
      </c>
      <c r="G119" s="271">
        <f>C116</f>
        <v>1000</v>
      </c>
      <c r="H119" s="272"/>
      <c r="I119" s="286">
        <f>+G119*H119</f>
        <v>0</v>
      </c>
      <c r="J119" s="271">
        <f>C116</f>
        <v>1000</v>
      </c>
      <c r="K119" s="479">
        <f>'Rate Schedule (Part 1)'!$E$16</f>
        <v>0.001</v>
      </c>
      <c r="L119" s="275">
        <f>J119*K119</f>
        <v>1</v>
      </c>
      <c r="M119" s="276">
        <f t="shared" si="7"/>
        <v>1</v>
      </c>
      <c r="N119" s="277" t="str">
        <f t="shared" si="8"/>
        <v> </v>
      </c>
      <c r="O119" s="278">
        <f>L119/L133</f>
        <v>0.00645067518749258</v>
      </c>
      <c r="P119" s="247"/>
    </row>
    <row r="120" spans="1:16" ht="27">
      <c r="A120" s="247"/>
      <c r="B120" s="343"/>
      <c r="C120" s="250"/>
      <c r="D120" s="250"/>
      <c r="E120" s="250"/>
      <c r="F120" s="270" t="s">
        <v>268</v>
      </c>
      <c r="G120" s="406">
        <f>G119</f>
        <v>1000</v>
      </c>
      <c r="H120" s="288">
        <f>+'2010 Existing Rates'!$B$21</f>
        <v>-0.0014</v>
      </c>
      <c r="I120" s="286">
        <f>+G120*H120</f>
        <v>-1.4</v>
      </c>
      <c r="J120" s="406">
        <f>J119</f>
        <v>1000</v>
      </c>
      <c r="K120" s="479">
        <f>'Rate Schedule (Part 1)'!$E$17</f>
        <v>-0.00143</v>
      </c>
      <c r="L120" s="275">
        <f>J120*K120</f>
        <v>-1.4300000000000002</v>
      </c>
      <c r="M120" s="276">
        <f t="shared" si="7"/>
        <v>-0.03000000000000025</v>
      </c>
      <c r="N120" s="277">
        <f t="shared" si="8"/>
        <v>0.02142857142857161</v>
      </c>
      <c r="O120" s="278">
        <f>L120/L133</f>
        <v>-0.009224465518114391</v>
      </c>
      <c r="P120" s="247"/>
    </row>
    <row r="121" spans="1:16" ht="27">
      <c r="A121" s="247"/>
      <c r="B121" s="343"/>
      <c r="C121" s="250"/>
      <c r="D121" s="250"/>
      <c r="E121" s="250"/>
      <c r="F121" s="270" t="s">
        <v>269</v>
      </c>
      <c r="G121" s="406">
        <f>G120</f>
        <v>1000</v>
      </c>
      <c r="H121" s="288"/>
      <c r="I121" s="286">
        <f>+G121*H121</f>
        <v>0</v>
      </c>
      <c r="J121" s="406">
        <f>J120</f>
        <v>1000</v>
      </c>
      <c r="K121" s="479">
        <f>'Rate Schedule (Part 1)'!$E$18</f>
        <v>0.0008277518618380966</v>
      </c>
      <c r="L121" s="275">
        <f>J121*K121</f>
        <v>0.8277518618380966</v>
      </c>
      <c r="M121" s="276">
        <f t="shared" si="7"/>
        <v>0.8277518618380966</v>
      </c>
      <c r="N121" s="277" t="str">
        <f t="shared" si="8"/>
        <v> </v>
      </c>
      <c r="O121" s="278">
        <f>L121/L133</f>
        <v>0.005339558396559796</v>
      </c>
      <c r="P121" s="247"/>
    </row>
    <row r="122" spans="1:16" ht="27">
      <c r="A122" s="247"/>
      <c r="B122" s="343"/>
      <c r="C122" s="250"/>
      <c r="D122" s="250"/>
      <c r="E122" s="250"/>
      <c r="F122" s="270" t="s">
        <v>270</v>
      </c>
      <c r="G122" s="406">
        <f>G121</f>
        <v>1000</v>
      </c>
      <c r="H122" s="288"/>
      <c r="I122" s="286">
        <f>+G122*H122</f>
        <v>0</v>
      </c>
      <c r="J122" s="406">
        <f>J121</f>
        <v>1000</v>
      </c>
      <c r="K122" s="479">
        <f>'Rate Schedule (Part 1)'!$E$19</f>
        <v>0.00038864787756281473</v>
      </c>
      <c r="L122" s="275">
        <f>J122*K122</f>
        <v>0.3886478775628147</v>
      </c>
      <c r="M122" s="276">
        <f t="shared" si="7"/>
        <v>0.3886478775628147</v>
      </c>
      <c r="N122" s="277" t="str">
        <f t="shared" si="8"/>
        <v> </v>
      </c>
      <c r="O122" s="278">
        <f>L122/L133</f>
        <v>0.002507041220466103</v>
      </c>
      <c r="P122" s="247"/>
    </row>
    <row r="123" spans="1:16" ht="27.75" thickBot="1">
      <c r="A123" s="247"/>
      <c r="B123" s="343"/>
      <c r="C123" s="250"/>
      <c r="D123" s="250"/>
      <c r="E123" s="250"/>
      <c r="F123" s="270" t="s">
        <v>271</v>
      </c>
      <c r="G123" s="406">
        <f>G122</f>
        <v>1000</v>
      </c>
      <c r="H123" s="288"/>
      <c r="I123" s="286">
        <f>+G123*H123</f>
        <v>0</v>
      </c>
      <c r="J123" s="287">
        <f>+C116</f>
        <v>1000</v>
      </c>
      <c r="K123" s="479">
        <f>'Rate Schedule (Part 1)'!$E$20</f>
        <v>1.545006868400765E-05</v>
      </c>
      <c r="L123" s="275">
        <f>J123*K123</f>
        <v>0.015450068684007648</v>
      </c>
      <c r="M123" s="276">
        <f t="shared" si="7"/>
        <v>0.015450068684007648</v>
      </c>
      <c r="N123" s="277" t="str">
        <f t="shared" si="8"/>
        <v> </v>
      </c>
      <c r="O123" s="278">
        <f>L123/L133</f>
        <v>9.966337470498427E-05</v>
      </c>
      <c r="P123" s="344"/>
    </row>
    <row r="124" spans="1:16" ht="14.25" thickBot="1">
      <c r="A124" s="247"/>
      <c r="F124" s="290" t="s">
        <v>200</v>
      </c>
      <c r="G124" s="548"/>
      <c r="H124" s="549"/>
      <c r="I124" s="291">
        <f>SUM(I115:I123)</f>
        <v>30.330000000000002</v>
      </c>
      <c r="J124" s="548"/>
      <c r="K124" s="549"/>
      <c r="L124" s="291">
        <f>SUM(L115:L123)</f>
        <v>39.71184980808493</v>
      </c>
      <c r="M124" s="291">
        <f>SUM(M115:M123)</f>
        <v>9.381849808084917</v>
      </c>
      <c r="N124" s="292">
        <f>+M124/I124</f>
        <v>0.30932574375486044</v>
      </c>
      <c r="O124" s="293">
        <f>L124/L133</f>
        <v>0.2561682442064454</v>
      </c>
      <c r="P124" s="344"/>
    </row>
    <row r="125" spans="1:16" ht="14.25" thickBot="1">
      <c r="A125" s="247"/>
      <c r="F125" s="270" t="s">
        <v>201</v>
      </c>
      <c r="G125" s="294">
        <f>C116*'Other Electriciy Rates'!$L$10</f>
        <v>1044</v>
      </c>
      <c r="H125" s="295">
        <f>'Other Electriciy Rates'!$B$10</f>
        <v>0.0108</v>
      </c>
      <c r="I125" s="273">
        <f>+G125*H125</f>
        <v>11.2752</v>
      </c>
      <c r="J125" s="294">
        <f>'BILL IMPACTS'!C116*'Other Electriciy Rates'!$L$24</f>
        <v>1043.1</v>
      </c>
      <c r="K125" s="375">
        <f>'Other Electriciy Rates'!$B$24</f>
        <v>0.010700682116083774</v>
      </c>
      <c r="L125" s="273">
        <f>+J125*K125</f>
        <v>11.161881515286984</v>
      </c>
      <c r="M125" s="296">
        <f>+L125-I125</f>
        <v>-0.11331848471301598</v>
      </c>
      <c r="N125" s="297">
        <f t="shared" si="8"/>
        <v>-0.010050241655404425</v>
      </c>
      <c r="O125" s="267">
        <f>L125/L133</f>
        <v>0.07200167213639383</v>
      </c>
      <c r="P125" s="344"/>
    </row>
    <row r="126" spans="1:16" ht="14.25" thickBot="1">
      <c r="A126" s="247"/>
      <c r="F126" s="290" t="s">
        <v>202</v>
      </c>
      <c r="G126" s="548"/>
      <c r="H126" s="549"/>
      <c r="I126" s="291">
        <f>I124+I125</f>
        <v>41.6052</v>
      </c>
      <c r="J126" s="548"/>
      <c r="K126" s="549"/>
      <c r="L126" s="291">
        <f>L124+L125</f>
        <v>50.87373132337191</v>
      </c>
      <c r="M126" s="291">
        <f>M124+M125</f>
        <v>9.268531323371901</v>
      </c>
      <c r="N126" s="292">
        <f>+M126/I126</f>
        <v>0.22277338706151875</v>
      </c>
      <c r="O126" s="298">
        <f>L126/L133</f>
        <v>0.32816991634283926</v>
      </c>
      <c r="P126" s="344"/>
    </row>
    <row r="127" spans="1:16" ht="13.5">
      <c r="A127" s="247"/>
      <c r="F127" s="299" t="s">
        <v>76</v>
      </c>
      <c r="G127" s="300">
        <f>+'Other Electriciy Rates'!$L$10*C116</f>
        <v>1044</v>
      </c>
      <c r="H127" s="301">
        <f>'Other Electriciy Rates'!$C$10+'Other Electriciy Rates'!$D$10</f>
        <v>0.0135</v>
      </c>
      <c r="I127" s="302">
        <f>+G127*H127</f>
        <v>14.094</v>
      </c>
      <c r="J127" s="300">
        <f>J125</f>
        <v>1043.1</v>
      </c>
      <c r="K127" s="301">
        <f>'Other Electriciy Rates'!$C$24+'Other Electriciy Rates'!$D$24</f>
        <v>0.0135</v>
      </c>
      <c r="L127" s="303">
        <f>+J127*K127</f>
        <v>14.08185</v>
      </c>
      <c r="M127" s="304">
        <f>+L127-I127</f>
        <v>-0.012150000000000105</v>
      </c>
      <c r="N127" s="305">
        <f t="shared" si="8"/>
        <v>-0.0008620689655172488</v>
      </c>
      <c r="O127" s="306">
        <f>L127/L133</f>
        <v>0.09083744038899239</v>
      </c>
      <c r="P127" s="344"/>
    </row>
    <row r="128" spans="1:16" ht="13.5">
      <c r="A128" s="247"/>
      <c r="B128" s="343"/>
      <c r="C128" s="250"/>
      <c r="D128" s="250"/>
      <c r="E128" s="250"/>
      <c r="F128" s="307" t="s">
        <v>224</v>
      </c>
      <c r="G128" s="271">
        <f>IF('Other Electriciy Rates'!$L$10*C116&lt;$D$10,'Other Electriciy Rates'!$L$10*C116,$D$10)</f>
        <v>600</v>
      </c>
      <c r="H128" s="308">
        <f>'Other Electriciy Rates'!$J$10</f>
        <v>0.065</v>
      </c>
      <c r="I128" s="273">
        <f>+G128*H128</f>
        <v>39</v>
      </c>
      <c r="J128" s="271">
        <f>IF('Other Electriciy Rates'!$L$24*C116&lt;$D$10,'Other Electriciy Rates'!$L$24*C116,$D$10)</f>
        <v>600</v>
      </c>
      <c r="K128" s="308">
        <f>'Other Electriciy Rates'!$J$24</f>
        <v>0.065</v>
      </c>
      <c r="L128" s="275">
        <f>+J128*K128</f>
        <v>39</v>
      </c>
      <c r="M128" s="276">
        <f>+L128-I128</f>
        <v>0</v>
      </c>
      <c r="N128" s="277">
        <f t="shared" si="8"/>
        <v>0</v>
      </c>
      <c r="O128" s="278">
        <f>L128/L133</f>
        <v>0.2515763323122106</v>
      </c>
      <c r="P128" s="344"/>
    </row>
    <row r="129" spans="1:16" ht="14.25" thickBot="1">
      <c r="A129" s="343"/>
      <c r="B129" s="343"/>
      <c r="C129" s="250"/>
      <c r="D129" s="250"/>
      <c r="E129" s="250"/>
      <c r="F129" s="307" t="s">
        <v>225</v>
      </c>
      <c r="G129" s="309">
        <f>IF(G128&lt;$D$10,0,(C116*'Other Electriciy Rates'!$L$10)-G128)</f>
        <v>444</v>
      </c>
      <c r="H129" s="310">
        <f>'Other Electriciy Rates'!$K$10</f>
        <v>0.075</v>
      </c>
      <c r="I129" s="311">
        <f>+G129*H129</f>
        <v>33.3</v>
      </c>
      <c r="J129" s="309">
        <f>IF(J128&lt;$D$10,0,(C116*'Other Electriciy Rates'!$L$24)-J128)</f>
        <v>443.0999999999999</v>
      </c>
      <c r="K129" s="310">
        <f>'Other Electriciy Rates'!$K$24</f>
        <v>0.075</v>
      </c>
      <c r="L129" s="312">
        <f>+J129*K129</f>
        <v>33.232499999999995</v>
      </c>
      <c r="M129" s="313">
        <f>+L129-I129</f>
        <v>-0.06750000000000256</v>
      </c>
      <c r="N129" s="314">
        <f t="shared" si="8"/>
        <v>-0.002027027027027104</v>
      </c>
      <c r="O129" s="315">
        <f>L129/L133</f>
        <v>0.21437206316834714</v>
      </c>
      <c r="P129" s="247"/>
    </row>
    <row r="130" spans="2:16" ht="14.25" thickBot="1">
      <c r="B130" s="246"/>
      <c r="C130" s="250"/>
      <c r="D130" s="250"/>
      <c r="E130" s="250"/>
      <c r="F130" s="316" t="s">
        <v>222</v>
      </c>
      <c r="G130" s="317"/>
      <c r="H130" s="318"/>
      <c r="I130" s="319">
        <f>SUM(I127:I129)</f>
        <v>86.394</v>
      </c>
      <c r="J130" s="558"/>
      <c r="K130" s="559"/>
      <c r="L130" s="319">
        <f>SUM(L127:L129)</f>
        <v>86.31434999999999</v>
      </c>
      <c r="M130" s="319">
        <f>SUM(M127:M129)</f>
        <v>-0.07965000000000266</v>
      </c>
      <c r="N130" s="320">
        <f>+M130/I130</f>
        <v>-0.0009219390235433324</v>
      </c>
      <c r="O130" s="321">
        <f>L130/L133</f>
        <v>0.5567858358695501</v>
      </c>
      <c r="P130" s="247"/>
    </row>
    <row r="131" spans="2:16" ht="14.25" thickBot="1">
      <c r="B131" s="246"/>
      <c r="C131" s="250"/>
      <c r="D131" s="250"/>
      <c r="E131" s="250"/>
      <c r="F131" s="290" t="s">
        <v>157</v>
      </c>
      <c r="G131" s="548"/>
      <c r="H131" s="549"/>
      <c r="I131" s="291">
        <f>I126+I130</f>
        <v>127.9992</v>
      </c>
      <c r="J131" s="548"/>
      <c r="K131" s="549"/>
      <c r="L131" s="291">
        <f>L126+L130</f>
        <v>137.1880813233719</v>
      </c>
      <c r="M131" s="291">
        <f>M126+M130</f>
        <v>9.188881323371898</v>
      </c>
      <c r="N131" s="292">
        <f>+M131/I131</f>
        <v>0.07178858401749307</v>
      </c>
      <c r="O131" s="298">
        <f>L131/L133</f>
        <v>0.8849557522123894</v>
      </c>
      <c r="P131" s="247"/>
    </row>
    <row r="132" spans="2:16" ht="14.25" thickBot="1">
      <c r="B132" s="246"/>
      <c r="C132" s="250"/>
      <c r="D132" s="250"/>
      <c r="E132" s="250"/>
      <c r="F132" s="324" t="s">
        <v>205</v>
      </c>
      <c r="G132" s="317"/>
      <c r="H132" s="325">
        <v>0.05</v>
      </c>
      <c r="I132" s="326">
        <f>I131*H132</f>
        <v>6.39996</v>
      </c>
      <c r="J132" s="317"/>
      <c r="K132" s="325">
        <v>0.13</v>
      </c>
      <c r="L132" s="327">
        <f>L131*K132</f>
        <v>17.83445057203835</v>
      </c>
      <c r="M132" s="328">
        <f>+L132-I132</f>
        <v>11.43449057203835</v>
      </c>
      <c r="N132" s="329">
        <f>IF(I132=0," ",(+M132/I132))</f>
        <v>1.7866503184454823</v>
      </c>
      <c r="O132" s="315">
        <f>L132/L133</f>
        <v>0.11504424778761063</v>
      </c>
      <c r="P132" s="247"/>
    </row>
    <row r="133" spans="2:16" ht="15" thickBot="1">
      <c r="B133" s="246"/>
      <c r="C133" s="250"/>
      <c r="D133" s="250"/>
      <c r="E133" s="345"/>
      <c r="F133" s="333" t="s">
        <v>78</v>
      </c>
      <c r="G133" s="560"/>
      <c r="H133" s="561"/>
      <c r="I133" s="334">
        <f>I131+I132</f>
        <v>134.39916</v>
      </c>
      <c r="J133" s="560"/>
      <c r="K133" s="561"/>
      <c r="L133" s="334">
        <f>L131+L132</f>
        <v>155.02253189541025</v>
      </c>
      <c r="M133" s="334">
        <f>M131+M132</f>
        <v>20.623371895410248</v>
      </c>
      <c r="N133" s="335">
        <f>+M133/I133</f>
        <v>0.1534486666093021</v>
      </c>
      <c r="O133" s="336">
        <f>O131+O132</f>
        <v>1</v>
      </c>
      <c r="P133" s="247"/>
    </row>
    <row r="134" spans="2:16" ht="15" thickBot="1">
      <c r="B134" s="339"/>
      <c r="C134" s="346"/>
      <c r="D134" s="346"/>
      <c r="E134" s="346"/>
      <c r="F134" s="347"/>
      <c r="G134" s="348"/>
      <c r="H134" s="349"/>
      <c r="I134" s="350"/>
      <c r="J134" s="348"/>
      <c r="K134" s="351"/>
      <c r="L134" s="350"/>
      <c r="M134" s="352"/>
      <c r="N134" s="353"/>
      <c r="O134" s="354"/>
      <c r="P134" s="340"/>
    </row>
    <row r="135" ht="14.25" thickBot="1"/>
    <row r="136" spans="2:16" ht="23.25">
      <c r="B136" s="244"/>
      <c r="C136" s="551"/>
      <c r="D136" s="551"/>
      <c r="E136" s="551"/>
      <c r="F136" s="551"/>
      <c r="G136" s="551"/>
      <c r="H136" s="551"/>
      <c r="I136" s="551"/>
      <c r="J136" s="551"/>
      <c r="K136" s="551"/>
      <c r="L136" s="551"/>
      <c r="M136" s="551"/>
      <c r="N136" s="551"/>
      <c r="O136" s="551"/>
      <c r="P136" s="245"/>
    </row>
    <row r="137" spans="2:16" ht="23.25">
      <c r="B137" s="246"/>
      <c r="C137" s="552" t="s">
        <v>47</v>
      </c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247"/>
    </row>
    <row r="138" spans="2:16" ht="24" thickBot="1">
      <c r="B138" s="246"/>
      <c r="C138" s="550"/>
      <c r="D138" s="550"/>
      <c r="E138" s="550"/>
      <c r="F138" s="550"/>
      <c r="G138" s="550"/>
      <c r="H138" s="550"/>
      <c r="I138" s="550"/>
      <c r="J138" s="550"/>
      <c r="K138" s="550"/>
      <c r="L138" s="550"/>
      <c r="M138" s="550"/>
      <c r="N138" s="550"/>
      <c r="O138" s="550"/>
      <c r="P138" s="247"/>
    </row>
    <row r="139" spans="2:16" ht="21" thickBot="1">
      <c r="B139" s="246"/>
      <c r="C139" s="331"/>
      <c r="D139" s="331"/>
      <c r="E139" s="250"/>
      <c r="F139" s="251"/>
      <c r="G139" s="553" t="s">
        <v>158</v>
      </c>
      <c r="H139" s="554"/>
      <c r="I139" s="555"/>
      <c r="J139" s="553" t="s">
        <v>199</v>
      </c>
      <c r="K139" s="554"/>
      <c r="L139" s="555"/>
      <c r="M139" s="553" t="s">
        <v>72</v>
      </c>
      <c r="N139" s="554"/>
      <c r="O139" s="555"/>
      <c r="P139" s="247"/>
    </row>
    <row r="140" spans="2:16" ht="27.75" thickBot="1">
      <c r="B140" s="246"/>
      <c r="C140" s="250"/>
      <c r="D140" s="250"/>
      <c r="E140" s="252"/>
      <c r="F140" s="253"/>
      <c r="G140" s="254" t="s">
        <v>66</v>
      </c>
      <c r="H140" s="255" t="s">
        <v>67</v>
      </c>
      <c r="I140" s="256" t="s">
        <v>68</v>
      </c>
      <c r="J140" s="254" t="s">
        <v>66</v>
      </c>
      <c r="K140" s="255" t="s">
        <v>67</v>
      </c>
      <c r="L140" s="256" t="s">
        <v>68</v>
      </c>
      <c r="M140" s="257" t="s">
        <v>73</v>
      </c>
      <c r="N140" s="258" t="s">
        <v>74</v>
      </c>
      <c r="O140" s="259" t="s">
        <v>75</v>
      </c>
      <c r="P140" s="247"/>
    </row>
    <row r="141" spans="2:16" ht="15.75" thickBot="1">
      <c r="B141" s="246"/>
      <c r="C141" s="556" t="s">
        <v>69</v>
      </c>
      <c r="D141" s="557"/>
      <c r="E141" s="250"/>
      <c r="F141" s="260" t="s">
        <v>70</v>
      </c>
      <c r="G141" s="261"/>
      <c r="H141" s="262"/>
      <c r="I141" s="263">
        <f>+'2010 Existing Rates'!$C$8</f>
        <v>11.1</v>
      </c>
      <c r="J141" s="261"/>
      <c r="K141" s="262"/>
      <c r="L141" s="264">
        <f>'Rate Schedule (Part 1)'!$E$12</f>
        <v>13.74</v>
      </c>
      <c r="M141" s="265">
        <f aca="true" t="shared" si="9" ref="M141:M149">+L141-I141</f>
        <v>2.6400000000000006</v>
      </c>
      <c r="N141" s="266">
        <f>IF(I141=0," ",(+M141/I141))</f>
        <v>0.2378378378378379</v>
      </c>
      <c r="O141" s="267">
        <f>L141/L159</f>
        <v>0.060470788100407534</v>
      </c>
      <c r="P141" s="247"/>
    </row>
    <row r="142" spans="2:16" ht="18" thickBot="1">
      <c r="B142" s="246"/>
      <c r="C142" s="341">
        <v>1500</v>
      </c>
      <c r="D142" s="342" t="s">
        <v>16</v>
      </c>
      <c r="E142" s="250"/>
      <c r="F142" s="270" t="s">
        <v>71</v>
      </c>
      <c r="G142" s="271">
        <f>+C142</f>
        <v>1500</v>
      </c>
      <c r="H142" s="272">
        <f>'2010 Existing Rates'!$B$58</f>
        <v>0.019</v>
      </c>
      <c r="I142" s="273">
        <f>+G142*H142</f>
        <v>28.5</v>
      </c>
      <c r="J142" s="271">
        <f>+C142</f>
        <v>1500</v>
      </c>
      <c r="K142" s="274">
        <f>'Rate Schedule (Part 1)'!$E$13</f>
        <v>0.0235</v>
      </c>
      <c r="L142" s="275">
        <f>+J142*K142</f>
        <v>35.25</v>
      </c>
      <c r="M142" s="276">
        <f t="shared" si="9"/>
        <v>6.75</v>
      </c>
      <c r="N142" s="277">
        <f aca="true" t="shared" si="10" ref="N142:N155">IF(I142=0," ",(+M142/I142))</f>
        <v>0.23684210526315788</v>
      </c>
      <c r="O142" s="278">
        <f>L142/L159</f>
        <v>0.15513793890388397</v>
      </c>
      <c r="P142" s="247"/>
    </row>
    <row r="143" spans="2:16" ht="17.25">
      <c r="B143" s="246"/>
      <c r="C143" s="279"/>
      <c r="D143" s="283"/>
      <c r="E143" s="250"/>
      <c r="F143" s="270" t="s">
        <v>220</v>
      </c>
      <c r="G143" s="281"/>
      <c r="H143" s="282"/>
      <c r="I143" s="273">
        <v>0</v>
      </c>
      <c r="J143" s="281"/>
      <c r="K143" s="282"/>
      <c r="L143" s="275">
        <f>'Rate Schedule (Part 1)'!$E$14</f>
        <v>0.47</v>
      </c>
      <c r="M143" s="276">
        <f t="shared" si="9"/>
        <v>0.47</v>
      </c>
      <c r="N143" s="277" t="str">
        <f t="shared" si="10"/>
        <v> </v>
      </c>
      <c r="O143" s="278">
        <f>L143/L159</f>
        <v>0.002068505852051786</v>
      </c>
      <c r="P143" s="247"/>
    </row>
    <row r="144" spans="2:16" ht="17.25">
      <c r="B144" s="246"/>
      <c r="C144" s="279"/>
      <c r="D144" s="283"/>
      <c r="E144" s="250"/>
      <c r="F144" s="270" t="s">
        <v>134</v>
      </c>
      <c r="G144" s="284"/>
      <c r="H144" s="285"/>
      <c r="I144" s="273">
        <f>'2010 Existing Rates'!$B$45</f>
        <v>1.63</v>
      </c>
      <c r="J144" s="284"/>
      <c r="K144" s="285"/>
      <c r="L144" s="275">
        <f>'Rate Schedule (Part 1)'!$E$15</f>
        <v>1.2</v>
      </c>
      <c r="M144" s="276">
        <f t="shared" si="9"/>
        <v>-0.42999999999999994</v>
      </c>
      <c r="N144" s="277">
        <f t="shared" si="10"/>
        <v>-0.26380368098159507</v>
      </c>
      <c r="O144" s="278">
        <f>L144/L159</f>
        <v>0.005281291537153497</v>
      </c>
      <c r="P144" s="247"/>
    </row>
    <row r="145" spans="1:16" ht="13.5">
      <c r="A145" s="247"/>
      <c r="B145" s="343"/>
      <c r="C145" s="250"/>
      <c r="D145" s="250"/>
      <c r="E145" s="250"/>
      <c r="F145" s="270" t="s">
        <v>126</v>
      </c>
      <c r="G145" s="271">
        <f>C142</f>
        <v>1500</v>
      </c>
      <c r="H145" s="272"/>
      <c r="I145" s="286">
        <f>+G145*H145</f>
        <v>0</v>
      </c>
      <c r="J145" s="271">
        <f>C142</f>
        <v>1500</v>
      </c>
      <c r="K145" s="479">
        <f>'Rate Schedule (Part 1)'!$E$16</f>
        <v>0.001</v>
      </c>
      <c r="L145" s="275">
        <f>J145*K145</f>
        <v>1.5</v>
      </c>
      <c r="M145" s="276">
        <f t="shared" si="9"/>
        <v>1.5</v>
      </c>
      <c r="N145" s="277" t="str">
        <f t="shared" si="10"/>
        <v> </v>
      </c>
      <c r="O145" s="278">
        <f>L145/L159</f>
        <v>0.0066016144214418706</v>
      </c>
      <c r="P145" s="247"/>
    </row>
    <row r="146" spans="1:16" ht="27">
      <c r="A146" s="247"/>
      <c r="B146" s="343"/>
      <c r="C146" s="250"/>
      <c r="D146" s="250"/>
      <c r="E146" s="250"/>
      <c r="F146" s="270" t="s">
        <v>268</v>
      </c>
      <c r="G146" s="406">
        <f>G145</f>
        <v>1500</v>
      </c>
      <c r="H146" s="288">
        <f>+'2010 Existing Rates'!$B$21</f>
        <v>-0.0014</v>
      </c>
      <c r="I146" s="286">
        <f>+G146*H146</f>
        <v>-2.1</v>
      </c>
      <c r="J146" s="406">
        <f>J145</f>
        <v>1500</v>
      </c>
      <c r="K146" s="479">
        <f>'Rate Schedule (Part 1)'!$E$17</f>
        <v>-0.00143</v>
      </c>
      <c r="L146" s="275">
        <f>J146*K146</f>
        <v>-2.145</v>
      </c>
      <c r="M146" s="276">
        <f t="shared" si="9"/>
        <v>-0.04499999999999993</v>
      </c>
      <c r="N146" s="277">
        <f t="shared" si="10"/>
        <v>0.021428571428571394</v>
      </c>
      <c r="O146" s="278">
        <f>L146/L159</f>
        <v>-0.009440308622661875</v>
      </c>
      <c r="P146" s="247"/>
    </row>
    <row r="147" spans="1:16" ht="27">
      <c r="A147" s="247"/>
      <c r="B147" s="343"/>
      <c r="C147" s="250"/>
      <c r="D147" s="250"/>
      <c r="E147" s="250"/>
      <c r="F147" s="270" t="s">
        <v>269</v>
      </c>
      <c r="G147" s="406">
        <f>G146</f>
        <v>1500</v>
      </c>
      <c r="H147" s="288"/>
      <c r="I147" s="286">
        <f>+G147*H147</f>
        <v>0</v>
      </c>
      <c r="J147" s="406">
        <f>J146</f>
        <v>1500</v>
      </c>
      <c r="K147" s="479">
        <f>'Rate Schedule (Part 1)'!$E$18</f>
        <v>0.0008277518618380966</v>
      </c>
      <c r="L147" s="275">
        <f>J147*K147</f>
        <v>1.2416277927571449</v>
      </c>
      <c r="M147" s="276">
        <f t="shared" si="9"/>
        <v>1.2416277927571449</v>
      </c>
      <c r="N147" s="277" t="str">
        <f t="shared" si="10"/>
        <v> </v>
      </c>
      <c r="O147" s="278">
        <f>L147/L159</f>
        <v>0.005464498628485737</v>
      </c>
      <c r="P147" s="247"/>
    </row>
    <row r="148" spans="1:16" ht="27">
      <c r="A148" s="247"/>
      <c r="B148" s="343"/>
      <c r="C148" s="250"/>
      <c r="D148" s="250"/>
      <c r="E148" s="250"/>
      <c r="F148" s="270" t="s">
        <v>270</v>
      </c>
      <c r="G148" s="406">
        <f>G147</f>
        <v>1500</v>
      </c>
      <c r="H148" s="288"/>
      <c r="I148" s="286">
        <f>+G148*H148</f>
        <v>0</v>
      </c>
      <c r="J148" s="406">
        <f>J147</f>
        <v>1500</v>
      </c>
      <c r="K148" s="479">
        <f>'Rate Schedule (Part 1)'!$E$19</f>
        <v>0.00038864787756281473</v>
      </c>
      <c r="L148" s="275">
        <f>J148*K148</f>
        <v>0.5829718163442221</v>
      </c>
      <c r="M148" s="276">
        <f t="shared" si="9"/>
        <v>0.5829718163442221</v>
      </c>
      <c r="N148" s="277" t="str">
        <f t="shared" si="10"/>
        <v> </v>
      </c>
      <c r="O148" s="278">
        <f>L148/L159</f>
        <v>0.002565703433381452</v>
      </c>
      <c r="P148" s="247"/>
    </row>
    <row r="149" spans="1:16" ht="27.75" thickBot="1">
      <c r="A149" s="247"/>
      <c r="B149" s="343"/>
      <c r="C149" s="250"/>
      <c r="D149" s="250"/>
      <c r="E149" s="250"/>
      <c r="F149" s="270" t="s">
        <v>271</v>
      </c>
      <c r="G149" s="406">
        <f>G148</f>
        <v>1500</v>
      </c>
      <c r="H149" s="288"/>
      <c r="I149" s="286">
        <f>+G149*H149</f>
        <v>0</v>
      </c>
      <c r="J149" s="287">
        <f>+C142</f>
        <v>1500</v>
      </c>
      <c r="K149" s="479">
        <f>'Rate Schedule (Part 1)'!$E$20</f>
        <v>1.545006868400765E-05</v>
      </c>
      <c r="L149" s="275">
        <f>J149*K149</f>
        <v>0.023175103026011473</v>
      </c>
      <c r="M149" s="276">
        <f t="shared" si="9"/>
        <v>0.023175103026011473</v>
      </c>
      <c r="N149" s="277" t="str">
        <f t="shared" si="10"/>
        <v> </v>
      </c>
      <c r="O149" s="278">
        <f>L149/L159</f>
        <v>0.00010199539623661232</v>
      </c>
      <c r="P149" s="344"/>
    </row>
    <row r="150" spans="1:16" ht="14.25" thickBot="1">
      <c r="A150" s="247"/>
      <c r="F150" s="290" t="s">
        <v>200</v>
      </c>
      <c r="G150" s="548"/>
      <c r="H150" s="549"/>
      <c r="I150" s="291">
        <f>SUM(I141:I149)</f>
        <v>39.13</v>
      </c>
      <c r="J150" s="548"/>
      <c r="K150" s="549"/>
      <c r="L150" s="291">
        <f>SUM(L141:L149)</f>
        <v>51.862774712127376</v>
      </c>
      <c r="M150" s="291">
        <f>SUM(M141:M149)</f>
        <v>12.732774712127378</v>
      </c>
      <c r="N150" s="292">
        <f>+M150/I150</f>
        <v>0.3253967470515558</v>
      </c>
      <c r="O150" s="293">
        <f>L150/L159</f>
        <v>0.22825202765038058</v>
      </c>
      <c r="P150" s="344"/>
    </row>
    <row r="151" spans="1:16" ht="14.25" thickBot="1">
      <c r="A151" s="247"/>
      <c r="F151" s="270" t="s">
        <v>201</v>
      </c>
      <c r="G151" s="294">
        <f>C142*'Other Electriciy Rates'!$L$10</f>
        <v>1566</v>
      </c>
      <c r="H151" s="295">
        <f>'Other Electriciy Rates'!$B$10</f>
        <v>0.0108</v>
      </c>
      <c r="I151" s="273">
        <f>+G151*H151</f>
        <v>16.9128</v>
      </c>
      <c r="J151" s="294">
        <f>'BILL IMPACTS'!C142*'Other Electriciy Rates'!$L$24</f>
        <v>1564.6499999999999</v>
      </c>
      <c r="K151" s="375">
        <f>'Other Electriciy Rates'!$B$24</f>
        <v>0.010700682116083774</v>
      </c>
      <c r="L151" s="273">
        <f>+J151*K151</f>
        <v>16.742822272930475</v>
      </c>
      <c r="M151" s="296">
        <f>+L151-I151</f>
        <v>-0.16997772706952574</v>
      </c>
      <c r="N151" s="297">
        <f t="shared" si="10"/>
        <v>-0.01005024165540453</v>
      </c>
      <c r="O151" s="267">
        <f>L151/L159</f>
        <v>0.07368643798174399</v>
      </c>
      <c r="P151" s="344"/>
    </row>
    <row r="152" spans="1:16" ht="14.25" thickBot="1">
      <c r="A152" s="247"/>
      <c r="F152" s="290" t="s">
        <v>202</v>
      </c>
      <c r="G152" s="548"/>
      <c r="H152" s="549"/>
      <c r="I152" s="291">
        <f>I150+I151</f>
        <v>56.0428</v>
      </c>
      <c r="J152" s="548"/>
      <c r="K152" s="549"/>
      <c r="L152" s="291">
        <f>L150+L151</f>
        <v>68.60559698505784</v>
      </c>
      <c r="M152" s="291">
        <f>M150+M151</f>
        <v>12.562796985057853</v>
      </c>
      <c r="N152" s="292">
        <f>+M152/I152</f>
        <v>0.22416433484868445</v>
      </c>
      <c r="O152" s="298">
        <f>L152/L159</f>
        <v>0.3019384656321245</v>
      </c>
      <c r="P152" s="344"/>
    </row>
    <row r="153" spans="1:16" ht="13.5">
      <c r="A153" s="247"/>
      <c r="F153" s="299" t="s">
        <v>76</v>
      </c>
      <c r="G153" s="300">
        <f>+'Other Electriciy Rates'!$L$10*C142</f>
        <v>1566</v>
      </c>
      <c r="H153" s="301">
        <f>'Other Electriciy Rates'!$C$10+'Other Electriciy Rates'!$D$10</f>
        <v>0.0135</v>
      </c>
      <c r="I153" s="302">
        <f>+G153*H153</f>
        <v>21.141</v>
      </c>
      <c r="J153" s="300">
        <f>J151</f>
        <v>1564.6499999999999</v>
      </c>
      <c r="K153" s="301">
        <f>'Other Electriciy Rates'!$C$24+'Other Electriciy Rates'!$D$24</f>
        <v>0.0135</v>
      </c>
      <c r="L153" s="303">
        <f>+J153*K153</f>
        <v>21.122774999999997</v>
      </c>
      <c r="M153" s="304">
        <f>+L153-I153</f>
        <v>-0.018225000000001046</v>
      </c>
      <c r="N153" s="305">
        <f t="shared" si="10"/>
        <v>-0.0008620689655172909</v>
      </c>
      <c r="O153" s="306">
        <f>L153/L159</f>
        <v>0.0929629440405812</v>
      </c>
      <c r="P153" s="344"/>
    </row>
    <row r="154" spans="1:16" ht="13.5">
      <c r="A154" s="247"/>
      <c r="B154" s="343"/>
      <c r="C154" s="250"/>
      <c r="D154" s="250"/>
      <c r="E154" s="250"/>
      <c r="F154" s="307" t="s">
        <v>224</v>
      </c>
      <c r="G154" s="271">
        <f>IF('Other Electriciy Rates'!$L$10*C142&lt;$D$10,'Other Electriciy Rates'!$L$10*C142,$D$10)</f>
        <v>600</v>
      </c>
      <c r="H154" s="308">
        <f>'Other Electriciy Rates'!$J$10</f>
        <v>0.065</v>
      </c>
      <c r="I154" s="273">
        <f>+G154*H154</f>
        <v>39</v>
      </c>
      <c r="J154" s="271">
        <f>IF('Other Electriciy Rates'!$L$24*C142&lt;$D$10,'Other Electriciy Rates'!$L$24*C142,$D$10)</f>
        <v>600</v>
      </c>
      <c r="K154" s="308">
        <f>'Other Electriciy Rates'!$J$24</f>
        <v>0.065</v>
      </c>
      <c r="L154" s="275">
        <f>+J154*K154</f>
        <v>39</v>
      </c>
      <c r="M154" s="276">
        <f>+L154-I154</f>
        <v>0</v>
      </c>
      <c r="N154" s="277">
        <f t="shared" si="10"/>
        <v>0</v>
      </c>
      <c r="O154" s="278">
        <f>L154/L159</f>
        <v>0.17164197495748865</v>
      </c>
      <c r="P154" s="344"/>
    </row>
    <row r="155" spans="1:16" ht="14.25" thickBot="1">
      <c r="A155" s="343"/>
      <c r="B155" s="343"/>
      <c r="C155" s="250"/>
      <c r="D155" s="250"/>
      <c r="E155" s="250"/>
      <c r="F155" s="307" t="s">
        <v>225</v>
      </c>
      <c r="G155" s="309">
        <f>IF(G154&lt;$D$10,0,(C142*'Other Electriciy Rates'!$L$10)-G154)</f>
        <v>966</v>
      </c>
      <c r="H155" s="310">
        <f>'Other Electriciy Rates'!$K$10</f>
        <v>0.075</v>
      </c>
      <c r="I155" s="311">
        <f>+G155*H155</f>
        <v>72.45</v>
      </c>
      <c r="J155" s="309">
        <f>IF(J154&lt;$D$10,0,(C142*'Other Electriciy Rates'!$L$24)-J154)</f>
        <v>964.6499999999999</v>
      </c>
      <c r="K155" s="310">
        <f>'Other Electriciy Rates'!$K$24</f>
        <v>0.075</v>
      </c>
      <c r="L155" s="312">
        <f>+J155*K155</f>
        <v>72.34874999999998</v>
      </c>
      <c r="M155" s="313">
        <f>+L155-I155</f>
        <v>-0.1012500000000216</v>
      </c>
      <c r="N155" s="314">
        <f t="shared" si="10"/>
        <v>-0.0013975155279506086</v>
      </c>
      <c r="O155" s="315">
        <f>L155/L159</f>
        <v>0.31841236758219493</v>
      </c>
      <c r="P155" s="247"/>
    </row>
    <row r="156" spans="2:16" ht="14.25" thickBot="1">
      <c r="B156" s="246"/>
      <c r="C156" s="250"/>
      <c r="D156" s="250"/>
      <c r="E156" s="250"/>
      <c r="F156" s="316" t="s">
        <v>222</v>
      </c>
      <c r="G156" s="317"/>
      <c r="H156" s="318"/>
      <c r="I156" s="319">
        <f>SUM(I153:I155)</f>
        <v>132.591</v>
      </c>
      <c r="J156" s="558"/>
      <c r="K156" s="559"/>
      <c r="L156" s="319">
        <f>SUM(L153:L155)</f>
        <v>132.47152499999999</v>
      </c>
      <c r="M156" s="319">
        <f>SUM(M153:M155)</f>
        <v>-0.11947500000002265</v>
      </c>
      <c r="N156" s="320">
        <f>+M156/I156</f>
        <v>-0.0009010792587733907</v>
      </c>
      <c r="O156" s="321">
        <f>L156/L159</f>
        <v>0.5830172865802649</v>
      </c>
      <c r="P156" s="247"/>
    </row>
    <row r="157" spans="2:16" ht="14.25" thickBot="1">
      <c r="B157" s="246"/>
      <c r="C157" s="250"/>
      <c r="D157" s="250"/>
      <c r="E157" s="250"/>
      <c r="F157" s="290" t="s">
        <v>157</v>
      </c>
      <c r="G157" s="548"/>
      <c r="H157" s="549"/>
      <c r="I157" s="291">
        <f>I152+I156</f>
        <v>188.6338</v>
      </c>
      <c r="J157" s="548"/>
      <c r="K157" s="549"/>
      <c r="L157" s="291">
        <f>L152+L156</f>
        <v>201.07712198505783</v>
      </c>
      <c r="M157" s="291">
        <f>M152+M156</f>
        <v>12.44332198505783</v>
      </c>
      <c r="N157" s="292">
        <f>+M157/I157</f>
        <v>0.06596549496992496</v>
      </c>
      <c r="O157" s="298">
        <f>L157/L159</f>
        <v>0.8849557522123893</v>
      </c>
      <c r="P157" s="247"/>
    </row>
    <row r="158" spans="2:16" ht="14.25" thickBot="1">
      <c r="B158" s="246"/>
      <c r="C158" s="250"/>
      <c r="D158" s="250"/>
      <c r="E158" s="250"/>
      <c r="F158" s="324" t="s">
        <v>205</v>
      </c>
      <c r="G158" s="317"/>
      <c r="H158" s="325">
        <v>0.05</v>
      </c>
      <c r="I158" s="326">
        <f>I157*H158</f>
        <v>9.431690000000001</v>
      </c>
      <c r="J158" s="317"/>
      <c r="K158" s="325">
        <v>0.13</v>
      </c>
      <c r="L158" s="327">
        <f>L157*K158</f>
        <v>26.14002585805752</v>
      </c>
      <c r="M158" s="328">
        <f>+L158-I158</f>
        <v>16.708335858057517</v>
      </c>
      <c r="N158" s="329">
        <f>IF(I158=0," ",(+M158/I158))</f>
        <v>1.7715102869218045</v>
      </c>
      <c r="O158" s="315">
        <f>L158/L159</f>
        <v>0.11504424778761062</v>
      </c>
      <c r="P158" s="247"/>
    </row>
    <row r="159" spans="2:16" ht="15" thickBot="1">
      <c r="B159" s="246"/>
      <c r="C159" s="250"/>
      <c r="D159" s="250"/>
      <c r="E159" s="345"/>
      <c r="F159" s="333" t="s">
        <v>78</v>
      </c>
      <c r="G159" s="560"/>
      <c r="H159" s="561"/>
      <c r="I159" s="334">
        <f>I157+I158</f>
        <v>198.06549</v>
      </c>
      <c r="J159" s="560"/>
      <c r="K159" s="561"/>
      <c r="L159" s="334">
        <f>L157+L158</f>
        <v>227.21714784311536</v>
      </c>
      <c r="M159" s="334">
        <f>M157+M158</f>
        <v>29.151657843115345</v>
      </c>
      <c r="N159" s="335">
        <f>+M159/I159</f>
        <v>0.14718191363430017</v>
      </c>
      <c r="O159" s="336">
        <f>O157+O158</f>
        <v>0.9999999999999999</v>
      </c>
      <c r="P159" s="247"/>
    </row>
    <row r="160" spans="2:16" ht="15" thickBot="1">
      <c r="B160" s="339"/>
      <c r="C160" s="346"/>
      <c r="D160" s="346"/>
      <c r="E160" s="346"/>
      <c r="F160" s="347"/>
      <c r="G160" s="348"/>
      <c r="H160" s="349"/>
      <c r="I160" s="350"/>
      <c r="J160" s="348"/>
      <c r="K160" s="351"/>
      <c r="L160" s="350"/>
      <c r="M160" s="352"/>
      <c r="N160" s="353"/>
      <c r="O160" s="354"/>
      <c r="P160" s="340"/>
    </row>
    <row r="161" spans="2:16" ht="15" thickBot="1">
      <c r="B161" s="343"/>
      <c r="C161" s="250"/>
      <c r="D161" s="250"/>
      <c r="E161" s="250"/>
      <c r="F161" s="355"/>
      <c r="G161" s="356"/>
      <c r="H161" s="357"/>
      <c r="I161" s="358"/>
      <c r="J161" s="356"/>
      <c r="K161" s="359"/>
      <c r="L161" s="358"/>
      <c r="M161" s="360"/>
      <c r="N161" s="361"/>
      <c r="O161" s="362"/>
      <c r="P161" s="343"/>
    </row>
    <row r="162" spans="2:16" ht="23.25">
      <c r="B162" s="244"/>
      <c r="C162" s="551"/>
      <c r="D162" s="551"/>
      <c r="E162" s="551"/>
      <c r="F162" s="551"/>
      <c r="G162" s="551"/>
      <c r="H162" s="551"/>
      <c r="I162" s="551"/>
      <c r="J162" s="551"/>
      <c r="K162" s="551"/>
      <c r="L162" s="551"/>
      <c r="M162" s="551"/>
      <c r="N162" s="551"/>
      <c r="O162" s="551"/>
      <c r="P162" s="245"/>
    </row>
    <row r="163" spans="2:16" ht="23.25">
      <c r="B163" s="246"/>
      <c r="C163" s="552" t="s">
        <v>102</v>
      </c>
      <c r="D163" s="552"/>
      <c r="E163" s="552"/>
      <c r="F163" s="552"/>
      <c r="G163" s="552"/>
      <c r="H163" s="552"/>
      <c r="I163" s="552"/>
      <c r="J163" s="552"/>
      <c r="K163" s="552"/>
      <c r="L163" s="552"/>
      <c r="M163" s="552"/>
      <c r="N163" s="552"/>
      <c r="O163" s="552"/>
      <c r="P163" s="247"/>
    </row>
    <row r="164" spans="2:16" ht="24" thickBot="1">
      <c r="B164" s="246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50"/>
      <c r="N164" s="550"/>
      <c r="O164" s="550"/>
      <c r="P164" s="247"/>
    </row>
    <row r="165" spans="2:16" ht="21" thickBot="1">
      <c r="B165" s="246"/>
      <c r="C165" s="248" t="s">
        <v>223</v>
      </c>
      <c r="D165" s="249">
        <v>750</v>
      </c>
      <c r="E165" s="250"/>
      <c r="F165" s="251"/>
      <c r="G165" s="553" t="s">
        <v>158</v>
      </c>
      <c r="H165" s="554"/>
      <c r="I165" s="555"/>
      <c r="J165" s="553" t="s">
        <v>199</v>
      </c>
      <c r="K165" s="554"/>
      <c r="L165" s="555"/>
      <c r="M165" s="553" t="s">
        <v>72</v>
      </c>
      <c r="N165" s="554"/>
      <c r="O165" s="555"/>
      <c r="P165" s="247"/>
    </row>
    <row r="166" spans="2:16" ht="27.75" thickBot="1">
      <c r="B166" s="246"/>
      <c r="C166" s="250"/>
      <c r="D166" s="250"/>
      <c r="E166" s="252"/>
      <c r="F166" s="253"/>
      <c r="G166" s="254" t="s">
        <v>66</v>
      </c>
      <c r="H166" s="255" t="s">
        <v>67</v>
      </c>
      <c r="I166" s="256" t="s">
        <v>68</v>
      </c>
      <c r="J166" s="254" t="s">
        <v>66</v>
      </c>
      <c r="K166" s="255" t="s">
        <v>67</v>
      </c>
      <c r="L166" s="256" t="s">
        <v>68</v>
      </c>
      <c r="M166" s="257" t="s">
        <v>73</v>
      </c>
      <c r="N166" s="258" t="s">
        <v>74</v>
      </c>
      <c r="O166" s="259" t="s">
        <v>75</v>
      </c>
      <c r="P166" s="247"/>
    </row>
    <row r="167" spans="2:16" ht="15.75" thickBot="1">
      <c r="B167" s="246"/>
      <c r="C167" s="556" t="s">
        <v>69</v>
      </c>
      <c r="D167" s="557"/>
      <c r="E167" s="250"/>
      <c r="F167" s="260" t="s">
        <v>70</v>
      </c>
      <c r="G167" s="261"/>
      <c r="H167" s="262"/>
      <c r="I167" s="263">
        <f>'2010 Existing Rates'!$C$9</f>
        <v>21.45</v>
      </c>
      <c r="J167" s="261"/>
      <c r="K167" s="262"/>
      <c r="L167" s="264">
        <f>'Rate Schedule (Part 1)'!$E$23</f>
        <v>28.42</v>
      </c>
      <c r="M167" s="265">
        <f aca="true" t="shared" si="11" ref="M167:M175">+L167-I167</f>
        <v>6.970000000000002</v>
      </c>
      <c r="N167" s="266">
        <f>IF(I167=0," ",(+M167/I167))</f>
        <v>0.3249417249417251</v>
      </c>
      <c r="O167" s="267">
        <f>L167/L185</f>
        <v>0.17933382364393027</v>
      </c>
      <c r="P167" s="247"/>
    </row>
    <row r="168" spans="2:16" ht="18" thickBot="1">
      <c r="B168" s="246"/>
      <c r="C168" s="341">
        <v>1000</v>
      </c>
      <c r="D168" s="342" t="s">
        <v>16</v>
      </c>
      <c r="E168" s="250"/>
      <c r="F168" s="270" t="s">
        <v>71</v>
      </c>
      <c r="G168" s="271">
        <f>+C168</f>
        <v>1000</v>
      </c>
      <c r="H168" s="272">
        <f>'2010 Existing Rates'!$E$9</f>
        <v>0.0123</v>
      </c>
      <c r="I168" s="273">
        <f>+G168*H168</f>
        <v>12.3</v>
      </c>
      <c r="J168" s="271">
        <f>+C168</f>
        <v>1000</v>
      </c>
      <c r="K168" s="274">
        <f>'Rate Schedule (Part 1)'!$E$24</f>
        <v>0.0163</v>
      </c>
      <c r="L168" s="275">
        <f>+J168*K168</f>
        <v>16.299999999999997</v>
      </c>
      <c r="M168" s="276">
        <f t="shared" si="11"/>
        <v>3.9999999999999964</v>
      </c>
      <c r="N168" s="277">
        <f aca="true" t="shared" si="12" ref="N168:N175">IF(I168=0," ",(+M168/I168))</f>
        <v>0.32520325203252004</v>
      </c>
      <c r="O168" s="278">
        <f>L168/L185</f>
        <v>0.10285507830387272</v>
      </c>
      <c r="P168" s="247"/>
    </row>
    <row r="169" spans="2:16" ht="17.25">
      <c r="B169" s="246"/>
      <c r="C169" s="279"/>
      <c r="D169" s="283"/>
      <c r="E169" s="250"/>
      <c r="F169" s="270" t="s">
        <v>220</v>
      </c>
      <c r="G169" s="281"/>
      <c r="H169" s="282"/>
      <c r="I169" s="273">
        <v>0</v>
      </c>
      <c r="J169" s="281"/>
      <c r="K169" s="282"/>
      <c r="L169" s="275">
        <f>'Rate Schedule (Part 1)'!$E$25</f>
        <v>0.47</v>
      </c>
      <c r="M169" s="276">
        <f t="shared" si="11"/>
        <v>0.47</v>
      </c>
      <c r="N169" s="277" t="str">
        <f t="shared" si="12"/>
        <v> </v>
      </c>
      <c r="O169" s="278">
        <f>L169/L185</f>
        <v>0.0029657599265533853</v>
      </c>
      <c r="P169" s="247"/>
    </row>
    <row r="170" spans="2:16" ht="17.25">
      <c r="B170" s="246"/>
      <c r="C170" s="279"/>
      <c r="D170" s="283"/>
      <c r="E170" s="250"/>
      <c r="F170" s="270" t="s">
        <v>134</v>
      </c>
      <c r="G170" s="284"/>
      <c r="H170" s="285"/>
      <c r="I170" s="273">
        <f>'2010 Existing Rates'!$B$46</f>
        <v>1.63</v>
      </c>
      <c r="J170" s="284"/>
      <c r="K170" s="285"/>
      <c r="L170" s="275">
        <f>'Rate Schedule (Part 1)'!$E$26</f>
        <v>1.2</v>
      </c>
      <c r="M170" s="276">
        <f t="shared" si="11"/>
        <v>-0.42999999999999994</v>
      </c>
      <c r="N170" s="277">
        <f t="shared" si="12"/>
        <v>-0.26380368098159507</v>
      </c>
      <c r="O170" s="278">
        <f>L170/L185</f>
        <v>0.00757215300396609</v>
      </c>
      <c r="P170" s="247"/>
    </row>
    <row r="171" spans="1:16" ht="13.5">
      <c r="A171" s="247"/>
      <c r="B171" s="343"/>
      <c r="C171" s="250"/>
      <c r="D171" s="250"/>
      <c r="E171" s="250"/>
      <c r="F171" s="270" t="s">
        <v>126</v>
      </c>
      <c r="G171" s="271">
        <f>C168</f>
        <v>1000</v>
      </c>
      <c r="H171" s="272"/>
      <c r="I171" s="286">
        <f>+G171*H171</f>
        <v>0</v>
      </c>
      <c r="J171" s="271">
        <f>C168</f>
        <v>1000</v>
      </c>
      <c r="K171" s="274">
        <f>'Rate Schedule (Part 1)'!$E$27</f>
        <v>0.0003</v>
      </c>
      <c r="L171" s="275">
        <f>J171*K171</f>
        <v>0.3</v>
      </c>
      <c r="M171" s="276">
        <f t="shared" si="11"/>
        <v>0.3</v>
      </c>
      <c r="N171" s="277" t="str">
        <f t="shared" si="12"/>
        <v> </v>
      </c>
      <c r="O171" s="278">
        <f>L171/L185</f>
        <v>0.0018930382509915226</v>
      </c>
      <c r="P171" s="247"/>
    </row>
    <row r="172" spans="1:16" ht="27">
      <c r="A172" s="247"/>
      <c r="B172" s="343"/>
      <c r="C172" s="250"/>
      <c r="D172" s="250"/>
      <c r="E172" s="250"/>
      <c r="F172" s="270" t="s">
        <v>268</v>
      </c>
      <c r="G172" s="406">
        <f>G171</f>
        <v>1000</v>
      </c>
      <c r="H172" s="288">
        <f>+'2010 Existing Rates'!$B$22</f>
        <v>-0.0014</v>
      </c>
      <c r="I172" s="286">
        <f>+G172*H172</f>
        <v>-1.4</v>
      </c>
      <c r="J172" s="406">
        <f>J171</f>
        <v>1000</v>
      </c>
      <c r="K172" s="274">
        <f>'Rate Schedule (Part 1)'!$E$28</f>
        <v>-0.00143</v>
      </c>
      <c r="L172" s="275">
        <f>J172*K172</f>
        <v>-1.4300000000000002</v>
      </c>
      <c r="M172" s="276">
        <f t="shared" si="11"/>
        <v>-0.03000000000000025</v>
      </c>
      <c r="N172" s="277">
        <f t="shared" si="12"/>
        <v>0.02142857142857161</v>
      </c>
      <c r="O172" s="278">
        <f>L172/L185</f>
        <v>-0.00902348232972626</v>
      </c>
      <c r="P172" s="247"/>
    </row>
    <row r="173" spans="1:16" ht="27">
      <c r="A173" s="247"/>
      <c r="B173" s="343"/>
      <c r="C173" s="250"/>
      <c r="D173" s="250"/>
      <c r="E173" s="250"/>
      <c r="F173" s="270" t="s">
        <v>269</v>
      </c>
      <c r="G173" s="406">
        <f>G172</f>
        <v>1000</v>
      </c>
      <c r="H173" s="288"/>
      <c r="I173" s="286">
        <f>+G173*H173</f>
        <v>0</v>
      </c>
      <c r="J173" s="406">
        <f>J172</f>
        <v>1000</v>
      </c>
      <c r="K173" s="274">
        <f>'Rate Schedule (Part 1)'!$E$29</f>
        <v>0.000222138791977524</v>
      </c>
      <c r="L173" s="275">
        <f>J173*K173</f>
        <v>0.22213879197752398</v>
      </c>
      <c r="M173" s="276">
        <f t="shared" si="11"/>
        <v>0.22213879197752398</v>
      </c>
      <c r="N173" s="277" t="str">
        <f t="shared" si="12"/>
        <v> </v>
      </c>
      <c r="O173" s="278">
        <f>L173/L185</f>
        <v>0.001401724100808339</v>
      </c>
      <c r="P173" s="247"/>
    </row>
    <row r="174" spans="1:16" ht="27">
      <c r="A174" s="247"/>
      <c r="B174" s="343"/>
      <c r="C174" s="250"/>
      <c r="D174" s="250"/>
      <c r="E174" s="250"/>
      <c r="F174" s="270" t="s">
        <v>270</v>
      </c>
      <c r="G174" s="406">
        <f>G173</f>
        <v>1000</v>
      </c>
      <c r="H174" s="288"/>
      <c r="I174" s="286">
        <f>+G174*H174</f>
        <v>0</v>
      </c>
      <c r="J174" s="406">
        <f>J173</f>
        <v>1000</v>
      </c>
      <c r="K174" s="274">
        <f>'Rate Schedule (Part 1)'!$E$30</f>
        <v>0.00038864786062876817</v>
      </c>
      <c r="L174" s="275">
        <f>J174*K174</f>
        <v>0.38864786062876816</v>
      </c>
      <c r="M174" s="276">
        <f t="shared" si="11"/>
        <v>0.38864786062876816</v>
      </c>
      <c r="N174" s="277" t="str">
        <f t="shared" si="12"/>
        <v> </v>
      </c>
      <c r="O174" s="278">
        <f>L174/L185</f>
        <v>0.002452417554454268</v>
      </c>
      <c r="P174" s="247"/>
    </row>
    <row r="175" spans="1:16" ht="27.75" thickBot="1">
      <c r="A175" s="247"/>
      <c r="B175" s="343"/>
      <c r="C175" s="250"/>
      <c r="D175" s="250"/>
      <c r="E175" s="250"/>
      <c r="F175" s="270" t="s">
        <v>271</v>
      </c>
      <c r="G175" s="406">
        <f>G174</f>
        <v>1000</v>
      </c>
      <c r="H175" s="288"/>
      <c r="I175" s="286">
        <f>+G175*H175</f>
        <v>0</v>
      </c>
      <c r="J175" s="287">
        <f>+C168</f>
        <v>1000</v>
      </c>
      <c r="K175" s="274">
        <f>'Rate Schedule (Part 1)'!$E$31</f>
        <v>2.1115078323244392E-05</v>
      </c>
      <c r="L175" s="275">
        <f>J175*K175</f>
        <v>0.021115078323244392</v>
      </c>
      <c r="M175" s="276">
        <f t="shared" si="11"/>
        <v>0.021115078323244392</v>
      </c>
      <c r="N175" s="277" t="str">
        <f t="shared" si="12"/>
        <v> </v>
      </c>
      <c r="O175" s="278">
        <f>L175/L185</f>
        <v>0.00013323883646194527</v>
      </c>
      <c r="P175" s="344"/>
    </row>
    <row r="176" spans="1:16" ht="14.25" thickBot="1">
      <c r="A176" s="247"/>
      <c r="F176" s="290" t="s">
        <v>200</v>
      </c>
      <c r="G176" s="548"/>
      <c r="H176" s="549"/>
      <c r="I176" s="291">
        <f>SUM(I167:I175)</f>
        <v>33.980000000000004</v>
      </c>
      <c r="J176" s="548"/>
      <c r="K176" s="549"/>
      <c r="L176" s="291">
        <f>SUM(L167:L175)</f>
        <v>45.891901730929526</v>
      </c>
      <c r="M176" s="291">
        <f>SUM(M167:M175)</f>
        <v>11.91190173092954</v>
      </c>
      <c r="N176" s="292">
        <f>+M176/I176</f>
        <v>0.3505562604746774</v>
      </c>
      <c r="O176" s="293">
        <f>L176/L185</f>
        <v>0.2895837512913122</v>
      </c>
      <c r="P176" s="344"/>
    </row>
    <row r="177" spans="1:16" ht="14.25" thickBot="1">
      <c r="A177" s="247"/>
      <c r="F177" s="270" t="s">
        <v>201</v>
      </c>
      <c r="G177" s="294">
        <f>C168*'Other Electriciy Rates'!$L$11</f>
        <v>1044</v>
      </c>
      <c r="H177" s="295">
        <f>'Other Electriciy Rates'!$B$11</f>
        <v>0.0098</v>
      </c>
      <c r="I177" s="273">
        <f>+G177*H177</f>
        <v>10.2312</v>
      </c>
      <c r="J177" s="294">
        <f>'BILL IMPACTS'!C168*'Other Electriciy Rates'!$L$24</f>
        <v>1043.1</v>
      </c>
      <c r="K177" s="375">
        <f>'Other Electriciy Rates'!$B$25</f>
        <v>0.009143387852413433</v>
      </c>
      <c r="L177" s="273">
        <f>+J177*K177</f>
        <v>9.53746786885245</v>
      </c>
      <c r="M177" s="296">
        <f>+L177-I177</f>
        <v>-0.6937321311475486</v>
      </c>
      <c r="N177" s="297">
        <f>IF(I177=0," ",(+M177/I177))</f>
        <v>-0.06780554882590005</v>
      </c>
      <c r="O177" s="267">
        <f>L177/L185</f>
        <v>0.060182638311134296</v>
      </c>
      <c r="P177" s="344"/>
    </row>
    <row r="178" spans="1:16" ht="14.25" thickBot="1">
      <c r="A178" s="247"/>
      <c r="F178" s="290" t="s">
        <v>202</v>
      </c>
      <c r="G178" s="548"/>
      <c r="H178" s="549"/>
      <c r="I178" s="291">
        <f>I176+I177</f>
        <v>44.211200000000005</v>
      </c>
      <c r="J178" s="548"/>
      <c r="K178" s="549"/>
      <c r="L178" s="291">
        <f>L176+L177</f>
        <v>55.42936959978198</v>
      </c>
      <c r="M178" s="291">
        <f>M176+M177</f>
        <v>11.21816959978199</v>
      </c>
      <c r="N178" s="292">
        <f>+M178/I178</f>
        <v>0.2537404458549415</v>
      </c>
      <c r="O178" s="298">
        <f>L178/L185</f>
        <v>0.3497663896024465</v>
      </c>
      <c r="P178" s="344"/>
    </row>
    <row r="179" spans="1:16" ht="13.5">
      <c r="A179" s="247"/>
      <c r="F179" s="299" t="s">
        <v>76</v>
      </c>
      <c r="G179" s="300">
        <f>+'Other Electriciy Rates'!$L$11*C168</f>
        <v>1044</v>
      </c>
      <c r="H179" s="301">
        <f>'Other Electriciy Rates'!$C$11+'Other Electriciy Rates'!$D$11</f>
        <v>0.0135</v>
      </c>
      <c r="I179" s="302">
        <f>+G179*H179</f>
        <v>14.094</v>
      </c>
      <c r="J179" s="300">
        <f>J177</f>
        <v>1043.1</v>
      </c>
      <c r="K179" s="301">
        <f>'Other Electriciy Rates'!$C$25+'Other Electriciy Rates'!$D$25</f>
        <v>0.0135</v>
      </c>
      <c r="L179" s="303">
        <f>+J179*K179</f>
        <v>14.08185</v>
      </c>
      <c r="M179" s="304">
        <f>+L179-I179</f>
        <v>-0.012150000000000105</v>
      </c>
      <c r="N179" s="305">
        <f>IF(I179=0," ",(+M179/I179))</f>
        <v>-0.0008620689655172488</v>
      </c>
      <c r="O179" s="306">
        <f>L179/L185</f>
        <v>0.08885826898241657</v>
      </c>
      <c r="P179" s="344"/>
    </row>
    <row r="180" spans="1:16" ht="13.5">
      <c r="A180" s="247"/>
      <c r="B180" s="343"/>
      <c r="C180" s="250"/>
      <c r="D180" s="250"/>
      <c r="E180" s="250"/>
      <c r="F180" s="307" t="s">
        <v>224</v>
      </c>
      <c r="G180" s="271">
        <f>IF('Other Electriciy Rates'!$L$11*C168&lt;$D$165,'Other Electriciy Rates'!$L$11*C168,$D$165)</f>
        <v>750</v>
      </c>
      <c r="H180" s="301">
        <f>'Other Electriciy Rates'!$J$11</f>
        <v>0.065</v>
      </c>
      <c r="I180" s="273">
        <f>+G180*H180</f>
        <v>48.75</v>
      </c>
      <c r="J180" s="271">
        <f>IF('Other Electriciy Rates'!$L$25*C168&lt;$D$10,'Other Electriciy Rates'!$L$25*C168,$D$165)</f>
        <v>750</v>
      </c>
      <c r="K180" s="308">
        <f>'Other Electriciy Rates'!$J$25</f>
        <v>0.065</v>
      </c>
      <c r="L180" s="275">
        <f>+J180*K180</f>
        <v>48.75</v>
      </c>
      <c r="M180" s="276">
        <f>+L180-I180</f>
        <v>0</v>
      </c>
      <c r="N180" s="277">
        <f>IF(I180=0," ",(+M180/I180))</f>
        <v>0</v>
      </c>
      <c r="O180" s="278">
        <f>L180/L185</f>
        <v>0.30761871578612243</v>
      </c>
      <c r="P180" s="344"/>
    </row>
    <row r="181" spans="2:16" ht="14.25" thickBot="1">
      <c r="B181" s="246"/>
      <c r="C181" s="250"/>
      <c r="D181" s="250"/>
      <c r="E181" s="250"/>
      <c r="F181" s="363" t="s">
        <v>225</v>
      </c>
      <c r="G181" s="309">
        <f>IF(G180&lt;$D$165,0,(C168*'Other Electriciy Rates'!$L$11)-G180)</f>
        <v>294</v>
      </c>
      <c r="H181" s="310">
        <f>'Other Electriciy Rates'!$K$11</f>
        <v>0.075</v>
      </c>
      <c r="I181" s="311">
        <f>+G181*H181</f>
        <v>22.05</v>
      </c>
      <c r="J181" s="309">
        <f>IF(J180&lt;$D$165,0,(C168*'Other Electriciy Rates'!$L$25)-J180)</f>
        <v>293.0999999999999</v>
      </c>
      <c r="K181" s="310">
        <f>'Other Electriciy Rates'!$K$25</f>
        <v>0.075</v>
      </c>
      <c r="L181" s="312">
        <f>+J181*K181</f>
        <v>21.98249999999999</v>
      </c>
      <c r="M181" s="313">
        <f>+L181-I181</f>
        <v>-0.06750000000000966</v>
      </c>
      <c r="N181" s="314">
        <f>IF(I181=0," ",(+M181/I181))</f>
        <v>-0.0030612244897963567</v>
      </c>
      <c r="O181" s="315">
        <f>L181/L185</f>
        <v>0.13871237784140378</v>
      </c>
      <c r="P181" s="247"/>
    </row>
    <row r="182" spans="2:16" ht="14.25" thickBot="1">
      <c r="B182" s="246"/>
      <c r="C182" s="250"/>
      <c r="D182" s="250"/>
      <c r="E182" s="250"/>
      <c r="F182" s="316" t="s">
        <v>222</v>
      </c>
      <c r="G182" s="317"/>
      <c r="H182" s="318"/>
      <c r="I182" s="319">
        <f>SUM(I179:I181)</f>
        <v>84.894</v>
      </c>
      <c r="J182" s="558"/>
      <c r="K182" s="559"/>
      <c r="L182" s="319">
        <f>SUM(L179:L181)</f>
        <v>84.81434999999999</v>
      </c>
      <c r="M182" s="319">
        <f>SUM(M179:M181)</f>
        <v>-0.07965000000000977</v>
      </c>
      <c r="N182" s="320">
        <f>+M182/I182</f>
        <v>-0.0009382288500955281</v>
      </c>
      <c r="O182" s="321">
        <f>L182/L185</f>
        <v>0.5351893626099428</v>
      </c>
      <c r="P182" s="247"/>
    </row>
    <row r="183" spans="2:16" ht="14.25" thickBot="1">
      <c r="B183" s="246"/>
      <c r="C183" s="250"/>
      <c r="D183" s="250"/>
      <c r="E183" s="250"/>
      <c r="F183" s="290" t="s">
        <v>157</v>
      </c>
      <c r="G183" s="548"/>
      <c r="H183" s="549"/>
      <c r="I183" s="291">
        <f>I178+I182</f>
        <v>129.10520000000002</v>
      </c>
      <c r="J183" s="548"/>
      <c r="K183" s="549"/>
      <c r="L183" s="291">
        <f>L178+L182</f>
        <v>140.24371959978197</v>
      </c>
      <c r="M183" s="291">
        <f>M178+M182</f>
        <v>11.138519599781981</v>
      </c>
      <c r="N183" s="292">
        <f>+M183/I183</f>
        <v>0.08627475577886855</v>
      </c>
      <c r="O183" s="298">
        <f>L183/L185</f>
        <v>0.8849557522123893</v>
      </c>
      <c r="P183" s="247"/>
    </row>
    <row r="184" spans="2:16" ht="14.25" thickBot="1">
      <c r="B184" s="246"/>
      <c r="C184" s="250"/>
      <c r="D184" s="250"/>
      <c r="E184" s="345"/>
      <c r="F184" s="324" t="s">
        <v>205</v>
      </c>
      <c r="G184" s="317"/>
      <c r="H184" s="325">
        <v>0.05</v>
      </c>
      <c r="I184" s="326">
        <f>I183*H184</f>
        <v>6.455260000000002</v>
      </c>
      <c r="J184" s="317"/>
      <c r="K184" s="325">
        <v>0.13</v>
      </c>
      <c r="L184" s="327">
        <f>L183*K184</f>
        <v>18.231683547971656</v>
      </c>
      <c r="M184" s="328">
        <f>+L184-I184</f>
        <v>11.776423547971653</v>
      </c>
      <c r="N184" s="329">
        <f>IF(I184=0," ",(+M184/I184))</f>
        <v>1.824314365025057</v>
      </c>
      <c r="O184" s="315">
        <f>L184/L185</f>
        <v>0.1150442477876106</v>
      </c>
      <c r="P184" s="247"/>
    </row>
    <row r="185" spans="2:16" ht="15" thickBot="1">
      <c r="B185" s="339"/>
      <c r="C185" s="346"/>
      <c r="D185" s="346"/>
      <c r="E185" s="346"/>
      <c r="F185" s="333" t="s">
        <v>78</v>
      </c>
      <c r="G185" s="560"/>
      <c r="H185" s="561"/>
      <c r="I185" s="334">
        <f>I183+I184</f>
        <v>135.56046000000003</v>
      </c>
      <c r="J185" s="560"/>
      <c r="K185" s="561"/>
      <c r="L185" s="334">
        <f>L183+L184</f>
        <v>158.47540314775364</v>
      </c>
      <c r="M185" s="334">
        <f>M183+M184</f>
        <v>22.914943147753633</v>
      </c>
      <c r="N185" s="335">
        <f>+M185/I185</f>
        <v>0.1690385466953537</v>
      </c>
      <c r="O185" s="336">
        <f>O183+O184</f>
        <v>0.9999999999999999</v>
      </c>
      <c r="P185" s="340"/>
    </row>
    <row r="186" spans="2:16" ht="15" thickBot="1">
      <c r="B186" s="343"/>
      <c r="C186" s="250"/>
      <c r="D186" s="250"/>
      <c r="E186" s="250"/>
      <c r="F186" s="355"/>
      <c r="G186" s="356"/>
      <c r="H186" s="357"/>
      <c r="I186" s="358"/>
      <c r="J186" s="356"/>
      <c r="K186" s="359"/>
      <c r="L186" s="358"/>
      <c r="M186" s="360"/>
      <c r="N186" s="361"/>
      <c r="O186" s="362"/>
      <c r="P186" s="343"/>
    </row>
    <row r="187" spans="2:16" ht="23.25">
      <c r="B187" s="244"/>
      <c r="C187" s="551"/>
      <c r="D187" s="551"/>
      <c r="E187" s="551"/>
      <c r="F187" s="551"/>
      <c r="G187" s="551"/>
      <c r="H187" s="551"/>
      <c r="I187" s="551"/>
      <c r="J187" s="551"/>
      <c r="K187" s="551"/>
      <c r="L187" s="551"/>
      <c r="M187" s="551"/>
      <c r="N187" s="551"/>
      <c r="O187" s="551"/>
      <c r="P187" s="245"/>
    </row>
    <row r="188" spans="2:16" ht="23.25">
      <c r="B188" s="246"/>
      <c r="C188" s="552" t="s">
        <v>102</v>
      </c>
      <c r="D188" s="552"/>
      <c r="E188" s="552"/>
      <c r="F188" s="552"/>
      <c r="G188" s="552"/>
      <c r="H188" s="552"/>
      <c r="I188" s="552"/>
      <c r="J188" s="552"/>
      <c r="K188" s="552"/>
      <c r="L188" s="552"/>
      <c r="M188" s="552"/>
      <c r="N188" s="552"/>
      <c r="O188" s="552"/>
      <c r="P188" s="247"/>
    </row>
    <row r="189" spans="2:16" ht="24" thickBot="1">
      <c r="B189" s="246"/>
      <c r="C189" s="550"/>
      <c r="D189" s="550"/>
      <c r="E189" s="550"/>
      <c r="F189" s="550"/>
      <c r="G189" s="550"/>
      <c r="H189" s="550"/>
      <c r="I189" s="550"/>
      <c r="J189" s="550"/>
      <c r="K189" s="550"/>
      <c r="L189" s="550"/>
      <c r="M189" s="550"/>
      <c r="N189" s="550"/>
      <c r="O189" s="550"/>
      <c r="P189" s="247"/>
    </row>
    <row r="190" spans="2:16" ht="21" thickBot="1">
      <c r="B190" s="246"/>
      <c r="C190" s="331"/>
      <c r="D190" s="331"/>
      <c r="E190" s="250"/>
      <c r="F190" s="251"/>
      <c r="G190" s="553" t="s">
        <v>158</v>
      </c>
      <c r="H190" s="554"/>
      <c r="I190" s="555"/>
      <c r="J190" s="553" t="s">
        <v>199</v>
      </c>
      <c r="K190" s="554"/>
      <c r="L190" s="555"/>
      <c r="M190" s="553" t="s">
        <v>72</v>
      </c>
      <c r="N190" s="554"/>
      <c r="O190" s="555"/>
      <c r="P190" s="247"/>
    </row>
    <row r="191" spans="2:16" ht="27.75" thickBot="1">
      <c r="B191" s="246"/>
      <c r="C191" s="250"/>
      <c r="D191" s="250"/>
      <c r="E191" s="252"/>
      <c r="F191" s="253"/>
      <c r="G191" s="254" t="s">
        <v>66</v>
      </c>
      <c r="H191" s="255" t="s">
        <v>67</v>
      </c>
      <c r="I191" s="256" t="s">
        <v>68</v>
      </c>
      <c r="J191" s="254" t="s">
        <v>66</v>
      </c>
      <c r="K191" s="255" t="s">
        <v>67</v>
      </c>
      <c r="L191" s="256" t="s">
        <v>68</v>
      </c>
      <c r="M191" s="257" t="s">
        <v>73</v>
      </c>
      <c r="N191" s="258" t="s">
        <v>74</v>
      </c>
      <c r="O191" s="259" t="s">
        <v>75</v>
      </c>
      <c r="P191" s="247"/>
    </row>
    <row r="192" spans="2:16" ht="15.75" thickBot="1">
      <c r="B192" s="246"/>
      <c r="C192" s="556" t="s">
        <v>69</v>
      </c>
      <c r="D192" s="557"/>
      <c r="E192" s="250"/>
      <c r="F192" s="260" t="s">
        <v>70</v>
      </c>
      <c r="G192" s="261"/>
      <c r="H192" s="262"/>
      <c r="I192" s="263">
        <f>'2010 Existing Rates'!$C$9</f>
        <v>21.45</v>
      </c>
      <c r="J192" s="261"/>
      <c r="K192" s="262"/>
      <c r="L192" s="264">
        <f>'Rate Schedule (Part 1)'!$E$23</f>
        <v>28.42</v>
      </c>
      <c r="M192" s="265">
        <f aca="true" t="shared" si="13" ref="M192:M200">+L192-I192</f>
        <v>6.970000000000002</v>
      </c>
      <c r="N192" s="266">
        <f>IF(I192=0," ",(+M192/I192))</f>
        <v>0.3249417249417251</v>
      </c>
      <c r="O192" s="267">
        <f>L192/L210</f>
        <v>0.09752110201611738</v>
      </c>
      <c r="P192" s="247"/>
    </row>
    <row r="193" spans="2:16" ht="18" thickBot="1">
      <c r="B193" s="246"/>
      <c r="C193" s="341">
        <v>2000</v>
      </c>
      <c r="D193" s="342" t="s">
        <v>16</v>
      </c>
      <c r="E193" s="250"/>
      <c r="F193" s="270" t="s">
        <v>71</v>
      </c>
      <c r="G193" s="271">
        <f>+C193</f>
        <v>2000</v>
      </c>
      <c r="H193" s="272">
        <f>'2010 Existing Rates'!$E$9</f>
        <v>0.0123</v>
      </c>
      <c r="I193" s="273">
        <f>+G193*H193</f>
        <v>24.6</v>
      </c>
      <c r="J193" s="271">
        <f>+C193</f>
        <v>2000</v>
      </c>
      <c r="K193" s="375">
        <f>'Rate Schedule (Part 1)'!$E$24</f>
        <v>0.0163</v>
      </c>
      <c r="L193" s="275">
        <f>+J193*K193</f>
        <v>32.599999999999994</v>
      </c>
      <c r="M193" s="276">
        <f t="shared" si="13"/>
        <v>7.999999999999993</v>
      </c>
      <c r="N193" s="277">
        <f aca="true" t="shared" si="14" ref="N193:N200">IF(I193=0," ",(+M193/I193))</f>
        <v>0.32520325203252004</v>
      </c>
      <c r="O193" s="278">
        <f>L193/L210</f>
        <v>0.11186445903326622</v>
      </c>
      <c r="P193" s="247"/>
    </row>
    <row r="194" spans="2:16" ht="17.25">
      <c r="B194" s="246"/>
      <c r="C194" s="279"/>
      <c r="D194" s="283"/>
      <c r="E194" s="250"/>
      <c r="F194" s="270" t="s">
        <v>220</v>
      </c>
      <c r="G194" s="281"/>
      <c r="H194" s="282"/>
      <c r="I194" s="273">
        <v>0</v>
      </c>
      <c r="J194" s="281"/>
      <c r="K194" s="282"/>
      <c r="L194" s="275">
        <f>'Rate Schedule (Part 1)'!$E$25</f>
        <v>0.47</v>
      </c>
      <c r="M194" s="276">
        <f t="shared" si="13"/>
        <v>0.47</v>
      </c>
      <c r="N194" s="277" t="str">
        <f t="shared" si="14"/>
        <v> </v>
      </c>
      <c r="O194" s="278">
        <f>L194/L210</f>
        <v>0.001612769808148317</v>
      </c>
      <c r="P194" s="247"/>
    </row>
    <row r="195" spans="2:16" ht="17.25">
      <c r="B195" s="246"/>
      <c r="C195" s="279"/>
      <c r="D195" s="283"/>
      <c r="E195" s="250"/>
      <c r="F195" s="270" t="s">
        <v>134</v>
      </c>
      <c r="G195" s="284"/>
      <c r="H195" s="285"/>
      <c r="I195" s="273">
        <f>'2010 Existing Rates'!$B$46</f>
        <v>1.63</v>
      </c>
      <c r="J195" s="284"/>
      <c r="K195" s="285"/>
      <c r="L195" s="275">
        <f>'Rate Schedule (Part 1)'!$E$26</f>
        <v>1.2</v>
      </c>
      <c r="M195" s="276">
        <f t="shared" si="13"/>
        <v>-0.42999999999999994</v>
      </c>
      <c r="N195" s="277">
        <f t="shared" si="14"/>
        <v>-0.26380368098159507</v>
      </c>
      <c r="O195" s="278">
        <f>L195/L210</f>
        <v>0.004117710148463788</v>
      </c>
      <c r="P195" s="247"/>
    </row>
    <row r="196" spans="1:16" ht="13.5">
      <c r="A196" s="247"/>
      <c r="B196" s="343"/>
      <c r="C196" s="250"/>
      <c r="D196" s="250"/>
      <c r="E196" s="250"/>
      <c r="F196" s="270" t="s">
        <v>126</v>
      </c>
      <c r="G196" s="271">
        <f>C193</f>
        <v>2000</v>
      </c>
      <c r="H196" s="272"/>
      <c r="I196" s="286">
        <f>+G196*H196</f>
        <v>0</v>
      </c>
      <c r="J196" s="271">
        <f>C193</f>
        <v>2000</v>
      </c>
      <c r="K196" s="274">
        <f>'Rate Schedule (Part 1)'!$E$27</f>
        <v>0.0003</v>
      </c>
      <c r="L196" s="275">
        <f>J196*K196</f>
        <v>0.6</v>
      </c>
      <c r="M196" s="276">
        <f t="shared" si="13"/>
        <v>0.6</v>
      </c>
      <c r="N196" s="277" t="str">
        <f t="shared" si="14"/>
        <v> </v>
      </c>
      <c r="O196" s="278">
        <f>L196/L210</f>
        <v>0.002058855074231894</v>
      </c>
      <c r="P196" s="247"/>
    </row>
    <row r="197" spans="1:16" ht="27">
      <c r="A197" s="247"/>
      <c r="B197" s="343"/>
      <c r="C197" s="250"/>
      <c r="D197" s="250"/>
      <c r="E197" s="250"/>
      <c r="F197" s="270" t="s">
        <v>268</v>
      </c>
      <c r="G197" s="406">
        <f>G196</f>
        <v>2000</v>
      </c>
      <c r="H197" s="288">
        <f>+'2010 Existing Rates'!$B$22</f>
        <v>-0.0014</v>
      </c>
      <c r="I197" s="286">
        <f>+G197*H197</f>
        <v>-2.8</v>
      </c>
      <c r="J197" s="406">
        <f>J196</f>
        <v>2000</v>
      </c>
      <c r="K197" s="274">
        <f>'Rate Schedule (Part 1)'!$E$28</f>
        <v>-0.00143</v>
      </c>
      <c r="L197" s="275">
        <f>J197*K197</f>
        <v>-2.8600000000000003</v>
      </c>
      <c r="M197" s="276">
        <f t="shared" si="13"/>
        <v>-0.0600000000000005</v>
      </c>
      <c r="N197" s="277">
        <f t="shared" si="14"/>
        <v>0.02142857142857161</v>
      </c>
      <c r="O197" s="278">
        <f>L197/L210</f>
        <v>-0.009813875853838696</v>
      </c>
      <c r="P197" s="247"/>
    </row>
    <row r="198" spans="1:16" ht="27">
      <c r="A198" s="247"/>
      <c r="B198" s="343"/>
      <c r="C198" s="250"/>
      <c r="D198" s="250"/>
      <c r="E198" s="250"/>
      <c r="F198" s="270" t="s">
        <v>269</v>
      </c>
      <c r="G198" s="406">
        <f>G197</f>
        <v>2000</v>
      </c>
      <c r="H198" s="288"/>
      <c r="I198" s="286">
        <f>+G198*H198</f>
        <v>0</v>
      </c>
      <c r="J198" s="406">
        <f>J197</f>
        <v>2000</v>
      </c>
      <c r="K198" s="274">
        <f>'Rate Schedule (Part 1)'!$E$29</f>
        <v>0.000222138791977524</v>
      </c>
      <c r="L198" s="275">
        <f>J198*K198</f>
        <v>0.44427758395504796</v>
      </c>
      <c r="M198" s="276">
        <f t="shared" si="13"/>
        <v>0.44427758395504796</v>
      </c>
      <c r="N198" s="277" t="str">
        <f t="shared" si="14"/>
        <v> </v>
      </c>
      <c r="O198" s="278">
        <f>L198/L210</f>
        <v>0.0015245052634888948</v>
      </c>
      <c r="P198" s="247"/>
    </row>
    <row r="199" spans="1:16" ht="27">
      <c r="A199" s="247"/>
      <c r="B199" s="343"/>
      <c r="C199" s="250"/>
      <c r="D199" s="250"/>
      <c r="E199" s="250"/>
      <c r="F199" s="270" t="s">
        <v>270</v>
      </c>
      <c r="G199" s="406">
        <f>G198</f>
        <v>2000</v>
      </c>
      <c r="H199" s="288"/>
      <c r="I199" s="286">
        <f>+G199*H199</f>
        <v>0</v>
      </c>
      <c r="J199" s="406">
        <f>J198</f>
        <v>2000</v>
      </c>
      <c r="K199" s="274">
        <f>'Rate Schedule (Part 1)'!$E$30</f>
        <v>0.00038864786062876817</v>
      </c>
      <c r="L199" s="275">
        <f>J199*K199</f>
        <v>0.7772957212575363</v>
      </c>
      <c r="M199" s="276">
        <f t="shared" si="13"/>
        <v>0.7772957212575363</v>
      </c>
      <c r="N199" s="277" t="str">
        <f t="shared" si="14"/>
        <v> </v>
      </c>
      <c r="O199" s="278">
        <f>L199/L210</f>
        <v>0.0026672320664830307</v>
      </c>
      <c r="P199" s="247"/>
    </row>
    <row r="200" spans="1:16" ht="27.75" thickBot="1">
      <c r="A200" s="247"/>
      <c r="B200" s="343"/>
      <c r="C200" s="250"/>
      <c r="D200" s="250"/>
      <c r="E200" s="250"/>
      <c r="F200" s="270" t="s">
        <v>271</v>
      </c>
      <c r="G200" s="406">
        <f>G199</f>
        <v>2000</v>
      </c>
      <c r="H200" s="288"/>
      <c r="I200" s="286">
        <f>+G200*H200</f>
        <v>0</v>
      </c>
      <c r="J200" s="287">
        <f>+C193</f>
        <v>2000</v>
      </c>
      <c r="K200" s="274">
        <f>'Rate Schedule (Part 1)'!$E$31</f>
        <v>2.1115078323244392E-05</v>
      </c>
      <c r="L200" s="275">
        <f>J200*K200</f>
        <v>0.042230156646488784</v>
      </c>
      <c r="M200" s="276">
        <f t="shared" si="13"/>
        <v>0.042230156646488784</v>
      </c>
      <c r="N200" s="277" t="str">
        <f t="shared" si="14"/>
        <v> </v>
      </c>
      <c r="O200" s="278">
        <f>L200/L210</f>
        <v>0.0001449096204953853</v>
      </c>
      <c r="P200" s="344"/>
    </row>
    <row r="201" spans="1:16" ht="14.25" thickBot="1">
      <c r="A201" s="247"/>
      <c r="F201" s="290" t="s">
        <v>200</v>
      </c>
      <c r="G201" s="548"/>
      <c r="H201" s="549"/>
      <c r="I201" s="291">
        <f>SUM(I192:I200)</f>
        <v>44.88</v>
      </c>
      <c r="J201" s="548"/>
      <c r="K201" s="549"/>
      <c r="L201" s="291">
        <f>SUM(L192:L200)</f>
        <v>61.693803461859076</v>
      </c>
      <c r="M201" s="291">
        <f>SUM(M192:M200)</f>
        <v>16.81380346185907</v>
      </c>
      <c r="N201" s="292">
        <f>+M201/I201</f>
        <v>0.37463911456905236</v>
      </c>
      <c r="O201" s="293">
        <f>L201/L210</f>
        <v>0.21169766717685626</v>
      </c>
      <c r="P201" s="344"/>
    </row>
    <row r="202" spans="1:16" ht="14.25" thickBot="1">
      <c r="A202" s="247"/>
      <c r="F202" s="270" t="s">
        <v>201</v>
      </c>
      <c r="G202" s="294">
        <f>C193*'Other Electriciy Rates'!$L$11</f>
        <v>2088</v>
      </c>
      <c r="H202" s="295">
        <f>'Other Electriciy Rates'!$B$11</f>
        <v>0.0098</v>
      </c>
      <c r="I202" s="273">
        <f>+G202*H202</f>
        <v>20.4624</v>
      </c>
      <c r="J202" s="294">
        <f>'BILL IMPACTS'!C193*'Other Electriciy Rates'!$L$24</f>
        <v>2086.2</v>
      </c>
      <c r="K202" s="375">
        <f>'Other Electriciy Rates'!$B$25</f>
        <v>0.009143387852413433</v>
      </c>
      <c r="L202" s="273">
        <f>+J202*K202</f>
        <v>19.0749357377049</v>
      </c>
      <c r="M202" s="296">
        <f>+L202-I202</f>
        <v>-1.3874642622950972</v>
      </c>
      <c r="N202" s="297">
        <f>IF(I202=0," ",(+M202/I202))</f>
        <v>-0.06780554882590005</v>
      </c>
      <c r="O202" s="267">
        <f>L202/L210</f>
        <v>0.06545421372370172</v>
      </c>
      <c r="P202" s="344"/>
    </row>
    <row r="203" spans="1:16" ht="14.25" thickBot="1">
      <c r="A203" s="247"/>
      <c r="F203" s="290" t="s">
        <v>202</v>
      </c>
      <c r="G203" s="548"/>
      <c r="H203" s="549"/>
      <c r="I203" s="291">
        <f>I201+I202</f>
        <v>65.3424</v>
      </c>
      <c r="J203" s="548"/>
      <c r="K203" s="549"/>
      <c r="L203" s="291">
        <f>L201+L202</f>
        <v>80.76873919956398</v>
      </c>
      <c r="M203" s="291">
        <f>M201+M202</f>
        <v>15.426339199563973</v>
      </c>
      <c r="N203" s="292">
        <f>+M203/I203</f>
        <v>0.23608467395694027</v>
      </c>
      <c r="O203" s="298">
        <f>L203/L210</f>
        <v>0.277151880900558</v>
      </c>
      <c r="P203" s="344"/>
    </row>
    <row r="204" spans="1:16" ht="13.5">
      <c r="A204" s="247"/>
      <c r="F204" s="299" t="s">
        <v>76</v>
      </c>
      <c r="G204" s="300">
        <f>+'Other Electriciy Rates'!$L$11*C193</f>
        <v>2088</v>
      </c>
      <c r="H204" s="301">
        <f>'Other Electriciy Rates'!$C$11+'Other Electriciy Rates'!$D$11</f>
        <v>0.0135</v>
      </c>
      <c r="I204" s="302">
        <f>+G204*H204</f>
        <v>28.188</v>
      </c>
      <c r="J204" s="300">
        <f>J202</f>
        <v>2086.2</v>
      </c>
      <c r="K204" s="301">
        <f>'Other Electriciy Rates'!$C$25+'Other Electriciy Rates'!$D$25</f>
        <v>0.0135</v>
      </c>
      <c r="L204" s="303">
        <f>+J204*K204</f>
        <v>28.1637</v>
      </c>
      <c r="M204" s="304">
        <f>+L204-I204</f>
        <v>-0.02430000000000021</v>
      </c>
      <c r="N204" s="305">
        <f>IF(I204=0," ",(+M204/I204))</f>
        <v>-0.0008620689655172488</v>
      </c>
      <c r="O204" s="306">
        <f>L204/L210</f>
        <v>0.09664162775690799</v>
      </c>
      <c r="P204" s="344"/>
    </row>
    <row r="205" spans="1:16" ht="13.5">
      <c r="A205" s="247"/>
      <c r="B205" s="343"/>
      <c r="C205" s="250"/>
      <c r="D205" s="250"/>
      <c r="E205" s="250"/>
      <c r="F205" s="307" t="s">
        <v>224</v>
      </c>
      <c r="G205" s="271">
        <f>IF('Other Electriciy Rates'!$L$11*C193&lt;$D$165,'Other Electriciy Rates'!$L$11*C193,$D$165)</f>
        <v>750</v>
      </c>
      <c r="H205" s="301">
        <f>'Other Electriciy Rates'!$J$11</f>
        <v>0.065</v>
      </c>
      <c r="I205" s="273">
        <f>+G205*H205</f>
        <v>48.75</v>
      </c>
      <c r="J205" s="271">
        <f>IF('Other Electriciy Rates'!$L$25*C193&lt;$D$10,'Other Electriciy Rates'!$L$25*C193,$D$165)</f>
        <v>750</v>
      </c>
      <c r="K205" s="308">
        <f>'Other Electriciy Rates'!$J$25</f>
        <v>0.065</v>
      </c>
      <c r="L205" s="275">
        <f>+J205*K205</f>
        <v>48.75</v>
      </c>
      <c r="M205" s="276">
        <f>+L205-I205</f>
        <v>0</v>
      </c>
      <c r="N205" s="277">
        <f>IF(I205=0," ",(+M205/I205))</f>
        <v>0</v>
      </c>
      <c r="O205" s="278">
        <f>L205/L210</f>
        <v>0.16728197478134138</v>
      </c>
      <c r="P205" s="344"/>
    </row>
    <row r="206" spans="2:16" ht="14.25" thickBot="1">
      <c r="B206" s="246"/>
      <c r="C206" s="250"/>
      <c r="D206" s="250"/>
      <c r="E206" s="250"/>
      <c r="F206" s="363" t="s">
        <v>225</v>
      </c>
      <c r="G206" s="309">
        <f>IF(G205&lt;$D$165,0,(C193*'Other Electriciy Rates'!$L$11)-G205)</f>
        <v>1338</v>
      </c>
      <c r="H206" s="310">
        <f>'Other Electriciy Rates'!$K$11</f>
        <v>0.075</v>
      </c>
      <c r="I206" s="311">
        <f>+G206*H206</f>
        <v>100.35</v>
      </c>
      <c r="J206" s="309">
        <f>IF(J205&lt;$D$165,0,(C193*'Other Electriciy Rates'!$L$25)-J205)</f>
        <v>1336.1999999999998</v>
      </c>
      <c r="K206" s="310">
        <f>'Other Electriciy Rates'!$K$25</f>
        <v>0.075</v>
      </c>
      <c r="L206" s="312">
        <f>+J206*K206</f>
        <v>100.21499999999999</v>
      </c>
      <c r="M206" s="313">
        <f>+L206-I206</f>
        <v>-0.13500000000000512</v>
      </c>
      <c r="N206" s="314">
        <f>IF(I206=0," ",(+M206/I206))</f>
        <v>-0.0013452914798206788</v>
      </c>
      <c r="O206" s="315">
        <f>L206/L210</f>
        <v>0.3438802687735821</v>
      </c>
      <c r="P206" s="247"/>
    </row>
    <row r="207" spans="2:16" ht="14.25" thickBot="1">
      <c r="B207" s="246"/>
      <c r="C207" s="250"/>
      <c r="D207" s="250"/>
      <c r="E207" s="250"/>
      <c r="F207" s="316" t="s">
        <v>222</v>
      </c>
      <c r="G207" s="317"/>
      <c r="H207" s="318"/>
      <c r="I207" s="319">
        <f>SUM(I204:I206)</f>
        <v>177.288</v>
      </c>
      <c r="J207" s="558"/>
      <c r="K207" s="559"/>
      <c r="L207" s="319">
        <f>SUM(L204:L206)</f>
        <v>177.12869999999998</v>
      </c>
      <c r="M207" s="319">
        <f>SUM(M204:M206)</f>
        <v>-0.15930000000000533</v>
      </c>
      <c r="N207" s="320">
        <f>+M207/I207</f>
        <v>-0.0008985379721132018</v>
      </c>
      <c r="O207" s="321">
        <f>L207/L210</f>
        <v>0.6078038713118314</v>
      </c>
      <c r="P207" s="247"/>
    </row>
    <row r="208" spans="2:16" ht="14.25" thickBot="1">
      <c r="B208" s="246"/>
      <c r="C208" s="250"/>
      <c r="D208" s="250"/>
      <c r="E208" s="250"/>
      <c r="F208" s="290" t="s">
        <v>157</v>
      </c>
      <c r="G208" s="548"/>
      <c r="H208" s="549"/>
      <c r="I208" s="291">
        <f>I203+I207</f>
        <v>242.6304</v>
      </c>
      <c r="J208" s="548"/>
      <c r="K208" s="549"/>
      <c r="L208" s="291">
        <f>L203+L207</f>
        <v>257.89743919956396</v>
      </c>
      <c r="M208" s="291">
        <f>M203+M207</f>
        <v>15.267039199563968</v>
      </c>
      <c r="N208" s="292">
        <f>+M208/I208</f>
        <v>0.06292302695607792</v>
      </c>
      <c r="O208" s="298">
        <f>L208/L210</f>
        <v>0.8849557522123894</v>
      </c>
      <c r="P208" s="247"/>
    </row>
    <row r="209" spans="2:16" ht="14.25" thickBot="1">
      <c r="B209" s="246"/>
      <c r="C209" s="250"/>
      <c r="D209" s="250"/>
      <c r="E209" s="345"/>
      <c r="F209" s="324" t="s">
        <v>205</v>
      </c>
      <c r="G209" s="317"/>
      <c r="H209" s="325">
        <v>0.05</v>
      </c>
      <c r="I209" s="326">
        <f>I208*H209</f>
        <v>12.131520000000002</v>
      </c>
      <c r="J209" s="317"/>
      <c r="K209" s="325">
        <v>0.13</v>
      </c>
      <c r="L209" s="327">
        <f>L208*K209</f>
        <v>33.52666709594332</v>
      </c>
      <c r="M209" s="328">
        <f>+L209-I209</f>
        <v>21.395147095943315</v>
      </c>
      <c r="N209" s="329">
        <f>IF(I209=0," ",(+M209/I209))</f>
        <v>1.7635998700858022</v>
      </c>
      <c r="O209" s="315">
        <f>L209/L210</f>
        <v>0.11504424778761063</v>
      </c>
      <c r="P209" s="247"/>
    </row>
    <row r="210" spans="2:16" ht="15" thickBot="1">
      <c r="B210" s="339"/>
      <c r="C210" s="346"/>
      <c r="D210" s="346"/>
      <c r="E210" s="346"/>
      <c r="F210" s="333" t="s">
        <v>78</v>
      </c>
      <c r="G210" s="560"/>
      <c r="H210" s="561"/>
      <c r="I210" s="334">
        <f>I208+I209</f>
        <v>254.76192</v>
      </c>
      <c r="J210" s="560"/>
      <c r="K210" s="561"/>
      <c r="L210" s="334">
        <f>L208+L209</f>
        <v>291.4241062955073</v>
      </c>
      <c r="M210" s="334">
        <f>M208+M209</f>
        <v>36.66218629550728</v>
      </c>
      <c r="N210" s="335">
        <f>+M210/I210</f>
        <v>0.14390763853368385</v>
      </c>
      <c r="O210" s="336">
        <f>O208+O209</f>
        <v>1</v>
      </c>
      <c r="P210" s="340"/>
    </row>
    <row r="211" spans="2:16" ht="15" thickBot="1">
      <c r="B211" s="343"/>
      <c r="C211" s="250"/>
      <c r="D211" s="250"/>
      <c r="E211" s="250"/>
      <c r="F211" s="355"/>
      <c r="G211" s="356"/>
      <c r="H211" s="357"/>
      <c r="I211" s="358"/>
      <c r="J211" s="356"/>
      <c r="K211" s="359"/>
      <c r="L211" s="358"/>
      <c r="M211" s="360"/>
      <c r="N211" s="361"/>
      <c r="O211" s="362"/>
      <c r="P211" s="343"/>
    </row>
    <row r="212" spans="2:16" ht="23.25">
      <c r="B212" s="244"/>
      <c r="C212" s="551"/>
      <c r="D212" s="551"/>
      <c r="E212" s="551"/>
      <c r="F212" s="551"/>
      <c r="G212" s="551"/>
      <c r="H212" s="551"/>
      <c r="I212" s="551"/>
      <c r="J212" s="551"/>
      <c r="K212" s="551"/>
      <c r="L212" s="551"/>
      <c r="M212" s="551"/>
      <c r="N212" s="551"/>
      <c r="O212" s="551"/>
      <c r="P212" s="245"/>
    </row>
    <row r="213" spans="2:16" ht="23.25">
      <c r="B213" s="246"/>
      <c r="C213" s="552" t="s">
        <v>102</v>
      </c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247"/>
    </row>
    <row r="214" spans="2:16" ht="24" thickBot="1">
      <c r="B214" s="246"/>
      <c r="C214" s="550"/>
      <c r="D214" s="550"/>
      <c r="E214" s="550"/>
      <c r="F214" s="550"/>
      <c r="G214" s="550"/>
      <c r="H214" s="550"/>
      <c r="I214" s="550"/>
      <c r="J214" s="550"/>
      <c r="K214" s="550"/>
      <c r="L214" s="550"/>
      <c r="M214" s="550"/>
      <c r="N214" s="550"/>
      <c r="O214" s="550"/>
      <c r="P214" s="247"/>
    </row>
    <row r="215" spans="2:16" ht="21" thickBot="1">
      <c r="B215" s="246"/>
      <c r="C215" s="331"/>
      <c r="D215" s="331"/>
      <c r="E215" s="250"/>
      <c r="F215" s="251"/>
      <c r="G215" s="553" t="s">
        <v>158</v>
      </c>
      <c r="H215" s="554"/>
      <c r="I215" s="555"/>
      <c r="J215" s="553" t="s">
        <v>199</v>
      </c>
      <c r="K215" s="554"/>
      <c r="L215" s="555"/>
      <c r="M215" s="553" t="s">
        <v>72</v>
      </c>
      <c r="N215" s="554"/>
      <c r="O215" s="555"/>
      <c r="P215" s="247"/>
    </row>
    <row r="216" spans="2:16" ht="27.75" thickBot="1">
      <c r="B216" s="246"/>
      <c r="C216" s="250"/>
      <c r="D216" s="250"/>
      <c r="E216" s="252"/>
      <c r="F216" s="253"/>
      <c r="G216" s="254" t="s">
        <v>66</v>
      </c>
      <c r="H216" s="255" t="s">
        <v>67</v>
      </c>
      <c r="I216" s="256" t="s">
        <v>68</v>
      </c>
      <c r="J216" s="254" t="s">
        <v>66</v>
      </c>
      <c r="K216" s="255" t="s">
        <v>67</v>
      </c>
      <c r="L216" s="256" t="s">
        <v>68</v>
      </c>
      <c r="M216" s="257" t="s">
        <v>73</v>
      </c>
      <c r="N216" s="258" t="s">
        <v>74</v>
      </c>
      <c r="O216" s="259" t="s">
        <v>75</v>
      </c>
      <c r="P216" s="247"/>
    </row>
    <row r="217" spans="2:16" ht="15.75" thickBot="1">
      <c r="B217" s="246"/>
      <c r="C217" s="556" t="s">
        <v>69</v>
      </c>
      <c r="D217" s="557"/>
      <c r="E217" s="250"/>
      <c r="F217" s="260" t="s">
        <v>70</v>
      </c>
      <c r="G217" s="261"/>
      <c r="H217" s="262"/>
      <c r="I217" s="263">
        <f>'2010 Existing Rates'!$C$9</f>
        <v>21.45</v>
      </c>
      <c r="J217" s="261"/>
      <c r="K217" s="262"/>
      <c r="L217" s="264">
        <f>'Rate Schedule (Part 1)'!$E$23</f>
        <v>28.42</v>
      </c>
      <c r="M217" s="265">
        <f aca="true" t="shared" si="15" ref="M217:M225">+L217-I217</f>
        <v>6.970000000000002</v>
      </c>
      <c r="N217" s="266">
        <f>IF(I217=0," ",(+M217/I217))</f>
        <v>0.3249417249417251</v>
      </c>
      <c r="O217" s="267">
        <f>L217/L235</f>
        <v>0.04117228203100611</v>
      </c>
      <c r="P217" s="247"/>
    </row>
    <row r="218" spans="2:16" ht="18" thickBot="1">
      <c r="B218" s="246"/>
      <c r="C218" s="341">
        <v>5000</v>
      </c>
      <c r="D218" s="342" t="s">
        <v>16</v>
      </c>
      <c r="E218" s="250"/>
      <c r="F218" s="270" t="s">
        <v>71</v>
      </c>
      <c r="G218" s="271">
        <f>+C218</f>
        <v>5000</v>
      </c>
      <c r="H218" s="272">
        <f>'2010 Existing Rates'!$E$9</f>
        <v>0.0123</v>
      </c>
      <c r="I218" s="273">
        <f>+G218*H218</f>
        <v>61.5</v>
      </c>
      <c r="J218" s="271">
        <f>+C218</f>
        <v>5000</v>
      </c>
      <c r="K218" s="375">
        <f>'Rate Schedule (Part 1)'!$E$24</f>
        <v>0.0163</v>
      </c>
      <c r="L218" s="275">
        <f>+J218*K218</f>
        <v>81.49999999999999</v>
      </c>
      <c r="M218" s="276">
        <f t="shared" si="15"/>
        <v>19.999999999999986</v>
      </c>
      <c r="N218" s="277">
        <f aca="true" t="shared" si="16" ref="N218:N225">IF(I218=0," ",(+M218/I218))</f>
        <v>0.3252032520325201</v>
      </c>
      <c r="O218" s="278">
        <f>L218/L235</f>
        <v>0.1180697039242434</v>
      </c>
      <c r="P218" s="247"/>
    </row>
    <row r="219" spans="2:16" ht="17.25">
      <c r="B219" s="246"/>
      <c r="C219" s="279"/>
      <c r="D219" s="283"/>
      <c r="E219" s="250"/>
      <c r="F219" s="270" t="s">
        <v>220</v>
      </c>
      <c r="G219" s="281"/>
      <c r="H219" s="282"/>
      <c r="I219" s="273">
        <v>0</v>
      </c>
      <c r="J219" s="281"/>
      <c r="K219" s="282"/>
      <c r="L219" s="275">
        <f>'Rate Schedule (Part 1)'!$E$25</f>
        <v>0.47</v>
      </c>
      <c r="M219" s="276">
        <f t="shared" si="15"/>
        <v>0.47</v>
      </c>
      <c r="N219" s="277" t="str">
        <f t="shared" si="16"/>
        <v> </v>
      </c>
      <c r="O219" s="278">
        <f>L219/L235</f>
        <v>0.0006808927710968639</v>
      </c>
      <c r="P219" s="247"/>
    </row>
    <row r="220" spans="2:16" ht="17.25">
      <c r="B220" s="246"/>
      <c r="C220" s="279"/>
      <c r="D220" s="283"/>
      <c r="E220" s="250"/>
      <c r="F220" s="270" t="s">
        <v>134</v>
      </c>
      <c r="G220" s="284"/>
      <c r="H220" s="285"/>
      <c r="I220" s="273">
        <f>'2010 Existing Rates'!$B$46</f>
        <v>1.63</v>
      </c>
      <c r="J220" s="284"/>
      <c r="K220" s="285"/>
      <c r="L220" s="275">
        <f>'Rate Schedule (Part 1)'!$E$26</f>
        <v>1.2</v>
      </c>
      <c r="M220" s="276">
        <f t="shared" si="15"/>
        <v>-0.42999999999999994</v>
      </c>
      <c r="N220" s="277">
        <f t="shared" si="16"/>
        <v>-0.26380368098159507</v>
      </c>
      <c r="O220" s="278">
        <f>L220/L235</f>
        <v>0.0017384496283324184</v>
      </c>
      <c r="P220" s="247"/>
    </row>
    <row r="221" spans="1:16" ht="13.5">
      <c r="A221" s="247"/>
      <c r="B221" s="343"/>
      <c r="C221" s="250"/>
      <c r="D221" s="250"/>
      <c r="E221" s="250"/>
      <c r="F221" s="270" t="s">
        <v>126</v>
      </c>
      <c r="G221" s="271">
        <f>C218</f>
        <v>5000</v>
      </c>
      <c r="H221" s="272"/>
      <c r="I221" s="286">
        <f>+G221*H221</f>
        <v>0</v>
      </c>
      <c r="J221" s="271">
        <f>C218</f>
        <v>5000</v>
      </c>
      <c r="K221" s="274">
        <f>'Rate Schedule (Part 1)'!$E$27</f>
        <v>0.0003</v>
      </c>
      <c r="L221" s="275">
        <f>J221*K221</f>
        <v>1.4999999999999998</v>
      </c>
      <c r="M221" s="276">
        <f t="shared" si="15"/>
        <v>1.4999999999999998</v>
      </c>
      <c r="N221" s="277" t="str">
        <f t="shared" si="16"/>
        <v> </v>
      </c>
      <c r="O221" s="278">
        <f>L221/L235</f>
        <v>0.002173062035415523</v>
      </c>
      <c r="P221" s="247"/>
    </row>
    <row r="222" spans="1:16" ht="27">
      <c r="A222" s="247"/>
      <c r="B222" s="343"/>
      <c r="C222" s="250"/>
      <c r="D222" s="250"/>
      <c r="E222" s="250"/>
      <c r="F222" s="270" t="s">
        <v>268</v>
      </c>
      <c r="G222" s="406">
        <f>G221</f>
        <v>5000</v>
      </c>
      <c r="H222" s="288">
        <f>+'2010 Existing Rates'!$B$22</f>
        <v>-0.0014</v>
      </c>
      <c r="I222" s="286">
        <f>+G222*H222</f>
        <v>-7</v>
      </c>
      <c r="J222" s="406">
        <f>J221</f>
        <v>5000</v>
      </c>
      <c r="K222" s="274">
        <f>'Rate Schedule (Part 1)'!$E$28</f>
        <v>-0.00143</v>
      </c>
      <c r="L222" s="275">
        <f>J222*K222</f>
        <v>-7.15</v>
      </c>
      <c r="M222" s="276">
        <f t="shared" si="15"/>
        <v>-0.15000000000000036</v>
      </c>
      <c r="N222" s="277">
        <f t="shared" si="16"/>
        <v>0.02142857142857148</v>
      </c>
      <c r="O222" s="278">
        <f>L222/L235</f>
        <v>-0.010358262368813995</v>
      </c>
      <c r="P222" s="247"/>
    </row>
    <row r="223" spans="1:16" ht="27">
      <c r="A223" s="247"/>
      <c r="B223" s="343"/>
      <c r="C223" s="250"/>
      <c r="D223" s="250"/>
      <c r="E223" s="250"/>
      <c r="F223" s="270" t="s">
        <v>269</v>
      </c>
      <c r="G223" s="406">
        <f>G222</f>
        <v>5000</v>
      </c>
      <c r="H223" s="288"/>
      <c r="I223" s="286">
        <f>+G223*H223</f>
        <v>0</v>
      </c>
      <c r="J223" s="406">
        <f>J222</f>
        <v>5000</v>
      </c>
      <c r="K223" s="274">
        <f>'Rate Schedule (Part 1)'!$E$29</f>
        <v>0.000222138791977524</v>
      </c>
      <c r="L223" s="275">
        <f>J223*K223</f>
        <v>1.11069395988762</v>
      </c>
      <c r="M223" s="276">
        <f t="shared" si="15"/>
        <v>1.11069395988762</v>
      </c>
      <c r="N223" s="277" t="str">
        <f t="shared" si="16"/>
        <v> </v>
      </c>
      <c r="O223" s="278">
        <f>L223/L235</f>
        <v>0.001609071251464746</v>
      </c>
      <c r="P223" s="247"/>
    </row>
    <row r="224" spans="1:16" ht="27">
      <c r="A224" s="247"/>
      <c r="B224" s="343"/>
      <c r="C224" s="250"/>
      <c r="D224" s="250"/>
      <c r="E224" s="250"/>
      <c r="F224" s="270" t="s">
        <v>270</v>
      </c>
      <c r="G224" s="406">
        <f>G223</f>
        <v>5000</v>
      </c>
      <c r="H224" s="288"/>
      <c r="I224" s="286">
        <f>+G224*H224</f>
        <v>0</v>
      </c>
      <c r="J224" s="406">
        <f>J223</f>
        <v>5000</v>
      </c>
      <c r="K224" s="274">
        <f>'Rate Schedule (Part 1)'!$E$30</f>
        <v>0.00038864786062876817</v>
      </c>
      <c r="L224" s="275">
        <f>J224*K224</f>
        <v>1.9432393031438409</v>
      </c>
      <c r="M224" s="276">
        <f t="shared" si="15"/>
        <v>1.9432393031438409</v>
      </c>
      <c r="N224" s="277" t="str">
        <f t="shared" si="16"/>
        <v> </v>
      </c>
      <c r="O224" s="278">
        <f>L224/L235</f>
        <v>0.0028151863702594654</v>
      </c>
      <c r="P224" s="247"/>
    </row>
    <row r="225" spans="1:16" ht="27.75" thickBot="1">
      <c r="A225" s="247"/>
      <c r="B225" s="343"/>
      <c r="C225" s="250"/>
      <c r="D225" s="250"/>
      <c r="E225" s="250"/>
      <c r="F225" s="270" t="s">
        <v>271</v>
      </c>
      <c r="G225" s="406">
        <f>G224</f>
        <v>5000</v>
      </c>
      <c r="H225" s="288"/>
      <c r="I225" s="286">
        <f>+G225*H225</f>
        <v>0</v>
      </c>
      <c r="J225" s="287">
        <f>+C218</f>
        <v>5000</v>
      </c>
      <c r="K225" s="274">
        <f>'Rate Schedule (Part 1)'!$E$31</f>
        <v>2.1115078323244392E-05</v>
      </c>
      <c r="L225" s="275">
        <f>J225*K225</f>
        <v>0.10557539161622195</v>
      </c>
      <c r="M225" s="276">
        <f t="shared" si="15"/>
        <v>0.10557539161622195</v>
      </c>
      <c r="N225" s="277" t="str">
        <f t="shared" si="16"/>
        <v> </v>
      </c>
      <c r="O225" s="278">
        <f>L225/L235</f>
        <v>0.0001529479169302255</v>
      </c>
      <c r="P225" s="344"/>
    </row>
    <row r="226" spans="1:16" ht="14.25" thickBot="1">
      <c r="A226" s="247"/>
      <c r="F226" s="290" t="s">
        <v>200</v>
      </c>
      <c r="G226" s="548"/>
      <c r="H226" s="549"/>
      <c r="I226" s="291">
        <f>SUM(I217:I225)</f>
        <v>77.58</v>
      </c>
      <c r="J226" s="548"/>
      <c r="K226" s="549"/>
      <c r="L226" s="291">
        <f>SUM(L217:L225)</f>
        <v>109.09950865464768</v>
      </c>
      <c r="M226" s="291">
        <f>SUM(M217:M225)</f>
        <v>31.519508654647666</v>
      </c>
      <c r="N226" s="292">
        <f>+M226/I226</f>
        <v>0.4062839475979333</v>
      </c>
      <c r="O226" s="293">
        <f>L226/L235</f>
        <v>0.15805333355993478</v>
      </c>
      <c r="P226" s="344"/>
    </row>
    <row r="227" spans="1:16" ht="14.25" thickBot="1">
      <c r="A227" s="247"/>
      <c r="F227" s="270" t="s">
        <v>201</v>
      </c>
      <c r="G227" s="294">
        <f>C218*'Other Electriciy Rates'!$L$11</f>
        <v>5220</v>
      </c>
      <c r="H227" s="295">
        <f>'Other Electriciy Rates'!$B$11</f>
        <v>0.0098</v>
      </c>
      <c r="I227" s="273">
        <f>+G227*H227</f>
        <v>51.156</v>
      </c>
      <c r="J227" s="294">
        <f>'BILL IMPACTS'!C218*'Other Electriciy Rates'!$L$24</f>
        <v>5215.5</v>
      </c>
      <c r="K227" s="375">
        <f>'Other Electriciy Rates'!$B$25</f>
        <v>0.009143387852413433</v>
      </c>
      <c r="L227" s="273">
        <f>+J227*K227</f>
        <v>47.687339344262256</v>
      </c>
      <c r="M227" s="296">
        <f>+L227-I227</f>
        <v>-3.468660655737743</v>
      </c>
      <c r="N227" s="297">
        <f>IF(I227=0," ",(+M227/I227))</f>
        <v>-0.06780554882590005</v>
      </c>
      <c r="O227" s="267">
        <f>L227/L235</f>
        <v>0.0690850311326622</v>
      </c>
      <c r="P227" s="344"/>
    </row>
    <row r="228" spans="1:16" ht="14.25" thickBot="1">
      <c r="A228" s="247"/>
      <c r="F228" s="290" t="s">
        <v>202</v>
      </c>
      <c r="G228" s="548"/>
      <c r="H228" s="549"/>
      <c r="I228" s="291">
        <f>I226+I227</f>
        <v>128.736</v>
      </c>
      <c r="J228" s="548"/>
      <c r="K228" s="549"/>
      <c r="L228" s="291">
        <f>L226+L227</f>
        <v>156.78684799890993</v>
      </c>
      <c r="M228" s="291">
        <f>M226+M227</f>
        <v>28.050847998909923</v>
      </c>
      <c r="N228" s="292">
        <f>+M228/I228</f>
        <v>0.21789435743622548</v>
      </c>
      <c r="O228" s="298">
        <f>L228/L235</f>
        <v>0.227138364692597</v>
      </c>
      <c r="P228" s="344"/>
    </row>
    <row r="229" spans="1:16" ht="13.5">
      <c r="A229" s="247"/>
      <c r="F229" s="299" t="s">
        <v>76</v>
      </c>
      <c r="G229" s="300">
        <f>+'Other Electriciy Rates'!$L$11*C218</f>
        <v>5220</v>
      </c>
      <c r="H229" s="301">
        <f>'Other Electriciy Rates'!$C$11+'Other Electriciy Rates'!$D$11</f>
        <v>0.0135</v>
      </c>
      <c r="I229" s="302">
        <f>+G229*H229</f>
        <v>70.47</v>
      </c>
      <c r="J229" s="300">
        <f>J227</f>
        <v>5215.5</v>
      </c>
      <c r="K229" s="301">
        <f>'Other Electriciy Rates'!$C$25+'Other Electriciy Rates'!$D$25</f>
        <v>0.0135</v>
      </c>
      <c r="L229" s="303">
        <f>+J229*K229</f>
        <v>70.40925</v>
      </c>
      <c r="M229" s="304">
        <f>+L229-I229</f>
        <v>-0.06074999999999875</v>
      </c>
      <c r="N229" s="305">
        <f>IF(I229=0," ",(+M229/I229))</f>
        <v>-0.0008620689655172237</v>
      </c>
      <c r="O229" s="306">
        <f>L229/L235</f>
        <v>0.10200244541138695</v>
      </c>
      <c r="P229" s="344"/>
    </row>
    <row r="230" spans="1:16" ht="13.5">
      <c r="A230" s="247"/>
      <c r="B230" s="343"/>
      <c r="C230" s="250"/>
      <c r="D230" s="250"/>
      <c r="E230" s="250"/>
      <c r="F230" s="307" t="s">
        <v>224</v>
      </c>
      <c r="G230" s="271">
        <f>IF('Other Electriciy Rates'!$L$11*C218&lt;$D$165,'Other Electriciy Rates'!$L$11*C218,$D$165)</f>
        <v>750</v>
      </c>
      <c r="H230" s="301">
        <f>'Other Electriciy Rates'!$J$11</f>
        <v>0.065</v>
      </c>
      <c r="I230" s="273">
        <f>+G230*H230</f>
        <v>48.75</v>
      </c>
      <c r="J230" s="271">
        <f>IF('Other Electriciy Rates'!$L$25*C218&lt;$D$10,'Other Electriciy Rates'!$L$25*C218,$D$165)</f>
        <v>750</v>
      </c>
      <c r="K230" s="308">
        <f>'Other Electriciy Rates'!$J$25</f>
        <v>0.065</v>
      </c>
      <c r="L230" s="275">
        <f>+J230*K230</f>
        <v>48.75</v>
      </c>
      <c r="M230" s="276">
        <f>+L230-I230</f>
        <v>0</v>
      </c>
      <c r="N230" s="277">
        <f>IF(I230=0," ",(+M230/I230))</f>
        <v>0</v>
      </c>
      <c r="O230" s="278">
        <f>L230/L235</f>
        <v>0.0706245161510045</v>
      </c>
      <c r="P230" s="344"/>
    </row>
    <row r="231" spans="2:16" ht="14.25" thickBot="1">
      <c r="B231" s="246"/>
      <c r="C231" s="250"/>
      <c r="D231" s="250"/>
      <c r="E231" s="250"/>
      <c r="F231" s="363" t="s">
        <v>225</v>
      </c>
      <c r="G231" s="309">
        <f>IF(G230&lt;$D$165,0,(C218*'Other Electriciy Rates'!$L$11)-G230)</f>
        <v>4470</v>
      </c>
      <c r="H231" s="310">
        <f>'Other Electriciy Rates'!$K$11</f>
        <v>0.075</v>
      </c>
      <c r="I231" s="311">
        <f>+G231*H231</f>
        <v>335.25</v>
      </c>
      <c r="J231" s="309">
        <f>IF(J230&lt;$D$165,0,(C218*'Other Electriciy Rates'!$L$25)-J230)</f>
        <v>4465.5</v>
      </c>
      <c r="K231" s="310">
        <f>'Other Electriciy Rates'!$K$25</f>
        <v>0.075</v>
      </c>
      <c r="L231" s="312">
        <f>+J231*K231</f>
        <v>334.91249999999997</v>
      </c>
      <c r="M231" s="313">
        <f>+L231-I231</f>
        <v>-0.3375000000000341</v>
      </c>
      <c r="N231" s="314">
        <f>IF(I231=0," ",(+M231/I231))</f>
        <v>-0.001006711409396075</v>
      </c>
      <c r="O231" s="315">
        <f>L231/L235</f>
        <v>0.4851904259574009</v>
      </c>
      <c r="P231" s="247"/>
    </row>
    <row r="232" spans="2:16" ht="14.25" thickBot="1">
      <c r="B232" s="246"/>
      <c r="C232" s="250"/>
      <c r="D232" s="250"/>
      <c r="E232" s="250"/>
      <c r="F232" s="316" t="s">
        <v>222</v>
      </c>
      <c r="G232" s="317"/>
      <c r="H232" s="318"/>
      <c r="I232" s="319">
        <f>SUM(I229:I231)</f>
        <v>454.47</v>
      </c>
      <c r="J232" s="558"/>
      <c r="K232" s="559"/>
      <c r="L232" s="319">
        <f>SUM(L229:L231)</f>
        <v>454.07174999999995</v>
      </c>
      <c r="M232" s="319">
        <f>SUM(M229:M231)</f>
        <v>-0.39825000000003286</v>
      </c>
      <c r="N232" s="320">
        <f>+M232/I232</f>
        <v>-0.00087629546504727</v>
      </c>
      <c r="O232" s="321">
        <f>L232/L235</f>
        <v>0.6578173875197924</v>
      </c>
      <c r="P232" s="247"/>
    </row>
    <row r="233" spans="2:16" ht="14.25" thickBot="1">
      <c r="B233" s="246"/>
      <c r="C233" s="250"/>
      <c r="D233" s="250"/>
      <c r="E233" s="250"/>
      <c r="F233" s="290" t="s">
        <v>157</v>
      </c>
      <c r="G233" s="548"/>
      <c r="H233" s="549"/>
      <c r="I233" s="291">
        <f>I228+I232</f>
        <v>583.206</v>
      </c>
      <c r="J233" s="548"/>
      <c r="K233" s="549"/>
      <c r="L233" s="291">
        <f>L228+L232</f>
        <v>610.8585979989099</v>
      </c>
      <c r="M233" s="291">
        <f>M228+M232</f>
        <v>27.65259799890989</v>
      </c>
      <c r="N233" s="292">
        <f>+M233/I233</f>
        <v>0.047414803686707425</v>
      </c>
      <c r="O233" s="298">
        <f>L233/L235</f>
        <v>0.8849557522123893</v>
      </c>
      <c r="P233" s="247"/>
    </row>
    <row r="234" spans="2:16" ht="14.25" thickBot="1">
      <c r="B234" s="246"/>
      <c r="C234" s="250"/>
      <c r="D234" s="250"/>
      <c r="E234" s="345"/>
      <c r="F234" s="324" t="s">
        <v>205</v>
      </c>
      <c r="G234" s="317"/>
      <c r="H234" s="325">
        <v>0.05</v>
      </c>
      <c r="I234" s="326">
        <f>I233*H234</f>
        <v>29.160300000000003</v>
      </c>
      <c r="J234" s="317"/>
      <c r="K234" s="325">
        <v>0.13</v>
      </c>
      <c r="L234" s="327">
        <f>L233*K234</f>
        <v>79.41161773985829</v>
      </c>
      <c r="M234" s="328">
        <f>+L234-I234</f>
        <v>50.25131773985828</v>
      </c>
      <c r="N234" s="329">
        <f>IF(I234=0," ",(+M234/I234))</f>
        <v>1.723278489585439</v>
      </c>
      <c r="O234" s="315">
        <f>L234/L235</f>
        <v>0.11504424778761062</v>
      </c>
      <c r="P234" s="247"/>
    </row>
    <row r="235" spans="2:16" ht="15" thickBot="1">
      <c r="B235" s="339"/>
      <c r="C235" s="346"/>
      <c r="D235" s="346"/>
      <c r="E235" s="346"/>
      <c r="F235" s="333" t="s">
        <v>78</v>
      </c>
      <c r="G235" s="560"/>
      <c r="H235" s="561"/>
      <c r="I235" s="334">
        <f>I233+I234</f>
        <v>612.3663</v>
      </c>
      <c r="J235" s="560"/>
      <c r="K235" s="561"/>
      <c r="L235" s="334">
        <f>L233+L234</f>
        <v>690.2702157387682</v>
      </c>
      <c r="M235" s="334">
        <f>M233+M234</f>
        <v>77.90391573876818</v>
      </c>
      <c r="N235" s="335">
        <f>+M235/I235</f>
        <v>0.1272178363485518</v>
      </c>
      <c r="O235" s="336">
        <f>O233+O234</f>
        <v>0.9999999999999999</v>
      </c>
      <c r="P235" s="340"/>
    </row>
    <row r="236" spans="2:16" ht="15" thickBot="1">
      <c r="B236" s="343"/>
      <c r="C236" s="250"/>
      <c r="D236" s="250"/>
      <c r="E236" s="250"/>
      <c r="F236" s="355"/>
      <c r="G236" s="356"/>
      <c r="H236" s="357"/>
      <c r="I236" s="358"/>
      <c r="J236" s="356"/>
      <c r="K236" s="359"/>
      <c r="L236" s="358"/>
      <c r="M236" s="360"/>
      <c r="N236" s="361"/>
      <c r="O236" s="362"/>
      <c r="P236" s="343"/>
    </row>
    <row r="237" spans="2:16" ht="23.25">
      <c r="B237" s="244"/>
      <c r="C237" s="551"/>
      <c r="D237" s="551"/>
      <c r="E237" s="551"/>
      <c r="F237" s="551"/>
      <c r="G237" s="551"/>
      <c r="H237" s="551"/>
      <c r="I237" s="551"/>
      <c r="J237" s="551"/>
      <c r="K237" s="551"/>
      <c r="L237" s="551"/>
      <c r="M237" s="551"/>
      <c r="N237" s="551"/>
      <c r="O237" s="551"/>
      <c r="P237" s="245"/>
    </row>
    <row r="238" spans="2:16" ht="23.25">
      <c r="B238" s="246"/>
      <c r="C238" s="552" t="s">
        <v>102</v>
      </c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247"/>
    </row>
    <row r="239" spans="2:16" ht="24" thickBot="1">
      <c r="B239" s="246"/>
      <c r="C239" s="550"/>
      <c r="D239" s="550"/>
      <c r="E239" s="550"/>
      <c r="F239" s="550"/>
      <c r="G239" s="550"/>
      <c r="H239" s="550"/>
      <c r="I239" s="550"/>
      <c r="J239" s="550"/>
      <c r="K239" s="550"/>
      <c r="L239" s="550"/>
      <c r="M239" s="550"/>
      <c r="N239" s="550"/>
      <c r="O239" s="550"/>
      <c r="P239" s="247"/>
    </row>
    <row r="240" spans="2:16" ht="21" thickBot="1">
      <c r="B240" s="246"/>
      <c r="C240" s="331"/>
      <c r="D240" s="331"/>
      <c r="E240" s="250"/>
      <c r="F240" s="251"/>
      <c r="G240" s="553" t="s">
        <v>158</v>
      </c>
      <c r="H240" s="554"/>
      <c r="I240" s="555"/>
      <c r="J240" s="553" t="s">
        <v>199</v>
      </c>
      <c r="K240" s="554"/>
      <c r="L240" s="555"/>
      <c r="M240" s="553" t="s">
        <v>72</v>
      </c>
      <c r="N240" s="554"/>
      <c r="O240" s="555"/>
      <c r="P240" s="247"/>
    </row>
    <row r="241" spans="2:16" ht="27.75" thickBot="1">
      <c r="B241" s="246"/>
      <c r="C241" s="250"/>
      <c r="D241" s="250"/>
      <c r="E241" s="252"/>
      <c r="F241" s="253"/>
      <c r="G241" s="254" t="s">
        <v>66</v>
      </c>
      <c r="H241" s="255" t="s">
        <v>67</v>
      </c>
      <c r="I241" s="256" t="s">
        <v>68</v>
      </c>
      <c r="J241" s="254" t="s">
        <v>66</v>
      </c>
      <c r="K241" s="255" t="s">
        <v>67</v>
      </c>
      <c r="L241" s="256" t="s">
        <v>68</v>
      </c>
      <c r="M241" s="257" t="s">
        <v>73</v>
      </c>
      <c r="N241" s="258" t="s">
        <v>74</v>
      </c>
      <c r="O241" s="259" t="s">
        <v>75</v>
      </c>
      <c r="P241" s="247"/>
    </row>
    <row r="242" spans="2:16" ht="15.75" thickBot="1">
      <c r="B242" s="246"/>
      <c r="C242" s="556" t="s">
        <v>69</v>
      </c>
      <c r="D242" s="557"/>
      <c r="E242" s="250"/>
      <c r="F242" s="260" t="s">
        <v>70</v>
      </c>
      <c r="G242" s="261"/>
      <c r="H242" s="262"/>
      <c r="I242" s="263">
        <f>'2010 Existing Rates'!$C$9</f>
        <v>21.45</v>
      </c>
      <c r="J242" s="261"/>
      <c r="K242" s="262"/>
      <c r="L242" s="264">
        <f>'Rate Schedule (Part 1)'!$E$23</f>
        <v>28.42</v>
      </c>
      <c r="M242" s="265">
        <f aca="true" t="shared" si="17" ref="M242:M250">+L242-I242</f>
        <v>6.970000000000002</v>
      </c>
      <c r="N242" s="266">
        <f>IF(I242=0," ",(+M242/I242))</f>
        <v>0.3249417249417251</v>
      </c>
      <c r="O242" s="267">
        <f>L242/L260</f>
        <v>0.02097395719304646</v>
      </c>
      <c r="P242" s="247"/>
    </row>
    <row r="243" spans="2:16" ht="18" thickBot="1">
      <c r="B243" s="246"/>
      <c r="C243" s="341">
        <v>10000</v>
      </c>
      <c r="D243" s="342" t="s">
        <v>16</v>
      </c>
      <c r="E243" s="250"/>
      <c r="F243" s="270" t="s">
        <v>71</v>
      </c>
      <c r="G243" s="271">
        <f>+C243</f>
        <v>10000</v>
      </c>
      <c r="H243" s="272">
        <f>'2010 Existing Rates'!$E$9</f>
        <v>0.0123</v>
      </c>
      <c r="I243" s="273">
        <f>+G243*H243</f>
        <v>123</v>
      </c>
      <c r="J243" s="271">
        <f>+C243</f>
        <v>10000</v>
      </c>
      <c r="K243" s="274">
        <f>'Rate Schedule (Part 1)'!$E$24</f>
        <v>0.0163</v>
      </c>
      <c r="L243" s="275">
        <f>+J243*K243</f>
        <v>162.99999999999997</v>
      </c>
      <c r="M243" s="276">
        <f t="shared" si="17"/>
        <v>39.99999999999997</v>
      </c>
      <c r="N243" s="277">
        <f aca="true" t="shared" si="18" ref="N243:N250">IF(I243=0," ",(+M243/I243))</f>
        <v>0.3252032520325201</v>
      </c>
      <c r="O243" s="278">
        <f>L243/L260</f>
        <v>0.12029398390100535</v>
      </c>
      <c r="P243" s="247"/>
    </row>
    <row r="244" spans="2:16" ht="17.25">
      <c r="B244" s="246"/>
      <c r="C244" s="279"/>
      <c r="D244" s="283"/>
      <c r="E244" s="250"/>
      <c r="F244" s="270" t="s">
        <v>220</v>
      </c>
      <c r="G244" s="281"/>
      <c r="H244" s="282"/>
      <c r="I244" s="273">
        <v>0</v>
      </c>
      <c r="J244" s="281"/>
      <c r="K244" s="282"/>
      <c r="L244" s="275">
        <f>'Rate Schedule (Part 1)'!$E$25</f>
        <v>0.47</v>
      </c>
      <c r="M244" s="276">
        <f t="shared" si="17"/>
        <v>0.47</v>
      </c>
      <c r="N244" s="277" t="str">
        <f t="shared" si="18"/>
        <v> </v>
      </c>
      <c r="O244" s="278">
        <f>L244/L260</f>
        <v>0.00034685995357958604</v>
      </c>
      <c r="P244" s="247"/>
    </row>
    <row r="245" spans="2:16" ht="17.25">
      <c r="B245" s="246"/>
      <c r="C245" s="279"/>
      <c r="D245" s="283"/>
      <c r="E245" s="250"/>
      <c r="F245" s="270" t="s">
        <v>134</v>
      </c>
      <c r="G245" s="284"/>
      <c r="H245" s="285"/>
      <c r="I245" s="273">
        <f>'2010 Existing Rates'!$B$46</f>
        <v>1.63</v>
      </c>
      <c r="J245" s="284"/>
      <c r="K245" s="285"/>
      <c r="L245" s="275">
        <f>'Rate Schedule (Part 1)'!$E$26</f>
        <v>1.2</v>
      </c>
      <c r="M245" s="276">
        <f t="shared" si="17"/>
        <v>-0.42999999999999994</v>
      </c>
      <c r="N245" s="277">
        <f t="shared" si="18"/>
        <v>-0.26380368098159507</v>
      </c>
      <c r="O245" s="278">
        <f>L245/L260</f>
        <v>0.0008855998814797941</v>
      </c>
      <c r="P245" s="247"/>
    </row>
    <row r="246" spans="1:16" ht="13.5">
      <c r="A246" s="247"/>
      <c r="B246" s="343"/>
      <c r="C246" s="250"/>
      <c r="D246" s="250"/>
      <c r="E246" s="250"/>
      <c r="F246" s="270" t="s">
        <v>126</v>
      </c>
      <c r="G246" s="271">
        <f>C243</f>
        <v>10000</v>
      </c>
      <c r="H246" s="272"/>
      <c r="I246" s="286">
        <f>+G246*H246</f>
        <v>0</v>
      </c>
      <c r="J246" s="271">
        <f>C243</f>
        <v>10000</v>
      </c>
      <c r="K246" s="274">
        <f>'Rate Schedule (Part 1)'!$E$27</f>
        <v>0.0003</v>
      </c>
      <c r="L246" s="275">
        <f>J246*K246</f>
        <v>2.9999999999999996</v>
      </c>
      <c r="M246" s="276">
        <f t="shared" si="17"/>
        <v>2.9999999999999996</v>
      </c>
      <c r="N246" s="277" t="str">
        <f t="shared" si="18"/>
        <v> </v>
      </c>
      <c r="O246" s="278">
        <f>L246/L260</f>
        <v>0.002213999703699485</v>
      </c>
      <c r="P246" s="247"/>
    </row>
    <row r="247" spans="1:16" ht="27">
      <c r="A247" s="247"/>
      <c r="B247" s="343"/>
      <c r="C247" s="250"/>
      <c r="D247" s="250"/>
      <c r="E247" s="250"/>
      <c r="F247" s="270" t="s">
        <v>268</v>
      </c>
      <c r="G247" s="406">
        <f>G246</f>
        <v>10000</v>
      </c>
      <c r="H247" s="288">
        <f>+'2010 Existing Rates'!$B$22</f>
        <v>-0.0014</v>
      </c>
      <c r="I247" s="286">
        <f>+G247*H247</f>
        <v>-14</v>
      </c>
      <c r="J247" s="406">
        <f>J246</f>
        <v>10000</v>
      </c>
      <c r="K247" s="274">
        <f>'Rate Schedule (Part 1)'!$E$28</f>
        <v>-0.00143</v>
      </c>
      <c r="L247" s="275">
        <f>J247*K247</f>
        <v>-14.3</v>
      </c>
      <c r="M247" s="276">
        <f t="shared" si="17"/>
        <v>-0.3000000000000007</v>
      </c>
      <c r="N247" s="277">
        <f t="shared" si="18"/>
        <v>0.02142857142857148</v>
      </c>
      <c r="O247" s="278">
        <f>L247/L260</f>
        <v>-0.010553398587634214</v>
      </c>
      <c r="P247" s="247"/>
    </row>
    <row r="248" spans="1:16" ht="27">
      <c r="A248" s="247"/>
      <c r="B248" s="343"/>
      <c r="C248" s="250"/>
      <c r="D248" s="250"/>
      <c r="E248" s="250"/>
      <c r="F248" s="270" t="s">
        <v>269</v>
      </c>
      <c r="G248" s="406">
        <f>G247</f>
        <v>10000</v>
      </c>
      <c r="H248" s="288"/>
      <c r="I248" s="286">
        <f>+G248*H248</f>
        <v>0</v>
      </c>
      <c r="J248" s="406">
        <f>J247</f>
        <v>10000</v>
      </c>
      <c r="K248" s="274">
        <f>'Rate Schedule (Part 1)'!$E$29</f>
        <v>0.000222138791977524</v>
      </c>
      <c r="L248" s="275">
        <f>J248*K248</f>
        <v>2.22138791977524</v>
      </c>
      <c r="M248" s="276">
        <f t="shared" si="17"/>
        <v>2.22138791977524</v>
      </c>
      <c r="N248" s="277" t="str">
        <f t="shared" si="18"/>
        <v> </v>
      </c>
      <c r="O248" s="278">
        <f>L248/L260</f>
        <v>0.0016393840653946658</v>
      </c>
      <c r="P248" s="247"/>
    </row>
    <row r="249" spans="1:16" ht="27">
      <c r="A249" s="247"/>
      <c r="B249" s="343"/>
      <c r="C249" s="250"/>
      <c r="D249" s="250"/>
      <c r="E249" s="250"/>
      <c r="F249" s="270" t="s">
        <v>270</v>
      </c>
      <c r="G249" s="406">
        <f>G248</f>
        <v>10000</v>
      </c>
      <c r="H249" s="288"/>
      <c r="I249" s="286">
        <f>+G249*H249</f>
        <v>0</v>
      </c>
      <c r="J249" s="406">
        <f>J248</f>
        <v>10000</v>
      </c>
      <c r="K249" s="274">
        <f>'Rate Schedule (Part 1)'!$E$30</f>
        <v>0.00038864786062876817</v>
      </c>
      <c r="L249" s="275">
        <f>J249*K249</f>
        <v>3.8864786062876817</v>
      </c>
      <c r="M249" s="276">
        <f t="shared" si="17"/>
        <v>3.8864786062876817</v>
      </c>
      <c r="N249" s="277" t="str">
        <f t="shared" si="18"/>
        <v> </v>
      </c>
      <c r="O249" s="278">
        <f>L249/L260</f>
        <v>0.0028682208275851054</v>
      </c>
      <c r="P249" s="247"/>
    </row>
    <row r="250" spans="1:16" ht="27.75" thickBot="1">
      <c r="A250" s="247"/>
      <c r="B250" s="343"/>
      <c r="C250" s="250"/>
      <c r="D250" s="250"/>
      <c r="E250" s="250"/>
      <c r="F250" s="270" t="s">
        <v>271</v>
      </c>
      <c r="G250" s="406">
        <f>G249</f>
        <v>10000</v>
      </c>
      <c r="H250" s="288"/>
      <c r="I250" s="286">
        <f>+G250*H250</f>
        <v>0</v>
      </c>
      <c r="J250" s="287">
        <f>+C243</f>
        <v>10000</v>
      </c>
      <c r="K250" s="274">
        <f>'Rate Schedule (Part 1)'!$E$31</f>
        <v>2.1115078323244392E-05</v>
      </c>
      <c r="L250" s="275">
        <f>J250*K250</f>
        <v>0.2111507832324439</v>
      </c>
      <c r="M250" s="276">
        <f t="shared" si="17"/>
        <v>0.2111507832324439</v>
      </c>
      <c r="N250" s="277" t="str">
        <f t="shared" si="18"/>
        <v> </v>
      </c>
      <c r="O250" s="278">
        <f>L250/L260</f>
        <v>0.00015582925717084835</v>
      </c>
      <c r="P250" s="344"/>
    </row>
    <row r="251" spans="1:16" ht="14.25" thickBot="1">
      <c r="A251" s="247"/>
      <c r="F251" s="290" t="s">
        <v>200</v>
      </c>
      <c r="G251" s="548"/>
      <c r="H251" s="549"/>
      <c r="I251" s="291">
        <f>SUM(I242:I250)</f>
        <v>132.07999999999998</v>
      </c>
      <c r="J251" s="548"/>
      <c r="K251" s="549"/>
      <c r="L251" s="291">
        <f>SUM(L242:L250)</f>
        <v>188.10901730929533</v>
      </c>
      <c r="M251" s="291">
        <f>SUM(M242:M250)</f>
        <v>56.02901730929533</v>
      </c>
      <c r="N251" s="292">
        <f>+M251/I251</f>
        <v>0.4242051583078084</v>
      </c>
      <c r="O251" s="293">
        <f>L251/L260</f>
        <v>0.13882443619532708</v>
      </c>
      <c r="P251" s="344"/>
    </row>
    <row r="252" spans="1:16" ht="14.25" thickBot="1">
      <c r="A252" s="247"/>
      <c r="F252" s="270" t="s">
        <v>201</v>
      </c>
      <c r="G252" s="294">
        <f>C243*'Other Electriciy Rates'!$L$11</f>
        <v>10440</v>
      </c>
      <c r="H252" s="295">
        <f>'Other Electriciy Rates'!$B$11</f>
        <v>0.0098</v>
      </c>
      <c r="I252" s="273">
        <f>+G252*H252</f>
        <v>102.312</v>
      </c>
      <c r="J252" s="294">
        <f>'BILL IMPACTS'!C243*'Other Electriciy Rates'!$L$24</f>
        <v>10431</v>
      </c>
      <c r="K252" s="375">
        <f>'Other Electriciy Rates'!$B$25</f>
        <v>0.009143387852413433</v>
      </c>
      <c r="L252" s="273">
        <f>+J252*K252</f>
        <v>95.37467868852451</v>
      </c>
      <c r="M252" s="296">
        <f>+L252-I252</f>
        <v>-6.937321311475486</v>
      </c>
      <c r="N252" s="297">
        <f>IF(I252=0," ",(+M252/I252))</f>
        <v>-0.06780554882590005</v>
      </c>
      <c r="O252" s="267">
        <f>L252/L260</f>
        <v>0.07038650345227564</v>
      </c>
      <c r="P252" s="344"/>
    </row>
    <row r="253" spans="1:16" ht="14.25" thickBot="1">
      <c r="A253" s="247"/>
      <c r="F253" s="290" t="s">
        <v>202</v>
      </c>
      <c r="G253" s="548"/>
      <c r="H253" s="549"/>
      <c r="I253" s="291">
        <f>I251+I252</f>
        <v>234.392</v>
      </c>
      <c r="J253" s="548"/>
      <c r="K253" s="549"/>
      <c r="L253" s="291">
        <f>L251+L252</f>
        <v>283.48369599781984</v>
      </c>
      <c r="M253" s="291">
        <f>M251+M252</f>
        <v>49.09169599781984</v>
      </c>
      <c r="N253" s="292">
        <f>+M253/I253</f>
        <v>0.20944271134603504</v>
      </c>
      <c r="O253" s="298">
        <f>L253/L260</f>
        <v>0.2092109396476027</v>
      </c>
      <c r="P253" s="344"/>
    </row>
    <row r="254" spans="1:16" ht="13.5">
      <c r="A254" s="247"/>
      <c r="F254" s="299" t="s">
        <v>76</v>
      </c>
      <c r="G254" s="300">
        <f>+'Other Electriciy Rates'!$L$11*C243</f>
        <v>10440</v>
      </c>
      <c r="H254" s="301">
        <f>'Other Electriciy Rates'!$C$11+'Other Electriciy Rates'!$D$11</f>
        <v>0.0135</v>
      </c>
      <c r="I254" s="302">
        <f>+G254*H254</f>
        <v>140.94</v>
      </c>
      <c r="J254" s="300">
        <f>J252</f>
        <v>10431</v>
      </c>
      <c r="K254" s="301">
        <f>'Other Electriciy Rates'!$C$25+'Other Electriciy Rates'!$D$25</f>
        <v>0.0135</v>
      </c>
      <c r="L254" s="303">
        <f>+J254*K254</f>
        <v>140.8185</v>
      </c>
      <c r="M254" s="304">
        <f>+L254-I254</f>
        <v>-0.1214999999999975</v>
      </c>
      <c r="N254" s="305">
        <f>IF(I254=0," ",(+M254/I254))</f>
        <v>-0.0008620689655172237</v>
      </c>
      <c r="O254" s="306">
        <f>L254/L260</f>
        <v>0.10392403909180199</v>
      </c>
      <c r="P254" s="344"/>
    </row>
    <row r="255" spans="1:16" ht="13.5">
      <c r="A255" s="247"/>
      <c r="B255" s="343"/>
      <c r="C255" s="250"/>
      <c r="D255" s="250"/>
      <c r="E255" s="250"/>
      <c r="F255" s="307" t="s">
        <v>224</v>
      </c>
      <c r="G255" s="271">
        <f>IF('Other Electriciy Rates'!$L$11*C243&lt;$D$165,'Other Electriciy Rates'!$L$11*C243,$D$165)</f>
        <v>750</v>
      </c>
      <c r="H255" s="301">
        <f>'Other Electriciy Rates'!$J$11</f>
        <v>0.065</v>
      </c>
      <c r="I255" s="273">
        <f>+G255*H255</f>
        <v>48.75</v>
      </c>
      <c r="J255" s="271">
        <f>IF('Other Electriciy Rates'!$L$25*C243&lt;$D$10,'Other Electriciy Rates'!$L$25*C243,$D$165)</f>
        <v>750</v>
      </c>
      <c r="K255" s="308">
        <f>'Other Electriciy Rates'!$J$25</f>
        <v>0.065</v>
      </c>
      <c r="L255" s="275">
        <f>+J255*K255</f>
        <v>48.75</v>
      </c>
      <c r="M255" s="276">
        <f>+L255-I255</f>
        <v>0</v>
      </c>
      <c r="N255" s="277">
        <f>IF(I255=0," ",(+M255/I255))</f>
        <v>0</v>
      </c>
      <c r="O255" s="278">
        <f>L255/L260</f>
        <v>0.035977495185116636</v>
      </c>
      <c r="P255" s="344"/>
    </row>
    <row r="256" spans="1:16" ht="14.25" thickBot="1">
      <c r="A256" s="247"/>
      <c r="B256" s="343"/>
      <c r="C256" s="250"/>
      <c r="D256" s="250"/>
      <c r="E256" s="250"/>
      <c r="F256" s="363" t="s">
        <v>225</v>
      </c>
      <c r="G256" s="309">
        <f>IF(G255&lt;$D$165,0,(C243*'Other Electriciy Rates'!$L$11)-G255)</f>
        <v>9690</v>
      </c>
      <c r="H256" s="310">
        <f>'Other Electriciy Rates'!$K$11</f>
        <v>0.075</v>
      </c>
      <c r="I256" s="311">
        <f>+G256*H256</f>
        <v>726.75</v>
      </c>
      <c r="J256" s="309">
        <f>IF(J255&lt;$D$165,0,(C243*'Other Electriciy Rates'!$L$25)-J255)</f>
        <v>9681</v>
      </c>
      <c r="K256" s="310">
        <f>'Other Electriciy Rates'!$K$25</f>
        <v>0.075</v>
      </c>
      <c r="L256" s="312">
        <f>+J256*K256</f>
        <v>726.0749999999999</v>
      </c>
      <c r="M256" s="313">
        <f>+L256-I256</f>
        <v>-0.6750000000000682</v>
      </c>
      <c r="N256" s="314">
        <f>IF(I256=0," ",(+M256/I256))</f>
        <v>-0.0009287925696595366</v>
      </c>
      <c r="O256" s="315">
        <f>L256/L260</f>
        <v>0.5358432782878679</v>
      </c>
      <c r="P256" s="247"/>
    </row>
    <row r="257" spans="2:16" ht="14.25" thickBot="1">
      <c r="B257" s="246"/>
      <c r="C257" s="250"/>
      <c r="D257" s="250"/>
      <c r="E257" s="250"/>
      <c r="F257" s="316" t="s">
        <v>222</v>
      </c>
      <c r="G257" s="317"/>
      <c r="H257" s="318"/>
      <c r="I257" s="319">
        <f>SUM(I254:I256)</f>
        <v>916.44</v>
      </c>
      <c r="J257" s="558"/>
      <c r="K257" s="559"/>
      <c r="L257" s="319">
        <f>SUM(L254:L256)</f>
        <v>915.6434999999999</v>
      </c>
      <c r="M257" s="319">
        <f>SUM(M254:M256)</f>
        <v>-0.7965000000000657</v>
      </c>
      <c r="N257" s="320">
        <f>+M257/I257</f>
        <v>-0.0008691240015713693</v>
      </c>
      <c r="O257" s="321">
        <f>L257/L260</f>
        <v>0.6757448125647865</v>
      </c>
      <c r="P257" s="247"/>
    </row>
    <row r="258" spans="2:16" ht="14.25" thickBot="1">
      <c r="B258" s="246"/>
      <c r="C258" s="250"/>
      <c r="D258" s="250"/>
      <c r="E258" s="250"/>
      <c r="F258" s="290" t="s">
        <v>157</v>
      </c>
      <c r="G258" s="548"/>
      <c r="H258" s="549"/>
      <c r="I258" s="291">
        <f>I253+I257</f>
        <v>1150.832</v>
      </c>
      <c r="J258" s="548"/>
      <c r="K258" s="549"/>
      <c r="L258" s="291">
        <f>L253+L257</f>
        <v>1199.1271959978199</v>
      </c>
      <c r="M258" s="291">
        <f>M253+M257</f>
        <v>48.295195997819775</v>
      </c>
      <c r="N258" s="292">
        <f>+M258/I258</f>
        <v>0.04196546150769163</v>
      </c>
      <c r="O258" s="298">
        <f>L258/L260</f>
        <v>0.8849557522123893</v>
      </c>
      <c r="P258" s="247"/>
    </row>
    <row r="259" spans="2:16" ht="14.25" thickBot="1">
      <c r="B259" s="246"/>
      <c r="C259" s="250"/>
      <c r="D259" s="250"/>
      <c r="E259" s="345"/>
      <c r="F259" s="324" t="s">
        <v>205</v>
      </c>
      <c r="G259" s="317"/>
      <c r="H259" s="325">
        <v>0.05</v>
      </c>
      <c r="I259" s="326">
        <f>I258*H259</f>
        <v>57.54160000000001</v>
      </c>
      <c r="J259" s="317"/>
      <c r="K259" s="325">
        <v>0.13</v>
      </c>
      <c r="L259" s="327">
        <f>L258*K259</f>
        <v>155.8865354797166</v>
      </c>
      <c r="M259" s="328">
        <f>+L259-I259</f>
        <v>98.34493547971658</v>
      </c>
      <c r="N259" s="329">
        <f>IF(I259=0," ",(+M259/I259))</f>
        <v>1.7091101999199982</v>
      </c>
      <c r="O259" s="315">
        <f>L259/L260</f>
        <v>0.11504424778761062</v>
      </c>
      <c r="P259" s="247"/>
    </row>
    <row r="260" spans="2:16" ht="15" thickBot="1">
      <c r="B260" s="339"/>
      <c r="C260" s="346"/>
      <c r="D260" s="346"/>
      <c r="E260" s="346"/>
      <c r="F260" s="333" t="s">
        <v>78</v>
      </c>
      <c r="G260" s="560"/>
      <c r="H260" s="561"/>
      <c r="I260" s="334">
        <f>I258+I259</f>
        <v>1208.3736000000001</v>
      </c>
      <c r="J260" s="560"/>
      <c r="K260" s="561"/>
      <c r="L260" s="334">
        <f>L258+L259</f>
        <v>1355.0137314775366</v>
      </c>
      <c r="M260" s="334">
        <f>M258+M259</f>
        <v>146.64013147753636</v>
      </c>
      <c r="N260" s="335">
        <f>+M260/I260</f>
        <v>0.12135330619399194</v>
      </c>
      <c r="O260" s="336">
        <f>O258+O259</f>
        <v>0.9999999999999999</v>
      </c>
      <c r="P260" s="340"/>
    </row>
    <row r="261" ht="14.25" thickBot="1"/>
    <row r="262" spans="2:16" ht="23.25">
      <c r="B262" s="244"/>
      <c r="C262" s="551"/>
      <c r="D262" s="551"/>
      <c r="E262" s="551"/>
      <c r="F262" s="551"/>
      <c r="G262" s="551"/>
      <c r="H262" s="551"/>
      <c r="I262" s="551"/>
      <c r="J262" s="551"/>
      <c r="K262" s="551"/>
      <c r="L262" s="551"/>
      <c r="M262" s="551"/>
      <c r="N262" s="551"/>
      <c r="O262" s="551"/>
      <c r="P262" s="245"/>
    </row>
    <row r="263" spans="2:16" ht="23.25">
      <c r="B263" s="246"/>
      <c r="C263" s="552" t="s">
        <v>102</v>
      </c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247"/>
    </row>
    <row r="264" spans="2:16" ht="24" thickBot="1">
      <c r="B264" s="246"/>
      <c r="C264" s="550"/>
      <c r="D264" s="550"/>
      <c r="E264" s="550"/>
      <c r="F264" s="550"/>
      <c r="G264" s="550"/>
      <c r="H264" s="550"/>
      <c r="I264" s="550"/>
      <c r="J264" s="550"/>
      <c r="K264" s="550"/>
      <c r="L264" s="550"/>
      <c r="M264" s="550"/>
      <c r="N264" s="550"/>
      <c r="O264" s="550"/>
      <c r="P264" s="247"/>
    </row>
    <row r="265" spans="2:16" ht="21" thickBot="1">
      <c r="B265" s="246"/>
      <c r="C265" s="331"/>
      <c r="D265" s="331"/>
      <c r="E265" s="250"/>
      <c r="F265" s="251"/>
      <c r="G265" s="553" t="s">
        <v>158</v>
      </c>
      <c r="H265" s="554"/>
      <c r="I265" s="555"/>
      <c r="J265" s="553" t="s">
        <v>199</v>
      </c>
      <c r="K265" s="554"/>
      <c r="L265" s="555"/>
      <c r="M265" s="553" t="s">
        <v>72</v>
      </c>
      <c r="N265" s="554"/>
      <c r="O265" s="555"/>
      <c r="P265" s="247"/>
    </row>
    <row r="266" spans="2:16" ht="27.75" thickBot="1">
      <c r="B266" s="246"/>
      <c r="C266" s="250"/>
      <c r="D266" s="250"/>
      <c r="E266" s="252"/>
      <c r="F266" s="253"/>
      <c r="G266" s="254" t="s">
        <v>66</v>
      </c>
      <c r="H266" s="255" t="s">
        <v>67</v>
      </c>
      <c r="I266" s="256" t="s">
        <v>68</v>
      </c>
      <c r="J266" s="254" t="s">
        <v>66</v>
      </c>
      <c r="K266" s="255" t="s">
        <v>67</v>
      </c>
      <c r="L266" s="256" t="s">
        <v>68</v>
      </c>
      <c r="M266" s="257" t="s">
        <v>73</v>
      </c>
      <c r="N266" s="258" t="s">
        <v>74</v>
      </c>
      <c r="O266" s="259" t="s">
        <v>75</v>
      </c>
      <c r="P266" s="247"/>
    </row>
    <row r="267" spans="2:16" ht="15.75" thickBot="1">
      <c r="B267" s="246"/>
      <c r="C267" s="556" t="s">
        <v>69</v>
      </c>
      <c r="D267" s="557"/>
      <c r="E267" s="250"/>
      <c r="F267" s="260" t="s">
        <v>70</v>
      </c>
      <c r="G267" s="261"/>
      <c r="H267" s="262"/>
      <c r="I267" s="263">
        <f>'2010 Existing Rates'!$C$9</f>
        <v>21.45</v>
      </c>
      <c r="J267" s="261"/>
      <c r="K267" s="262"/>
      <c r="L267" s="264">
        <f>'Rate Schedule (Part 1)'!$E$23</f>
        <v>28.42</v>
      </c>
      <c r="M267" s="265">
        <f aca="true" t="shared" si="19" ref="M267:M275">+L267-I267</f>
        <v>6.970000000000002</v>
      </c>
      <c r="N267" s="266">
        <f>IF(I267=0," ",(+M267/I267))</f>
        <v>0.3249417249417251</v>
      </c>
      <c r="O267" s="267">
        <f>L267/L285</f>
        <v>0.010586698425339816</v>
      </c>
      <c r="P267" s="247"/>
    </row>
    <row r="268" spans="2:16" ht="18" thickBot="1">
      <c r="B268" s="246"/>
      <c r="C268" s="341">
        <v>20000</v>
      </c>
      <c r="D268" s="342" t="s">
        <v>16</v>
      </c>
      <c r="E268" s="250"/>
      <c r="F268" s="270" t="s">
        <v>71</v>
      </c>
      <c r="G268" s="271">
        <f>+C268</f>
        <v>20000</v>
      </c>
      <c r="H268" s="272">
        <f>'2010 Existing Rates'!$E$9</f>
        <v>0.0123</v>
      </c>
      <c r="I268" s="273">
        <f>+G268*H268</f>
        <v>246</v>
      </c>
      <c r="J268" s="271">
        <f>+C268</f>
        <v>20000</v>
      </c>
      <c r="K268" s="375">
        <f>'Rate Schedule (Part 1)'!$E$24</f>
        <v>0.0163</v>
      </c>
      <c r="L268" s="275">
        <f>+J268*K268</f>
        <v>325.99999999999994</v>
      </c>
      <c r="M268" s="276">
        <f t="shared" si="19"/>
        <v>79.99999999999994</v>
      </c>
      <c r="N268" s="277">
        <f aca="true" t="shared" si="20" ref="N268:N275">IF(I268=0," ",(+M268/I268))</f>
        <v>0.3252032520325201</v>
      </c>
      <c r="O268" s="278">
        <f>L268/L285</f>
        <v>0.12143784963619912</v>
      </c>
      <c r="P268" s="247"/>
    </row>
    <row r="269" spans="2:16" ht="17.25">
      <c r="B269" s="246"/>
      <c r="C269" s="279"/>
      <c r="D269" s="283"/>
      <c r="E269" s="250"/>
      <c r="F269" s="270" t="s">
        <v>220</v>
      </c>
      <c r="G269" s="281"/>
      <c r="H269" s="282"/>
      <c r="I269" s="273">
        <v>0</v>
      </c>
      <c r="J269" s="281"/>
      <c r="K269" s="282"/>
      <c r="L269" s="275">
        <f>'Rate Schedule (Part 1)'!$E$25</f>
        <v>0.47</v>
      </c>
      <c r="M269" s="276">
        <f t="shared" si="19"/>
        <v>0.47</v>
      </c>
      <c r="N269" s="277" t="str">
        <f t="shared" si="20"/>
        <v> </v>
      </c>
      <c r="O269" s="278">
        <f>L269/L285</f>
        <v>0.00017507910837120735</v>
      </c>
      <c r="P269" s="247"/>
    </row>
    <row r="270" spans="1:16" ht="17.25">
      <c r="A270" s="247"/>
      <c r="B270" s="343"/>
      <c r="C270" s="279"/>
      <c r="D270" s="283"/>
      <c r="E270" s="250"/>
      <c r="F270" s="270" t="s">
        <v>134</v>
      </c>
      <c r="G270" s="284"/>
      <c r="H270" s="285"/>
      <c r="I270" s="273">
        <f>'2010 Existing Rates'!$B$46</f>
        <v>1.63</v>
      </c>
      <c r="J270" s="284"/>
      <c r="K270" s="285"/>
      <c r="L270" s="275">
        <f>'Rate Schedule (Part 1)'!$E$26</f>
        <v>1.2</v>
      </c>
      <c r="M270" s="276">
        <f t="shared" si="19"/>
        <v>-0.42999999999999994</v>
      </c>
      <c r="N270" s="277">
        <f t="shared" si="20"/>
        <v>-0.26380368098159507</v>
      </c>
      <c r="O270" s="278">
        <f>L270/L285</f>
        <v>0.0004470104894584017</v>
      </c>
      <c r="P270" s="247"/>
    </row>
    <row r="271" spans="1:16" ht="13.5">
      <c r="A271" s="247"/>
      <c r="B271" s="343"/>
      <c r="C271" s="250"/>
      <c r="D271" s="250"/>
      <c r="E271" s="250"/>
      <c r="F271" s="270" t="s">
        <v>126</v>
      </c>
      <c r="G271" s="271">
        <f>C268</f>
        <v>20000</v>
      </c>
      <c r="H271" s="272"/>
      <c r="I271" s="286">
        <f>+G271*H271</f>
        <v>0</v>
      </c>
      <c r="J271" s="271">
        <f>C268</f>
        <v>20000</v>
      </c>
      <c r="K271" s="274">
        <f>'Rate Schedule (Part 1)'!$E$27</f>
        <v>0.0003</v>
      </c>
      <c r="L271" s="275">
        <f>J271*K271</f>
        <v>5.999999999999999</v>
      </c>
      <c r="M271" s="276">
        <f t="shared" si="19"/>
        <v>5.999999999999999</v>
      </c>
      <c r="N271" s="277" t="str">
        <f t="shared" si="20"/>
        <v> </v>
      </c>
      <c r="O271" s="278">
        <f>L271/L285</f>
        <v>0.0022350524472920085</v>
      </c>
      <c r="P271" s="247"/>
    </row>
    <row r="272" spans="1:16" ht="27">
      <c r="A272" s="247"/>
      <c r="B272" s="343"/>
      <c r="C272" s="250"/>
      <c r="D272" s="250"/>
      <c r="E272" s="250"/>
      <c r="F272" s="270" t="s">
        <v>268</v>
      </c>
      <c r="G272" s="406">
        <f>G271</f>
        <v>20000</v>
      </c>
      <c r="H272" s="288">
        <f>+'2010 Existing Rates'!$B$22</f>
        <v>-0.0014</v>
      </c>
      <c r="I272" s="286">
        <f>+G272*H272</f>
        <v>-28</v>
      </c>
      <c r="J272" s="406">
        <f>J271</f>
        <v>20000</v>
      </c>
      <c r="K272" s="274">
        <f>'Rate Schedule (Part 1)'!$E$28</f>
        <v>-0.00143</v>
      </c>
      <c r="L272" s="275">
        <f>J272*K272</f>
        <v>-28.6</v>
      </c>
      <c r="M272" s="276">
        <f t="shared" si="19"/>
        <v>-0.6000000000000014</v>
      </c>
      <c r="N272" s="277">
        <f t="shared" si="20"/>
        <v>0.02142857142857148</v>
      </c>
      <c r="O272" s="278">
        <f>L272/L285</f>
        <v>-0.010653749998758575</v>
      </c>
      <c r="P272" s="247"/>
    </row>
    <row r="273" spans="1:16" ht="27">
      <c r="A273" s="247"/>
      <c r="B273" s="343"/>
      <c r="C273" s="250"/>
      <c r="D273" s="250"/>
      <c r="E273" s="250"/>
      <c r="F273" s="270" t="s">
        <v>269</v>
      </c>
      <c r="G273" s="406">
        <f>G272</f>
        <v>20000</v>
      </c>
      <c r="H273" s="288"/>
      <c r="I273" s="286">
        <f>+G273*H273</f>
        <v>0</v>
      </c>
      <c r="J273" s="406">
        <f>J272</f>
        <v>20000</v>
      </c>
      <c r="K273" s="274">
        <f>'Rate Schedule (Part 1)'!$E$29</f>
        <v>0.000222138791977524</v>
      </c>
      <c r="L273" s="275">
        <f>J273*K273</f>
        <v>4.44277583955048</v>
      </c>
      <c r="M273" s="276">
        <f t="shared" si="19"/>
        <v>4.44277583955048</v>
      </c>
      <c r="N273" s="277" t="str">
        <f t="shared" si="20"/>
        <v> </v>
      </c>
      <c r="O273" s="278">
        <f>L273/L285</f>
        <v>0.0016549728354928515</v>
      </c>
      <c r="P273" s="247"/>
    </row>
    <row r="274" spans="1:16" ht="27">
      <c r="A274" s="247"/>
      <c r="B274" s="343"/>
      <c r="C274" s="250"/>
      <c r="D274" s="250"/>
      <c r="E274" s="250"/>
      <c r="F274" s="270" t="s">
        <v>270</v>
      </c>
      <c r="G274" s="406">
        <f>G273</f>
        <v>20000</v>
      </c>
      <c r="H274" s="288"/>
      <c r="I274" s="286">
        <f>+G274*H274</f>
        <v>0</v>
      </c>
      <c r="J274" s="406">
        <f>J273</f>
        <v>20000</v>
      </c>
      <c r="K274" s="274">
        <f>'Rate Schedule (Part 1)'!$E$30</f>
        <v>0.00038864786062876817</v>
      </c>
      <c r="L274" s="275">
        <f>J274*K274</f>
        <v>7.772957212575363</v>
      </c>
      <c r="M274" s="276">
        <f t="shared" si="19"/>
        <v>7.772957212575363</v>
      </c>
      <c r="N274" s="277" t="str">
        <f t="shared" si="20"/>
        <v> </v>
      </c>
      <c r="O274" s="278">
        <f>L274/L285</f>
        <v>0.002895494506777106</v>
      </c>
      <c r="P274" s="247"/>
    </row>
    <row r="275" spans="1:16" ht="27.75" thickBot="1">
      <c r="A275" s="247"/>
      <c r="B275" s="343"/>
      <c r="C275" s="250"/>
      <c r="D275" s="250"/>
      <c r="E275" s="250"/>
      <c r="F275" s="270" t="s">
        <v>271</v>
      </c>
      <c r="G275" s="406">
        <f>G274</f>
        <v>20000</v>
      </c>
      <c r="H275" s="288"/>
      <c r="I275" s="286">
        <f>+G275*H275</f>
        <v>0</v>
      </c>
      <c r="J275" s="287">
        <f>+C268</f>
        <v>20000</v>
      </c>
      <c r="K275" s="274">
        <f>'Rate Schedule (Part 1)'!$E$31</f>
        <v>2.1115078323244392E-05</v>
      </c>
      <c r="L275" s="275">
        <f>J275*K275</f>
        <v>0.4223015664648878</v>
      </c>
      <c r="M275" s="276">
        <f t="shared" si="19"/>
        <v>0.4223015664648878</v>
      </c>
      <c r="N275" s="277" t="str">
        <f t="shared" si="20"/>
        <v> </v>
      </c>
      <c r="O275" s="278">
        <f>L275/L285</f>
        <v>0.0001573110249370994</v>
      </c>
      <c r="P275" s="344"/>
    </row>
    <row r="276" spans="1:16" ht="14.25" thickBot="1">
      <c r="A276" s="247"/>
      <c r="F276" s="290" t="s">
        <v>200</v>
      </c>
      <c r="G276" s="548"/>
      <c r="H276" s="549"/>
      <c r="I276" s="291">
        <f>SUM(I267:I275)</f>
        <v>241.07999999999998</v>
      </c>
      <c r="J276" s="548"/>
      <c r="K276" s="549"/>
      <c r="L276" s="291">
        <f>SUM(L267:L275)</f>
        <v>346.12803461859073</v>
      </c>
      <c r="M276" s="291">
        <f>SUM(M267:M275)</f>
        <v>105.04803461859066</v>
      </c>
      <c r="N276" s="292">
        <f>+M276/I276</f>
        <v>0.43573931731620485</v>
      </c>
      <c r="O276" s="293">
        <f>L276/L285</f>
        <v>0.12893571847510907</v>
      </c>
      <c r="P276" s="344"/>
    </row>
    <row r="277" spans="1:16" ht="14.25" thickBot="1">
      <c r="A277" s="247"/>
      <c r="F277" s="270" t="s">
        <v>201</v>
      </c>
      <c r="G277" s="294">
        <f>C268*'Other Electriciy Rates'!$L$11</f>
        <v>20880</v>
      </c>
      <c r="H277" s="295">
        <f>'Other Electriciy Rates'!$B$11</f>
        <v>0.0098</v>
      </c>
      <c r="I277" s="273">
        <f>+G277*H277</f>
        <v>204.624</v>
      </c>
      <c r="J277" s="294">
        <f>'BILL IMPACTS'!C268*'Other Electriciy Rates'!$L$24</f>
        <v>20862</v>
      </c>
      <c r="K277" s="375">
        <f>'Other Electriciy Rates'!$B$25</f>
        <v>0.009143387852413433</v>
      </c>
      <c r="L277" s="273">
        <f>+J277*K277</f>
        <v>190.74935737704902</v>
      </c>
      <c r="M277" s="296">
        <f>+L277-I277</f>
        <v>-13.874642622950972</v>
      </c>
      <c r="N277" s="297">
        <f>IF(I277=0," ",(+M277/I277))</f>
        <v>-0.06780554882590005</v>
      </c>
      <c r="O277" s="267">
        <f>L277/L285</f>
        <v>0.07105580300415856</v>
      </c>
      <c r="P277" s="344"/>
    </row>
    <row r="278" spans="1:16" ht="14.25" thickBot="1">
      <c r="A278" s="247"/>
      <c r="F278" s="290" t="s">
        <v>202</v>
      </c>
      <c r="G278" s="548"/>
      <c r="H278" s="549"/>
      <c r="I278" s="291">
        <f>I276+I277</f>
        <v>445.70399999999995</v>
      </c>
      <c r="J278" s="548"/>
      <c r="K278" s="549"/>
      <c r="L278" s="291">
        <f>L276+L277</f>
        <v>536.8773919956398</v>
      </c>
      <c r="M278" s="291">
        <f>M276+M277</f>
        <v>91.17339199563969</v>
      </c>
      <c r="N278" s="292">
        <f>+M278/I278</f>
        <v>0.20456040779449972</v>
      </c>
      <c r="O278" s="298">
        <f>L278/L285</f>
        <v>0.19999152147926763</v>
      </c>
      <c r="P278" s="344"/>
    </row>
    <row r="279" spans="1:16" ht="13.5">
      <c r="A279" s="247"/>
      <c r="F279" s="299" t="s">
        <v>76</v>
      </c>
      <c r="G279" s="300">
        <f>+'Other Electriciy Rates'!$L$11*C268</f>
        <v>20880</v>
      </c>
      <c r="H279" s="301">
        <f>'Other Electriciy Rates'!$C$11+'Other Electriciy Rates'!$D$11</f>
        <v>0.0135</v>
      </c>
      <c r="I279" s="302">
        <f>+G279*H279</f>
        <v>281.88</v>
      </c>
      <c r="J279" s="300">
        <f>J277</f>
        <v>20862</v>
      </c>
      <c r="K279" s="301">
        <f>'Other Electriciy Rates'!$C$25+'Other Electriciy Rates'!$D$25</f>
        <v>0.0135</v>
      </c>
      <c r="L279" s="303">
        <f>+J279*K279</f>
        <v>281.637</v>
      </c>
      <c r="M279" s="304">
        <f>+L279-I279</f>
        <v>-0.242999999999995</v>
      </c>
      <c r="N279" s="305">
        <f>IF(I279=0," ",(+M279/I279))</f>
        <v>-0.0008620689655172237</v>
      </c>
      <c r="O279" s="306">
        <f>L279/L285</f>
        <v>0.10491224434966324</v>
      </c>
      <c r="P279" s="344"/>
    </row>
    <row r="280" spans="1:16" ht="13.5">
      <c r="A280" s="247"/>
      <c r="B280" s="343"/>
      <c r="C280" s="250"/>
      <c r="D280" s="250"/>
      <c r="E280" s="250"/>
      <c r="F280" s="307" t="s">
        <v>224</v>
      </c>
      <c r="G280" s="271">
        <f>IF('Other Electriciy Rates'!$L$11*C268&lt;$D$165,'Other Electriciy Rates'!$L$11*C268,$D$165)</f>
        <v>750</v>
      </c>
      <c r="H280" s="301">
        <f>'Other Electriciy Rates'!$J$11</f>
        <v>0.065</v>
      </c>
      <c r="I280" s="273">
        <f>+G280*H280</f>
        <v>48.75</v>
      </c>
      <c r="J280" s="271">
        <f>IF('Other Electriciy Rates'!$L$25*C268&lt;$D$10,'Other Electriciy Rates'!$L$25*C268,$D$165)</f>
        <v>750</v>
      </c>
      <c r="K280" s="308">
        <f>'Other Electriciy Rates'!$J$25</f>
        <v>0.065</v>
      </c>
      <c r="L280" s="275">
        <f>+J280*K280</f>
        <v>48.75</v>
      </c>
      <c r="M280" s="276">
        <f>+L280-I280</f>
        <v>0</v>
      </c>
      <c r="N280" s="277">
        <f>IF(I280=0," ",(+M280/I280))</f>
        <v>0</v>
      </c>
      <c r="O280" s="278">
        <f>L280/L285</f>
        <v>0.01815980113424757</v>
      </c>
      <c r="P280" s="344"/>
    </row>
    <row r="281" spans="2:16" ht="14.25" thickBot="1">
      <c r="B281" s="246"/>
      <c r="C281" s="250"/>
      <c r="D281" s="250"/>
      <c r="E281" s="250"/>
      <c r="F281" s="363" t="s">
        <v>225</v>
      </c>
      <c r="G281" s="309">
        <f>IF(G280&lt;$D$165,0,(C268*'Other Electriciy Rates'!$L$11)-G280)</f>
        <v>20130</v>
      </c>
      <c r="H281" s="310">
        <f>'Other Electriciy Rates'!$K$11</f>
        <v>0.075</v>
      </c>
      <c r="I281" s="311">
        <f>+G281*H281</f>
        <v>1509.75</v>
      </c>
      <c r="J281" s="309">
        <f>IF(J280&lt;$D$165,0,(C268*'Other Electriciy Rates'!$L$25)-J280)</f>
        <v>20112</v>
      </c>
      <c r="K281" s="310">
        <f>'Other Electriciy Rates'!$K$25</f>
        <v>0.075</v>
      </c>
      <c r="L281" s="312">
        <f>+J281*K281</f>
        <v>1508.3999999999999</v>
      </c>
      <c r="M281" s="313">
        <f>+L281-I281</f>
        <v>-1.3500000000001364</v>
      </c>
      <c r="N281" s="314">
        <f>IF(I281=0," ",(+M281/I281))</f>
        <v>-0.0008941877794337714</v>
      </c>
      <c r="O281" s="315">
        <f>L281/L285</f>
        <v>0.5618921852492109</v>
      </c>
      <c r="P281" s="247"/>
    </row>
    <row r="282" spans="2:16" ht="14.25" thickBot="1">
      <c r="B282" s="246"/>
      <c r="C282" s="250"/>
      <c r="D282" s="250"/>
      <c r="E282" s="250"/>
      <c r="F282" s="316" t="s">
        <v>222</v>
      </c>
      <c r="G282" s="317"/>
      <c r="H282" s="318"/>
      <c r="I282" s="319">
        <f>SUM(I279:I281)</f>
        <v>1840.38</v>
      </c>
      <c r="J282" s="558"/>
      <c r="K282" s="559"/>
      <c r="L282" s="319">
        <f>SUM(L279:L281)</f>
        <v>1838.7869999999998</v>
      </c>
      <c r="M282" s="319">
        <f>SUM(M279:M281)</f>
        <v>-1.5930000000001314</v>
      </c>
      <c r="N282" s="320">
        <f>+M282/I282</f>
        <v>-0.0008655821080429755</v>
      </c>
      <c r="O282" s="321">
        <f>L282/L285</f>
        <v>0.6849642307331217</v>
      </c>
      <c r="P282" s="247"/>
    </row>
    <row r="283" spans="2:16" ht="14.25" thickBot="1">
      <c r="B283" s="246"/>
      <c r="C283" s="250"/>
      <c r="D283" s="250"/>
      <c r="E283" s="250"/>
      <c r="F283" s="290" t="s">
        <v>157</v>
      </c>
      <c r="G283" s="548"/>
      <c r="H283" s="549"/>
      <c r="I283" s="291">
        <f>I278+I282</f>
        <v>2286.084</v>
      </c>
      <c r="J283" s="548"/>
      <c r="K283" s="549"/>
      <c r="L283" s="291">
        <f>L278+L282</f>
        <v>2375.6643919956396</v>
      </c>
      <c r="M283" s="291">
        <f>M278+M282</f>
        <v>89.58039199563956</v>
      </c>
      <c r="N283" s="292">
        <f>+M283/I283</f>
        <v>0.03918508331086678</v>
      </c>
      <c r="O283" s="298">
        <f>L283/L285</f>
        <v>0.8849557522123893</v>
      </c>
      <c r="P283" s="247"/>
    </row>
    <row r="284" spans="2:16" ht="14.25" thickBot="1">
      <c r="B284" s="246"/>
      <c r="C284" s="250"/>
      <c r="D284" s="250"/>
      <c r="E284" s="345"/>
      <c r="F284" s="324" t="s">
        <v>205</v>
      </c>
      <c r="G284" s="317"/>
      <c r="H284" s="325">
        <v>0.05</v>
      </c>
      <c r="I284" s="326">
        <f>I283*H284</f>
        <v>114.3042</v>
      </c>
      <c r="J284" s="317"/>
      <c r="K284" s="325">
        <v>0.13</v>
      </c>
      <c r="L284" s="327">
        <f>L283*K284</f>
        <v>308.83637095943317</v>
      </c>
      <c r="M284" s="328">
        <f>+L284-I284</f>
        <v>194.5321709594332</v>
      </c>
      <c r="N284" s="329">
        <f>IF(I284=0," ",(+M284/I284))</f>
        <v>1.7018812166082542</v>
      </c>
      <c r="O284" s="315">
        <f>L284/L285</f>
        <v>0.11504424778761063</v>
      </c>
      <c r="P284" s="247"/>
    </row>
    <row r="285" spans="2:16" ht="15" thickBot="1">
      <c r="B285" s="339"/>
      <c r="C285" s="346"/>
      <c r="D285" s="346"/>
      <c r="E285" s="346"/>
      <c r="F285" s="333" t="s">
        <v>78</v>
      </c>
      <c r="G285" s="560"/>
      <c r="H285" s="561"/>
      <c r="I285" s="334">
        <f>I283+I284</f>
        <v>2400.3882</v>
      </c>
      <c r="J285" s="560"/>
      <c r="K285" s="561"/>
      <c r="L285" s="334">
        <f>L283+L284</f>
        <v>2684.500762955073</v>
      </c>
      <c r="M285" s="334">
        <f>M283+M284</f>
        <v>284.11256295507275</v>
      </c>
      <c r="N285" s="335">
        <f>+M285/I285</f>
        <v>0.11836108965836141</v>
      </c>
      <c r="O285" s="336">
        <f>O283+O284</f>
        <v>1</v>
      </c>
      <c r="P285" s="340"/>
    </row>
    <row r="288" ht="14.25" thickBot="1"/>
    <row r="289" spans="2:16" ht="23.25">
      <c r="B289" s="244"/>
      <c r="C289" s="551"/>
      <c r="D289" s="551"/>
      <c r="E289" s="551"/>
      <c r="F289" s="551"/>
      <c r="G289" s="551"/>
      <c r="H289" s="551"/>
      <c r="I289" s="551"/>
      <c r="J289" s="551"/>
      <c r="K289" s="551"/>
      <c r="L289" s="551"/>
      <c r="M289" s="551"/>
      <c r="N289" s="551"/>
      <c r="O289" s="551"/>
      <c r="P289" s="245"/>
    </row>
    <row r="290" spans="2:16" ht="23.25">
      <c r="B290" s="246"/>
      <c r="C290" s="552" t="s">
        <v>217</v>
      </c>
      <c r="D290" s="552"/>
      <c r="E290" s="552"/>
      <c r="F290" s="552"/>
      <c r="G290" s="552"/>
      <c r="H290" s="552"/>
      <c r="I290" s="552"/>
      <c r="J290" s="552"/>
      <c r="K290" s="552"/>
      <c r="L290" s="552"/>
      <c r="M290" s="552"/>
      <c r="N290" s="552"/>
      <c r="O290" s="552"/>
      <c r="P290" s="247"/>
    </row>
    <row r="291" spans="2:16" ht="24" thickBot="1">
      <c r="B291" s="246"/>
      <c r="C291" s="550"/>
      <c r="D291" s="550"/>
      <c r="E291" s="550"/>
      <c r="F291" s="550"/>
      <c r="G291" s="550"/>
      <c r="H291" s="550"/>
      <c r="I291" s="550"/>
      <c r="J291" s="550"/>
      <c r="K291" s="550"/>
      <c r="L291" s="550"/>
      <c r="M291" s="550"/>
      <c r="N291" s="550"/>
      <c r="O291" s="550"/>
      <c r="P291" s="247"/>
    </row>
    <row r="292" spans="2:16" ht="21" thickBot="1">
      <c r="B292" s="246"/>
      <c r="C292" s="331"/>
      <c r="D292" s="331"/>
      <c r="E292" s="250"/>
      <c r="F292" s="364"/>
      <c r="G292" s="553" t="str">
        <f>$G$10</f>
        <v>2010 BILL</v>
      </c>
      <c r="H292" s="554"/>
      <c r="I292" s="555"/>
      <c r="J292" s="553" t="str">
        <f>$J$10</f>
        <v>2011 BILL</v>
      </c>
      <c r="K292" s="554"/>
      <c r="L292" s="555"/>
      <c r="M292" s="553" t="s">
        <v>72</v>
      </c>
      <c r="N292" s="554"/>
      <c r="O292" s="555"/>
      <c r="P292" s="247"/>
    </row>
    <row r="293" spans="2:16" ht="27.75" thickBot="1">
      <c r="B293" s="246"/>
      <c r="C293" s="250"/>
      <c r="D293" s="250"/>
      <c r="E293" s="252"/>
      <c r="F293" s="365"/>
      <c r="G293" s="366" t="s">
        <v>66</v>
      </c>
      <c r="H293" s="367" t="s">
        <v>67</v>
      </c>
      <c r="I293" s="368" t="s">
        <v>68</v>
      </c>
      <c r="J293" s="369" t="s">
        <v>66</v>
      </c>
      <c r="K293" s="367" t="s">
        <v>67</v>
      </c>
      <c r="L293" s="368" t="s">
        <v>68</v>
      </c>
      <c r="M293" s="370" t="s">
        <v>73</v>
      </c>
      <c r="N293" s="371" t="s">
        <v>74</v>
      </c>
      <c r="O293" s="372" t="s">
        <v>75</v>
      </c>
      <c r="P293" s="247"/>
    </row>
    <row r="294" spans="2:17" ht="15.75" thickBot="1">
      <c r="B294" s="246"/>
      <c r="C294" s="556" t="s">
        <v>69</v>
      </c>
      <c r="D294" s="557"/>
      <c r="E294" s="250"/>
      <c r="F294" s="373" t="s">
        <v>70</v>
      </c>
      <c r="G294" s="261"/>
      <c r="H294" s="262"/>
      <c r="I294" s="302">
        <f>+'2010 Existing Rates'!$C$10</f>
        <v>294.82</v>
      </c>
      <c r="J294" s="261"/>
      <c r="K294" s="262"/>
      <c r="L294" s="303">
        <f>'Rate Schedule (Part 1)'!$E$34</f>
        <v>360.69</v>
      </c>
      <c r="M294" s="304">
        <f aca="true" t="shared" si="21" ref="M294:M302">+L294-I294</f>
        <v>65.87</v>
      </c>
      <c r="N294" s="374">
        <f aca="true" t="shared" si="22" ref="N294:N309">IF(I294=0," ",(+M294/I294))</f>
        <v>0.22342446238382743</v>
      </c>
      <c r="O294" s="278">
        <f>L294/L310</f>
        <v>0.1013016483782113</v>
      </c>
      <c r="P294" s="344"/>
      <c r="Q294" s="343"/>
    </row>
    <row r="295" spans="2:16" ht="18" thickBot="1">
      <c r="B295" s="246"/>
      <c r="C295" s="341">
        <v>30000</v>
      </c>
      <c r="D295" s="342" t="s">
        <v>16</v>
      </c>
      <c r="E295" s="250"/>
      <c r="F295" s="307" t="s">
        <v>79</v>
      </c>
      <c r="G295" s="271">
        <f>+C296</f>
        <v>100</v>
      </c>
      <c r="H295" s="272">
        <f>'2010 Existing Rates'!$D$10</f>
        <v>1.8048</v>
      </c>
      <c r="I295" s="273">
        <f>+G295*H295</f>
        <v>180.48</v>
      </c>
      <c r="J295" s="271">
        <f>G295</f>
        <v>100</v>
      </c>
      <c r="K295" s="375">
        <f>'Rate Schedule (Part 1)'!$E$35</f>
        <v>2.1129</v>
      </c>
      <c r="L295" s="376">
        <f>+J295*K295</f>
        <v>211.28999999999996</v>
      </c>
      <c r="M295" s="304">
        <f t="shared" si="21"/>
        <v>30.809999999999974</v>
      </c>
      <c r="N295" s="374">
        <f t="shared" si="22"/>
        <v>0.17071143617021264</v>
      </c>
      <c r="O295" s="278">
        <f>L295/L310</f>
        <v>0.05934188717688947</v>
      </c>
      <c r="P295" s="247"/>
    </row>
    <row r="296" spans="2:16" ht="18" thickBot="1">
      <c r="B296" s="246"/>
      <c r="C296" s="341">
        <v>100</v>
      </c>
      <c r="D296" s="342" t="s">
        <v>17</v>
      </c>
      <c r="E296" s="250"/>
      <c r="F296" s="270" t="s">
        <v>220</v>
      </c>
      <c r="G296" s="284"/>
      <c r="H296" s="285"/>
      <c r="I296" s="273">
        <v>0</v>
      </c>
      <c r="J296" s="284"/>
      <c r="K296" s="285"/>
      <c r="L296" s="377">
        <f>'Rate Schedule (Part 1)'!$E$36</f>
        <v>0.47</v>
      </c>
      <c r="M296" s="304">
        <f t="shared" si="21"/>
        <v>0.47</v>
      </c>
      <c r="N296" s="374" t="str">
        <f t="shared" si="22"/>
        <v> </v>
      </c>
      <c r="O296" s="278">
        <f>L296/L310</f>
        <v>0.00013200192613534978</v>
      </c>
      <c r="P296" s="247"/>
    </row>
    <row r="297" spans="2:16" ht="17.25">
      <c r="B297" s="246"/>
      <c r="C297" s="279"/>
      <c r="D297" s="283"/>
      <c r="E297" s="250"/>
      <c r="F297" s="270" t="s">
        <v>134</v>
      </c>
      <c r="G297" s="284"/>
      <c r="H297" s="285"/>
      <c r="I297" s="273">
        <f>'2010 Existing Rates'!$B$47</f>
        <v>1.63</v>
      </c>
      <c r="J297" s="284"/>
      <c r="K297" s="285"/>
      <c r="L297" s="377">
        <f>'Rate Schedule (Part 1)'!$E$37</f>
        <v>1.2</v>
      </c>
      <c r="M297" s="304">
        <f t="shared" si="21"/>
        <v>-0.42999999999999994</v>
      </c>
      <c r="N297" s="374">
        <f t="shared" si="22"/>
        <v>-0.26380368098159507</v>
      </c>
      <c r="O297" s="278">
        <f>L297/L310</f>
        <v>0.0003370261943881271</v>
      </c>
      <c r="P297" s="247"/>
    </row>
    <row r="298" spans="2:16" ht="17.25">
      <c r="B298" s="246"/>
      <c r="C298" s="279"/>
      <c r="D298" s="283"/>
      <c r="E298" s="250"/>
      <c r="F298" s="270" t="s">
        <v>203</v>
      </c>
      <c r="G298" s="271">
        <f>C296</f>
        <v>100</v>
      </c>
      <c r="H298" s="272"/>
      <c r="I298" s="273">
        <f>+G298*H298</f>
        <v>0</v>
      </c>
      <c r="J298" s="271">
        <f>C296</f>
        <v>100</v>
      </c>
      <c r="K298" s="375">
        <f>'Rate Schedule (Part 1)'!$E$38</f>
        <v>0.0863</v>
      </c>
      <c r="L298" s="376">
        <f>+J298*K298</f>
        <v>8.63</v>
      </c>
      <c r="M298" s="304">
        <f t="shared" si="21"/>
        <v>8.63</v>
      </c>
      <c r="N298" s="374" t="str">
        <f t="shared" si="22"/>
        <v> </v>
      </c>
      <c r="O298" s="278">
        <f>L298/L310</f>
        <v>0.0024237800479746142</v>
      </c>
      <c r="P298" s="247"/>
    </row>
    <row r="299" spans="2:16" ht="27">
      <c r="B299" s="246"/>
      <c r="C299" s="279"/>
      <c r="D299" s="283"/>
      <c r="E299" s="250"/>
      <c r="F299" s="270" t="s">
        <v>272</v>
      </c>
      <c r="G299" s="406">
        <f>G298</f>
        <v>100</v>
      </c>
      <c r="H299" s="272">
        <f>'2010 Existing Rates'!$D$23</f>
        <v>-0.4471</v>
      </c>
      <c r="I299" s="286">
        <f>+G299*H299</f>
        <v>-44.71</v>
      </c>
      <c r="J299" s="406">
        <f>J298</f>
        <v>100</v>
      </c>
      <c r="K299" s="375">
        <f>'Rate Schedule (Part 1)'!$E$39</f>
        <v>-0.54218</v>
      </c>
      <c r="L299" s="275">
        <f>J299*K299</f>
        <v>-54.217999999999996</v>
      </c>
      <c r="M299" s="276">
        <f t="shared" si="21"/>
        <v>-9.507999999999996</v>
      </c>
      <c r="N299" s="277">
        <f t="shared" si="22"/>
        <v>0.2126593603220755</v>
      </c>
      <c r="O299" s="278">
        <f>L299/L310</f>
        <v>-0.015227405172779561</v>
      </c>
      <c r="P299" s="247"/>
    </row>
    <row r="300" spans="2:16" ht="27">
      <c r="B300" s="246"/>
      <c r="C300" s="279"/>
      <c r="D300" s="283"/>
      <c r="E300" s="250"/>
      <c r="F300" s="270" t="s">
        <v>273</v>
      </c>
      <c r="G300" s="406">
        <f>G299</f>
        <v>100</v>
      </c>
      <c r="H300" s="288"/>
      <c r="I300" s="286">
        <f>+G300*H300</f>
        <v>0</v>
      </c>
      <c r="J300" s="406">
        <f>J299</f>
        <v>100</v>
      </c>
      <c r="K300" s="375">
        <f>'Rate Schedule (Part 1)'!$E$40</f>
        <v>-0.048716078100961534</v>
      </c>
      <c r="L300" s="275">
        <f>J300*K300</f>
        <v>-4.871607810096154</v>
      </c>
      <c r="M300" s="276">
        <f t="shared" si="21"/>
        <v>-4.871607810096154</v>
      </c>
      <c r="N300" s="277" t="str">
        <f t="shared" si="22"/>
        <v> </v>
      </c>
      <c r="O300" s="278">
        <f>L300/L310</f>
        <v>-0.0013682162006568204</v>
      </c>
      <c r="P300" s="247"/>
    </row>
    <row r="301" spans="2:16" ht="27">
      <c r="B301" s="246"/>
      <c r="C301" s="279"/>
      <c r="D301" s="283"/>
      <c r="E301" s="250"/>
      <c r="F301" s="270" t="s">
        <v>274</v>
      </c>
      <c r="G301" s="406">
        <f>G300</f>
        <v>100</v>
      </c>
      <c r="H301" s="288"/>
      <c r="I301" s="286">
        <f>+G301*H301</f>
        <v>0</v>
      </c>
      <c r="J301" s="406">
        <f>J300</f>
        <v>100</v>
      </c>
      <c r="K301" s="375">
        <f>'Rate Schedule (Part 1)'!$E$41</f>
        <v>0.14709616226355388</v>
      </c>
      <c r="L301" s="275">
        <f>J301*K301</f>
        <v>14.709616226355388</v>
      </c>
      <c r="M301" s="276">
        <f t="shared" si="21"/>
        <v>14.709616226355388</v>
      </c>
      <c r="N301" s="277" t="str">
        <f t="shared" si="22"/>
        <v> </v>
      </c>
      <c r="O301" s="278">
        <f>L301/L310</f>
        <v>0.004131271648065333</v>
      </c>
      <c r="P301" s="247"/>
    </row>
    <row r="302" spans="2:16" ht="27.75" thickBot="1">
      <c r="B302" s="246"/>
      <c r="C302" s="250"/>
      <c r="D302" s="250"/>
      <c r="E302" s="250"/>
      <c r="F302" s="270" t="s">
        <v>275</v>
      </c>
      <c r="G302" s="271">
        <f>+C296</f>
        <v>100</v>
      </c>
      <c r="H302" s="272"/>
      <c r="I302" s="273">
        <f>+G302*H302</f>
        <v>0</v>
      </c>
      <c r="J302" s="271">
        <f>+C296</f>
        <v>100</v>
      </c>
      <c r="K302" s="375">
        <f>'Rate Schedule (Part 1)'!$E$42</f>
        <v>9.72275037757188E-05</v>
      </c>
      <c r="L302" s="275">
        <f>+J302*K302</f>
        <v>0.009722750377571879</v>
      </c>
      <c r="M302" s="304">
        <f t="shared" si="21"/>
        <v>0.009722750377571879</v>
      </c>
      <c r="N302" s="374" t="str">
        <f t="shared" si="22"/>
        <v> </v>
      </c>
      <c r="O302" s="278">
        <f>L302/L310</f>
        <v>2.7306846322823132E-06</v>
      </c>
      <c r="P302" s="247"/>
    </row>
    <row r="303" spans="2:16" ht="14.25" thickBot="1">
      <c r="B303" s="246"/>
      <c r="C303" s="250"/>
      <c r="D303" s="250"/>
      <c r="E303" s="250"/>
      <c r="F303" s="290" t="s">
        <v>200</v>
      </c>
      <c r="G303" s="548"/>
      <c r="H303" s="549"/>
      <c r="I303" s="291">
        <f>SUM(I294:I302)</f>
        <v>432.21999999999997</v>
      </c>
      <c r="J303" s="548"/>
      <c r="K303" s="549"/>
      <c r="L303" s="291">
        <f>SUM(L294:L302)</f>
        <v>537.9097311666369</v>
      </c>
      <c r="M303" s="378">
        <f>SUM(M294:M302)</f>
        <v>105.68973116663679</v>
      </c>
      <c r="N303" s="379">
        <f t="shared" si="22"/>
        <v>0.24452762751986673</v>
      </c>
      <c r="O303" s="293">
        <f>SUM(O294:O302)</f>
        <v>0.1510747246828601</v>
      </c>
      <c r="P303" s="247"/>
    </row>
    <row r="304" spans="2:16" ht="14.25" thickBot="1">
      <c r="B304" s="246"/>
      <c r="C304" s="250"/>
      <c r="D304" s="250"/>
      <c r="E304" s="250"/>
      <c r="F304" s="270" t="s">
        <v>204</v>
      </c>
      <c r="G304" s="294">
        <f>C296</f>
        <v>100</v>
      </c>
      <c r="H304" s="295">
        <f>'Other Electriciy Rates'!$F$12</f>
        <v>4.238300000000001</v>
      </c>
      <c r="I304" s="273">
        <f>+G304*H304</f>
        <v>423.83000000000004</v>
      </c>
      <c r="J304" s="294">
        <f>C296</f>
        <v>100</v>
      </c>
      <c r="K304" s="375">
        <f>'Other Electriciy Rates'!$F$26</f>
        <v>2.9045664532352884</v>
      </c>
      <c r="L304" s="273">
        <f>+J304*K304</f>
        <v>290.45664532352885</v>
      </c>
      <c r="M304" s="296">
        <f>+L304-I304</f>
        <v>-133.3733546764712</v>
      </c>
      <c r="N304" s="380">
        <f t="shared" si="22"/>
        <v>-0.3146859700268296</v>
      </c>
      <c r="O304" s="278">
        <f>L304/L310</f>
        <v>0.08157624817344243</v>
      </c>
      <c r="P304" s="247"/>
    </row>
    <row r="305" spans="2:16" ht="14.25" thickBot="1">
      <c r="B305" s="246"/>
      <c r="C305" s="250"/>
      <c r="D305" s="250"/>
      <c r="E305" s="250"/>
      <c r="F305" s="290" t="s">
        <v>202</v>
      </c>
      <c r="G305" s="548"/>
      <c r="H305" s="549"/>
      <c r="I305" s="291">
        <f>I303+I304</f>
        <v>856.05</v>
      </c>
      <c r="J305" s="548"/>
      <c r="K305" s="549"/>
      <c r="L305" s="291">
        <f>L303+L304</f>
        <v>828.3663764901657</v>
      </c>
      <c r="M305" s="291">
        <f>M303+M304</f>
        <v>-27.683623509834405</v>
      </c>
      <c r="N305" s="379">
        <f t="shared" si="22"/>
        <v>-0.032338792722194275</v>
      </c>
      <c r="O305" s="298">
        <f>L305/L310</f>
        <v>0.23265097285630257</v>
      </c>
      <c r="P305" s="247"/>
    </row>
    <row r="306" spans="2:16" ht="13.5">
      <c r="B306" s="246"/>
      <c r="C306" s="250"/>
      <c r="D306" s="250"/>
      <c r="E306" s="250"/>
      <c r="F306" s="381" t="s">
        <v>76</v>
      </c>
      <c r="G306" s="300">
        <f>C295*'Other Electriciy Rates'!$L$12</f>
        <v>31320</v>
      </c>
      <c r="H306" s="301">
        <f>'Other Electriciy Rates'!$C$12+'Other Electriciy Rates'!$D$12</f>
        <v>0.0135</v>
      </c>
      <c r="I306" s="302">
        <f>+G306*H306</f>
        <v>422.82</v>
      </c>
      <c r="J306" s="300">
        <f>C295*'Other Electriciy Rates'!$L$26</f>
        <v>31292.999999999996</v>
      </c>
      <c r="K306" s="301">
        <f>'Other Electriciy Rates'!$C$26+'Other Electriciy Rates'!$D$26</f>
        <v>0.0135</v>
      </c>
      <c r="L306" s="303">
        <f>+J306*K306</f>
        <v>422.4555</v>
      </c>
      <c r="M306" s="304">
        <f>+L306-I306</f>
        <v>-0.3645000000000209</v>
      </c>
      <c r="N306" s="374">
        <f t="shared" si="22"/>
        <v>-0.0008620689655172909</v>
      </c>
      <c r="O306" s="278">
        <f>L306/L310</f>
        <v>0.11864880788611118</v>
      </c>
      <c r="P306" s="247"/>
    </row>
    <row r="307" spans="2:16" ht="14.25" thickBot="1">
      <c r="B307" s="246"/>
      <c r="C307" s="250"/>
      <c r="D307" s="250"/>
      <c r="E307" s="250"/>
      <c r="F307" s="381" t="s">
        <v>77</v>
      </c>
      <c r="G307" s="300">
        <f>G306</f>
        <v>31320</v>
      </c>
      <c r="H307" s="301">
        <f>+'Other Electriciy Rates'!$J$12</f>
        <v>0.06072</v>
      </c>
      <c r="I307" s="302">
        <f>+G307*H307</f>
        <v>1901.7504000000001</v>
      </c>
      <c r="J307" s="300">
        <f>J306</f>
        <v>31292.999999999996</v>
      </c>
      <c r="K307" s="301">
        <f>'Other Electriciy Rates'!$J$26</f>
        <v>0.06072</v>
      </c>
      <c r="L307" s="303">
        <f>+J307*K307</f>
        <v>1900.11096</v>
      </c>
      <c r="M307" s="304">
        <f>+L307-I307</f>
        <v>-1.6394400000001497</v>
      </c>
      <c r="N307" s="374">
        <f t="shared" si="22"/>
        <v>-0.00086206896551732</v>
      </c>
      <c r="O307" s="278">
        <f>L307/L310</f>
        <v>0.5336559714699757</v>
      </c>
      <c r="P307" s="247"/>
    </row>
    <row r="308" spans="2:16" ht="14.25" thickBot="1">
      <c r="B308" s="246"/>
      <c r="C308" s="250"/>
      <c r="D308" s="250"/>
      <c r="E308" s="250"/>
      <c r="F308" s="290" t="s">
        <v>157</v>
      </c>
      <c r="G308" s="548"/>
      <c r="H308" s="549"/>
      <c r="I308" s="291">
        <f>SUM(I305:I307)</f>
        <v>3180.6204</v>
      </c>
      <c r="J308" s="548"/>
      <c r="K308" s="549"/>
      <c r="L308" s="291">
        <f>SUM(L305:L307)</f>
        <v>3150.9328364901658</v>
      </c>
      <c r="M308" s="291">
        <f>SUM(M305:M307)</f>
        <v>-29.687563509834575</v>
      </c>
      <c r="N308" s="379">
        <f t="shared" si="22"/>
        <v>-0.009333890806282504</v>
      </c>
      <c r="O308" s="298">
        <f>L308/L310</f>
        <v>0.8849557522123894</v>
      </c>
      <c r="P308" s="247"/>
    </row>
    <row r="309" spans="2:16" ht="14.25" thickBot="1">
      <c r="B309" s="246"/>
      <c r="C309" s="250"/>
      <c r="D309" s="250"/>
      <c r="E309" s="250"/>
      <c r="F309" s="324" t="s">
        <v>205</v>
      </c>
      <c r="G309" s="317"/>
      <c r="H309" s="325">
        <v>0.05</v>
      </c>
      <c r="I309" s="326">
        <f>I308*H309</f>
        <v>159.03102</v>
      </c>
      <c r="J309" s="317"/>
      <c r="K309" s="325">
        <v>0.13</v>
      </c>
      <c r="L309" s="327">
        <f>L308*K309</f>
        <v>409.62126874372154</v>
      </c>
      <c r="M309" s="328">
        <f>+L309-I309</f>
        <v>250.59024874372153</v>
      </c>
      <c r="N309" s="382">
        <f t="shared" si="22"/>
        <v>1.5757318839036656</v>
      </c>
      <c r="O309" s="315">
        <f>L309/L310</f>
        <v>0.11504424778761062</v>
      </c>
      <c r="P309" s="247"/>
    </row>
    <row r="310" spans="2:16" ht="15" thickBot="1">
      <c r="B310" s="246"/>
      <c r="C310" s="250"/>
      <c r="D310" s="250"/>
      <c r="E310" s="345"/>
      <c r="F310" s="383" t="s">
        <v>78</v>
      </c>
      <c r="G310" s="548"/>
      <c r="H310" s="549"/>
      <c r="I310" s="291">
        <f>I308+I309</f>
        <v>3339.6514199999997</v>
      </c>
      <c r="J310" s="548"/>
      <c r="K310" s="549"/>
      <c r="L310" s="291">
        <f>L308+L309</f>
        <v>3560.554105233887</v>
      </c>
      <c r="M310" s="291">
        <f>M308+M309</f>
        <v>220.90268523388696</v>
      </c>
      <c r="N310" s="379">
        <f>+M310/I310</f>
        <v>0.06614543179895313</v>
      </c>
      <c r="O310" s="293">
        <f>O308+O309</f>
        <v>1</v>
      </c>
      <c r="P310" s="247"/>
    </row>
    <row r="311" spans="2:16" ht="15" thickBot="1">
      <c r="B311" s="339"/>
      <c r="C311" s="346"/>
      <c r="D311" s="346"/>
      <c r="E311" s="346"/>
      <c r="F311" s="347"/>
      <c r="G311" s="348"/>
      <c r="H311" s="349"/>
      <c r="I311" s="350"/>
      <c r="J311" s="348"/>
      <c r="K311" s="351"/>
      <c r="L311" s="350"/>
      <c r="M311" s="384"/>
      <c r="N311" s="353"/>
      <c r="O311" s="354"/>
      <c r="P311" s="340"/>
    </row>
    <row r="312" spans="2:16" ht="15" thickBot="1">
      <c r="B312" s="343"/>
      <c r="C312" s="250"/>
      <c r="D312" s="250"/>
      <c r="E312" s="250"/>
      <c r="F312" s="355"/>
      <c r="G312" s="356"/>
      <c r="H312" s="357"/>
      <c r="I312" s="358"/>
      <c r="J312" s="356"/>
      <c r="K312" s="359"/>
      <c r="L312" s="358"/>
      <c r="M312" s="385"/>
      <c r="N312" s="361"/>
      <c r="O312" s="362"/>
      <c r="P312" s="343"/>
    </row>
    <row r="313" spans="2:16" ht="23.25">
      <c r="B313" s="244"/>
      <c r="C313" s="551"/>
      <c r="D313" s="551"/>
      <c r="E313" s="551"/>
      <c r="F313" s="551"/>
      <c r="G313" s="551"/>
      <c r="H313" s="551"/>
      <c r="I313" s="551"/>
      <c r="J313" s="551"/>
      <c r="K313" s="551"/>
      <c r="L313" s="551"/>
      <c r="M313" s="551"/>
      <c r="N313" s="551"/>
      <c r="O313" s="551"/>
      <c r="P313" s="245"/>
    </row>
    <row r="314" spans="2:16" ht="23.25">
      <c r="B314" s="246"/>
      <c r="C314" s="552" t="s">
        <v>217</v>
      </c>
      <c r="D314" s="552"/>
      <c r="E314" s="552"/>
      <c r="F314" s="552"/>
      <c r="G314" s="552"/>
      <c r="H314" s="552"/>
      <c r="I314" s="552"/>
      <c r="J314" s="552"/>
      <c r="K314" s="552"/>
      <c r="L314" s="552"/>
      <c r="M314" s="552"/>
      <c r="N314" s="552"/>
      <c r="O314" s="552"/>
      <c r="P314" s="247"/>
    </row>
    <row r="315" spans="2:17" ht="24" thickBot="1">
      <c r="B315" s="246"/>
      <c r="C315" s="550"/>
      <c r="D315" s="550"/>
      <c r="E315" s="550"/>
      <c r="F315" s="550"/>
      <c r="G315" s="550"/>
      <c r="H315" s="550"/>
      <c r="I315" s="550"/>
      <c r="J315" s="550"/>
      <c r="K315" s="550"/>
      <c r="L315" s="550"/>
      <c r="M315" s="550"/>
      <c r="N315" s="550"/>
      <c r="O315" s="550"/>
      <c r="P315" s="247"/>
      <c r="Q315" s="343"/>
    </row>
    <row r="316" spans="2:17" ht="21" thickBot="1">
      <c r="B316" s="246"/>
      <c r="C316" s="331"/>
      <c r="D316" s="331"/>
      <c r="E316" s="250"/>
      <c r="F316" s="364"/>
      <c r="G316" s="553" t="str">
        <f>$G$10</f>
        <v>2010 BILL</v>
      </c>
      <c r="H316" s="554"/>
      <c r="I316" s="555"/>
      <c r="J316" s="553" t="str">
        <f>$J$10</f>
        <v>2011 BILL</v>
      </c>
      <c r="K316" s="554"/>
      <c r="L316" s="555"/>
      <c r="M316" s="553" t="s">
        <v>72</v>
      </c>
      <c r="N316" s="554"/>
      <c r="O316" s="555"/>
      <c r="P316" s="247"/>
      <c r="Q316" s="343"/>
    </row>
    <row r="317" spans="2:17" ht="27.75" thickBot="1">
      <c r="B317" s="246"/>
      <c r="C317" s="250"/>
      <c r="D317" s="250"/>
      <c r="E317" s="252"/>
      <c r="F317" s="365"/>
      <c r="G317" s="366" t="s">
        <v>66</v>
      </c>
      <c r="H317" s="367" t="s">
        <v>67</v>
      </c>
      <c r="I317" s="368" t="s">
        <v>68</v>
      </c>
      <c r="J317" s="369" t="s">
        <v>66</v>
      </c>
      <c r="K317" s="367" t="s">
        <v>67</v>
      </c>
      <c r="L317" s="368" t="s">
        <v>68</v>
      </c>
      <c r="M317" s="370" t="s">
        <v>73</v>
      </c>
      <c r="N317" s="371" t="s">
        <v>74</v>
      </c>
      <c r="O317" s="372" t="s">
        <v>75</v>
      </c>
      <c r="P317" s="247"/>
      <c r="Q317" s="343"/>
    </row>
    <row r="318" spans="2:17" ht="15.75" thickBot="1">
      <c r="B318" s="246"/>
      <c r="C318" s="556" t="s">
        <v>69</v>
      </c>
      <c r="D318" s="557"/>
      <c r="E318" s="250"/>
      <c r="F318" s="373" t="s">
        <v>70</v>
      </c>
      <c r="G318" s="261"/>
      <c r="H318" s="262"/>
      <c r="I318" s="302">
        <f>+'2010 Existing Rates'!$C$10</f>
        <v>294.82</v>
      </c>
      <c r="J318" s="261"/>
      <c r="K318" s="262"/>
      <c r="L318" s="303">
        <f>'Rate Schedule (Part 1)'!$E$34</f>
        <v>360.69</v>
      </c>
      <c r="M318" s="304">
        <f aca="true" t="shared" si="23" ref="M318:M326">+L318-I318</f>
        <v>65.87</v>
      </c>
      <c r="N318" s="374">
        <f aca="true" t="shared" si="24" ref="N318:N333">IF(I318=0," ",(+M318/I318))</f>
        <v>0.22342446238382743</v>
      </c>
      <c r="O318" s="278">
        <f>L318/L334</f>
        <v>0.04352382591366208</v>
      </c>
      <c r="P318" s="247"/>
      <c r="Q318" s="343"/>
    </row>
    <row r="319" spans="2:17" ht="18" thickBot="1">
      <c r="B319" s="246"/>
      <c r="C319" s="341">
        <v>75000</v>
      </c>
      <c r="D319" s="342" t="s">
        <v>16</v>
      </c>
      <c r="E319" s="250"/>
      <c r="F319" s="307" t="s">
        <v>79</v>
      </c>
      <c r="G319" s="271">
        <f>+C320</f>
        <v>250</v>
      </c>
      <c r="H319" s="272">
        <f>'2010 Existing Rates'!$D$10</f>
        <v>1.8048</v>
      </c>
      <c r="I319" s="273">
        <f>+G319*H319</f>
        <v>451.2</v>
      </c>
      <c r="J319" s="271">
        <f>G319</f>
        <v>250</v>
      </c>
      <c r="K319" s="375">
        <f>'Rate Schedule (Part 1)'!$E$35</f>
        <v>2.1129</v>
      </c>
      <c r="L319" s="376">
        <f>+J319*K319</f>
        <v>528.2249999999999</v>
      </c>
      <c r="M319" s="304">
        <f t="shared" si="23"/>
        <v>77.02499999999992</v>
      </c>
      <c r="N319" s="374">
        <f t="shared" si="24"/>
        <v>0.1707114361702126</v>
      </c>
      <c r="O319" s="278">
        <f>L319/L334</f>
        <v>0.0637399787719209</v>
      </c>
      <c r="P319" s="247"/>
      <c r="Q319" s="343"/>
    </row>
    <row r="320" spans="2:16" ht="18" thickBot="1">
      <c r="B320" s="246"/>
      <c r="C320" s="341">
        <v>250</v>
      </c>
      <c r="D320" s="342" t="s">
        <v>17</v>
      </c>
      <c r="E320" s="250"/>
      <c r="F320" s="270" t="s">
        <v>220</v>
      </c>
      <c r="G320" s="284"/>
      <c r="H320" s="285"/>
      <c r="I320" s="273">
        <v>0</v>
      </c>
      <c r="J320" s="284"/>
      <c r="K320" s="285"/>
      <c r="L320" s="377">
        <f>'Rate Schedule (Part 1)'!$E$36</f>
        <v>0.47</v>
      </c>
      <c r="M320" s="304">
        <f t="shared" si="23"/>
        <v>0.47</v>
      </c>
      <c r="N320" s="374" t="str">
        <f t="shared" si="24"/>
        <v> </v>
      </c>
      <c r="O320" s="278">
        <f>L320/L334</f>
        <v>5.671407075167367E-05</v>
      </c>
      <c r="P320" s="247"/>
    </row>
    <row r="321" spans="2:16" ht="17.25">
      <c r="B321" s="246"/>
      <c r="C321" s="279"/>
      <c r="D321" s="283"/>
      <c r="E321" s="250"/>
      <c r="F321" s="270" t="s">
        <v>134</v>
      </c>
      <c r="G321" s="284"/>
      <c r="H321" s="285"/>
      <c r="I321" s="273">
        <f>'2010 Existing Rates'!$B$47</f>
        <v>1.63</v>
      </c>
      <c r="J321" s="284"/>
      <c r="K321" s="285"/>
      <c r="L321" s="377">
        <f>'Rate Schedule (Part 1)'!$E$37</f>
        <v>1.2</v>
      </c>
      <c r="M321" s="304">
        <f t="shared" si="23"/>
        <v>-0.42999999999999994</v>
      </c>
      <c r="N321" s="374">
        <f t="shared" si="24"/>
        <v>-0.26380368098159507</v>
      </c>
      <c r="O321" s="278">
        <f>L321/L334</f>
        <v>0.00014480188277023065</v>
      </c>
      <c r="P321" s="247"/>
    </row>
    <row r="322" spans="2:16" ht="17.25">
      <c r="B322" s="246"/>
      <c r="C322" s="279"/>
      <c r="D322" s="283"/>
      <c r="E322" s="250"/>
      <c r="F322" s="270" t="s">
        <v>203</v>
      </c>
      <c r="G322" s="271">
        <f>C320</f>
        <v>250</v>
      </c>
      <c r="H322" s="272"/>
      <c r="I322" s="273">
        <f>+G322*H322</f>
        <v>0</v>
      </c>
      <c r="J322" s="271">
        <f>C320</f>
        <v>250</v>
      </c>
      <c r="K322" s="375">
        <f>'Rate Schedule (Part 1)'!$E$38</f>
        <v>0.0863</v>
      </c>
      <c r="L322" s="376">
        <f>+J322*K322</f>
        <v>21.575</v>
      </c>
      <c r="M322" s="304">
        <f t="shared" si="23"/>
        <v>21.575</v>
      </c>
      <c r="N322" s="374" t="str">
        <f t="shared" si="24"/>
        <v> </v>
      </c>
      <c r="O322" s="278">
        <f>L322/L334</f>
        <v>0.002603417183973105</v>
      </c>
      <c r="P322" s="247"/>
    </row>
    <row r="323" spans="2:16" ht="27">
      <c r="B323" s="246"/>
      <c r="C323" s="279"/>
      <c r="D323" s="283"/>
      <c r="E323" s="250"/>
      <c r="F323" s="270" t="s">
        <v>272</v>
      </c>
      <c r="G323" s="406">
        <f>G322</f>
        <v>250</v>
      </c>
      <c r="H323" s="272">
        <f>'2010 Existing Rates'!$D$23</f>
        <v>-0.4471</v>
      </c>
      <c r="I323" s="286">
        <f>+G323*H323</f>
        <v>-111.775</v>
      </c>
      <c r="J323" s="406">
        <f>J322</f>
        <v>250</v>
      </c>
      <c r="K323" s="375">
        <f>'Rate Schedule (Part 1)'!$E$39</f>
        <v>-0.54218</v>
      </c>
      <c r="L323" s="275">
        <f>J323*K323</f>
        <v>-135.545</v>
      </c>
      <c r="M323" s="276">
        <f t="shared" si="23"/>
        <v>-23.769999999999982</v>
      </c>
      <c r="N323" s="277">
        <f t="shared" si="24"/>
        <v>0.2126593603220754</v>
      </c>
      <c r="O323" s="278">
        <f>L323/L334</f>
        <v>-0.01635597600007576</v>
      </c>
      <c r="P323" s="247"/>
    </row>
    <row r="324" spans="2:16" ht="27">
      <c r="B324" s="246"/>
      <c r="C324" s="279"/>
      <c r="D324" s="283"/>
      <c r="E324" s="250"/>
      <c r="F324" s="270" t="s">
        <v>273</v>
      </c>
      <c r="G324" s="406">
        <f>G323</f>
        <v>250</v>
      </c>
      <c r="H324" s="288"/>
      <c r="I324" s="286">
        <f>+G324*H324</f>
        <v>0</v>
      </c>
      <c r="J324" s="406">
        <f>J323</f>
        <v>250</v>
      </c>
      <c r="K324" s="375">
        <f>'Rate Schedule (Part 1)'!$E$40</f>
        <v>-0.048716078100961534</v>
      </c>
      <c r="L324" s="275">
        <f>J324*K324</f>
        <v>-12.179019525240383</v>
      </c>
      <c r="M324" s="276">
        <f t="shared" si="23"/>
        <v>-12.179019525240383</v>
      </c>
      <c r="N324" s="277" t="str">
        <f t="shared" si="24"/>
        <v> </v>
      </c>
      <c r="O324" s="278">
        <f>L324/L334</f>
        <v>-0.0014696207979585068</v>
      </c>
      <c r="P324" s="247"/>
    </row>
    <row r="325" spans="2:16" ht="27">
      <c r="B325" s="246"/>
      <c r="C325" s="279"/>
      <c r="D325" s="283"/>
      <c r="E325" s="250"/>
      <c r="F325" s="270" t="s">
        <v>274</v>
      </c>
      <c r="G325" s="406">
        <f>G324</f>
        <v>250</v>
      </c>
      <c r="H325" s="288"/>
      <c r="I325" s="286">
        <f>+G325*H325</f>
        <v>0</v>
      </c>
      <c r="J325" s="406">
        <f>J324</f>
        <v>250</v>
      </c>
      <c r="K325" s="375">
        <f>'Rate Schedule (Part 1)'!$E$41</f>
        <v>0.14709616226355388</v>
      </c>
      <c r="L325" s="275">
        <f>J325*K325</f>
        <v>36.77404056588847</v>
      </c>
      <c r="M325" s="276">
        <f t="shared" si="23"/>
        <v>36.77404056588847</v>
      </c>
      <c r="N325" s="277" t="str">
        <f t="shared" si="24"/>
        <v> </v>
      </c>
      <c r="O325" s="278">
        <f>L325/L334</f>
        <v>0.004437458592507907</v>
      </c>
      <c r="P325" s="247"/>
    </row>
    <row r="326" spans="2:16" ht="27.75" thickBot="1">
      <c r="B326" s="246"/>
      <c r="C326" s="250"/>
      <c r="D326" s="250"/>
      <c r="E326" s="250"/>
      <c r="F326" s="270" t="s">
        <v>275</v>
      </c>
      <c r="G326" s="271">
        <f>+C320</f>
        <v>250</v>
      </c>
      <c r="H326" s="272"/>
      <c r="I326" s="273">
        <f>+G326*H326</f>
        <v>0</v>
      </c>
      <c r="J326" s="271">
        <f>+C320</f>
        <v>250</v>
      </c>
      <c r="K326" s="375">
        <f>'Rate Schedule (Part 1)'!$E$42</f>
        <v>9.72275037757188E-05</v>
      </c>
      <c r="L326" s="275">
        <f>+J326*K326</f>
        <v>0.0243068759439297</v>
      </c>
      <c r="M326" s="304">
        <f t="shared" si="23"/>
        <v>0.0243068759439297</v>
      </c>
      <c r="N326" s="374" t="str">
        <f t="shared" si="24"/>
        <v> </v>
      </c>
      <c r="O326" s="278">
        <f>L326/L334</f>
        <v>2.9330678341195404E-06</v>
      </c>
      <c r="P326" s="247"/>
    </row>
    <row r="327" spans="2:16" ht="14.25" thickBot="1">
      <c r="B327" s="246"/>
      <c r="C327" s="250"/>
      <c r="D327" s="250"/>
      <c r="E327" s="250"/>
      <c r="F327" s="290" t="s">
        <v>200</v>
      </c>
      <c r="G327" s="548"/>
      <c r="H327" s="549"/>
      <c r="I327" s="291">
        <f>SUM(I318:I326)</f>
        <v>635.875</v>
      </c>
      <c r="J327" s="548"/>
      <c r="K327" s="549"/>
      <c r="L327" s="291">
        <f>SUM(L318:L326)</f>
        <v>801.2343279165921</v>
      </c>
      <c r="M327" s="378">
        <f>SUM(M318:M326)</f>
        <v>165.35932791659192</v>
      </c>
      <c r="N327" s="379">
        <f t="shared" si="24"/>
        <v>0.26005005373161694</v>
      </c>
      <c r="O327" s="293">
        <f>SUM(O318:O326)</f>
        <v>0.09668353268538575</v>
      </c>
      <c r="P327" s="247"/>
    </row>
    <row r="328" spans="2:16" ht="14.25" thickBot="1">
      <c r="B328" s="246"/>
      <c r="C328" s="250"/>
      <c r="D328" s="250"/>
      <c r="E328" s="250"/>
      <c r="F328" s="270" t="s">
        <v>204</v>
      </c>
      <c r="G328" s="294">
        <f>C320</f>
        <v>250</v>
      </c>
      <c r="H328" s="295">
        <f>'Other Electriciy Rates'!$F$12</f>
        <v>4.238300000000001</v>
      </c>
      <c r="I328" s="273">
        <f>+G328*H328</f>
        <v>1059.575</v>
      </c>
      <c r="J328" s="294">
        <f>C320</f>
        <v>250</v>
      </c>
      <c r="K328" s="375">
        <f>'Other Electriciy Rates'!$F$26</f>
        <v>2.9045664532352884</v>
      </c>
      <c r="L328" s="273">
        <f>+J328*K328</f>
        <v>726.1416133088221</v>
      </c>
      <c r="M328" s="296">
        <f>+L328-I328</f>
        <v>-333.43338669117793</v>
      </c>
      <c r="N328" s="380">
        <f t="shared" si="24"/>
        <v>-0.3146859700268295</v>
      </c>
      <c r="O328" s="278">
        <f>L328/L334</f>
        <v>0.08762222730410853</v>
      </c>
      <c r="P328" s="247"/>
    </row>
    <row r="329" spans="2:16" ht="14.25" thickBot="1">
      <c r="B329" s="246"/>
      <c r="C329" s="250"/>
      <c r="D329" s="250"/>
      <c r="E329" s="250"/>
      <c r="F329" s="290" t="s">
        <v>202</v>
      </c>
      <c r="G329" s="548"/>
      <c r="H329" s="549"/>
      <c r="I329" s="291">
        <f>I327+I328</f>
        <v>1695.45</v>
      </c>
      <c r="J329" s="548"/>
      <c r="K329" s="549"/>
      <c r="L329" s="291">
        <f>L327+L328</f>
        <v>1527.3759412254142</v>
      </c>
      <c r="M329" s="291">
        <f>M327+M328</f>
        <v>-168.074058774586</v>
      </c>
      <c r="N329" s="379">
        <f t="shared" si="24"/>
        <v>-0.09913241839900086</v>
      </c>
      <c r="O329" s="298">
        <f>L329/L334</f>
        <v>0.18430575998949428</v>
      </c>
      <c r="P329" s="247"/>
    </row>
    <row r="330" spans="2:16" ht="13.5">
      <c r="B330" s="246"/>
      <c r="C330" s="250"/>
      <c r="D330" s="250"/>
      <c r="E330" s="250"/>
      <c r="F330" s="381" t="s">
        <v>76</v>
      </c>
      <c r="G330" s="300">
        <f>C319*'Other Electriciy Rates'!$L$12</f>
        <v>78300</v>
      </c>
      <c r="H330" s="301">
        <f>'Other Electriciy Rates'!$C$12+'Other Electriciy Rates'!$D$12</f>
        <v>0.0135</v>
      </c>
      <c r="I330" s="302">
        <f>+G330*H330</f>
        <v>1057.05</v>
      </c>
      <c r="J330" s="300">
        <f>C319*'Other Electriciy Rates'!$L$26</f>
        <v>78232.5</v>
      </c>
      <c r="K330" s="301">
        <f>'Other Electriciy Rates'!$C$26+'Other Electriciy Rates'!$D$26</f>
        <v>0.0135</v>
      </c>
      <c r="L330" s="303">
        <f>+J330*K330</f>
        <v>1056.13875</v>
      </c>
      <c r="M330" s="304">
        <f>+L330-I330</f>
        <v>-0.9112499999998818</v>
      </c>
      <c r="N330" s="374">
        <f t="shared" si="24"/>
        <v>-0.0008620689655171296</v>
      </c>
      <c r="O330" s="278">
        <f>L330/L334</f>
        <v>0.1274423995554983</v>
      </c>
      <c r="P330" s="247"/>
    </row>
    <row r="331" spans="2:16" ht="14.25" thickBot="1">
      <c r="B331" s="246"/>
      <c r="C331" s="250"/>
      <c r="D331" s="250"/>
      <c r="E331" s="250"/>
      <c r="F331" s="381" t="s">
        <v>77</v>
      </c>
      <c r="G331" s="300">
        <f>G330</f>
        <v>78300</v>
      </c>
      <c r="H331" s="301">
        <f>+'Other Electriciy Rates'!$J$12</f>
        <v>0.06072</v>
      </c>
      <c r="I331" s="302">
        <f>+G331*H331</f>
        <v>4754.376</v>
      </c>
      <c r="J331" s="300">
        <f>J330</f>
        <v>78232.5</v>
      </c>
      <c r="K331" s="301">
        <f>'Other Electriciy Rates'!$J$26</f>
        <v>0.06072</v>
      </c>
      <c r="L331" s="303">
        <f>+J331*K331</f>
        <v>4750.2774</v>
      </c>
      <c r="M331" s="304">
        <f>+L331-I331</f>
        <v>-4.0986000000002605</v>
      </c>
      <c r="N331" s="374">
        <f t="shared" si="24"/>
        <v>-0.0008620689655172961</v>
      </c>
      <c r="O331" s="278">
        <f>L331/L334</f>
        <v>0.5732075926673967</v>
      </c>
      <c r="P331" s="247"/>
    </row>
    <row r="332" spans="2:16" ht="14.25" thickBot="1">
      <c r="B332" s="246"/>
      <c r="C332" s="250"/>
      <c r="D332" s="250"/>
      <c r="E332" s="250"/>
      <c r="F332" s="290" t="s">
        <v>157</v>
      </c>
      <c r="G332" s="548"/>
      <c r="H332" s="549"/>
      <c r="I332" s="291">
        <f>SUM(I329:I331)</f>
        <v>7506.876</v>
      </c>
      <c r="J332" s="548"/>
      <c r="K332" s="549"/>
      <c r="L332" s="291">
        <f>SUM(L329:L331)</f>
        <v>7333.792091225414</v>
      </c>
      <c r="M332" s="291">
        <f>SUM(M329:M331)</f>
        <v>-173.08390877458615</v>
      </c>
      <c r="N332" s="379">
        <f t="shared" si="24"/>
        <v>-0.023056716105952217</v>
      </c>
      <c r="O332" s="298">
        <f>L332/L334</f>
        <v>0.8849557522123893</v>
      </c>
      <c r="P332" s="247"/>
    </row>
    <row r="333" spans="2:16" ht="14.25" thickBot="1">
      <c r="B333" s="246"/>
      <c r="C333" s="250"/>
      <c r="D333" s="250"/>
      <c r="E333" s="250"/>
      <c r="F333" s="324" t="s">
        <v>205</v>
      </c>
      <c r="G333" s="317"/>
      <c r="H333" s="325">
        <v>0.05</v>
      </c>
      <c r="I333" s="326">
        <f>I332*H333</f>
        <v>375.34380000000004</v>
      </c>
      <c r="J333" s="317"/>
      <c r="K333" s="325">
        <v>0.13</v>
      </c>
      <c r="L333" s="327">
        <f>L332*K333</f>
        <v>953.3929718593039</v>
      </c>
      <c r="M333" s="328">
        <f>+L333-I333</f>
        <v>578.0491718593039</v>
      </c>
      <c r="N333" s="382">
        <f t="shared" si="24"/>
        <v>1.5400525381245243</v>
      </c>
      <c r="O333" s="315">
        <f>L333/L334</f>
        <v>0.11504424778761062</v>
      </c>
      <c r="P333" s="247"/>
    </row>
    <row r="334" spans="2:16" ht="15" thickBot="1">
      <c r="B334" s="246"/>
      <c r="C334" s="250"/>
      <c r="D334" s="250"/>
      <c r="E334" s="345"/>
      <c r="F334" s="383" t="s">
        <v>78</v>
      </c>
      <c r="G334" s="548"/>
      <c r="H334" s="549"/>
      <c r="I334" s="291">
        <f>I332+I333</f>
        <v>7882.2198</v>
      </c>
      <c r="J334" s="548"/>
      <c r="K334" s="549"/>
      <c r="L334" s="291">
        <f>L332+L333</f>
        <v>8287.185063084718</v>
      </c>
      <c r="M334" s="291">
        <f>M332+M333</f>
        <v>404.9652630847178</v>
      </c>
      <c r="N334" s="379">
        <f>+M334/I334</f>
        <v>0.05137705790502287</v>
      </c>
      <c r="O334" s="293">
        <f>O332+O333</f>
        <v>0.9999999999999999</v>
      </c>
      <c r="P334" s="247"/>
    </row>
    <row r="335" spans="2:16" ht="15" thickBot="1">
      <c r="B335" s="339"/>
      <c r="C335" s="346"/>
      <c r="D335" s="346"/>
      <c r="E335" s="346"/>
      <c r="F335" s="347"/>
      <c r="G335" s="348"/>
      <c r="H335" s="349"/>
      <c r="I335" s="350"/>
      <c r="J335" s="348"/>
      <c r="K335" s="351"/>
      <c r="L335" s="350"/>
      <c r="M335" s="384"/>
      <c r="N335" s="353"/>
      <c r="O335" s="354"/>
      <c r="P335" s="340"/>
    </row>
    <row r="336" spans="2:16" ht="15" thickBot="1">
      <c r="B336" s="343"/>
      <c r="C336" s="250"/>
      <c r="D336" s="250"/>
      <c r="E336" s="250"/>
      <c r="F336" s="355"/>
      <c r="G336" s="356"/>
      <c r="H336" s="357"/>
      <c r="I336" s="358"/>
      <c r="J336" s="356"/>
      <c r="K336" s="359"/>
      <c r="L336" s="358"/>
      <c r="M336" s="385"/>
      <c r="N336" s="361"/>
      <c r="O336" s="362"/>
      <c r="P336" s="343"/>
    </row>
    <row r="337" spans="2:16" ht="23.25">
      <c r="B337" s="244"/>
      <c r="C337" s="551"/>
      <c r="D337" s="551"/>
      <c r="E337" s="551"/>
      <c r="F337" s="551"/>
      <c r="G337" s="551"/>
      <c r="H337" s="551"/>
      <c r="I337" s="551"/>
      <c r="J337" s="551"/>
      <c r="K337" s="551"/>
      <c r="L337" s="551"/>
      <c r="M337" s="551"/>
      <c r="N337" s="551"/>
      <c r="O337" s="551"/>
      <c r="P337" s="245"/>
    </row>
    <row r="338" spans="2:16" ht="23.25">
      <c r="B338" s="246"/>
      <c r="C338" s="552" t="s">
        <v>217</v>
      </c>
      <c r="D338" s="552"/>
      <c r="E338" s="552"/>
      <c r="F338" s="552"/>
      <c r="G338" s="552"/>
      <c r="H338" s="552"/>
      <c r="I338" s="552"/>
      <c r="J338" s="552"/>
      <c r="K338" s="552"/>
      <c r="L338" s="552"/>
      <c r="M338" s="552"/>
      <c r="N338" s="552"/>
      <c r="O338" s="552"/>
      <c r="P338" s="247"/>
    </row>
    <row r="339" spans="2:17" ht="24" thickBot="1">
      <c r="B339" s="246"/>
      <c r="C339" s="550"/>
      <c r="D339" s="550"/>
      <c r="E339" s="550"/>
      <c r="F339" s="550"/>
      <c r="G339" s="550"/>
      <c r="H339" s="550"/>
      <c r="I339" s="550"/>
      <c r="J339" s="550"/>
      <c r="K339" s="550"/>
      <c r="L339" s="550"/>
      <c r="M339" s="550"/>
      <c r="N339" s="550"/>
      <c r="O339" s="550"/>
      <c r="P339" s="247"/>
      <c r="Q339" s="343"/>
    </row>
    <row r="340" spans="2:17" ht="21" thickBot="1">
      <c r="B340" s="246"/>
      <c r="C340" s="331"/>
      <c r="D340" s="331"/>
      <c r="E340" s="250"/>
      <c r="F340" s="364"/>
      <c r="G340" s="553" t="str">
        <f>$G$10</f>
        <v>2010 BILL</v>
      </c>
      <c r="H340" s="554"/>
      <c r="I340" s="555"/>
      <c r="J340" s="553" t="str">
        <f>$J$10</f>
        <v>2011 BILL</v>
      </c>
      <c r="K340" s="554"/>
      <c r="L340" s="555"/>
      <c r="M340" s="553" t="s">
        <v>72</v>
      </c>
      <c r="N340" s="554"/>
      <c r="O340" s="555"/>
      <c r="P340" s="247"/>
      <c r="Q340" s="343"/>
    </row>
    <row r="341" spans="2:17" ht="27.75" thickBot="1">
      <c r="B341" s="246"/>
      <c r="C341" s="250"/>
      <c r="D341" s="250"/>
      <c r="E341" s="252"/>
      <c r="F341" s="365"/>
      <c r="G341" s="366" t="s">
        <v>66</v>
      </c>
      <c r="H341" s="367" t="s">
        <v>67</v>
      </c>
      <c r="I341" s="368" t="s">
        <v>68</v>
      </c>
      <c r="J341" s="369" t="s">
        <v>66</v>
      </c>
      <c r="K341" s="367" t="s">
        <v>67</v>
      </c>
      <c r="L341" s="368" t="s">
        <v>68</v>
      </c>
      <c r="M341" s="370" t="s">
        <v>73</v>
      </c>
      <c r="N341" s="371" t="s">
        <v>74</v>
      </c>
      <c r="O341" s="372" t="s">
        <v>75</v>
      </c>
      <c r="P341" s="247"/>
      <c r="Q341" s="343"/>
    </row>
    <row r="342" spans="2:17" ht="15.75" thickBot="1">
      <c r="B342" s="246"/>
      <c r="C342" s="556" t="s">
        <v>69</v>
      </c>
      <c r="D342" s="557"/>
      <c r="E342" s="250"/>
      <c r="F342" s="373" t="s">
        <v>70</v>
      </c>
      <c r="G342" s="261"/>
      <c r="H342" s="262"/>
      <c r="I342" s="302">
        <f>+'2010 Existing Rates'!$C$10</f>
        <v>294.82</v>
      </c>
      <c r="J342" s="261"/>
      <c r="K342" s="262"/>
      <c r="L342" s="303">
        <f>'Rate Schedule (Part 1)'!$E$34</f>
        <v>360.69</v>
      </c>
      <c r="M342" s="304">
        <f aca="true" t="shared" si="25" ref="M342:M350">+L342-I342</f>
        <v>65.87</v>
      </c>
      <c r="N342" s="374">
        <f aca="true" t="shared" si="26" ref="N342:N357">IF(I342=0," ",(+M342/I342))</f>
        <v>0.22342446238382743</v>
      </c>
      <c r="O342" s="278">
        <f>L342/L358</f>
        <v>0.01756116499942789</v>
      </c>
      <c r="P342" s="247"/>
      <c r="Q342" s="343"/>
    </row>
    <row r="343" spans="2:17" ht="18" thickBot="1">
      <c r="B343" s="246"/>
      <c r="C343" s="341">
        <v>200000</v>
      </c>
      <c r="D343" s="342" t="s">
        <v>16</v>
      </c>
      <c r="E343" s="250"/>
      <c r="F343" s="307" t="s">
        <v>79</v>
      </c>
      <c r="G343" s="271">
        <f>+C344</f>
        <v>500</v>
      </c>
      <c r="H343" s="272">
        <f>'2010 Existing Rates'!$D$10</f>
        <v>1.8048</v>
      </c>
      <c r="I343" s="273">
        <f>+G343*H343</f>
        <v>902.4</v>
      </c>
      <c r="J343" s="271">
        <f>G343</f>
        <v>500</v>
      </c>
      <c r="K343" s="375">
        <f>'Rate Schedule (Part 1)'!$E$35</f>
        <v>2.1129</v>
      </c>
      <c r="L343" s="376">
        <f>+J343*K343</f>
        <v>1056.4499999999998</v>
      </c>
      <c r="M343" s="304">
        <f t="shared" si="25"/>
        <v>154.04999999999984</v>
      </c>
      <c r="N343" s="374">
        <f t="shared" si="26"/>
        <v>0.1707114361702126</v>
      </c>
      <c r="O343" s="278">
        <f>L343/L358</f>
        <v>0.05143611623179348</v>
      </c>
      <c r="P343" s="247"/>
      <c r="Q343" s="343"/>
    </row>
    <row r="344" spans="2:16" ht="18" thickBot="1">
      <c r="B344" s="246"/>
      <c r="C344" s="341">
        <v>500</v>
      </c>
      <c r="D344" s="342" t="s">
        <v>17</v>
      </c>
      <c r="E344" s="250"/>
      <c r="F344" s="270" t="s">
        <v>220</v>
      </c>
      <c r="G344" s="284"/>
      <c r="H344" s="285"/>
      <c r="I344" s="273">
        <v>0</v>
      </c>
      <c r="J344" s="284"/>
      <c r="K344" s="285"/>
      <c r="L344" s="377">
        <f>'Rate Schedule (Part 1)'!$E$36</f>
        <v>0.47</v>
      </c>
      <c r="M344" s="304">
        <f t="shared" si="25"/>
        <v>0.47</v>
      </c>
      <c r="N344" s="374" t="str">
        <f t="shared" si="26"/>
        <v> </v>
      </c>
      <c r="O344" s="278">
        <f>L344/L358</f>
        <v>2.288321702772771E-05</v>
      </c>
      <c r="P344" s="247"/>
    </row>
    <row r="345" spans="2:16" ht="17.25">
      <c r="B345" s="246"/>
      <c r="C345" s="279"/>
      <c r="D345" s="283"/>
      <c r="E345" s="250"/>
      <c r="F345" s="270" t="s">
        <v>134</v>
      </c>
      <c r="G345" s="284"/>
      <c r="H345" s="285"/>
      <c r="I345" s="273">
        <f>'2010 Existing Rates'!$B$47</f>
        <v>1.63</v>
      </c>
      <c r="J345" s="284"/>
      <c r="K345" s="285"/>
      <c r="L345" s="377">
        <f>'Rate Schedule (Part 1)'!$E$37</f>
        <v>1.2</v>
      </c>
      <c r="M345" s="304">
        <f t="shared" si="25"/>
        <v>-0.42999999999999994</v>
      </c>
      <c r="N345" s="374">
        <f t="shared" si="26"/>
        <v>-0.26380368098159507</v>
      </c>
      <c r="O345" s="278">
        <f>L345/L358</f>
        <v>5.842523496441117E-05</v>
      </c>
      <c r="P345" s="247"/>
    </row>
    <row r="346" spans="2:16" ht="17.25">
      <c r="B346" s="246"/>
      <c r="C346" s="279"/>
      <c r="D346" s="283"/>
      <c r="E346" s="250"/>
      <c r="F346" s="270" t="s">
        <v>203</v>
      </c>
      <c r="G346" s="271">
        <f>C344</f>
        <v>500</v>
      </c>
      <c r="H346" s="272"/>
      <c r="I346" s="273">
        <f>+G346*H346</f>
        <v>0</v>
      </c>
      <c r="J346" s="271">
        <f>C344</f>
        <v>500</v>
      </c>
      <c r="K346" s="375">
        <f>'Rate Schedule (Part 1)'!$E$38</f>
        <v>0.0863</v>
      </c>
      <c r="L346" s="376">
        <f>+J346*K346</f>
        <v>43.15</v>
      </c>
      <c r="M346" s="304">
        <f t="shared" si="25"/>
        <v>43.15</v>
      </c>
      <c r="N346" s="374" t="str">
        <f t="shared" si="26"/>
        <v> </v>
      </c>
      <c r="O346" s="278">
        <f>L346/L358</f>
        <v>0.0021008740739286184</v>
      </c>
      <c r="P346" s="247"/>
    </row>
    <row r="347" spans="2:16" ht="27">
      <c r="B347" s="246"/>
      <c r="C347" s="279"/>
      <c r="D347" s="283"/>
      <c r="E347" s="250"/>
      <c r="F347" s="270" t="s">
        <v>272</v>
      </c>
      <c r="G347" s="406">
        <f>G346</f>
        <v>500</v>
      </c>
      <c r="H347" s="272">
        <f>'2010 Existing Rates'!$D$23</f>
        <v>-0.4471</v>
      </c>
      <c r="I347" s="286">
        <f>+G347*H347</f>
        <v>-223.55</v>
      </c>
      <c r="J347" s="406">
        <f>J346</f>
        <v>500</v>
      </c>
      <c r="K347" s="375">
        <f>'Rate Schedule (Part 1)'!$E$39</f>
        <v>-0.54218</v>
      </c>
      <c r="L347" s="275">
        <f>J347*K347</f>
        <v>-271.09</v>
      </c>
      <c r="M347" s="276">
        <f t="shared" si="25"/>
        <v>-47.539999999999964</v>
      </c>
      <c r="N347" s="277">
        <f t="shared" si="26"/>
        <v>0.2126593603220754</v>
      </c>
      <c r="O347" s="278">
        <f>L347/L358</f>
        <v>-0.013198747455418519</v>
      </c>
      <c r="P347" s="247"/>
    </row>
    <row r="348" spans="2:16" ht="27">
      <c r="B348" s="246"/>
      <c r="C348" s="279"/>
      <c r="D348" s="283"/>
      <c r="E348" s="250"/>
      <c r="F348" s="270" t="s">
        <v>273</v>
      </c>
      <c r="G348" s="406">
        <f>G347</f>
        <v>500</v>
      </c>
      <c r="H348" s="288"/>
      <c r="I348" s="286">
        <f>+G348*H348</f>
        <v>0</v>
      </c>
      <c r="J348" s="406">
        <f>J347</f>
        <v>500</v>
      </c>
      <c r="K348" s="375">
        <f>'Rate Schedule (Part 1)'!$E$40</f>
        <v>-0.048716078100961534</v>
      </c>
      <c r="L348" s="275">
        <f>J348*K348</f>
        <v>-24.358039050480766</v>
      </c>
      <c r="M348" s="276">
        <f t="shared" si="25"/>
        <v>-24.358039050480766</v>
      </c>
      <c r="N348" s="277" t="str">
        <f t="shared" si="26"/>
        <v> </v>
      </c>
      <c r="O348" s="278">
        <f>L348/L358</f>
        <v>-0.001185936795663868</v>
      </c>
      <c r="P348" s="247"/>
    </row>
    <row r="349" spans="2:16" ht="27">
      <c r="B349" s="246"/>
      <c r="C349" s="279"/>
      <c r="D349" s="283"/>
      <c r="E349" s="250"/>
      <c r="F349" s="270" t="s">
        <v>274</v>
      </c>
      <c r="G349" s="406">
        <f>G348</f>
        <v>500</v>
      </c>
      <c r="H349" s="288"/>
      <c r="I349" s="286">
        <f>+G349*H349</f>
        <v>0</v>
      </c>
      <c r="J349" s="406">
        <f>J348</f>
        <v>500</v>
      </c>
      <c r="K349" s="375">
        <f>'Rate Schedule (Part 1)'!$E$41</f>
        <v>0.14709616226355388</v>
      </c>
      <c r="L349" s="275">
        <f>J349*K349</f>
        <v>73.54808113177694</v>
      </c>
      <c r="M349" s="276">
        <f t="shared" si="25"/>
        <v>73.54808113177694</v>
      </c>
      <c r="N349" s="277" t="str">
        <f t="shared" si="26"/>
        <v> </v>
      </c>
      <c r="O349" s="278">
        <f>L349/L358</f>
        <v>0.0035808866010880367</v>
      </c>
      <c r="P349" s="247"/>
    </row>
    <row r="350" spans="2:16" ht="27.75" thickBot="1">
      <c r="B350" s="246"/>
      <c r="C350" s="250"/>
      <c r="D350" s="250"/>
      <c r="E350" s="250"/>
      <c r="F350" s="270" t="s">
        <v>275</v>
      </c>
      <c r="G350" s="271">
        <f>+C344</f>
        <v>500</v>
      </c>
      <c r="H350" s="272"/>
      <c r="I350" s="273">
        <f>+G350*H350</f>
        <v>0</v>
      </c>
      <c r="J350" s="271">
        <f>+C344</f>
        <v>500</v>
      </c>
      <c r="K350" s="375">
        <f>'Rate Schedule (Part 1)'!$E$42</f>
        <v>9.72275037757188E-05</v>
      </c>
      <c r="L350" s="275">
        <f>+J350*K350</f>
        <v>0.0486137518878594</v>
      </c>
      <c r="M350" s="304">
        <f t="shared" si="25"/>
        <v>0.0486137518878594</v>
      </c>
      <c r="N350" s="374" t="str">
        <f t="shared" si="26"/>
        <v> </v>
      </c>
      <c r="O350" s="278">
        <f>L350/L358</f>
        <v>2.3668915637914775E-06</v>
      </c>
      <c r="P350" s="247"/>
    </row>
    <row r="351" spans="2:16" ht="14.25" thickBot="1">
      <c r="B351" s="246"/>
      <c r="C351" s="250"/>
      <c r="D351" s="250"/>
      <c r="E351" s="250"/>
      <c r="F351" s="290" t="s">
        <v>200</v>
      </c>
      <c r="G351" s="548"/>
      <c r="H351" s="549"/>
      <c r="I351" s="291">
        <f>SUM(I342:I350)</f>
        <v>975.3000000000002</v>
      </c>
      <c r="J351" s="548"/>
      <c r="K351" s="549"/>
      <c r="L351" s="291">
        <f>SUM(L342:L350)</f>
        <v>1240.108655833184</v>
      </c>
      <c r="M351" s="378">
        <f>SUM(M342:M350)</f>
        <v>264.80865583318393</v>
      </c>
      <c r="N351" s="379">
        <f t="shared" si="26"/>
        <v>0.27151507826636306</v>
      </c>
      <c r="O351" s="293">
        <f>SUM(O342:O350)</f>
        <v>0.06037803299871157</v>
      </c>
      <c r="P351" s="247"/>
    </row>
    <row r="352" spans="2:16" ht="14.25" thickBot="1">
      <c r="B352" s="246"/>
      <c r="C352" s="250"/>
      <c r="D352" s="250"/>
      <c r="E352" s="250"/>
      <c r="F352" s="270" t="s">
        <v>204</v>
      </c>
      <c r="G352" s="294">
        <f>C344</f>
        <v>500</v>
      </c>
      <c r="H352" s="295">
        <f>'Other Electriciy Rates'!$F$12</f>
        <v>4.238300000000001</v>
      </c>
      <c r="I352" s="273">
        <f>+G352*H352</f>
        <v>2119.15</v>
      </c>
      <c r="J352" s="294">
        <f>C344</f>
        <v>500</v>
      </c>
      <c r="K352" s="375">
        <f>'Other Electriciy Rates'!$F$26</f>
        <v>2.9045664532352884</v>
      </c>
      <c r="L352" s="273">
        <f>+J352*K352</f>
        <v>1452.2832266176442</v>
      </c>
      <c r="M352" s="296">
        <f>+L352-I352</f>
        <v>-666.8667733823559</v>
      </c>
      <c r="N352" s="380">
        <f t="shared" si="26"/>
        <v>-0.3146859700268295</v>
      </c>
      <c r="O352" s="278">
        <f>L352/L358</f>
        <v>0.07070832395834088</v>
      </c>
      <c r="P352" s="247"/>
    </row>
    <row r="353" spans="2:16" ht="14.25" thickBot="1">
      <c r="B353" s="246"/>
      <c r="C353" s="250"/>
      <c r="D353" s="250"/>
      <c r="E353" s="250"/>
      <c r="F353" s="290" t="s">
        <v>202</v>
      </c>
      <c r="G353" s="548"/>
      <c r="H353" s="549"/>
      <c r="I353" s="291">
        <f>I351+I352</f>
        <v>3094.4500000000003</v>
      </c>
      <c r="J353" s="548"/>
      <c r="K353" s="549"/>
      <c r="L353" s="291">
        <f>L351+L352</f>
        <v>2692.3918824508282</v>
      </c>
      <c r="M353" s="291">
        <f>M351+M352</f>
        <v>-402.0581175491719</v>
      </c>
      <c r="N353" s="379">
        <f t="shared" si="26"/>
        <v>-0.1299287813825306</v>
      </c>
      <c r="O353" s="298">
        <f>L353/L358</f>
        <v>0.13108635695705245</v>
      </c>
      <c r="P353" s="247"/>
    </row>
    <row r="354" spans="2:16" ht="13.5">
      <c r="B354" s="246"/>
      <c r="C354" s="250"/>
      <c r="D354" s="250"/>
      <c r="E354" s="250"/>
      <c r="F354" s="381" t="s">
        <v>76</v>
      </c>
      <c r="G354" s="300">
        <f>C343*'Other Electriciy Rates'!$L$12</f>
        <v>208800</v>
      </c>
      <c r="H354" s="301">
        <f>'Other Electriciy Rates'!$C$12+'Other Electriciy Rates'!$D$12</f>
        <v>0.0135</v>
      </c>
      <c r="I354" s="302">
        <f>+G354*H354</f>
        <v>2818.8</v>
      </c>
      <c r="J354" s="300">
        <f>C343*'Other Electriciy Rates'!$L$26</f>
        <v>208619.99999999997</v>
      </c>
      <c r="K354" s="301">
        <f>'Other Electriciy Rates'!$C$26+'Other Electriciy Rates'!$D$26</f>
        <v>0.0135</v>
      </c>
      <c r="L354" s="303">
        <f>+J354*K354</f>
        <v>2816.3699999999994</v>
      </c>
      <c r="M354" s="304">
        <f>+L354-I354</f>
        <v>-2.430000000000746</v>
      </c>
      <c r="N354" s="374">
        <f t="shared" si="26"/>
        <v>-0.0008620689655175059</v>
      </c>
      <c r="O354" s="278">
        <f>L354/L358</f>
        <v>0.1371225658305989</v>
      </c>
      <c r="P354" s="247"/>
    </row>
    <row r="355" spans="2:16" ht="14.25" thickBot="1">
      <c r="B355" s="246"/>
      <c r="C355" s="250"/>
      <c r="D355" s="250"/>
      <c r="E355" s="250"/>
      <c r="F355" s="381" t="s">
        <v>77</v>
      </c>
      <c r="G355" s="300">
        <f>G354</f>
        <v>208800</v>
      </c>
      <c r="H355" s="301">
        <f>+'Other Electriciy Rates'!$J$12</f>
        <v>0.06072</v>
      </c>
      <c r="I355" s="302">
        <f>+G355*H355</f>
        <v>12678.336000000001</v>
      </c>
      <c r="J355" s="300">
        <f>J354</f>
        <v>208619.99999999997</v>
      </c>
      <c r="K355" s="301">
        <f>'Other Electriciy Rates'!$J$26</f>
        <v>0.06072</v>
      </c>
      <c r="L355" s="303">
        <f>+J355*K355</f>
        <v>12667.406399999998</v>
      </c>
      <c r="M355" s="304">
        <f>+L355-I355</f>
        <v>-10.92960000000312</v>
      </c>
      <c r="N355" s="374">
        <f t="shared" si="26"/>
        <v>-0.0008620689655174874</v>
      </c>
      <c r="O355" s="278">
        <f>L355/L358</f>
        <v>0.6167468294247381</v>
      </c>
      <c r="P355" s="247"/>
    </row>
    <row r="356" spans="2:16" ht="14.25" thickBot="1">
      <c r="B356" s="246"/>
      <c r="C356" s="250"/>
      <c r="D356" s="250"/>
      <c r="E356" s="250"/>
      <c r="F356" s="290" t="s">
        <v>157</v>
      </c>
      <c r="G356" s="548"/>
      <c r="H356" s="549"/>
      <c r="I356" s="291">
        <f>SUM(I353:I355)</f>
        <v>18591.586000000003</v>
      </c>
      <c r="J356" s="548"/>
      <c r="K356" s="549"/>
      <c r="L356" s="291">
        <f>SUM(L353:L355)</f>
        <v>18176.168282450824</v>
      </c>
      <c r="M356" s="291">
        <f>SUM(M353:M355)</f>
        <v>-415.4177175491758</v>
      </c>
      <c r="N356" s="379">
        <f t="shared" si="26"/>
        <v>-0.022344393724622297</v>
      </c>
      <c r="O356" s="298">
        <f>L356/L358</f>
        <v>0.8849557522123894</v>
      </c>
      <c r="P356" s="247"/>
    </row>
    <row r="357" spans="2:16" ht="14.25" thickBot="1">
      <c r="B357" s="246"/>
      <c r="C357" s="250"/>
      <c r="D357" s="250"/>
      <c r="E357" s="250"/>
      <c r="F357" s="324" t="s">
        <v>205</v>
      </c>
      <c r="G357" s="317"/>
      <c r="H357" s="325">
        <v>0.05</v>
      </c>
      <c r="I357" s="326">
        <f>I356*H357</f>
        <v>929.5793000000002</v>
      </c>
      <c r="J357" s="317"/>
      <c r="K357" s="325">
        <v>0.13</v>
      </c>
      <c r="L357" s="327">
        <f>L356*K357</f>
        <v>2362.901876718607</v>
      </c>
      <c r="M357" s="328">
        <f>+L357-I357</f>
        <v>1433.3225767186068</v>
      </c>
      <c r="N357" s="382">
        <f t="shared" si="26"/>
        <v>1.5419045763159813</v>
      </c>
      <c r="O357" s="315">
        <f>L357/L358</f>
        <v>0.11504424778761062</v>
      </c>
      <c r="P357" s="247"/>
    </row>
    <row r="358" spans="2:16" ht="15" thickBot="1">
      <c r="B358" s="246"/>
      <c r="C358" s="250"/>
      <c r="D358" s="250"/>
      <c r="E358" s="345"/>
      <c r="F358" s="383" t="s">
        <v>78</v>
      </c>
      <c r="G358" s="548"/>
      <c r="H358" s="549"/>
      <c r="I358" s="291">
        <f>I356+I357</f>
        <v>19521.165300000004</v>
      </c>
      <c r="J358" s="548"/>
      <c r="K358" s="549"/>
      <c r="L358" s="291">
        <f>L356+L357</f>
        <v>20539.07015916943</v>
      </c>
      <c r="M358" s="291">
        <f>M356+M357</f>
        <v>1017.904859169431</v>
      </c>
      <c r="N358" s="379">
        <f>+M358/I358</f>
        <v>0.052143652467787405</v>
      </c>
      <c r="O358" s="293">
        <f>O356+O357</f>
        <v>1</v>
      </c>
      <c r="P358" s="247"/>
    </row>
    <row r="359" spans="2:16" ht="15" thickBot="1">
      <c r="B359" s="339"/>
      <c r="C359" s="346"/>
      <c r="D359" s="346"/>
      <c r="E359" s="346"/>
      <c r="F359" s="347"/>
      <c r="G359" s="348"/>
      <c r="H359" s="349"/>
      <c r="I359" s="350"/>
      <c r="J359" s="348"/>
      <c r="K359" s="351"/>
      <c r="L359" s="350"/>
      <c r="M359" s="384"/>
      <c r="N359" s="353"/>
      <c r="O359" s="354"/>
      <c r="P359" s="340"/>
    </row>
    <row r="360" spans="2:16" ht="15" thickBot="1">
      <c r="B360" s="343"/>
      <c r="C360" s="250"/>
      <c r="D360" s="250"/>
      <c r="E360" s="250"/>
      <c r="F360" s="355"/>
      <c r="G360" s="356"/>
      <c r="H360" s="357"/>
      <c r="I360" s="358"/>
      <c r="J360" s="356"/>
      <c r="K360" s="359"/>
      <c r="L360" s="358"/>
      <c r="M360" s="385"/>
      <c r="N360" s="361"/>
      <c r="O360" s="362"/>
      <c r="P360" s="343"/>
    </row>
    <row r="361" spans="2:16" ht="23.25">
      <c r="B361" s="244"/>
      <c r="C361" s="551"/>
      <c r="D361" s="551"/>
      <c r="E361" s="551"/>
      <c r="F361" s="551"/>
      <c r="G361" s="551"/>
      <c r="H361" s="551"/>
      <c r="I361" s="551"/>
      <c r="J361" s="551"/>
      <c r="K361" s="551"/>
      <c r="L361" s="551"/>
      <c r="M361" s="551"/>
      <c r="N361" s="551"/>
      <c r="O361" s="551"/>
      <c r="P361" s="245"/>
    </row>
    <row r="362" spans="2:16" ht="23.25">
      <c r="B362" s="246"/>
      <c r="C362" s="552" t="s">
        <v>217</v>
      </c>
      <c r="D362" s="552"/>
      <c r="E362" s="552"/>
      <c r="F362" s="552"/>
      <c r="G362" s="552"/>
      <c r="H362" s="552"/>
      <c r="I362" s="552"/>
      <c r="J362" s="552"/>
      <c r="K362" s="552"/>
      <c r="L362" s="552"/>
      <c r="M362" s="552"/>
      <c r="N362" s="552"/>
      <c r="O362" s="552"/>
      <c r="P362" s="247"/>
    </row>
    <row r="363" spans="2:17" ht="24" thickBot="1">
      <c r="B363" s="246"/>
      <c r="C363" s="550"/>
      <c r="D363" s="550"/>
      <c r="E363" s="550"/>
      <c r="F363" s="550"/>
      <c r="G363" s="550"/>
      <c r="H363" s="550"/>
      <c r="I363" s="550"/>
      <c r="J363" s="550"/>
      <c r="K363" s="550"/>
      <c r="L363" s="550"/>
      <c r="M363" s="550"/>
      <c r="N363" s="550"/>
      <c r="O363" s="550"/>
      <c r="P363" s="247"/>
      <c r="Q363" s="343"/>
    </row>
    <row r="364" spans="2:17" ht="21" thickBot="1">
      <c r="B364" s="246"/>
      <c r="C364" s="331"/>
      <c r="D364" s="331"/>
      <c r="E364" s="250"/>
      <c r="F364" s="364"/>
      <c r="G364" s="553" t="str">
        <f>$G$10</f>
        <v>2010 BILL</v>
      </c>
      <c r="H364" s="554"/>
      <c r="I364" s="555"/>
      <c r="J364" s="553" t="str">
        <f>$J$10</f>
        <v>2011 BILL</v>
      </c>
      <c r="K364" s="554"/>
      <c r="L364" s="555"/>
      <c r="M364" s="553" t="s">
        <v>72</v>
      </c>
      <c r="N364" s="554"/>
      <c r="O364" s="555"/>
      <c r="P364" s="247"/>
      <c r="Q364" s="343"/>
    </row>
    <row r="365" spans="2:17" ht="27.75" thickBot="1">
      <c r="B365" s="246"/>
      <c r="C365" s="250"/>
      <c r="D365" s="250"/>
      <c r="E365" s="252"/>
      <c r="F365" s="365"/>
      <c r="G365" s="366" t="s">
        <v>66</v>
      </c>
      <c r="H365" s="367" t="s">
        <v>67</v>
      </c>
      <c r="I365" s="368" t="s">
        <v>68</v>
      </c>
      <c r="J365" s="369" t="s">
        <v>66</v>
      </c>
      <c r="K365" s="367" t="s">
        <v>67</v>
      </c>
      <c r="L365" s="368" t="s">
        <v>68</v>
      </c>
      <c r="M365" s="370" t="s">
        <v>73</v>
      </c>
      <c r="N365" s="371" t="s">
        <v>74</v>
      </c>
      <c r="O365" s="372" t="s">
        <v>75</v>
      </c>
      <c r="P365" s="247"/>
      <c r="Q365" s="343"/>
    </row>
    <row r="366" spans="2:17" ht="15.75" thickBot="1">
      <c r="B366" s="246"/>
      <c r="C366" s="556" t="s">
        <v>69</v>
      </c>
      <c r="D366" s="557"/>
      <c r="E366" s="250"/>
      <c r="F366" s="373" t="s">
        <v>70</v>
      </c>
      <c r="G366" s="261"/>
      <c r="H366" s="262"/>
      <c r="I366" s="302">
        <f>+'2010 Existing Rates'!$C$10</f>
        <v>294.82</v>
      </c>
      <c r="J366" s="261"/>
      <c r="K366" s="262"/>
      <c r="L366" s="303">
        <f>'Rate Schedule (Part 1)'!$E$34</f>
        <v>360.69</v>
      </c>
      <c r="M366" s="304">
        <f aca="true" t="shared" si="27" ref="M366:M374">+L366-I366</f>
        <v>65.87</v>
      </c>
      <c r="N366" s="374">
        <f aca="true" t="shared" si="28" ref="N366:N381">IF(I366=0," ",(+M366/I366))</f>
        <v>0.22342446238382743</v>
      </c>
      <c r="O366" s="278">
        <f>L366/L382</f>
        <v>0.011785763641293672</v>
      </c>
      <c r="P366" s="247"/>
      <c r="Q366" s="343"/>
    </row>
    <row r="367" spans="2:17" ht="18" thickBot="1">
      <c r="B367" s="246"/>
      <c r="C367" s="341">
        <v>300000</v>
      </c>
      <c r="D367" s="342" t="s">
        <v>16</v>
      </c>
      <c r="E367" s="250"/>
      <c r="F367" s="307" t="s">
        <v>79</v>
      </c>
      <c r="G367" s="271">
        <f>+C368</f>
        <v>750</v>
      </c>
      <c r="H367" s="272">
        <f>'2010 Existing Rates'!$D$10</f>
        <v>1.8048</v>
      </c>
      <c r="I367" s="273">
        <f>+G367*H367</f>
        <v>1353.6</v>
      </c>
      <c r="J367" s="271">
        <f>G367</f>
        <v>750</v>
      </c>
      <c r="K367" s="375">
        <f>'Rate Schedule (Part 1)'!$E$35</f>
        <v>2.1129</v>
      </c>
      <c r="L367" s="376">
        <f>+J367*K367</f>
        <v>1584.6749999999997</v>
      </c>
      <c r="M367" s="304">
        <f t="shared" si="27"/>
        <v>231.07499999999982</v>
      </c>
      <c r="N367" s="374">
        <f t="shared" si="28"/>
        <v>0.17071143617021264</v>
      </c>
      <c r="O367" s="278">
        <f>L367/L382</f>
        <v>0.0517802129204221</v>
      </c>
      <c r="P367" s="247"/>
      <c r="Q367" s="343"/>
    </row>
    <row r="368" spans="2:16" ht="18" thickBot="1">
      <c r="B368" s="246"/>
      <c r="C368" s="341">
        <v>750</v>
      </c>
      <c r="D368" s="342" t="s">
        <v>17</v>
      </c>
      <c r="E368" s="250"/>
      <c r="F368" s="270" t="s">
        <v>220</v>
      </c>
      <c r="G368" s="284"/>
      <c r="H368" s="285"/>
      <c r="I368" s="273">
        <v>0</v>
      </c>
      <c r="J368" s="284"/>
      <c r="K368" s="285"/>
      <c r="L368" s="377">
        <f>'Rate Schedule (Part 1)'!$E$36</f>
        <v>0.47</v>
      </c>
      <c r="M368" s="304">
        <f t="shared" si="27"/>
        <v>0.47</v>
      </c>
      <c r="N368" s="374" t="str">
        <f t="shared" si="28"/>
        <v> </v>
      </c>
      <c r="O368" s="278">
        <f>L368/L382</f>
        <v>1.535753392499938E-05</v>
      </c>
      <c r="P368" s="247"/>
    </row>
    <row r="369" spans="2:16" ht="17.25">
      <c r="B369" s="246"/>
      <c r="C369" s="279"/>
      <c r="D369" s="283"/>
      <c r="E369" s="250"/>
      <c r="F369" s="270" t="s">
        <v>134</v>
      </c>
      <c r="G369" s="284"/>
      <c r="H369" s="285"/>
      <c r="I369" s="273">
        <f>'2010 Existing Rates'!$B$47</f>
        <v>1.63</v>
      </c>
      <c r="J369" s="284"/>
      <c r="K369" s="285"/>
      <c r="L369" s="377">
        <f>'Rate Schedule (Part 1)'!$E$37</f>
        <v>1.2</v>
      </c>
      <c r="M369" s="304">
        <f t="shared" si="27"/>
        <v>-0.42999999999999994</v>
      </c>
      <c r="N369" s="374">
        <f t="shared" si="28"/>
        <v>-0.26380368098159507</v>
      </c>
      <c r="O369" s="278">
        <f>L369/L382</f>
        <v>3.921072491489203E-05</v>
      </c>
      <c r="P369" s="247"/>
    </row>
    <row r="370" spans="2:16" ht="17.25">
      <c r="B370" s="246"/>
      <c r="C370" s="279"/>
      <c r="D370" s="283"/>
      <c r="E370" s="250"/>
      <c r="F370" s="270" t="s">
        <v>203</v>
      </c>
      <c r="G370" s="271">
        <f>C368</f>
        <v>750</v>
      </c>
      <c r="H370" s="272"/>
      <c r="I370" s="273">
        <f>+G370*H370</f>
        <v>0</v>
      </c>
      <c r="J370" s="271">
        <f>C368</f>
        <v>750</v>
      </c>
      <c r="K370" s="375">
        <f>'Rate Schedule (Part 1)'!$E$38</f>
        <v>0.0863</v>
      </c>
      <c r="L370" s="376">
        <f>+J370*K370</f>
        <v>64.725</v>
      </c>
      <c r="M370" s="304">
        <f t="shared" si="27"/>
        <v>64.725</v>
      </c>
      <c r="N370" s="374" t="str">
        <f t="shared" si="28"/>
        <v> </v>
      </c>
      <c r="O370" s="278">
        <f>L370/L382</f>
        <v>0.0021149284750969885</v>
      </c>
      <c r="P370" s="247"/>
    </row>
    <row r="371" spans="2:16" ht="27">
      <c r="B371" s="246"/>
      <c r="C371" s="279"/>
      <c r="D371" s="283"/>
      <c r="E371" s="250"/>
      <c r="F371" s="270" t="s">
        <v>272</v>
      </c>
      <c r="G371" s="406">
        <f>G370</f>
        <v>750</v>
      </c>
      <c r="H371" s="272">
        <f>'2010 Existing Rates'!$D$23</f>
        <v>-0.4471</v>
      </c>
      <c r="I371" s="286">
        <f>+G371*H371</f>
        <v>-335.325</v>
      </c>
      <c r="J371" s="406">
        <f>J370</f>
        <v>750</v>
      </c>
      <c r="K371" s="375">
        <f>'Rate Schedule (Part 1)'!$E$39</f>
        <v>-0.54218</v>
      </c>
      <c r="L371" s="275">
        <f>J371*K371</f>
        <v>-406.635</v>
      </c>
      <c r="M371" s="276">
        <f t="shared" si="27"/>
        <v>-71.31</v>
      </c>
      <c r="N371" s="277">
        <f t="shared" si="28"/>
        <v>0.2126593603220756</v>
      </c>
      <c r="O371" s="278">
        <f>L371/L382</f>
        <v>-0.013287044271472601</v>
      </c>
      <c r="P371" s="247"/>
    </row>
    <row r="372" spans="2:16" ht="27">
      <c r="B372" s="246"/>
      <c r="C372" s="279"/>
      <c r="D372" s="283"/>
      <c r="E372" s="250"/>
      <c r="F372" s="270" t="s">
        <v>273</v>
      </c>
      <c r="G372" s="406">
        <f>G371</f>
        <v>750</v>
      </c>
      <c r="H372" s="288"/>
      <c r="I372" s="286">
        <f>+G372*H372</f>
        <v>0</v>
      </c>
      <c r="J372" s="406">
        <f>J371</f>
        <v>750</v>
      </c>
      <c r="K372" s="375">
        <f>'Rate Schedule (Part 1)'!$E$40</f>
        <v>-0.048716078100961534</v>
      </c>
      <c r="L372" s="275">
        <f>J372*K372</f>
        <v>-36.53705857572115</v>
      </c>
      <c r="M372" s="276">
        <f t="shared" si="27"/>
        <v>-36.53705857572115</v>
      </c>
      <c r="N372" s="277" t="str">
        <f t="shared" si="28"/>
        <v> </v>
      </c>
      <c r="O372" s="278">
        <f>L372/L382</f>
        <v>-0.0011938704608432488</v>
      </c>
      <c r="P372" s="247"/>
    </row>
    <row r="373" spans="2:16" ht="27">
      <c r="B373" s="246"/>
      <c r="C373" s="279"/>
      <c r="D373" s="283"/>
      <c r="E373" s="250"/>
      <c r="F373" s="270" t="s">
        <v>274</v>
      </c>
      <c r="G373" s="406">
        <f>G372</f>
        <v>750</v>
      </c>
      <c r="H373" s="288"/>
      <c r="I373" s="286">
        <f>+G373*H373</f>
        <v>0</v>
      </c>
      <c r="J373" s="406">
        <f>J372</f>
        <v>750</v>
      </c>
      <c r="K373" s="375">
        <f>'Rate Schedule (Part 1)'!$E$41</f>
        <v>0.14709616226355388</v>
      </c>
      <c r="L373" s="275">
        <f>J373*K373</f>
        <v>110.32212169766541</v>
      </c>
      <c r="M373" s="276">
        <f t="shared" si="27"/>
        <v>110.32212169766541</v>
      </c>
      <c r="N373" s="277" t="str">
        <f t="shared" si="28"/>
        <v> </v>
      </c>
      <c r="O373" s="278">
        <f>L373/L382</f>
        <v>0.003604841971595333</v>
      </c>
      <c r="P373" s="247"/>
    </row>
    <row r="374" spans="2:16" ht="27.75" thickBot="1">
      <c r="B374" s="246"/>
      <c r="C374" s="250"/>
      <c r="D374" s="250"/>
      <c r="E374" s="250"/>
      <c r="F374" s="270" t="s">
        <v>275</v>
      </c>
      <c r="G374" s="271">
        <f>+C368</f>
        <v>750</v>
      </c>
      <c r="H374" s="272"/>
      <c r="I374" s="273">
        <f>+G374*H374</f>
        <v>0</v>
      </c>
      <c r="J374" s="271">
        <f>+C368</f>
        <v>750</v>
      </c>
      <c r="K374" s="375">
        <f>'Rate Schedule (Part 1)'!$E$42</f>
        <v>9.72275037757188E-05</v>
      </c>
      <c r="L374" s="275">
        <f>+J374*K374</f>
        <v>0.0729206278317891</v>
      </c>
      <c r="M374" s="304">
        <f t="shared" si="27"/>
        <v>0.0729206278317891</v>
      </c>
      <c r="N374" s="374" t="str">
        <f t="shared" si="28"/>
        <v> </v>
      </c>
      <c r="O374" s="278">
        <f>L374/L382</f>
        <v>2.382725565444585E-06</v>
      </c>
      <c r="P374" s="247"/>
    </row>
    <row r="375" spans="2:16" ht="14.25" thickBot="1">
      <c r="B375" s="246"/>
      <c r="C375" s="250"/>
      <c r="D375" s="250"/>
      <c r="E375" s="250"/>
      <c r="F375" s="290" t="s">
        <v>200</v>
      </c>
      <c r="G375" s="548"/>
      <c r="H375" s="549"/>
      <c r="I375" s="291">
        <f>SUM(I366:I374)</f>
        <v>1314.725</v>
      </c>
      <c r="J375" s="548"/>
      <c r="K375" s="549"/>
      <c r="L375" s="291">
        <f>SUM(L366:L374)</f>
        <v>1678.9829837497757</v>
      </c>
      <c r="M375" s="378">
        <f>SUM(M366:M374)</f>
        <v>364.2579837497758</v>
      </c>
      <c r="N375" s="379">
        <f t="shared" si="28"/>
        <v>0.2770602093592012</v>
      </c>
      <c r="O375" s="293">
        <f>SUM(O366:O374)</f>
        <v>0.05486178326049757</v>
      </c>
      <c r="P375" s="247"/>
    </row>
    <row r="376" spans="2:16" ht="14.25" thickBot="1">
      <c r="B376" s="246"/>
      <c r="C376" s="250"/>
      <c r="D376" s="250"/>
      <c r="E376" s="250"/>
      <c r="F376" s="270" t="s">
        <v>204</v>
      </c>
      <c r="G376" s="294">
        <f>C368</f>
        <v>750</v>
      </c>
      <c r="H376" s="295">
        <f>'Other Electriciy Rates'!$F$12</f>
        <v>4.238300000000001</v>
      </c>
      <c r="I376" s="273">
        <f>+G376*H376</f>
        <v>3178.7250000000004</v>
      </c>
      <c r="J376" s="294">
        <f>C368</f>
        <v>750</v>
      </c>
      <c r="K376" s="375">
        <f>'Other Electriciy Rates'!$F$26</f>
        <v>2.9045664532352884</v>
      </c>
      <c r="L376" s="273">
        <f>+J376*K376</f>
        <v>2178.424839926466</v>
      </c>
      <c r="M376" s="296">
        <f>+L376-I376</f>
        <v>-1000.3001600735342</v>
      </c>
      <c r="N376" s="380">
        <f t="shared" si="28"/>
        <v>-0.3146859700268297</v>
      </c>
      <c r="O376" s="278">
        <f>L376/L382</f>
        <v>0.07118134762177031</v>
      </c>
      <c r="P376" s="247"/>
    </row>
    <row r="377" spans="2:16" ht="14.25" thickBot="1">
      <c r="B377" s="246"/>
      <c r="C377" s="250"/>
      <c r="D377" s="250"/>
      <c r="E377" s="250"/>
      <c r="F377" s="290" t="s">
        <v>202</v>
      </c>
      <c r="G377" s="548"/>
      <c r="H377" s="549"/>
      <c r="I377" s="291">
        <f>I375+I376</f>
        <v>4493.450000000001</v>
      </c>
      <c r="J377" s="548"/>
      <c r="K377" s="549"/>
      <c r="L377" s="291">
        <f>L375+L376</f>
        <v>3857.4078236762416</v>
      </c>
      <c r="M377" s="291">
        <f>M375+M376</f>
        <v>-636.0421763237584</v>
      </c>
      <c r="N377" s="379">
        <f t="shared" si="28"/>
        <v>-0.14154873790155856</v>
      </c>
      <c r="O377" s="298">
        <f>L377/L382</f>
        <v>0.12604313088226787</v>
      </c>
      <c r="P377" s="247"/>
    </row>
    <row r="378" spans="2:16" ht="13.5">
      <c r="B378" s="246"/>
      <c r="C378" s="250"/>
      <c r="D378" s="250"/>
      <c r="E378" s="250"/>
      <c r="F378" s="381" t="s">
        <v>76</v>
      </c>
      <c r="G378" s="300">
        <f>C367*'Other Electriciy Rates'!$L$12</f>
        <v>313200</v>
      </c>
      <c r="H378" s="301">
        <f>'Other Electriciy Rates'!$C$12+'Other Electriciy Rates'!$D$12</f>
        <v>0.0135</v>
      </c>
      <c r="I378" s="302">
        <f>+G378*H378</f>
        <v>4228.2</v>
      </c>
      <c r="J378" s="300">
        <f>C367*'Other Electriciy Rates'!$L$26</f>
        <v>312930</v>
      </c>
      <c r="K378" s="301">
        <f>'Other Electriciy Rates'!$C$26+'Other Electriciy Rates'!$D$26</f>
        <v>0.0135</v>
      </c>
      <c r="L378" s="303">
        <f>+J378*K378</f>
        <v>4224.555</v>
      </c>
      <c r="M378" s="304">
        <f>+L378-I378</f>
        <v>-3.644999999999527</v>
      </c>
      <c r="N378" s="374">
        <f t="shared" si="28"/>
        <v>-0.0008620689655171296</v>
      </c>
      <c r="O378" s="278">
        <f>L378/L382</f>
        <v>0.13803988666069308</v>
      </c>
      <c r="P378" s="247"/>
    </row>
    <row r="379" spans="2:16" ht="14.25" thickBot="1">
      <c r="B379" s="246"/>
      <c r="C379" s="250"/>
      <c r="D379" s="250"/>
      <c r="E379" s="250"/>
      <c r="F379" s="381" t="s">
        <v>77</v>
      </c>
      <c r="G379" s="300">
        <f>G378</f>
        <v>313200</v>
      </c>
      <c r="H379" s="301">
        <f>+'Other Electriciy Rates'!$J$12</f>
        <v>0.06072</v>
      </c>
      <c r="I379" s="302">
        <f>+G379*H379</f>
        <v>19017.504</v>
      </c>
      <c r="J379" s="300">
        <f>J378</f>
        <v>312930</v>
      </c>
      <c r="K379" s="301">
        <f>'Other Electriciy Rates'!$J$26</f>
        <v>0.06072</v>
      </c>
      <c r="L379" s="303">
        <f>+J379*K379</f>
        <v>19001.1096</v>
      </c>
      <c r="M379" s="304">
        <f>+L379-I379</f>
        <v>-16.394400000001042</v>
      </c>
      <c r="N379" s="374">
        <f t="shared" si="28"/>
        <v>-0.0008620689655172961</v>
      </c>
      <c r="O379" s="278">
        <f>L379/L382</f>
        <v>0.6208727346694285</v>
      </c>
      <c r="P379" s="247"/>
    </row>
    <row r="380" spans="2:16" ht="14.25" thickBot="1">
      <c r="B380" s="246"/>
      <c r="C380" s="250"/>
      <c r="D380" s="250"/>
      <c r="E380" s="250"/>
      <c r="F380" s="290" t="s">
        <v>157</v>
      </c>
      <c r="G380" s="548"/>
      <c r="H380" s="549"/>
      <c r="I380" s="291">
        <f>SUM(I377:I379)</f>
        <v>27739.154000000002</v>
      </c>
      <c r="J380" s="548"/>
      <c r="K380" s="549"/>
      <c r="L380" s="291">
        <f>SUM(L377:L379)</f>
        <v>27083.07242367624</v>
      </c>
      <c r="M380" s="291">
        <f>SUM(M377:M379)</f>
        <v>-656.081576323759</v>
      </c>
      <c r="N380" s="379">
        <f t="shared" si="28"/>
        <v>-0.023651823567645898</v>
      </c>
      <c r="O380" s="298">
        <f>L380/L382</f>
        <v>0.8849557522123893</v>
      </c>
      <c r="P380" s="247"/>
    </row>
    <row r="381" spans="2:16" ht="14.25" thickBot="1">
      <c r="B381" s="246"/>
      <c r="C381" s="250"/>
      <c r="D381" s="250"/>
      <c r="E381" s="250"/>
      <c r="F381" s="324" t="s">
        <v>205</v>
      </c>
      <c r="G381" s="317"/>
      <c r="H381" s="325">
        <v>0.05</v>
      </c>
      <c r="I381" s="326">
        <f>I380*H381</f>
        <v>1386.9577000000002</v>
      </c>
      <c r="J381" s="317"/>
      <c r="K381" s="325">
        <v>0.13</v>
      </c>
      <c r="L381" s="327">
        <f>L380*K381</f>
        <v>3520.7994150779114</v>
      </c>
      <c r="M381" s="328">
        <f>+L381-I381</f>
        <v>2133.8417150779114</v>
      </c>
      <c r="N381" s="382">
        <f t="shared" si="28"/>
        <v>1.5385052587241206</v>
      </c>
      <c r="O381" s="315">
        <f>L381/L382</f>
        <v>0.11504424778761062</v>
      </c>
      <c r="P381" s="247"/>
    </row>
    <row r="382" spans="2:16" ht="15" thickBot="1">
      <c r="B382" s="246"/>
      <c r="C382" s="250"/>
      <c r="D382" s="250"/>
      <c r="E382" s="345"/>
      <c r="F382" s="383" t="s">
        <v>78</v>
      </c>
      <c r="G382" s="548"/>
      <c r="H382" s="549"/>
      <c r="I382" s="291">
        <f>I380+I381</f>
        <v>29126.1117</v>
      </c>
      <c r="J382" s="548"/>
      <c r="K382" s="549"/>
      <c r="L382" s="291">
        <f>L380+L381</f>
        <v>30603.871838754152</v>
      </c>
      <c r="M382" s="291">
        <f>M380+M381</f>
        <v>1477.7601387541524</v>
      </c>
      <c r="N382" s="379">
        <f>+M382/I382</f>
        <v>0.050736608922438226</v>
      </c>
      <c r="O382" s="293">
        <f>O380+O381</f>
        <v>0.9999999999999999</v>
      </c>
      <c r="P382" s="247"/>
    </row>
    <row r="383" spans="2:16" ht="15" thickBot="1">
      <c r="B383" s="339"/>
      <c r="C383" s="346"/>
      <c r="D383" s="346"/>
      <c r="E383" s="346"/>
      <c r="F383" s="347"/>
      <c r="G383" s="348"/>
      <c r="H383" s="349"/>
      <c r="I383" s="350"/>
      <c r="J383" s="348"/>
      <c r="K383" s="351"/>
      <c r="L383" s="350"/>
      <c r="M383" s="384"/>
      <c r="N383" s="353"/>
      <c r="O383" s="354"/>
      <c r="P383" s="340"/>
    </row>
    <row r="384" spans="2:16" ht="15" thickBot="1">
      <c r="B384" s="343"/>
      <c r="C384" s="250"/>
      <c r="D384" s="250"/>
      <c r="E384" s="250"/>
      <c r="F384" s="355"/>
      <c r="G384" s="356"/>
      <c r="H384" s="357"/>
      <c r="I384" s="358"/>
      <c r="J384" s="356"/>
      <c r="K384" s="359"/>
      <c r="L384" s="358"/>
      <c r="M384" s="385"/>
      <c r="N384" s="361"/>
      <c r="O384" s="362"/>
      <c r="P384" s="343"/>
    </row>
    <row r="385" spans="2:16" ht="23.25">
      <c r="B385" s="244"/>
      <c r="C385" s="551"/>
      <c r="D385" s="551"/>
      <c r="E385" s="551"/>
      <c r="F385" s="551"/>
      <c r="G385" s="551"/>
      <c r="H385" s="551"/>
      <c r="I385" s="551"/>
      <c r="J385" s="551"/>
      <c r="K385" s="551"/>
      <c r="L385" s="551"/>
      <c r="M385" s="551"/>
      <c r="N385" s="551"/>
      <c r="O385" s="551"/>
      <c r="P385" s="245"/>
    </row>
    <row r="386" spans="2:16" ht="23.25">
      <c r="B386" s="246"/>
      <c r="C386" s="552" t="s">
        <v>217</v>
      </c>
      <c r="D386" s="552"/>
      <c r="E386" s="552"/>
      <c r="F386" s="552"/>
      <c r="G386" s="552"/>
      <c r="H386" s="552"/>
      <c r="I386" s="552"/>
      <c r="J386" s="552"/>
      <c r="K386" s="552"/>
      <c r="L386" s="552"/>
      <c r="M386" s="552"/>
      <c r="N386" s="552"/>
      <c r="O386" s="552"/>
      <c r="P386" s="247"/>
    </row>
    <row r="387" spans="2:17" ht="24" thickBot="1">
      <c r="B387" s="246"/>
      <c r="C387" s="550"/>
      <c r="D387" s="550"/>
      <c r="E387" s="550"/>
      <c r="F387" s="550"/>
      <c r="G387" s="550"/>
      <c r="H387" s="550"/>
      <c r="I387" s="550"/>
      <c r="J387" s="550"/>
      <c r="K387" s="550"/>
      <c r="L387" s="550"/>
      <c r="M387" s="550"/>
      <c r="N387" s="550"/>
      <c r="O387" s="550"/>
      <c r="P387" s="247"/>
      <c r="Q387" s="343"/>
    </row>
    <row r="388" spans="2:17" ht="21" thickBot="1">
      <c r="B388" s="246"/>
      <c r="C388" s="331"/>
      <c r="D388" s="331"/>
      <c r="E388" s="250"/>
      <c r="F388" s="364"/>
      <c r="G388" s="553" t="str">
        <f>$G$10</f>
        <v>2010 BILL</v>
      </c>
      <c r="H388" s="554"/>
      <c r="I388" s="555"/>
      <c r="J388" s="553" t="str">
        <f>$J$10</f>
        <v>2011 BILL</v>
      </c>
      <c r="K388" s="554"/>
      <c r="L388" s="555"/>
      <c r="M388" s="553" t="s">
        <v>72</v>
      </c>
      <c r="N388" s="554"/>
      <c r="O388" s="555"/>
      <c r="P388" s="247"/>
      <c r="Q388" s="343"/>
    </row>
    <row r="389" spans="2:17" ht="27.75" thickBot="1">
      <c r="B389" s="246"/>
      <c r="C389" s="250"/>
      <c r="D389" s="250"/>
      <c r="E389" s="252"/>
      <c r="F389" s="365"/>
      <c r="G389" s="366" t="s">
        <v>66</v>
      </c>
      <c r="H389" s="367" t="s">
        <v>67</v>
      </c>
      <c r="I389" s="368" t="s">
        <v>68</v>
      </c>
      <c r="J389" s="369" t="s">
        <v>66</v>
      </c>
      <c r="K389" s="367" t="s">
        <v>67</v>
      </c>
      <c r="L389" s="368" t="s">
        <v>68</v>
      </c>
      <c r="M389" s="370" t="s">
        <v>73</v>
      </c>
      <c r="N389" s="371" t="s">
        <v>74</v>
      </c>
      <c r="O389" s="372" t="s">
        <v>75</v>
      </c>
      <c r="P389" s="247"/>
      <c r="Q389" s="343"/>
    </row>
    <row r="390" spans="2:17" ht="15.75" thickBot="1">
      <c r="B390" s="246"/>
      <c r="C390" s="556" t="s">
        <v>69</v>
      </c>
      <c r="D390" s="557"/>
      <c r="E390" s="250"/>
      <c r="F390" s="373" t="s">
        <v>70</v>
      </c>
      <c r="G390" s="261"/>
      <c r="H390" s="262"/>
      <c r="I390" s="302">
        <f>+'2010 Existing Rates'!$C$10</f>
        <v>294.82</v>
      </c>
      <c r="J390" s="261"/>
      <c r="K390" s="262"/>
      <c r="L390" s="303">
        <f>'Rate Schedule (Part 1)'!$E$34</f>
        <v>360.69</v>
      </c>
      <c r="M390" s="304">
        <f aca="true" t="shared" si="29" ref="M390:M398">+L390-I390</f>
        <v>65.87</v>
      </c>
      <c r="N390" s="374">
        <f aca="true" t="shared" si="30" ref="N390:N405">IF(I390=0," ",(+M390/I390))</f>
        <v>0.22342446238382743</v>
      </c>
      <c r="O390" s="278">
        <f>L390/L406</f>
        <v>0.008870137080923091</v>
      </c>
      <c r="P390" s="247"/>
      <c r="Q390" s="343"/>
    </row>
    <row r="391" spans="2:17" ht="18" thickBot="1">
      <c r="B391" s="246"/>
      <c r="C391" s="341">
        <v>400000</v>
      </c>
      <c r="D391" s="342" t="s">
        <v>16</v>
      </c>
      <c r="E391" s="250"/>
      <c r="F391" s="307" t="s">
        <v>79</v>
      </c>
      <c r="G391" s="271">
        <f>+C392</f>
        <v>999</v>
      </c>
      <c r="H391" s="272">
        <f>'2010 Existing Rates'!$D$10</f>
        <v>1.8048</v>
      </c>
      <c r="I391" s="273">
        <f>+G391*H391</f>
        <v>1802.9952</v>
      </c>
      <c r="J391" s="271">
        <f>G391</f>
        <v>999</v>
      </c>
      <c r="K391" s="375">
        <f>'Rate Schedule (Part 1)'!$E$35</f>
        <v>2.1129</v>
      </c>
      <c r="L391" s="376">
        <f>+J391*K391</f>
        <v>2110.7870999999996</v>
      </c>
      <c r="M391" s="304">
        <f t="shared" si="29"/>
        <v>307.7918999999995</v>
      </c>
      <c r="N391" s="374">
        <f>IF(I391=0," ",(+M391/I391))</f>
        <v>0.17071143617021248</v>
      </c>
      <c r="O391" s="278">
        <f>L391/L406</f>
        <v>0.051908760779739146</v>
      </c>
      <c r="P391" s="247"/>
      <c r="Q391" s="343"/>
    </row>
    <row r="392" spans="2:16" ht="18" thickBot="1">
      <c r="B392" s="246"/>
      <c r="C392" s="341">
        <v>999</v>
      </c>
      <c r="D392" s="342" t="s">
        <v>17</v>
      </c>
      <c r="E392" s="250"/>
      <c r="F392" s="270" t="s">
        <v>220</v>
      </c>
      <c r="G392" s="284"/>
      <c r="H392" s="285"/>
      <c r="I392" s="273">
        <v>0</v>
      </c>
      <c r="J392" s="284"/>
      <c r="K392" s="285"/>
      <c r="L392" s="377">
        <f>'Rate Schedule (Part 1)'!$E$36</f>
        <v>0.47</v>
      </c>
      <c r="M392" s="304">
        <f t="shared" si="29"/>
        <v>0.47</v>
      </c>
      <c r="N392" s="374" t="str">
        <f t="shared" si="30"/>
        <v> </v>
      </c>
      <c r="O392" s="278">
        <f>L392/L406</f>
        <v>1.1558303329822985E-05</v>
      </c>
      <c r="P392" s="247"/>
    </row>
    <row r="393" spans="2:16" ht="17.25">
      <c r="B393" s="246"/>
      <c r="C393" s="279"/>
      <c r="D393" s="283"/>
      <c r="E393" s="250"/>
      <c r="F393" s="270" t="s">
        <v>134</v>
      </c>
      <c r="G393" s="284"/>
      <c r="H393" s="285"/>
      <c r="I393" s="273">
        <f>'2010 Existing Rates'!$B$47</f>
        <v>1.63</v>
      </c>
      <c r="J393" s="284"/>
      <c r="K393" s="285"/>
      <c r="L393" s="377">
        <f>'Rate Schedule (Part 1)'!$E$37</f>
        <v>1.2</v>
      </c>
      <c r="M393" s="304">
        <f t="shared" si="29"/>
        <v>-0.42999999999999994</v>
      </c>
      <c r="N393" s="374">
        <f t="shared" si="30"/>
        <v>-0.26380368098159507</v>
      </c>
      <c r="O393" s="278">
        <f>L393/L406</f>
        <v>2.951056169316507E-05</v>
      </c>
      <c r="P393" s="247"/>
    </row>
    <row r="394" spans="2:16" ht="17.25">
      <c r="B394" s="246"/>
      <c r="C394" s="279"/>
      <c r="D394" s="283"/>
      <c r="E394" s="250"/>
      <c r="F394" s="270" t="s">
        <v>203</v>
      </c>
      <c r="G394" s="271">
        <f>C392</f>
        <v>999</v>
      </c>
      <c r="H394" s="272"/>
      <c r="I394" s="273">
        <f>+G394*H394</f>
        <v>0</v>
      </c>
      <c r="J394" s="271">
        <f>C392</f>
        <v>999</v>
      </c>
      <c r="K394" s="375">
        <f>'Rate Schedule (Part 1)'!$E$38</f>
        <v>0.0863</v>
      </c>
      <c r="L394" s="376">
        <f>+J394*K394</f>
        <v>86.2137</v>
      </c>
      <c r="M394" s="304">
        <f t="shared" si="29"/>
        <v>86.2137</v>
      </c>
      <c r="N394" s="374" t="str">
        <f t="shared" si="30"/>
        <v> </v>
      </c>
      <c r="O394" s="278">
        <f>L394/L406</f>
        <v>0.0021201789272050214</v>
      </c>
      <c r="P394" s="247"/>
    </row>
    <row r="395" spans="2:16" ht="27">
      <c r="B395" s="246"/>
      <c r="C395" s="279"/>
      <c r="D395" s="283"/>
      <c r="E395" s="250"/>
      <c r="F395" s="270" t="s">
        <v>272</v>
      </c>
      <c r="G395" s="406">
        <f>G394</f>
        <v>999</v>
      </c>
      <c r="H395" s="272">
        <f>'2010 Existing Rates'!$D$23</f>
        <v>-0.4471</v>
      </c>
      <c r="I395" s="286">
        <f>+G395*H395</f>
        <v>-446.6529</v>
      </c>
      <c r="J395" s="406">
        <f>J394</f>
        <v>999</v>
      </c>
      <c r="K395" s="375">
        <f>'Rate Schedule (Part 1)'!$E$39</f>
        <v>-0.54218</v>
      </c>
      <c r="L395" s="275">
        <f>J395*K395</f>
        <v>-541.63782</v>
      </c>
      <c r="M395" s="276">
        <f t="shared" si="29"/>
        <v>-94.98492000000005</v>
      </c>
      <c r="N395" s="277">
        <f t="shared" si="30"/>
        <v>0.2126593603220757</v>
      </c>
      <c r="O395" s="278">
        <f>L395/L406</f>
        <v>-0.0133200302520512</v>
      </c>
      <c r="P395" s="247"/>
    </row>
    <row r="396" spans="2:16" ht="27">
      <c r="B396" s="246"/>
      <c r="C396" s="279"/>
      <c r="D396" s="283"/>
      <c r="E396" s="250"/>
      <c r="F396" s="270" t="s">
        <v>273</v>
      </c>
      <c r="G396" s="406">
        <f>G395</f>
        <v>999</v>
      </c>
      <c r="H396" s="288"/>
      <c r="I396" s="286">
        <f>+G396*H396</f>
        <v>0</v>
      </c>
      <c r="J396" s="406">
        <f>J395</f>
        <v>999</v>
      </c>
      <c r="K396" s="375">
        <f>'Rate Schedule (Part 1)'!$E$40</f>
        <v>-0.048716078100961534</v>
      </c>
      <c r="L396" s="275">
        <f>J396*K396</f>
        <v>-48.66736202286057</v>
      </c>
      <c r="M396" s="276">
        <f t="shared" si="29"/>
        <v>-48.66736202286057</v>
      </c>
      <c r="N396" s="277" t="str">
        <f t="shared" si="30"/>
        <v> </v>
      </c>
      <c r="O396" s="278">
        <f>L396/L406</f>
        <v>-0.0011968343245160214</v>
      </c>
      <c r="P396" s="247"/>
    </row>
    <row r="397" spans="2:16" ht="27">
      <c r="B397" s="246"/>
      <c r="C397" s="279"/>
      <c r="D397" s="283"/>
      <c r="E397" s="250"/>
      <c r="F397" s="270" t="s">
        <v>274</v>
      </c>
      <c r="G397" s="406">
        <f>G396</f>
        <v>999</v>
      </c>
      <c r="H397" s="288"/>
      <c r="I397" s="286">
        <f>+G397*H397</f>
        <v>0</v>
      </c>
      <c r="J397" s="406">
        <f>J396</f>
        <v>999</v>
      </c>
      <c r="K397" s="375">
        <f>'Rate Schedule (Part 1)'!$E$41</f>
        <v>0.14709616226355388</v>
      </c>
      <c r="L397" s="275">
        <f>J397*K397</f>
        <v>146.94906610129033</v>
      </c>
      <c r="M397" s="276">
        <f t="shared" si="29"/>
        <v>146.94906610129033</v>
      </c>
      <c r="N397" s="277" t="str">
        <f t="shared" si="30"/>
        <v> </v>
      </c>
      <c r="O397" s="278">
        <f>L397/L406</f>
        <v>0.0036137912341126003</v>
      </c>
      <c r="P397" s="247"/>
    </row>
    <row r="398" spans="2:16" ht="27.75" thickBot="1">
      <c r="B398" s="246"/>
      <c r="C398" s="250"/>
      <c r="D398" s="250"/>
      <c r="E398" s="250"/>
      <c r="F398" s="270" t="s">
        <v>275</v>
      </c>
      <c r="G398" s="271">
        <f>+C392</f>
        <v>999</v>
      </c>
      <c r="H398" s="272"/>
      <c r="I398" s="273">
        <f>+G398*H398</f>
        <v>0</v>
      </c>
      <c r="J398" s="271">
        <f>+C392</f>
        <v>999</v>
      </c>
      <c r="K398" s="375">
        <f>'Rate Schedule (Part 1)'!$E$42</f>
        <v>9.72275037757188E-05</v>
      </c>
      <c r="L398" s="275">
        <f>+J398*K398</f>
        <v>0.09713027627194308</v>
      </c>
      <c r="M398" s="304">
        <f t="shared" si="29"/>
        <v>0.09713027627194308</v>
      </c>
      <c r="N398" s="374" t="str">
        <f t="shared" si="30"/>
        <v> </v>
      </c>
      <c r="O398" s="278">
        <f>L398/L406</f>
        <v>2.38864084183112E-06</v>
      </c>
      <c r="P398" s="247"/>
    </row>
    <row r="399" spans="2:16" ht="14.25" thickBot="1">
      <c r="B399" s="246"/>
      <c r="C399" s="250"/>
      <c r="D399" s="250"/>
      <c r="E399" s="250"/>
      <c r="F399" s="290" t="s">
        <v>200</v>
      </c>
      <c r="G399" s="548"/>
      <c r="H399" s="549"/>
      <c r="I399" s="291">
        <f>SUM(I390:I398)</f>
        <v>1652.7923</v>
      </c>
      <c r="J399" s="548"/>
      <c r="K399" s="549"/>
      <c r="L399" s="291">
        <f>SUM(L390:L398)</f>
        <v>2116.1018143547008</v>
      </c>
      <c r="M399" s="378">
        <f>SUM(M390:M398)</f>
        <v>463.3095143547012</v>
      </c>
      <c r="N399" s="379">
        <f t="shared" si="30"/>
        <v>0.2803192599304227</v>
      </c>
      <c r="O399" s="293">
        <f>SUM(O390:O398)</f>
        <v>0.05203946095127746</v>
      </c>
      <c r="P399" s="247"/>
    </row>
    <row r="400" spans="2:16" ht="14.25" thickBot="1">
      <c r="B400" s="246"/>
      <c r="C400" s="250"/>
      <c r="D400" s="250"/>
      <c r="E400" s="250"/>
      <c r="F400" s="270" t="s">
        <v>204</v>
      </c>
      <c r="G400" s="294">
        <f>C392</f>
        <v>999</v>
      </c>
      <c r="H400" s="295">
        <f>'Other Electriciy Rates'!$F$12</f>
        <v>4.238300000000001</v>
      </c>
      <c r="I400" s="273">
        <f>+G400*H400</f>
        <v>4234.0617</v>
      </c>
      <c r="J400" s="294">
        <f>C392</f>
        <v>999</v>
      </c>
      <c r="K400" s="375">
        <f>'Other Electriciy Rates'!$F$26</f>
        <v>2.9045664532352884</v>
      </c>
      <c r="L400" s="273">
        <f>+J400*K400</f>
        <v>2901.661886782053</v>
      </c>
      <c r="M400" s="296">
        <f>+L400-I400</f>
        <v>-1332.3998132179472</v>
      </c>
      <c r="N400" s="380">
        <f t="shared" si="30"/>
        <v>-0.3146859700268296</v>
      </c>
      <c r="O400" s="278">
        <f>L400/L406</f>
        <v>0.07135806010215628</v>
      </c>
      <c r="P400" s="247"/>
    </row>
    <row r="401" spans="2:16" ht="14.25" thickBot="1">
      <c r="B401" s="246"/>
      <c r="C401" s="250"/>
      <c r="D401" s="250"/>
      <c r="E401" s="250"/>
      <c r="F401" s="290" t="s">
        <v>202</v>
      </c>
      <c r="G401" s="548"/>
      <c r="H401" s="549"/>
      <c r="I401" s="291">
        <f>I399+I400</f>
        <v>5886.854</v>
      </c>
      <c r="J401" s="548"/>
      <c r="K401" s="549"/>
      <c r="L401" s="291">
        <f>L399+L400</f>
        <v>5017.763701136753</v>
      </c>
      <c r="M401" s="291">
        <f>M399+M400</f>
        <v>-869.0902988632461</v>
      </c>
      <c r="N401" s="379">
        <f t="shared" si="30"/>
        <v>-0.14763238545804702</v>
      </c>
      <c r="O401" s="298">
        <f>L401/L406</f>
        <v>0.12339752105343371</v>
      </c>
      <c r="P401" s="247"/>
    </row>
    <row r="402" spans="2:16" ht="13.5">
      <c r="B402" s="246"/>
      <c r="C402" s="250"/>
      <c r="D402" s="250"/>
      <c r="E402" s="250"/>
      <c r="F402" s="381" t="s">
        <v>76</v>
      </c>
      <c r="G402" s="300">
        <f>C391*'Other Electriciy Rates'!$L$12</f>
        <v>417600</v>
      </c>
      <c r="H402" s="301">
        <f>'Other Electriciy Rates'!$C$12+'Other Electriciy Rates'!$D$12</f>
        <v>0.0135</v>
      </c>
      <c r="I402" s="302">
        <f>+G402*H402</f>
        <v>5637.6</v>
      </c>
      <c r="J402" s="300">
        <f>C391*'Other Electriciy Rates'!$L$26</f>
        <v>417239.99999999994</v>
      </c>
      <c r="K402" s="301">
        <f>'Other Electriciy Rates'!$C$26+'Other Electriciy Rates'!$D$26</f>
        <v>0.0135</v>
      </c>
      <c r="L402" s="303">
        <f>+J402*K402</f>
        <v>5632.739999999999</v>
      </c>
      <c r="M402" s="304">
        <f>+L402-I402</f>
        <v>-4.860000000001492</v>
      </c>
      <c r="N402" s="374">
        <f t="shared" si="30"/>
        <v>-0.0008620689655175059</v>
      </c>
      <c r="O402" s="278">
        <f>L402/L406</f>
        <v>0.13852110105963217</v>
      </c>
      <c r="P402" s="247"/>
    </row>
    <row r="403" spans="2:16" ht="14.25" thickBot="1">
      <c r="B403" s="246"/>
      <c r="C403" s="250"/>
      <c r="D403" s="250"/>
      <c r="E403" s="250"/>
      <c r="F403" s="381" t="s">
        <v>77</v>
      </c>
      <c r="G403" s="300">
        <f>G402</f>
        <v>417600</v>
      </c>
      <c r="H403" s="301">
        <f>+'Other Electriciy Rates'!$J$12</f>
        <v>0.06072</v>
      </c>
      <c r="I403" s="302">
        <f>+G403*H403</f>
        <v>25356.672000000002</v>
      </c>
      <c r="J403" s="300">
        <f>J402</f>
        <v>417239.99999999994</v>
      </c>
      <c r="K403" s="301">
        <f>'Other Electriciy Rates'!$J$26</f>
        <v>0.06072</v>
      </c>
      <c r="L403" s="303">
        <f>+J403*K403</f>
        <v>25334.812799999996</v>
      </c>
      <c r="M403" s="304">
        <f>+L403-I403</f>
        <v>-21.85920000000624</v>
      </c>
      <c r="N403" s="374">
        <f t="shared" si="30"/>
        <v>-0.0008620689655174874</v>
      </c>
      <c r="O403" s="278">
        <f>L403/L406</f>
        <v>0.6230371300993234</v>
      </c>
      <c r="P403" s="247"/>
    </row>
    <row r="404" spans="2:16" ht="14.25" thickBot="1">
      <c r="B404" s="246"/>
      <c r="C404" s="250"/>
      <c r="D404" s="250"/>
      <c r="E404" s="250"/>
      <c r="F404" s="290" t="s">
        <v>157</v>
      </c>
      <c r="G404" s="548"/>
      <c r="H404" s="549"/>
      <c r="I404" s="291">
        <f>SUM(I401:I403)</f>
        <v>36881.126000000004</v>
      </c>
      <c r="J404" s="548"/>
      <c r="K404" s="549"/>
      <c r="L404" s="291">
        <f>SUM(L401:L403)</f>
        <v>35985.31650113675</v>
      </c>
      <c r="M404" s="291">
        <f>SUM(M401:M403)</f>
        <v>-895.8094988632538</v>
      </c>
      <c r="N404" s="379">
        <f t="shared" si="30"/>
        <v>-0.024289103832221763</v>
      </c>
      <c r="O404" s="298">
        <f>L404/L406</f>
        <v>0.8849557522123893</v>
      </c>
      <c r="P404" s="247"/>
    </row>
    <row r="405" spans="2:16" ht="14.25" thickBot="1">
      <c r="B405" s="246"/>
      <c r="C405" s="250"/>
      <c r="D405" s="250"/>
      <c r="E405" s="250"/>
      <c r="F405" s="324" t="s">
        <v>205</v>
      </c>
      <c r="G405" s="317"/>
      <c r="H405" s="325">
        <v>0.05</v>
      </c>
      <c r="I405" s="326">
        <f>I404*H405</f>
        <v>1844.0563000000002</v>
      </c>
      <c r="J405" s="317"/>
      <c r="K405" s="325">
        <v>0.13</v>
      </c>
      <c r="L405" s="327">
        <f>L404*K405</f>
        <v>4678.091145147778</v>
      </c>
      <c r="M405" s="328">
        <f>+L405-I405</f>
        <v>2834.0348451477776</v>
      </c>
      <c r="N405" s="382">
        <f t="shared" si="30"/>
        <v>1.5368483300362235</v>
      </c>
      <c r="O405" s="315">
        <f>L405/L406</f>
        <v>0.1150442477876106</v>
      </c>
      <c r="P405" s="247"/>
    </row>
    <row r="406" spans="2:16" ht="15" thickBot="1">
      <c r="B406" s="246"/>
      <c r="C406" s="250"/>
      <c r="D406" s="250"/>
      <c r="E406" s="345"/>
      <c r="F406" s="383" t="s">
        <v>78</v>
      </c>
      <c r="G406" s="548"/>
      <c r="H406" s="549"/>
      <c r="I406" s="291">
        <f>I404+I405</f>
        <v>38725.1823</v>
      </c>
      <c r="J406" s="548"/>
      <c r="K406" s="549"/>
      <c r="L406" s="291">
        <f>L404+L405</f>
        <v>40663.40764628453</v>
      </c>
      <c r="M406" s="291">
        <f>M404+M405</f>
        <v>1938.2253462845238</v>
      </c>
      <c r="N406" s="379">
        <f>+M406/I406</f>
        <v>0.05005077397103754</v>
      </c>
      <c r="O406" s="293">
        <f>O404+O405</f>
        <v>0.9999999999999999</v>
      </c>
      <c r="P406" s="247"/>
    </row>
    <row r="407" spans="2:16" ht="15" thickBot="1">
      <c r="B407" s="339"/>
      <c r="C407" s="346"/>
      <c r="D407" s="346"/>
      <c r="E407" s="346"/>
      <c r="F407" s="347"/>
      <c r="G407" s="348"/>
      <c r="H407" s="349"/>
      <c r="I407" s="350"/>
      <c r="J407" s="348"/>
      <c r="K407" s="351"/>
      <c r="L407" s="350"/>
      <c r="M407" s="384"/>
      <c r="N407" s="353"/>
      <c r="O407" s="354"/>
      <c r="P407" s="340"/>
    </row>
    <row r="408" spans="2:16" ht="14.25">
      <c r="B408" s="343"/>
      <c r="C408" s="250"/>
      <c r="D408" s="250"/>
      <c r="E408" s="250"/>
      <c r="F408" s="355"/>
      <c r="G408" s="356"/>
      <c r="H408" s="357"/>
      <c r="I408" s="358"/>
      <c r="J408" s="356"/>
      <c r="K408" s="359"/>
      <c r="L408" s="358"/>
      <c r="M408" s="385"/>
      <c r="N408" s="361"/>
      <c r="O408" s="362"/>
      <c r="P408" s="343"/>
    </row>
    <row r="409" spans="2:16" ht="15" thickBot="1">
      <c r="B409" s="343"/>
      <c r="C409" s="250"/>
      <c r="D409" s="250"/>
      <c r="E409" s="250"/>
      <c r="F409" s="355"/>
      <c r="G409" s="356"/>
      <c r="H409" s="357"/>
      <c r="I409" s="358"/>
      <c r="J409" s="356"/>
      <c r="K409" s="359"/>
      <c r="L409" s="358"/>
      <c r="M409" s="385"/>
      <c r="N409" s="361"/>
      <c r="O409" s="362"/>
      <c r="P409" s="343"/>
    </row>
    <row r="410" spans="2:16" ht="23.25">
      <c r="B410" s="244"/>
      <c r="C410" s="551"/>
      <c r="D410" s="551"/>
      <c r="E410" s="551"/>
      <c r="F410" s="551"/>
      <c r="G410" s="551"/>
      <c r="H410" s="551"/>
      <c r="I410" s="551"/>
      <c r="J410" s="551"/>
      <c r="K410" s="551"/>
      <c r="L410" s="551"/>
      <c r="M410" s="551"/>
      <c r="N410" s="551"/>
      <c r="O410" s="551"/>
      <c r="P410" s="245"/>
    </row>
    <row r="411" spans="2:16" ht="23.25">
      <c r="B411" s="246"/>
      <c r="C411" s="552" t="s">
        <v>218</v>
      </c>
      <c r="D411" s="552"/>
      <c r="E411" s="552"/>
      <c r="F411" s="552"/>
      <c r="G411" s="552"/>
      <c r="H411" s="552"/>
      <c r="I411" s="552"/>
      <c r="J411" s="552"/>
      <c r="K411" s="552"/>
      <c r="L411" s="552"/>
      <c r="M411" s="552"/>
      <c r="N411" s="552"/>
      <c r="O411" s="552"/>
      <c r="P411" s="247"/>
    </row>
    <row r="412" spans="2:17" ht="24" thickBot="1">
      <c r="B412" s="246"/>
      <c r="C412" s="550"/>
      <c r="D412" s="550"/>
      <c r="E412" s="550"/>
      <c r="F412" s="550"/>
      <c r="G412" s="550"/>
      <c r="H412" s="550"/>
      <c r="I412" s="550"/>
      <c r="J412" s="550"/>
      <c r="K412" s="550"/>
      <c r="L412" s="550"/>
      <c r="M412" s="550"/>
      <c r="N412" s="550"/>
      <c r="O412" s="550"/>
      <c r="P412" s="247"/>
      <c r="Q412" s="343"/>
    </row>
    <row r="413" spans="2:17" ht="21" thickBot="1">
      <c r="B413" s="246"/>
      <c r="C413" s="331"/>
      <c r="D413" s="331"/>
      <c r="E413" s="250"/>
      <c r="F413" s="364"/>
      <c r="G413" s="553" t="str">
        <f>$G$10</f>
        <v>2010 BILL</v>
      </c>
      <c r="H413" s="554"/>
      <c r="I413" s="555"/>
      <c r="J413" s="553" t="str">
        <f>$J$10</f>
        <v>2011 BILL</v>
      </c>
      <c r="K413" s="554"/>
      <c r="L413" s="555"/>
      <c r="M413" s="553" t="s">
        <v>72</v>
      </c>
      <c r="N413" s="554"/>
      <c r="O413" s="555"/>
      <c r="P413" s="247"/>
      <c r="Q413" s="343"/>
    </row>
    <row r="414" spans="2:17" ht="27.75" thickBot="1">
      <c r="B414" s="246"/>
      <c r="C414" s="250"/>
      <c r="D414" s="250"/>
      <c r="E414" s="252"/>
      <c r="F414" s="365"/>
      <c r="G414" s="366" t="s">
        <v>66</v>
      </c>
      <c r="H414" s="367" t="s">
        <v>67</v>
      </c>
      <c r="I414" s="368" t="s">
        <v>68</v>
      </c>
      <c r="J414" s="369" t="s">
        <v>66</v>
      </c>
      <c r="K414" s="367" t="s">
        <v>67</v>
      </c>
      <c r="L414" s="368" t="s">
        <v>68</v>
      </c>
      <c r="M414" s="370" t="s">
        <v>73</v>
      </c>
      <c r="N414" s="371" t="s">
        <v>74</v>
      </c>
      <c r="O414" s="372" t="s">
        <v>75</v>
      </c>
      <c r="P414" s="247"/>
      <c r="Q414" s="343"/>
    </row>
    <row r="415" spans="2:17" ht="15.75" thickBot="1">
      <c r="B415" s="246"/>
      <c r="C415" s="556" t="s">
        <v>69</v>
      </c>
      <c r="D415" s="557"/>
      <c r="E415" s="250"/>
      <c r="F415" s="373" t="s">
        <v>70</v>
      </c>
      <c r="G415" s="386"/>
      <c r="H415" s="387"/>
      <c r="I415" s="302">
        <f>+'2010 Existing Rates'!$C$11</f>
        <v>294.82</v>
      </c>
      <c r="J415" s="300"/>
      <c r="K415" s="388"/>
      <c r="L415" s="303">
        <f>'Rate Schedule (Part 1)'!$E$45</f>
        <v>2335.85</v>
      </c>
      <c r="M415" s="304">
        <f aca="true" t="shared" si="31" ref="M415:M423">+L415-I415</f>
        <v>2041.03</v>
      </c>
      <c r="N415" s="374">
        <f aca="true" t="shared" si="32" ref="N415:N430">IF(I415=0," ",(+M415/I415))</f>
        <v>6.922969947764738</v>
      </c>
      <c r="O415" s="278">
        <f>L415/L431</f>
        <v>0.029835611419894468</v>
      </c>
      <c r="P415" s="247"/>
      <c r="Q415" s="343"/>
    </row>
    <row r="416" spans="2:17" ht="18" thickBot="1">
      <c r="B416" s="246"/>
      <c r="C416" s="341">
        <v>750000</v>
      </c>
      <c r="D416" s="342" t="s">
        <v>16</v>
      </c>
      <c r="E416" s="250"/>
      <c r="F416" s="307" t="s">
        <v>79</v>
      </c>
      <c r="G416" s="389">
        <f>+C417</f>
        <v>1500</v>
      </c>
      <c r="H416" s="390">
        <f>+'2010 Existing Rates'!$D$11</f>
        <v>1.8048</v>
      </c>
      <c r="I416" s="391">
        <f>+G416*H416</f>
        <v>2707.2</v>
      </c>
      <c r="J416" s="271">
        <f>G416</f>
        <v>1500</v>
      </c>
      <c r="K416" s="274">
        <f>'Rate Schedule (Part 1)'!$E$46</f>
        <v>1.44</v>
      </c>
      <c r="L416" s="275">
        <f>+J416*K416</f>
        <v>2160</v>
      </c>
      <c r="M416" s="304">
        <f t="shared" si="31"/>
        <v>-547.1999999999998</v>
      </c>
      <c r="N416" s="374">
        <f t="shared" si="32"/>
        <v>-0.20212765957446804</v>
      </c>
      <c r="O416" s="278">
        <f>L416/L431</f>
        <v>0.02758949447394826</v>
      </c>
      <c r="P416" s="247"/>
      <c r="Q416" s="343"/>
    </row>
    <row r="417" spans="2:16" ht="18" thickBot="1">
      <c r="B417" s="246"/>
      <c r="C417" s="341">
        <v>1500</v>
      </c>
      <c r="D417" s="342" t="s">
        <v>17</v>
      </c>
      <c r="E417" s="250"/>
      <c r="F417" s="270" t="s">
        <v>220</v>
      </c>
      <c r="G417" s="284"/>
      <c r="H417" s="285"/>
      <c r="I417" s="273">
        <v>0</v>
      </c>
      <c r="J417" s="284"/>
      <c r="K417" s="285"/>
      <c r="L417" s="303">
        <f>'Rate Schedule (Part 1)'!$E$47</f>
        <v>0.47</v>
      </c>
      <c r="M417" s="304">
        <f t="shared" si="31"/>
        <v>0.47</v>
      </c>
      <c r="N417" s="374" t="str">
        <f t="shared" si="32"/>
        <v> </v>
      </c>
      <c r="O417" s="278">
        <f>L417/L431</f>
        <v>6.003269630905409E-06</v>
      </c>
      <c r="P417" s="247"/>
    </row>
    <row r="418" spans="2:16" ht="17.25">
      <c r="B418" s="246"/>
      <c r="C418" s="279"/>
      <c r="D418" s="283"/>
      <c r="E418" s="250"/>
      <c r="F418" s="270" t="s">
        <v>134</v>
      </c>
      <c r="G418" s="284"/>
      <c r="H418" s="285"/>
      <c r="I418" s="273">
        <f>'2010 Existing Rates'!$B$48</f>
        <v>1.63</v>
      </c>
      <c r="J418" s="284"/>
      <c r="K418" s="285"/>
      <c r="L418" s="303">
        <f>'Rate Schedule (Part 1)'!$E$48</f>
        <v>1.2</v>
      </c>
      <c r="M418" s="304">
        <f t="shared" si="31"/>
        <v>-0.42999999999999994</v>
      </c>
      <c r="N418" s="374">
        <f t="shared" si="32"/>
        <v>-0.26380368098159507</v>
      </c>
      <c r="O418" s="278">
        <f>L418/L431</f>
        <v>1.5327496929971257E-05</v>
      </c>
      <c r="P418" s="247"/>
    </row>
    <row r="419" spans="2:16" ht="17.25">
      <c r="B419" s="246"/>
      <c r="C419" s="279"/>
      <c r="D419" s="283"/>
      <c r="E419" s="250"/>
      <c r="F419" s="270" t="s">
        <v>203</v>
      </c>
      <c r="G419" s="271">
        <f>C417</f>
        <v>1500</v>
      </c>
      <c r="H419" s="272"/>
      <c r="I419" s="273">
        <f>+G419*H419</f>
        <v>0</v>
      </c>
      <c r="J419" s="271">
        <f>C417</f>
        <v>1500</v>
      </c>
      <c r="K419" s="274">
        <f>'Rate Schedule (Part 1)'!$E$49</f>
        <v>0.0863</v>
      </c>
      <c r="L419" s="275">
        <f>+J419*K419</f>
        <v>129.45</v>
      </c>
      <c r="M419" s="304">
        <f t="shared" si="31"/>
        <v>129.45</v>
      </c>
      <c r="N419" s="374" t="str">
        <f t="shared" si="32"/>
        <v> </v>
      </c>
      <c r="O419" s="278">
        <f>L419/L431</f>
        <v>0.0016534537313206493</v>
      </c>
      <c r="P419" s="247"/>
    </row>
    <row r="420" spans="2:16" ht="27">
      <c r="B420" s="246"/>
      <c r="C420" s="279"/>
      <c r="D420" s="283"/>
      <c r="E420" s="250"/>
      <c r="F420" s="270" t="s">
        <v>272</v>
      </c>
      <c r="G420" s="406">
        <f>G419</f>
        <v>1500</v>
      </c>
      <c r="H420" s="272">
        <f>'2010 Existing Rates'!$D$24</f>
        <v>-0.4471</v>
      </c>
      <c r="I420" s="286">
        <f>+G420*H420</f>
        <v>-670.65</v>
      </c>
      <c r="J420" s="406">
        <f>J419</f>
        <v>1500</v>
      </c>
      <c r="K420" s="274">
        <f>'Rate Schedule (Part 1)'!$E$50</f>
        <v>-0.65217</v>
      </c>
      <c r="L420" s="275">
        <f>J420*K420</f>
        <v>-978.255</v>
      </c>
      <c r="M420" s="276">
        <f t="shared" si="31"/>
        <v>-307.605</v>
      </c>
      <c r="N420" s="277">
        <f t="shared" si="32"/>
        <v>0.4586669648848133</v>
      </c>
      <c r="O420" s="278">
        <f>L420/L431</f>
        <v>-0.012495167091024193</v>
      </c>
      <c r="P420" s="247"/>
    </row>
    <row r="421" spans="2:16" ht="27">
      <c r="B421" s="246"/>
      <c r="C421" s="279"/>
      <c r="D421" s="283"/>
      <c r="E421" s="250"/>
      <c r="F421" s="270" t="s">
        <v>273</v>
      </c>
      <c r="G421" s="406">
        <f>G420</f>
        <v>1500</v>
      </c>
      <c r="H421" s="288"/>
      <c r="I421" s="286">
        <f>+G421*H421</f>
        <v>0</v>
      </c>
      <c r="J421" s="406">
        <f>J420</f>
        <v>1500</v>
      </c>
      <c r="K421" s="274">
        <f>'Rate Schedule (Part 1)'!$E$51</f>
        <v>-0.20404497063310192</v>
      </c>
      <c r="L421" s="275">
        <f>J421*K421</f>
        <v>-306.06745594965287</v>
      </c>
      <c r="M421" s="276">
        <f t="shared" si="31"/>
        <v>-306.06745594965287</v>
      </c>
      <c r="N421" s="277" t="str">
        <f t="shared" si="32"/>
        <v> </v>
      </c>
      <c r="O421" s="278">
        <f>L421/L431</f>
        <v>-0.003909373326193681</v>
      </c>
      <c r="P421" s="247"/>
    </row>
    <row r="422" spans="2:16" ht="27">
      <c r="B422" s="246"/>
      <c r="C422" s="279"/>
      <c r="D422" s="283"/>
      <c r="E422" s="250"/>
      <c r="F422" s="270" t="s">
        <v>274</v>
      </c>
      <c r="G422" s="406">
        <f>G421</f>
        <v>1500</v>
      </c>
      <c r="H422" s="288"/>
      <c r="I422" s="286">
        <f>+G422*H422</f>
        <v>0</v>
      </c>
      <c r="J422" s="406">
        <f>J421</f>
        <v>1500</v>
      </c>
      <c r="K422" s="274">
        <f>'Rate Schedule (Part 1)'!$E$52</f>
        <v>0.1770833132735716</v>
      </c>
      <c r="L422" s="275">
        <f>J422*K422</f>
        <v>265.6249699103574</v>
      </c>
      <c r="M422" s="276">
        <f t="shared" si="31"/>
        <v>265.6249699103574</v>
      </c>
      <c r="N422" s="277" t="str">
        <f t="shared" si="32"/>
        <v> </v>
      </c>
      <c r="O422" s="278">
        <f>L422/L431</f>
        <v>0.0033928049256872587</v>
      </c>
      <c r="P422" s="247"/>
    </row>
    <row r="423" spans="2:16" ht="27.75" thickBot="1">
      <c r="B423" s="246"/>
      <c r="C423" s="250"/>
      <c r="D423" s="250"/>
      <c r="E423" s="250"/>
      <c r="F423" s="270" t="s">
        <v>275</v>
      </c>
      <c r="G423" s="271">
        <f>+C417</f>
        <v>1500</v>
      </c>
      <c r="H423" s="272"/>
      <c r="I423" s="273">
        <f>+G423*H423</f>
        <v>0</v>
      </c>
      <c r="J423" s="271">
        <f>+C417</f>
        <v>1500</v>
      </c>
      <c r="K423" s="274">
        <f>'Rate Schedule (Part 1)'!$E$53</f>
        <v>0.00010656934679870915</v>
      </c>
      <c r="L423" s="275">
        <f>+J423*K423</f>
        <v>0.15985402019806372</v>
      </c>
      <c r="M423" s="304">
        <f t="shared" si="31"/>
        <v>0.15985402019806372</v>
      </c>
      <c r="N423" s="374" t="str">
        <f t="shared" si="32"/>
        <v> </v>
      </c>
      <c r="O423" s="278">
        <f>L423/L431</f>
        <v>2.041801669857821E-06</v>
      </c>
      <c r="P423" s="247"/>
    </row>
    <row r="424" spans="2:16" ht="14.25" thickBot="1">
      <c r="B424" s="246"/>
      <c r="C424" s="250"/>
      <c r="D424" s="250"/>
      <c r="E424" s="250"/>
      <c r="F424" s="290" t="s">
        <v>200</v>
      </c>
      <c r="G424" s="548"/>
      <c r="H424" s="549"/>
      <c r="I424" s="291">
        <f>SUM(I415:I423)</f>
        <v>2333</v>
      </c>
      <c r="J424" s="548"/>
      <c r="K424" s="549"/>
      <c r="L424" s="291">
        <f>SUM(L415:L423)</f>
        <v>3608.4323679809027</v>
      </c>
      <c r="M424" s="291">
        <f>SUM(M415:M423)</f>
        <v>1275.4323679809027</v>
      </c>
      <c r="N424" s="379">
        <f t="shared" si="32"/>
        <v>0.5466919708447933</v>
      </c>
      <c r="O424" s="293">
        <f>SUM(O415:O423)</f>
        <v>0.04609019670186349</v>
      </c>
      <c r="P424" s="247"/>
    </row>
    <row r="425" spans="2:16" ht="14.25" thickBot="1">
      <c r="B425" s="246"/>
      <c r="C425" s="250"/>
      <c r="D425" s="250"/>
      <c r="E425" s="250"/>
      <c r="F425" s="270" t="s">
        <v>204</v>
      </c>
      <c r="G425" s="294">
        <f>C417</f>
        <v>1500</v>
      </c>
      <c r="H425" s="295">
        <f>'Other Electriciy Rates'!$F$13</f>
        <v>4.238300000000001</v>
      </c>
      <c r="I425" s="273">
        <f>+G425*H425</f>
        <v>6357.450000000001</v>
      </c>
      <c r="J425" s="294">
        <f>C417</f>
        <v>1500</v>
      </c>
      <c r="K425" s="480">
        <f>'Other Electriciy Rates'!$F$27</f>
        <v>5.074123105380593</v>
      </c>
      <c r="L425" s="273">
        <f>+J425*K425</f>
        <v>7611.18465807089</v>
      </c>
      <c r="M425" s="296">
        <f>+L425-I425</f>
        <v>1253.734658070889</v>
      </c>
      <c r="N425" s="380">
        <f t="shared" si="32"/>
        <v>0.1972071598000596</v>
      </c>
      <c r="O425" s="278">
        <f>L425/L431</f>
        <v>0.09721700790002158</v>
      </c>
      <c r="P425" s="247"/>
    </row>
    <row r="426" spans="2:16" ht="14.25" thickBot="1">
      <c r="B426" s="246"/>
      <c r="C426" s="250"/>
      <c r="D426" s="250"/>
      <c r="E426" s="250"/>
      <c r="F426" s="290" t="s">
        <v>202</v>
      </c>
      <c r="G426" s="548"/>
      <c r="H426" s="549"/>
      <c r="I426" s="291">
        <f>I424+I425</f>
        <v>8690.45</v>
      </c>
      <c r="J426" s="548"/>
      <c r="K426" s="549"/>
      <c r="L426" s="291">
        <f>L424+L425</f>
        <v>11219.617026051792</v>
      </c>
      <c r="M426" s="291">
        <f>M424+M425</f>
        <v>2529.1670260517917</v>
      </c>
      <c r="N426" s="379">
        <f t="shared" si="32"/>
        <v>0.29102831568581505</v>
      </c>
      <c r="O426" s="298">
        <f>L426/L431</f>
        <v>0.14330720460188506</v>
      </c>
      <c r="P426" s="247"/>
    </row>
    <row r="427" spans="2:16" ht="13.5">
      <c r="B427" s="246"/>
      <c r="C427" s="250"/>
      <c r="D427" s="250"/>
      <c r="E427" s="250"/>
      <c r="F427" s="381" t="s">
        <v>76</v>
      </c>
      <c r="G427" s="300">
        <f>C416*'Other Electriciy Rates'!$L$12</f>
        <v>783000</v>
      </c>
      <c r="H427" s="301">
        <f>'Other Electriciy Rates'!$C$13+'Other Electriciy Rates'!$D$13</f>
        <v>0.0135</v>
      </c>
      <c r="I427" s="302">
        <f>+G427*H427</f>
        <v>10570.5</v>
      </c>
      <c r="J427" s="300">
        <f>C416*'Other Electriciy Rates'!$L$26</f>
        <v>782324.9999999999</v>
      </c>
      <c r="K427" s="301">
        <f>'Other Electriciy Rates'!$C$27+'Other Electriciy Rates'!$D$27</f>
        <v>0.0135</v>
      </c>
      <c r="L427" s="303">
        <f>+J427*K427</f>
        <v>10561.387499999999</v>
      </c>
      <c r="M427" s="304">
        <f>+L427-I427</f>
        <v>-9.112500000001091</v>
      </c>
      <c r="N427" s="374">
        <f t="shared" si="32"/>
        <v>-0.0008620689655173446</v>
      </c>
      <c r="O427" s="278">
        <f>L427/L431</f>
        <v>0.13489969540207233</v>
      </c>
      <c r="P427" s="247"/>
    </row>
    <row r="428" spans="2:16" ht="14.25" thickBot="1">
      <c r="B428" s="246"/>
      <c r="C428" s="250"/>
      <c r="D428" s="250"/>
      <c r="E428" s="250"/>
      <c r="F428" s="381" t="s">
        <v>77</v>
      </c>
      <c r="G428" s="300">
        <f>G427</f>
        <v>783000</v>
      </c>
      <c r="H428" s="301">
        <f>+'Other Electriciy Rates'!$J$13</f>
        <v>0.06072</v>
      </c>
      <c r="I428" s="302">
        <f>+G428*H428</f>
        <v>47543.76</v>
      </c>
      <c r="J428" s="300">
        <f>J427</f>
        <v>782324.9999999999</v>
      </c>
      <c r="K428" s="301">
        <f>'Other Electriciy Rates'!$J$27</f>
        <v>0.06072</v>
      </c>
      <c r="L428" s="303">
        <f>+J428*K428</f>
        <v>47502.774</v>
      </c>
      <c r="M428" s="304">
        <f>+L428-I428</f>
        <v>-40.986000000004424</v>
      </c>
      <c r="N428" s="374">
        <f t="shared" si="32"/>
        <v>-0.0008620689655173344</v>
      </c>
      <c r="O428" s="278">
        <f>L428/L431</f>
        <v>0.606748852208432</v>
      </c>
      <c r="P428" s="247"/>
    </row>
    <row r="429" spans="2:16" ht="14.25" thickBot="1">
      <c r="B429" s="246"/>
      <c r="C429" s="250"/>
      <c r="D429" s="250"/>
      <c r="E429" s="250"/>
      <c r="F429" s="290" t="s">
        <v>157</v>
      </c>
      <c r="G429" s="548"/>
      <c r="H429" s="549"/>
      <c r="I429" s="291">
        <f>SUM(I426:I428)</f>
        <v>66804.71</v>
      </c>
      <c r="J429" s="548"/>
      <c r="K429" s="549"/>
      <c r="L429" s="291">
        <f>SUM(L426:L428)</f>
        <v>69283.77852605178</v>
      </c>
      <c r="M429" s="291">
        <f>SUM(M426:M428)</f>
        <v>2479.068526051786</v>
      </c>
      <c r="N429" s="379">
        <f>IF(I429=0," ",(+M429/I429))</f>
        <v>0.03710918775115985</v>
      </c>
      <c r="O429" s="298">
        <f>L429/L431</f>
        <v>0.8849557522123894</v>
      </c>
      <c r="P429" s="247"/>
    </row>
    <row r="430" spans="2:16" ht="14.25" thickBot="1">
      <c r="B430" s="246"/>
      <c r="C430" s="250"/>
      <c r="D430" s="250"/>
      <c r="E430" s="250"/>
      <c r="F430" s="324" t="s">
        <v>205</v>
      </c>
      <c r="G430" s="317"/>
      <c r="H430" s="325">
        <v>0.05</v>
      </c>
      <c r="I430" s="326">
        <f>I429*H430</f>
        <v>3340.2355000000007</v>
      </c>
      <c r="J430" s="317"/>
      <c r="K430" s="325">
        <v>0.13</v>
      </c>
      <c r="L430" s="327">
        <f>L429*K430</f>
        <v>9006.891208386733</v>
      </c>
      <c r="M430" s="328">
        <f>+L430-I430</f>
        <v>5666.655708386732</v>
      </c>
      <c r="N430" s="382">
        <f t="shared" si="32"/>
        <v>1.696483888153015</v>
      </c>
      <c r="O430" s="315">
        <f>L430/L431</f>
        <v>0.11504424778761063</v>
      </c>
      <c r="P430" s="247"/>
    </row>
    <row r="431" spans="2:16" ht="15" thickBot="1">
      <c r="B431" s="246"/>
      <c r="C431" s="250"/>
      <c r="D431" s="250"/>
      <c r="E431" s="345"/>
      <c r="F431" s="383" t="s">
        <v>78</v>
      </c>
      <c r="G431" s="548"/>
      <c r="H431" s="549"/>
      <c r="I431" s="291">
        <f>I429+I430</f>
        <v>70144.9455</v>
      </c>
      <c r="J431" s="548"/>
      <c r="K431" s="549"/>
      <c r="L431" s="291">
        <f>L429+L430</f>
        <v>78290.66973443852</v>
      </c>
      <c r="M431" s="291">
        <f>M429+M430</f>
        <v>8145.724234438518</v>
      </c>
      <c r="N431" s="379">
        <f>+M431/I431</f>
        <v>0.11612703062743869</v>
      </c>
      <c r="O431" s="293">
        <f>O429+O430</f>
        <v>1</v>
      </c>
      <c r="P431" s="247"/>
    </row>
    <row r="432" spans="2:16" ht="15" thickBot="1">
      <c r="B432" s="339"/>
      <c r="C432" s="346"/>
      <c r="D432" s="346"/>
      <c r="E432" s="346"/>
      <c r="F432" s="347"/>
      <c r="G432" s="348"/>
      <c r="H432" s="349"/>
      <c r="I432" s="350"/>
      <c r="J432" s="348"/>
      <c r="K432" s="351"/>
      <c r="L432" s="350"/>
      <c r="M432" s="384"/>
      <c r="N432" s="353"/>
      <c r="O432" s="354"/>
      <c r="P432" s="340"/>
    </row>
    <row r="433" spans="2:16" ht="15" thickBot="1">
      <c r="B433" s="343"/>
      <c r="C433" s="250"/>
      <c r="D433" s="250"/>
      <c r="E433" s="250"/>
      <c r="F433" s="355"/>
      <c r="G433" s="356"/>
      <c r="H433" s="357"/>
      <c r="I433" s="358"/>
      <c r="J433" s="356"/>
      <c r="K433" s="359"/>
      <c r="L433" s="358"/>
      <c r="M433" s="385"/>
      <c r="N433" s="361"/>
      <c r="O433" s="362"/>
      <c r="P433" s="343"/>
    </row>
    <row r="434" spans="2:16" ht="23.25">
      <c r="B434" s="244"/>
      <c r="C434" s="551"/>
      <c r="D434" s="551"/>
      <c r="E434" s="551"/>
      <c r="F434" s="551"/>
      <c r="G434" s="551"/>
      <c r="H434" s="551"/>
      <c r="I434" s="551"/>
      <c r="J434" s="551"/>
      <c r="K434" s="551"/>
      <c r="L434" s="551"/>
      <c r="M434" s="551"/>
      <c r="N434" s="551"/>
      <c r="O434" s="551"/>
      <c r="P434" s="245"/>
    </row>
    <row r="435" spans="2:16" ht="23.25">
      <c r="B435" s="246"/>
      <c r="C435" s="552" t="s">
        <v>218</v>
      </c>
      <c r="D435" s="552"/>
      <c r="E435" s="552"/>
      <c r="F435" s="552"/>
      <c r="G435" s="552"/>
      <c r="H435" s="552"/>
      <c r="I435" s="552"/>
      <c r="J435" s="552"/>
      <c r="K435" s="552"/>
      <c r="L435" s="552"/>
      <c r="M435" s="552"/>
      <c r="N435" s="552"/>
      <c r="O435" s="552"/>
      <c r="P435" s="247"/>
    </row>
    <row r="436" spans="2:17" ht="24" thickBot="1">
      <c r="B436" s="246"/>
      <c r="C436" s="550"/>
      <c r="D436" s="550"/>
      <c r="E436" s="550"/>
      <c r="F436" s="550"/>
      <c r="G436" s="550"/>
      <c r="H436" s="550"/>
      <c r="I436" s="550"/>
      <c r="J436" s="550"/>
      <c r="K436" s="550"/>
      <c r="L436" s="550"/>
      <c r="M436" s="550"/>
      <c r="N436" s="550"/>
      <c r="O436" s="550"/>
      <c r="P436" s="247"/>
      <c r="Q436" s="343"/>
    </row>
    <row r="437" spans="2:17" ht="21" thickBot="1">
      <c r="B437" s="246"/>
      <c r="C437" s="331"/>
      <c r="D437" s="331"/>
      <c r="E437" s="250"/>
      <c r="F437" s="364"/>
      <c r="G437" s="553" t="str">
        <f>$G$10</f>
        <v>2010 BILL</v>
      </c>
      <c r="H437" s="554"/>
      <c r="I437" s="555"/>
      <c r="J437" s="553" t="str">
        <f>$J$10</f>
        <v>2011 BILL</v>
      </c>
      <c r="K437" s="554"/>
      <c r="L437" s="555"/>
      <c r="M437" s="553" t="s">
        <v>72</v>
      </c>
      <c r="N437" s="554"/>
      <c r="O437" s="555"/>
      <c r="P437" s="247"/>
      <c r="Q437" s="343"/>
    </row>
    <row r="438" spans="2:17" ht="27.75" thickBot="1">
      <c r="B438" s="246"/>
      <c r="C438" s="250"/>
      <c r="D438" s="250"/>
      <c r="E438" s="252"/>
      <c r="F438" s="365"/>
      <c r="G438" s="366" t="s">
        <v>66</v>
      </c>
      <c r="H438" s="367" t="s">
        <v>67</v>
      </c>
      <c r="I438" s="368" t="s">
        <v>68</v>
      </c>
      <c r="J438" s="369" t="s">
        <v>66</v>
      </c>
      <c r="K438" s="367" t="s">
        <v>67</v>
      </c>
      <c r="L438" s="368" t="s">
        <v>68</v>
      </c>
      <c r="M438" s="370" t="s">
        <v>73</v>
      </c>
      <c r="N438" s="371" t="s">
        <v>74</v>
      </c>
      <c r="O438" s="372" t="s">
        <v>75</v>
      </c>
      <c r="P438" s="247"/>
      <c r="Q438" s="343"/>
    </row>
    <row r="439" spans="2:17" ht="15.75" thickBot="1">
      <c r="B439" s="246"/>
      <c r="C439" s="556" t="s">
        <v>69</v>
      </c>
      <c r="D439" s="557"/>
      <c r="E439" s="250"/>
      <c r="F439" s="373" t="s">
        <v>70</v>
      </c>
      <c r="G439" s="386"/>
      <c r="H439" s="387"/>
      <c r="I439" s="302">
        <f>+'2010 Existing Rates'!$C$11</f>
        <v>294.82</v>
      </c>
      <c r="J439" s="300"/>
      <c r="K439" s="388"/>
      <c r="L439" s="303">
        <f>'Rate Schedule (Part 1)'!$E$45</f>
        <v>2335.85</v>
      </c>
      <c r="M439" s="304">
        <f aca="true" t="shared" si="33" ref="M439:M447">+L439-I439</f>
        <v>2041.03</v>
      </c>
      <c r="N439" s="374">
        <f aca="true" t="shared" si="34" ref="N439:N454">IF(I439=0," ",(+M439/I439))</f>
        <v>6.922969947764738</v>
      </c>
      <c r="O439" s="278">
        <f>L439/L455</f>
        <v>0.018146256717382257</v>
      </c>
      <c r="P439" s="247"/>
      <c r="Q439" s="343"/>
    </row>
    <row r="440" spans="2:17" ht="18" thickBot="1">
      <c r="B440" s="246"/>
      <c r="C440" s="341">
        <v>1250000</v>
      </c>
      <c r="D440" s="342" t="s">
        <v>16</v>
      </c>
      <c r="E440" s="250"/>
      <c r="F440" s="307" t="s">
        <v>79</v>
      </c>
      <c r="G440" s="389">
        <f>+C441</f>
        <v>2500</v>
      </c>
      <c r="H440" s="390">
        <f>+'2010 Existing Rates'!$D$11</f>
        <v>1.8048</v>
      </c>
      <c r="I440" s="391">
        <f>+G440*H440</f>
        <v>4512</v>
      </c>
      <c r="J440" s="271">
        <f>G440</f>
        <v>2500</v>
      </c>
      <c r="K440" s="274">
        <f>'Rate Schedule (Part 1)'!$E$46</f>
        <v>1.44</v>
      </c>
      <c r="L440" s="275">
        <f>+J440*K440</f>
        <v>3600</v>
      </c>
      <c r="M440" s="304">
        <f t="shared" si="33"/>
        <v>-912</v>
      </c>
      <c r="N440" s="374">
        <f t="shared" si="34"/>
        <v>-0.20212765957446807</v>
      </c>
      <c r="O440" s="278">
        <f>L440/L455</f>
        <v>0.027966917474399524</v>
      </c>
      <c r="P440" s="247"/>
      <c r="Q440" s="343"/>
    </row>
    <row r="441" spans="2:16" ht="18" thickBot="1">
      <c r="B441" s="246"/>
      <c r="C441" s="341">
        <v>2500</v>
      </c>
      <c r="D441" s="342" t="s">
        <v>17</v>
      </c>
      <c r="E441" s="250"/>
      <c r="F441" s="270" t="s">
        <v>220</v>
      </c>
      <c r="G441" s="284"/>
      <c r="H441" s="285"/>
      <c r="I441" s="273">
        <v>0</v>
      </c>
      <c r="J441" s="284"/>
      <c r="K441" s="285"/>
      <c r="L441" s="303">
        <f>'Rate Schedule (Part 1)'!$E$47</f>
        <v>0.47</v>
      </c>
      <c r="M441" s="304">
        <f t="shared" si="33"/>
        <v>0.47</v>
      </c>
      <c r="N441" s="374" t="str">
        <f t="shared" si="34"/>
        <v> </v>
      </c>
      <c r="O441" s="278">
        <f>L441/L455</f>
        <v>3.651236448046604E-06</v>
      </c>
      <c r="P441" s="247"/>
    </row>
    <row r="442" spans="2:16" ht="17.25">
      <c r="B442" s="246"/>
      <c r="C442" s="279"/>
      <c r="D442" s="283"/>
      <c r="E442" s="250"/>
      <c r="F442" s="270" t="s">
        <v>134</v>
      </c>
      <c r="G442" s="284"/>
      <c r="H442" s="285"/>
      <c r="I442" s="273">
        <f>'2010 Existing Rates'!$B$48</f>
        <v>1.63</v>
      </c>
      <c r="J442" s="284"/>
      <c r="K442" s="285"/>
      <c r="L442" s="303">
        <f>'Rate Schedule (Part 1)'!$E$48</f>
        <v>1.2</v>
      </c>
      <c r="M442" s="304">
        <f t="shared" si="33"/>
        <v>-0.42999999999999994</v>
      </c>
      <c r="N442" s="374">
        <f t="shared" si="34"/>
        <v>-0.26380368098159507</v>
      </c>
      <c r="O442" s="278">
        <f>L442/L455</f>
        <v>9.322305824799841E-06</v>
      </c>
      <c r="P442" s="247"/>
    </row>
    <row r="443" spans="2:16" ht="17.25">
      <c r="B443" s="246"/>
      <c r="C443" s="279"/>
      <c r="D443" s="283"/>
      <c r="E443" s="250"/>
      <c r="F443" s="270" t="s">
        <v>203</v>
      </c>
      <c r="G443" s="271">
        <f>C441</f>
        <v>2500</v>
      </c>
      <c r="H443" s="272"/>
      <c r="I443" s="273">
        <f>+G443*H443</f>
        <v>0</v>
      </c>
      <c r="J443" s="271">
        <f>C441</f>
        <v>2500</v>
      </c>
      <c r="K443" s="274">
        <f>'Rate Schedule (Part 1)'!$E$49</f>
        <v>0.0863</v>
      </c>
      <c r="L443" s="275">
        <f>+J443*K443</f>
        <v>215.75</v>
      </c>
      <c r="M443" s="304">
        <f t="shared" si="33"/>
        <v>215.75</v>
      </c>
      <c r="N443" s="374" t="str">
        <f t="shared" si="34"/>
        <v> </v>
      </c>
      <c r="O443" s="278">
        <f>L443/L455</f>
        <v>0.0016760729014171382</v>
      </c>
      <c r="P443" s="247"/>
    </row>
    <row r="444" spans="2:16" ht="27">
      <c r="B444" s="246"/>
      <c r="C444" s="279"/>
      <c r="D444" s="283"/>
      <c r="E444" s="250"/>
      <c r="F444" s="270" t="s">
        <v>272</v>
      </c>
      <c r="G444" s="406">
        <f>G443</f>
        <v>2500</v>
      </c>
      <c r="H444" s="272">
        <f>'2010 Existing Rates'!$D$24</f>
        <v>-0.4471</v>
      </c>
      <c r="I444" s="286">
        <f>+G444*H444</f>
        <v>-1117.75</v>
      </c>
      <c r="J444" s="406">
        <f>J443</f>
        <v>2500</v>
      </c>
      <c r="K444" s="274">
        <f>'Rate Schedule (Part 1)'!$E$50</f>
        <v>-0.65217</v>
      </c>
      <c r="L444" s="275">
        <f>J444*K444</f>
        <v>-1630.4250000000002</v>
      </c>
      <c r="M444" s="276">
        <f t="shared" si="33"/>
        <v>-512.6750000000002</v>
      </c>
      <c r="N444" s="277">
        <f t="shared" si="34"/>
        <v>0.4586669648848134</v>
      </c>
      <c r="O444" s="278">
        <f>L444/L455</f>
        <v>-0.012666100395332737</v>
      </c>
      <c r="P444" s="247"/>
    </row>
    <row r="445" spans="2:16" ht="27">
      <c r="B445" s="246"/>
      <c r="C445" s="279"/>
      <c r="D445" s="283"/>
      <c r="E445" s="250"/>
      <c r="F445" s="270" t="s">
        <v>273</v>
      </c>
      <c r="G445" s="406">
        <f>G444</f>
        <v>2500</v>
      </c>
      <c r="H445" s="288"/>
      <c r="I445" s="286">
        <f>+G445*H445</f>
        <v>0</v>
      </c>
      <c r="J445" s="406">
        <f>J444</f>
        <v>2500</v>
      </c>
      <c r="K445" s="274">
        <f>'Rate Schedule (Part 1)'!$E$51</f>
        <v>-0.20404497063310192</v>
      </c>
      <c r="L445" s="275">
        <f>J445*K445</f>
        <v>-510.11242658275484</v>
      </c>
      <c r="M445" s="276">
        <f t="shared" si="33"/>
        <v>-510.11242658275484</v>
      </c>
      <c r="N445" s="277" t="str">
        <f t="shared" si="34"/>
        <v> </v>
      </c>
      <c r="O445" s="278">
        <f>L445/L455</f>
        <v>-0.003962853371362664</v>
      </c>
      <c r="P445" s="247"/>
    </row>
    <row r="446" spans="2:16" ht="27">
      <c r="B446" s="246"/>
      <c r="C446" s="279"/>
      <c r="D446" s="283"/>
      <c r="E446" s="250"/>
      <c r="F446" s="270" t="s">
        <v>274</v>
      </c>
      <c r="G446" s="406">
        <f>G445</f>
        <v>2500</v>
      </c>
      <c r="H446" s="288"/>
      <c r="I446" s="286">
        <f>+G446*H446</f>
        <v>0</v>
      </c>
      <c r="J446" s="406">
        <f>J445</f>
        <v>2500</v>
      </c>
      <c r="K446" s="274">
        <f>'Rate Schedule (Part 1)'!$E$52</f>
        <v>0.1770833132735716</v>
      </c>
      <c r="L446" s="275">
        <f>J446*K446</f>
        <v>442.708283183929</v>
      </c>
      <c r="M446" s="276">
        <f t="shared" si="33"/>
        <v>442.708283183929</v>
      </c>
      <c r="N446" s="277" t="str">
        <f t="shared" si="34"/>
        <v> </v>
      </c>
      <c r="O446" s="278">
        <f>L446/L455</f>
        <v>0.0034392183391772323</v>
      </c>
      <c r="P446" s="247"/>
    </row>
    <row r="447" spans="2:16" ht="27.75" thickBot="1">
      <c r="B447" s="246"/>
      <c r="C447" s="250"/>
      <c r="D447" s="250"/>
      <c r="E447" s="250"/>
      <c r="F447" s="270" t="s">
        <v>275</v>
      </c>
      <c r="G447" s="271">
        <f>+C441</f>
        <v>2500</v>
      </c>
      <c r="H447" s="272"/>
      <c r="I447" s="273">
        <f>+G447*H447</f>
        <v>0</v>
      </c>
      <c r="J447" s="271">
        <f>+C441</f>
        <v>2500</v>
      </c>
      <c r="K447" s="274">
        <f>'Rate Schedule (Part 1)'!$E$53</f>
        <v>0.00010656934679870915</v>
      </c>
      <c r="L447" s="275">
        <f>+J447*K447</f>
        <v>0.2664233669967729</v>
      </c>
      <c r="M447" s="304">
        <f t="shared" si="33"/>
        <v>0.2664233669967729</v>
      </c>
      <c r="N447" s="374" t="str">
        <f t="shared" si="34"/>
        <v> </v>
      </c>
      <c r="O447" s="278">
        <f>L447/L455</f>
        <v>2.069733421680668E-06</v>
      </c>
      <c r="P447" s="247"/>
    </row>
    <row r="448" spans="2:16" ht="14.25" thickBot="1">
      <c r="B448" s="246"/>
      <c r="C448" s="250"/>
      <c r="D448" s="250"/>
      <c r="E448" s="250"/>
      <c r="F448" s="290" t="s">
        <v>200</v>
      </c>
      <c r="G448" s="548"/>
      <c r="H448" s="549"/>
      <c r="I448" s="291">
        <f>SUM(I439:I447)</f>
        <v>3690.7</v>
      </c>
      <c r="J448" s="548"/>
      <c r="K448" s="549"/>
      <c r="L448" s="291">
        <f>SUM(L439:L447)</f>
        <v>4455.707279968171</v>
      </c>
      <c r="M448" s="291">
        <f>SUM(M439:M447)</f>
        <v>765.0072799681706</v>
      </c>
      <c r="N448" s="379">
        <f t="shared" si="34"/>
        <v>0.20727972470484476</v>
      </c>
      <c r="O448" s="293">
        <f>SUM(O439:O447)</f>
        <v>0.034614554941375275</v>
      </c>
      <c r="P448" s="247"/>
    </row>
    <row r="449" spans="2:16" ht="14.25" thickBot="1">
      <c r="B449" s="246"/>
      <c r="C449" s="250"/>
      <c r="D449" s="250"/>
      <c r="E449" s="250"/>
      <c r="F449" s="270" t="s">
        <v>204</v>
      </c>
      <c r="G449" s="294">
        <f>C441</f>
        <v>2500</v>
      </c>
      <c r="H449" s="295">
        <f>'Other Electriciy Rates'!$F$13</f>
        <v>4.238300000000001</v>
      </c>
      <c r="I449" s="273">
        <f>+G449*H449</f>
        <v>10595.750000000002</v>
      </c>
      <c r="J449" s="294">
        <f>C441</f>
        <v>2500</v>
      </c>
      <c r="K449" s="480">
        <f>'Other Electriciy Rates'!$F$27</f>
        <v>5.074123105380593</v>
      </c>
      <c r="L449" s="273">
        <f>+J449*K449</f>
        <v>12685.307763451483</v>
      </c>
      <c r="M449" s="296">
        <f>+L449-I449</f>
        <v>2089.557763451481</v>
      </c>
      <c r="N449" s="380">
        <f t="shared" si="34"/>
        <v>0.19720715980005954</v>
      </c>
      <c r="O449" s="278">
        <f>L449/L455</f>
        <v>0.09854693204383534</v>
      </c>
      <c r="P449" s="247"/>
    </row>
    <row r="450" spans="2:16" ht="14.25" thickBot="1">
      <c r="B450" s="246"/>
      <c r="C450" s="250"/>
      <c r="D450" s="250"/>
      <c r="E450" s="250"/>
      <c r="F450" s="290" t="s">
        <v>202</v>
      </c>
      <c r="G450" s="548"/>
      <c r="H450" s="549"/>
      <c r="I450" s="291">
        <f>I448+I449</f>
        <v>14286.45</v>
      </c>
      <c r="J450" s="548"/>
      <c r="K450" s="549"/>
      <c r="L450" s="291">
        <f>L448+L449</f>
        <v>17141.015043419655</v>
      </c>
      <c r="M450" s="291">
        <f>M448+M449</f>
        <v>2854.565043419652</v>
      </c>
      <c r="N450" s="379">
        <f t="shared" si="34"/>
        <v>0.19980926286233822</v>
      </c>
      <c r="O450" s="298">
        <f>L450/L455</f>
        <v>0.13316148698521063</v>
      </c>
      <c r="P450" s="247"/>
    </row>
    <row r="451" spans="2:16" ht="13.5">
      <c r="B451" s="246"/>
      <c r="C451" s="250"/>
      <c r="D451" s="250"/>
      <c r="E451" s="250"/>
      <c r="F451" s="381" t="s">
        <v>76</v>
      </c>
      <c r="G451" s="300">
        <f>C440*'Other Electriciy Rates'!$L$12</f>
        <v>1305000</v>
      </c>
      <c r="H451" s="301">
        <f>'Other Electriciy Rates'!$C$13+'Other Electriciy Rates'!$D$13</f>
        <v>0.0135</v>
      </c>
      <c r="I451" s="302">
        <f>+G451*H451</f>
        <v>17617.5</v>
      </c>
      <c r="J451" s="300">
        <f>C440*'Other Electriciy Rates'!$L$26</f>
        <v>1303875</v>
      </c>
      <c r="K451" s="301">
        <f>'Other Electriciy Rates'!$C$27+'Other Electriciy Rates'!$D$27</f>
        <v>0.0135</v>
      </c>
      <c r="L451" s="303">
        <f>+J451*K451</f>
        <v>17602.3125</v>
      </c>
      <c r="M451" s="304">
        <f>+L451-I451</f>
        <v>-15.1875</v>
      </c>
      <c r="N451" s="374">
        <f t="shared" si="34"/>
        <v>-0.0008620689655172414</v>
      </c>
      <c r="O451" s="278">
        <f>L451/L455</f>
        <v>0.13674511695724756</v>
      </c>
      <c r="P451" s="247"/>
    </row>
    <row r="452" spans="2:16" ht="14.25" thickBot="1">
      <c r="B452" s="246"/>
      <c r="C452" s="250"/>
      <c r="D452" s="250"/>
      <c r="E452" s="250"/>
      <c r="F452" s="381" t="s">
        <v>77</v>
      </c>
      <c r="G452" s="300">
        <f>G451</f>
        <v>1305000</v>
      </c>
      <c r="H452" s="301">
        <f>+'Other Electriciy Rates'!$J$13</f>
        <v>0.06072</v>
      </c>
      <c r="I452" s="302">
        <f>+G452*H452</f>
        <v>79239.6</v>
      </c>
      <c r="J452" s="300">
        <f>J451</f>
        <v>1303875</v>
      </c>
      <c r="K452" s="301">
        <f>'Other Electriciy Rates'!$J$27</f>
        <v>0.06072</v>
      </c>
      <c r="L452" s="303">
        <f>+J452*K452</f>
        <v>79171.29000000001</v>
      </c>
      <c r="M452" s="304">
        <f>+L452-I452</f>
        <v>-68.30999999999767</v>
      </c>
      <c r="N452" s="374">
        <f t="shared" si="34"/>
        <v>-0.000862068965517212</v>
      </c>
      <c r="O452" s="278">
        <f>L452/L455</f>
        <v>0.6150491482699313</v>
      </c>
      <c r="P452" s="247"/>
    </row>
    <row r="453" spans="2:16" ht="14.25" thickBot="1">
      <c r="B453" s="246"/>
      <c r="C453" s="250"/>
      <c r="D453" s="250"/>
      <c r="E453" s="250"/>
      <c r="F453" s="290" t="s">
        <v>157</v>
      </c>
      <c r="G453" s="548"/>
      <c r="H453" s="549"/>
      <c r="I453" s="291">
        <f>SUM(I450:I452)</f>
        <v>111143.55</v>
      </c>
      <c r="J453" s="548"/>
      <c r="K453" s="549"/>
      <c r="L453" s="291">
        <f>SUM(L450:L452)</f>
        <v>113914.61754341966</v>
      </c>
      <c r="M453" s="291">
        <f>SUM(M450:M452)</f>
        <v>2771.067543419654</v>
      </c>
      <c r="N453" s="379">
        <f>IF(I453=0," ",(+M453/I453))</f>
        <v>0.024932328897355305</v>
      </c>
      <c r="O453" s="298">
        <f>L453/L455</f>
        <v>0.8849557522123894</v>
      </c>
      <c r="P453" s="247"/>
    </row>
    <row r="454" spans="2:16" ht="14.25" thickBot="1">
      <c r="B454" s="246"/>
      <c r="C454" s="250"/>
      <c r="D454" s="250"/>
      <c r="E454" s="250"/>
      <c r="F454" s="324" t="s">
        <v>205</v>
      </c>
      <c r="G454" s="317"/>
      <c r="H454" s="325">
        <v>0.05</v>
      </c>
      <c r="I454" s="326">
        <f>I453*H454</f>
        <v>5557.177500000001</v>
      </c>
      <c r="J454" s="317"/>
      <c r="K454" s="325">
        <v>0.13</v>
      </c>
      <c r="L454" s="327">
        <f>L453*K454</f>
        <v>14808.900280644557</v>
      </c>
      <c r="M454" s="328">
        <f>+L454-I454</f>
        <v>9251.722780644555</v>
      </c>
      <c r="N454" s="382">
        <f t="shared" si="34"/>
        <v>1.6648240551331237</v>
      </c>
      <c r="O454" s="315">
        <f>L454/L455</f>
        <v>0.11504424778761063</v>
      </c>
      <c r="P454" s="247"/>
    </row>
    <row r="455" spans="2:16" ht="15" thickBot="1">
      <c r="B455" s="246"/>
      <c r="C455" s="250"/>
      <c r="D455" s="250"/>
      <c r="E455" s="345"/>
      <c r="F455" s="383" t="s">
        <v>78</v>
      </c>
      <c r="G455" s="548"/>
      <c r="H455" s="549"/>
      <c r="I455" s="291">
        <f>I453+I454</f>
        <v>116700.72750000001</v>
      </c>
      <c r="J455" s="548"/>
      <c r="K455" s="549"/>
      <c r="L455" s="291">
        <f>L453+L454</f>
        <v>128723.51782406421</v>
      </c>
      <c r="M455" s="291">
        <f>M453+M454</f>
        <v>12022.79032406421</v>
      </c>
      <c r="N455" s="379">
        <f>+M455/I455</f>
        <v>0.10302241109905856</v>
      </c>
      <c r="O455" s="293">
        <f>O453+O454</f>
        <v>1</v>
      </c>
      <c r="P455" s="247"/>
    </row>
    <row r="456" spans="2:16" ht="15" thickBot="1">
      <c r="B456" s="339"/>
      <c r="C456" s="346"/>
      <c r="D456" s="346"/>
      <c r="E456" s="346"/>
      <c r="F456" s="347"/>
      <c r="G456" s="348"/>
      <c r="H456" s="349"/>
      <c r="I456" s="350"/>
      <c r="J456" s="348"/>
      <c r="K456" s="351"/>
      <c r="L456" s="350"/>
      <c r="M456" s="384"/>
      <c r="N456" s="353"/>
      <c r="O456" s="354"/>
      <c r="P456" s="340"/>
    </row>
    <row r="457" spans="2:16" ht="15" thickBot="1">
      <c r="B457" s="343"/>
      <c r="C457" s="250"/>
      <c r="D457" s="250"/>
      <c r="E457" s="250"/>
      <c r="F457" s="355"/>
      <c r="G457" s="356"/>
      <c r="H457" s="357"/>
      <c r="I457" s="358"/>
      <c r="J457" s="356"/>
      <c r="K457" s="359"/>
      <c r="L457" s="358"/>
      <c r="M457" s="385"/>
      <c r="N457" s="361"/>
      <c r="O457" s="362"/>
      <c r="P457" s="343"/>
    </row>
    <row r="458" spans="2:16" ht="23.25">
      <c r="B458" s="244"/>
      <c r="C458" s="551"/>
      <c r="D458" s="551"/>
      <c r="E458" s="551"/>
      <c r="F458" s="551"/>
      <c r="G458" s="551"/>
      <c r="H458" s="551"/>
      <c r="I458" s="551"/>
      <c r="J458" s="551"/>
      <c r="K458" s="551"/>
      <c r="L458" s="551"/>
      <c r="M458" s="551"/>
      <c r="N458" s="551"/>
      <c r="O458" s="551"/>
      <c r="P458" s="245"/>
    </row>
    <row r="459" spans="2:16" ht="23.25">
      <c r="B459" s="246"/>
      <c r="C459" s="552" t="s">
        <v>218</v>
      </c>
      <c r="D459" s="552"/>
      <c r="E459" s="552"/>
      <c r="F459" s="552"/>
      <c r="G459" s="552"/>
      <c r="H459" s="552"/>
      <c r="I459" s="552"/>
      <c r="J459" s="552"/>
      <c r="K459" s="552"/>
      <c r="L459" s="552"/>
      <c r="M459" s="552"/>
      <c r="N459" s="552"/>
      <c r="O459" s="552"/>
      <c r="P459" s="247"/>
    </row>
    <row r="460" spans="2:17" ht="24" thickBot="1">
      <c r="B460" s="246"/>
      <c r="C460" s="550"/>
      <c r="D460" s="550"/>
      <c r="E460" s="550"/>
      <c r="F460" s="550"/>
      <c r="G460" s="550"/>
      <c r="H460" s="550"/>
      <c r="I460" s="550"/>
      <c r="J460" s="550"/>
      <c r="K460" s="550"/>
      <c r="L460" s="550"/>
      <c r="M460" s="550"/>
      <c r="N460" s="550"/>
      <c r="O460" s="550"/>
      <c r="P460" s="247"/>
      <c r="Q460" s="343"/>
    </row>
    <row r="461" spans="2:17" ht="21" thickBot="1">
      <c r="B461" s="246"/>
      <c r="C461" s="331"/>
      <c r="D461" s="331"/>
      <c r="E461" s="250"/>
      <c r="F461" s="364"/>
      <c r="G461" s="553" t="str">
        <f>$G$10</f>
        <v>2010 BILL</v>
      </c>
      <c r="H461" s="554"/>
      <c r="I461" s="555"/>
      <c r="J461" s="553" t="str">
        <f>$J$10</f>
        <v>2011 BILL</v>
      </c>
      <c r="K461" s="554"/>
      <c r="L461" s="555"/>
      <c r="M461" s="553" t="s">
        <v>72</v>
      </c>
      <c r="N461" s="554"/>
      <c r="O461" s="555"/>
      <c r="P461" s="247"/>
      <c r="Q461" s="343"/>
    </row>
    <row r="462" spans="2:17" ht="27.75" thickBot="1">
      <c r="B462" s="246"/>
      <c r="C462" s="250"/>
      <c r="D462" s="250"/>
      <c r="E462" s="252"/>
      <c r="F462" s="365"/>
      <c r="G462" s="366" t="s">
        <v>66</v>
      </c>
      <c r="H462" s="367" t="s">
        <v>67</v>
      </c>
      <c r="I462" s="368" t="s">
        <v>68</v>
      </c>
      <c r="J462" s="369" t="s">
        <v>66</v>
      </c>
      <c r="K462" s="367" t="s">
        <v>67</v>
      </c>
      <c r="L462" s="368" t="s">
        <v>68</v>
      </c>
      <c r="M462" s="370" t="s">
        <v>73</v>
      </c>
      <c r="N462" s="371" t="s">
        <v>74</v>
      </c>
      <c r="O462" s="372" t="s">
        <v>75</v>
      </c>
      <c r="P462" s="247"/>
      <c r="Q462" s="343"/>
    </row>
    <row r="463" spans="2:17" ht="15.75" thickBot="1">
      <c r="B463" s="246"/>
      <c r="C463" s="556" t="s">
        <v>69</v>
      </c>
      <c r="D463" s="557"/>
      <c r="E463" s="250"/>
      <c r="F463" s="373" t="s">
        <v>70</v>
      </c>
      <c r="G463" s="386"/>
      <c r="H463" s="387"/>
      <c r="I463" s="302">
        <f>+'2010 Existing Rates'!$C$11</f>
        <v>294.82</v>
      </c>
      <c r="J463" s="300"/>
      <c r="K463" s="388"/>
      <c r="L463" s="303">
        <f>'Rate Schedule (Part 1)'!$E$45</f>
        <v>2335.85</v>
      </c>
      <c r="M463" s="304">
        <f aca="true" t="shared" si="35" ref="M463:M471">+L463-I463</f>
        <v>2041.03</v>
      </c>
      <c r="N463" s="374">
        <f aca="true" t="shared" si="36" ref="N463:N478">IF(I463=0," ",(+M463/I463))</f>
        <v>6.922969947764738</v>
      </c>
      <c r="O463" s="278">
        <f>L463/L479</f>
        <v>0.011619571874281972</v>
      </c>
      <c r="P463" s="247"/>
      <c r="Q463" s="343"/>
    </row>
    <row r="464" spans="2:17" ht="18" thickBot="1">
      <c r="B464" s="246"/>
      <c r="C464" s="341">
        <v>2000000</v>
      </c>
      <c r="D464" s="342" t="s">
        <v>16</v>
      </c>
      <c r="E464" s="250"/>
      <c r="F464" s="307" t="s">
        <v>79</v>
      </c>
      <c r="G464" s="389">
        <f>+C465</f>
        <v>3500</v>
      </c>
      <c r="H464" s="390">
        <f>+'2010 Existing Rates'!$D$11</f>
        <v>1.8048</v>
      </c>
      <c r="I464" s="391">
        <f>+G464*H464</f>
        <v>6316.8</v>
      </c>
      <c r="J464" s="271">
        <f>G464</f>
        <v>3500</v>
      </c>
      <c r="K464" s="274">
        <f>'Rate Schedule (Part 1)'!$E$46</f>
        <v>1.44</v>
      </c>
      <c r="L464" s="275">
        <f>+J464*K464</f>
        <v>5040</v>
      </c>
      <c r="M464" s="304">
        <f t="shared" si="35"/>
        <v>-1276.8000000000002</v>
      </c>
      <c r="N464" s="374">
        <f t="shared" si="36"/>
        <v>-0.2021276595744681</v>
      </c>
      <c r="O464" s="278">
        <f>L464/L479</f>
        <v>0.025071234131635655</v>
      </c>
      <c r="P464" s="247"/>
      <c r="Q464" s="343"/>
    </row>
    <row r="465" spans="2:16" ht="18" thickBot="1">
      <c r="B465" s="246"/>
      <c r="C465" s="341">
        <v>3500</v>
      </c>
      <c r="D465" s="342" t="s">
        <v>17</v>
      </c>
      <c r="E465" s="250"/>
      <c r="F465" s="270" t="s">
        <v>220</v>
      </c>
      <c r="G465" s="284"/>
      <c r="H465" s="285"/>
      <c r="I465" s="273">
        <v>0</v>
      </c>
      <c r="J465" s="284"/>
      <c r="K465" s="285"/>
      <c r="L465" s="303">
        <f>'Rate Schedule (Part 1)'!$E$47</f>
        <v>0.47</v>
      </c>
      <c r="M465" s="304">
        <f t="shared" si="35"/>
        <v>0.47</v>
      </c>
      <c r="N465" s="374" t="str">
        <f t="shared" si="36"/>
        <v> </v>
      </c>
      <c r="O465" s="278">
        <f>L465/L479</f>
        <v>2.3379920717993565E-06</v>
      </c>
      <c r="P465" s="247"/>
    </row>
    <row r="466" spans="2:16" ht="17.25">
      <c r="B466" s="246"/>
      <c r="C466" s="279"/>
      <c r="D466" s="283"/>
      <c r="E466" s="250"/>
      <c r="F466" s="270" t="s">
        <v>134</v>
      </c>
      <c r="G466" s="284"/>
      <c r="H466" s="285"/>
      <c r="I466" s="273">
        <f>'2010 Existing Rates'!$B$48</f>
        <v>1.63</v>
      </c>
      <c r="J466" s="284"/>
      <c r="K466" s="285"/>
      <c r="L466" s="303">
        <f>'Rate Schedule (Part 1)'!$E$48</f>
        <v>1.2</v>
      </c>
      <c r="M466" s="304">
        <f t="shared" si="35"/>
        <v>-0.42999999999999994</v>
      </c>
      <c r="N466" s="374">
        <f t="shared" si="36"/>
        <v>-0.26380368098159507</v>
      </c>
      <c r="O466" s="278">
        <f>L466/L479</f>
        <v>5.969341459913251E-06</v>
      </c>
      <c r="P466" s="247"/>
    </row>
    <row r="467" spans="2:16" ht="17.25">
      <c r="B467" s="246"/>
      <c r="C467" s="279"/>
      <c r="D467" s="283"/>
      <c r="E467" s="250"/>
      <c r="F467" s="270" t="s">
        <v>203</v>
      </c>
      <c r="G467" s="271">
        <f>C465</f>
        <v>3500</v>
      </c>
      <c r="H467" s="272"/>
      <c r="I467" s="273">
        <f>+G467*H467</f>
        <v>0</v>
      </c>
      <c r="J467" s="271">
        <f>C465</f>
        <v>3500</v>
      </c>
      <c r="K467" s="274">
        <f>'Rate Schedule (Part 1)'!$E$49</f>
        <v>0.0863</v>
      </c>
      <c r="L467" s="275">
        <f>+J467*K467</f>
        <v>302.05</v>
      </c>
      <c r="M467" s="304">
        <f t="shared" si="35"/>
        <v>302.05</v>
      </c>
      <c r="N467" s="374" t="str">
        <f t="shared" si="36"/>
        <v> </v>
      </c>
      <c r="O467" s="278">
        <f>L467/L479</f>
        <v>0.0015025329899723313</v>
      </c>
      <c r="P467" s="247"/>
    </row>
    <row r="468" spans="2:16" ht="27">
      <c r="B468" s="246"/>
      <c r="C468" s="279"/>
      <c r="D468" s="283"/>
      <c r="E468" s="250"/>
      <c r="F468" s="270" t="s">
        <v>272</v>
      </c>
      <c r="G468" s="406">
        <f>G467</f>
        <v>3500</v>
      </c>
      <c r="H468" s="272">
        <f>'2010 Existing Rates'!$D$24</f>
        <v>-0.4471</v>
      </c>
      <c r="I468" s="286">
        <f>+G468*H468</f>
        <v>-1564.85</v>
      </c>
      <c r="J468" s="406">
        <f>J467</f>
        <v>3500</v>
      </c>
      <c r="K468" s="274">
        <f>'Rate Schedule (Part 1)'!$E$50</f>
        <v>-0.65217</v>
      </c>
      <c r="L468" s="275">
        <f>J468*K468</f>
        <v>-2282.5950000000003</v>
      </c>
      <c r="M468" s="276">
        <f t="shared" si="35"/>
        <v>-717.7450000000003</v>
      </c>
      <c r="N468" s="277">
        <f t="shared" si="36"/>
        <v>0.4586669648848135</v>
      </c>
      <c r="O468" s="278">
        <f>L468/L479</f>
        <v>-0.011354657474742241</v>
      </c>
      <c r="P468" s="247"/>
    </row>
    <row r="469" spans="2:16" ht="27">
      <c r="B469" s="246"/>
      <c r="C469" s="279"/>
      <c r="D469" s="283"/>
      <c r="E469" s="250"/>
      <c r="F469" s="270" t="s">
        <v>273</v>
      </c>
      <c r="G469" s="406">
        <f>G468</f>
        <v>3500</v>
      </c>
      <c r="H469" s="288"/>
      <c r="I469" s="286">
        <f>+G469*H469</f>
        <v>0</v>
      </c>
      <c r="J469" s="406">
        <f>J468</f>
        <v>3500</v>
      </c>
      <c r="K469" s="274">
        <f>'Rate Schedule (Part 1)'!$E$51</f>
        <v>-0.20404497063310192</v>
      </c>
      <c r="L469" s="275">
        <f>J469*K469</f>
        <v>-714.1573972158567</v>
      </c>
      <c r="M469" s="276">
        <f t="shared" si="35"/>
        <v>-714.1573972158567</v>
      </c>
      <c r="N469" s="277" t="str">
        <f t="shared" si="36"/>
        <v> </v>
      </c>
      <c r="O469" s="278">
        <f>L469/L479</f>
        <v>-0.003552541133420291</v>
      </c>
      <c r="P469" s="247"/>
    </row>
    <row r="470" spans="2:16" ht="27">
      <c r="B470" s="246"/>
      <c r="C470" s="279"/>
      <c r="D470" s="283"/>
      <c r="E470" s="250"/>
      <c r="F470" s="270" t="s">
        <v>274</v>
      </c>
      <c r="G470" s="406">
        <f>G469</f>
        <v>3500</v>
      </c>
      <c r="H470" s="288"/>
      <c r="I470" s="286">
        <f>+G470*H470</f>
        <v>0</v>
      </c>
      <c r="J470" s="406">
        <f>J469</f>
        <v>3500</v>
      </c>
      <c r="K470" s="274">
        <f>'Rate Schedule (Part 1)'!$E$52</f>
        <v>0.1770833132735716</v>
      </c>
      <c r="L470" s="275">
        <f>J470*K470</f>
        <v>619.7915964575006</v>
      </c>
      <c r="M470" s="276">
        <f t="shared" si="35"/>
        <v>619.7915964575006</v>
      </c>
      <c r="N470" s="277" t="str">
        <f t="shared" si="36"/>
        <v> </v>
      </c>
      <c r="O470" s="278">
        <f>L470/L479</f>
        <v>0.0030831230610329848</v>
      </c>
      <c r="P470" s="247"/>
    </row>
    <row r="471" spans="2:16" ht="27.75" thickBot="1">
      <c r="B471" s="246"/>
      <c r="C471" s="250"/>
      <c r="D471" s="250"/>
      <c r="E471" s="250"/>
      <c r="F471" s="270" t="s">
        <v>275</v>
      </c>
      <c r="G471" s="271">
        <f>+C465</f>
        <v>3500</v>
      </c>
      <c r="H471" s="272"/>
      <c r="I471" s="273">
        <f>+G471*H471</f>
        <v>0</v>
      </c>
      <c r="J471" s="406">
        <f>J470</f>
        <v>3500</v>
      </c>
      <c r="K471" s="274">
        <f>'Rate Schedule (Part 1)'!$E$53</f>
        <v>0.00010656934679870915</v>
      </c>
      <c r="L471" s="275">
        <f>+J471*K471</f>
        <v>0.37299271379548204</v>
      </c>
      <c r="M471" s="304">
        <f t="shared" si="35"/>
        <v>0.37299271379548204</v>
      </c>
      <c r="N471" s="374" t="str">
        <f t="shared" si="36"/>
        <v> </v>
      </c>
      <c r="O471" s="278">
        <f>L471/L479</f>
        <v>1.8554340589207735E-06</v>
      </c>
      <c r="P471" s="247"/>
    </row>
    <row r="472" spans="2:16" ht="14.25" thickBot="1">
      <c r="B472" s="246"/>
      <c r="C472" s="250"/>
      <c r="D472" s="250"/>
      <c r="E472" s="250"/>
      <c r="F472" s="290" t="s">
        <v>200</v>
      </c>
      <c r="G472" s="548"/>
      <c r="H472" s="549"/>
      <c r="I472" s="291">
        <f>SUM(I463:I471)</f>
        <v>5048.4</v>
      </c>
      <c r="J472" s="548"/>
      <c r="K472" s="549"/>
      <c r="L472" s="291">
        <f>SUM(L463:L471)</f>
        <v>5302.98219195544</v>
      </c>
      <c r="M472" s="291">
        <f>SUM(M463:M471)</f>
        <v>254.58219195543901</v>
      </c>
      <c r="N472" s="379">
        <f t="shared" si="36"/>
        <v>0.050428292519499054</v>
      </c>
      <c r="O472" s="293">
        <f>SUM(O463:O471)</f>
        <v>0.02637942621635104</v>
      </c>
      <c r="P472" s="247"/>
    </row>
    <row r="473" spans="2:16" ht="14.25" thickBot="1">
      <c r="B473" s="246"/>
      <c r="C473" s="250"/>
      <c r="D473" s="250"/>
      <c r="E473" s="250"/>
      <c r="F473" s="270" t="s">
        <v>204</v>
      </c>
      <c r="G473" s="294">
        <f>C465</f>
        <v>3500</v>
      </c>
      <c r="H473" s="295">
        <f>'Other Electriciy Rates'!$F$13</f>
        <v>4.238300000000001</v>
      </c>
      <c r="I473" s="273">
        <f>+G473*H473</f>
        <v>14834.050000000003</v>
      </c>
      <c r="J473" s="294">
        <f>C465</f>
        <v>3500</v>
      </c>
      <c r="K473" s="480">
        <f>'Other Electriciy Rates'!$F$27</f>
        <v>5.074123105380593</v>
      </c>
      <c r="L473" s="273">
        <f>+J473*K473</f>
        <v>17759.430868832078</v>
      </c>
      <c r="M473" s="296">
        <f>+L473-I473</f>
        <v>2925.380868832075</v>
      </c>
      <c r="N473" s="380">
        <f t="shared" si="36"/>
        <v>0.19720715980005962</v>
      </c>
      <c r="O473" s="278">
        <f>L473/L479</f>
        <v>0.08834342249148544</v>
      </c>
      <c r="P473" s="247"/>
    </row>
    <row r="474" spans="2:16" ht="14.25" thickBot="1">
      <c r="B474" s="246"/>
      <c r="C474" s="250"/>
      <c r="D474" s="250"/>
      <c r="E474" s="250"/>
      <c r="F474" s="290" t="s">
        <v>202</v>
      </c>
      <c r="G474" s="548"/>
      <c r="H474" s="549"/>
      <c r="I474" s="291">
        <f>I472+I473</f>
        <v>19882.450000000004</v>
      </c>
      <c r="J474" s="548"/>
      <c r="K474" s="549"/>
      <c r="L474" s="291">
        <f>L472+L473</f>
        <v>23062.41306078752</v>
      </c>
      <c r="M474" s="291">
        <f>M472+M473</f>
        <v>3179.963060787514</v>
      </c>
      <c r="N474" s="379">
        <f t="shared" si="36"/>
        <v>0.15993818974962912</v>
      </c>
      <c r="O474" s="298">
        <f>L474/L479</f>
        <v>0.1147228487078365</v>
      </c>
      <c r="P474" s="247"/>
    </row>
    <row r="475" spans="2:16" ht="13.5">
      <c r="B475" s="246"/>
      <c r="C475" s="250"/>
      <c r="D475" s="250"/>
      <c r="E475" s="250"/>
      <c r="F475" s="381" t="s">
        <v>76</v>
      </c>
      <c r="G475" s="300">
        <f>C464*'Other Electriciy Rates'!$L$12</f>
        <v>2088000</v>
      </c>
      <c r="H475" s="301">
        <f>'Other Electriciy Rates'!$C$13+'Other Electriciy Rates'!$D$13</f>
        <v>0.0135</v>
      </c>
      <c r="I475" s="302">
        <f>+G475*H475</f>
        <v>28188</v>
      </c>
      <c r="J475" s="300">
        <f>C464*'Other Electriciy Rates'!$L$26</f>
        <v>2086199.9999999998</v>
      </c>
      <c r="K475" s="301">
        <f>'Other Electriciy Rates'!$C$27+'Other Electriciy Rates'!$D$27</f>
        <v>0.0135</v>
      </c>
      <c r="L475" s="303">
        <f>+J475*K475</f>
        <v>28163.699999999997</v>
      </c>
      <c r="M475" s="304">
        <f>+L475-I475</f>
        <v>-24.30000000000291</v>
      </c>
      <c r="N475" s="374">
        <f t="shared" si="36"/>
        <v>-0.0008620689655173446</v>
      </c>
      <c r="O475" s="278">
        <f>L475/L479</f>
        <v>0.14009895172879902</v>
      </c>
      <c r="P475" s="247"/>
    </row>
    <row r="476" spans="2:16" ht="14.25" thickBot="1">
      <c r="B476" s="246"/>
      <c r="C476" s="250"/>
      <c r="D476" s="250"/>
      <c r="E476" s="250"/>
      <c r="F476" s="381" t="s">
        <v>77</v>
      </c>
      <c r="G476" s="300">
        <f>G475</f>
        <v>2088000</v>
      </c>
      <c r="H476" s="301">
        <f>+'Other Electriciy Rates'!$J$13</f>
        <v>0.06072</v>
      </c>
      <c r="I476" s="302">
        <f>+G476*H476</f>
        <v>126783.36</v>
      </c>
      <c r="J476" s="300">
        <f>J475</f>
        <v>2086199.9999999998</v>
      </c>
      <c r="K476" s="301">
        <f>'Other Electriciy Rates'!$J$27</f>
        <v>0.06072</v>
      </c>
      <c r="L476" s="303">
        <f>+J476*K476</f>
        <v>126674.064</v>
      </c>
      <c r="M476" s="304">
        <f>+L476-I476</f>
        <v>-109.2960000000021</v>
      </c>
      <c r="N476" s="374">
        <f t="shared" si="36"/>
        <v>-0.000862068965517258</v>
      </c>
      <c r="O476" s="278">
        <f>L476/L479</f>
        <v>0.6301339517757538</v>
      </c>
      <c r="P476" s="247"/>
    </row>
    <row r="477" spans="2:16" ht="14.25" thickBot="1">
      <c r="B477" s="246"/>
      <c r="C477" s="250"/>
      <c r="D477" s="250"/>
      <c r="E477" s="250"/>
      <c r="F477" s="290" t="s">
        <v>157</v>
      </c>
      <c r="G477" s="548"/>
      <c r="H477" s="549"/>
      <c r="I477" s="291">
        <f>SUM(I474:I476)</f>
        <v>174853.81</v>
      </c>
      <c r="J477" s="548"/>
      <c r="K477" s="549"/>
      <c r="L477" s="291">
        <f>SUM(L474:L476)</f>
        <v>177900.1770607875</v>
      </c>
      <c r="M477" s="291">
        <f>SUM(M474:M476)</f>
        <v>3046.367060787509</v>
      </c>
      <c r="N477" s="379">
        <f t="shared" si="36"/>
        <v>0.017422365922638513</v>
      </c>
      <c r="O477" s="298">
        <f>L477/L479</f>
        <v>0.8849557522123893</v>
      </c>
      <c r="P477" s="247"/>
    </row>
    <row r="478" spans="2:16" ht="14.25" thickBot="1">
      <c r="B478" s="246"/>
      <c r="C478" s="250"/>
      <c r="D478" s="250"/>
      <c r="E478" s="250"/>
      <c r="F478" s="324" t="s">
        <v>205</v>
      </c>
      <c r="G478" s="317"/>
      <c r="H478" s="325">
        <v>0.05</v>
      </c>
      <c r="I478" s="326">
        <f>I477*H478</f>
        <v>8742.6905</v>
      </c>
      <c r="J478" s="317"/>
      <c r="K478" s="325">
        <v>0.13</v>
      </c>
      <c r="L478" s="327">
        <f>L477*K478</f>
        <v>23127.02301790238</v>
      </c>
      <c r="M478" s="328">
        <f>+L478-I478</f>
        <v>14384.332517902378</v>
      </c>
      <c r="N478" s="382">
        <f t="shared" si="36"/>
        <v>1.6452981513988603</v>
      </c>
      <c r="O478" s="315">
        <f>L478/L479</f>
        <v>0.11504424778761062</v>
      </c>
      <c r="P478" s="247"/>
    </row>
    <row r="479" spans="2:16" ht="15" thickBot="1">
      <c r="B479" s="246"/>
      <c r="C479" s="250"/>
      <c r="D479" s="250"/>
      <c r="E479" s="345"/>
      <c r="F479" s="383" t="s">
        <v>78</v>
      </c>
      <c r="G479" s="548"/>
      <c r="H479" s="549"/>
      <c r="I479" s="291">
        <f>I477+I478</f>
        <v>183596.5005</v>
      </c>
      <c r="J479" s="548"/>
      <c r="K479" s="549"/>
      <c r="L479" s="291">
        <f>L477+L478</f>
        <v>201027.2000786899</v>
      </c>
      <c r="M479" s="291">
        <f>M477+M478</f>
        <v>17430.699578689888</v>
      </c>
      <c r="N479" s="379">
        <f>+M479/I479</f>
        <v>0.09494026046912528</v>
      </c>
      <c r="O479" s="293">
        <f>O477+O478</f>
        <v>0.9999999999999999</v>
      </c>
      <c r="P479" s="247"/>
    </row>
    <row r="480" spans="2:16" ht="15" thickBot="1">
      <c r="B480" s="339"/>
      <c r="C480" s="346"/>
      <c r="D480" s="346"/>
      <c r="E480" s="346"/>
      <c r="F480" s="347"/>
      <c r="G480" s="348"/>
      <c r="H480" s="349"/>
      <c r="I480" s="350"/>
      <c r="J480" s="348"/>
      <c r="K480" s="351"/>
      <c r="L480" s="350"/>
      <c r="M480" s="384"/>
      <c r="N480" s="353"/>
      <c r="O480" s="354"/>
      <c r="P480" s="340"/>
    </row>
    <row r="481" spans="2:16" ht="15" thickBot="1">
      <c r="B481" s="343"/>
      <c r="C481" s="250"/>
      <c r="D481" s="250"/>
      <c r="E481" s="250"/>
      <c r="F481" s="355"/>
      <c r="G481" s="356"/>
      <c r="H481" s="357"/>
      <c r="I481" s="358"/>
      <c r="J481" s="356"/>
      <c r="K481" s="359"/>
      <c r="L481" s="358"/>
      <c r="M481" s="385"/>
      <c r="N481" s="361"/>
      <c r="O481" s="362"/>
      <c r="P481" s="343"/>
    </row>
    <row r="482" spans="2:16" ht="23.25">
      <c r="B482" s="244"/>
      <c r="C482" s="551"/>
      <c r="D482" s="551"/>
      <c r="E482" s="551"/>
      <c r="F482" s="551"/>
      <c r="G482" s="551"/>
      <c r="H482" s="551"/>
      <c r="I482" s="551"/>
      <c r="J482" s="551"/>
      <c r="K482" s="551"/>
      <c r="L482" s="551"/>
      <c r="M482" s="551"/>
      <c r="N482" s="551"/>
      <c r="O482" s="551"/>
      <c r="P482" s="245"/>
    </row>
    <row r="483" spans="2:16" ht="23.25">
      <c r="B483" s="246"/>
      <c r="C483" s="552" t="s">
        <v>218</v>
      </c>
      <c r="D483" s="552"/>
      <c r="E483" s="552"/>
      <c r="F483" s="552"/>
      <c r="G483" s="552"/>
      <c r="H483" s="552"/>
      <c r="I483" s="552"/>
      <c r="J483" s="552"/>
      <c r="K483" s="552"/>
      <c r="L483" s="552"/>
      <c r="M483" s="552"/>
      <c r="N483" s="552"/>
      <c r="O483" s="552"/>
      <c r="P483" s="247"/>
    </row>
    <row r="484" spans="2:17" ht="24" thickBot="1">
      <c r="B484" s="246"/>
      <c r="C484" s="550"/>
      <c r="D484" s="550"/>
      <c r="E484" s="550"/>
      <c r="F484" s="550"/>
      <c r="G484" s="550"/>
      <c r="H484" s="550"/>
      <c r="I484" s="550"/>
      <c r="J484" s="550"/>
      <c r="K484" s="550"/>
      <c r="L484" s="550"/>
      <c r="M484" s="550"/>
      <c r="N484" s="550"/>
      <c r="O484" s="550"/>
      <c r="P484" s="247"/>
      <c r="Q484" s="343"/>
    </row>
    <row r="485" spans="2:17" ht="21" thickBot="1">
      <c r="B485" s="246"/>
      <c r="C485" s="331"/>
      <c r="D485" s="331"/>
      <c r="E485" s="250"/>
      <c r="F485" s="364"/>
      <c r="G485" s="553" t="str">
        <f>$G$10</f>
        <v>2010 BILL</v>
      </c>
      <c r="H485" s="554"/>
      <c r="I485" s="555"/>
      <c r="J485" s="553" t="str">
        <f>$J$10</f>
        <v>2011 BILL</v>
      </c>
      <c r="K485" s="554"/>
      <c r="L485" s="555"/>
      <c r="M485" s="553" t="s">
        <v>72</v>
      </c>
      <c r="N485" s="554"/>
      <c r="O485" s="555"/>
      <c r="P485" s="247"/>
      <c r="Q485" s="343"/>
    </row>
    <row r="486" spans="2:17" ht="27.75" thickBot="1">
      <c r="B486" s="246"/>
      <c r="C486" s="250"/>
      <c r="D486" s="250"/>
      <c r="E486" s="252"/>
      <c r="F486" s="365"/>
      <c r="G486" s="366" t="s">
        <v>66</v>
      </c>
      <c r="H486" s="367" t="s">
        <v>67</v>
      </c>
      <c r="I486" s="368" t="s">
        <v>68</v>
      </c>
      <c r="J486" s="369" t="s">
        <v>66</v>
      </c>
      <c r="K486" s="367" t="s">
        <v>67</v>
      </c>
      <c r="L486" s="368" t="s">
        <v>68</v>
      </c>
      <c r="M486" s="370" t="s">
        <v>73</v>
      </c>
      <c r="N486" s="371" t="s">
        <v>74</v>
      </c>
      <c r="O486" s="372" t="s">
        <v>75</v>
      </c>
      <c r="P486" s="247"/>
      <c r="Q486" s="343"/>
    </row>
    <row r="487" spans="2:17" ht="15.75" thickBot="1">
      <c r="B487" s="246"/>
      <c r="C487" s="556" t="s">
        <v>69</v>
      </c>
      <c r="D487" s="557"/>
      <c r="E487" s="250"/>
      <c r="F487" s="373" t="s">
        <v>70</v>
      </c>
      <c r="G487" s="386"/>
      <c r="H487" s="387"/>
      <c r="I487" s="302">
        <f>+'2010 Existing Rates'!$C$11</f>
        <v>294.82</v>
      </c>
      <c r="J487" s="300"/>
      <c r="K487" s="388"/>
      <c r="L487" s="303">
        <f>'Rate Schedule (Part 1)'!$E$45</f>
        <v>2335.85</v>
      </c>
      <c r="M487" s="304">
        <f aca="true" t="shared" si="37" ref="M487:M495">+L487-I487</f>
        <v>2041.03</v>
      </c>
      <c r="N487" s="374">
        <f aca="true" t="shared" si="38" ref="N487:N502">IF(I487=0," ",(+M487/I487))</f>
        <v>6.922969947764738</v>
      </c>
      <c r="O487" s="278">
        <f>L487/L503</f>
        <v>0.011245273537268032</v>
      </c>
      <c r="P487" s="247"/>
      <c r="Q487" s="343"/>
    </row>
    <row r="488" spans="2:17" ht="18" thickBot="1">
      <c r="B488" s="246"/>
      <c r="C488" s="341">
        <v>2000000</v>
      </c>
      <c r="D488" s="342" t="s">
        <v>16</v>
      </c>
      <c r="E488" s="250"/>
      <c r="F488" s="307" t="s">
        <v>79</v>
      </c>
      <c r="G488" s="389">
        <f>+C489</f>
        <v>4500</v>
      </c>
      <c r="H488" s="390">
        <f>+'2010 Existing Rates'!$D$11</f>
        <v>1.8048</v>
      </c>
      <c r="I488" s="391">
        <f>+G488*H488</f>
        <v>8121.599999999999</v>
      </c>
      <c r="J488" s="271">
        <f>G488</f>
        <v>4500</v>
      </c>
      <c r="K488" s="274">
        <f>'Rate Schedule (Part 1)'!$E$46</f>
        <v>1.44</v>
      </c>
      <c r="L488" s="275">
        <f>+J488*K488</f>
        <v>6480</v>
      </c>
      <c r="M488" s="304">
        <f t="shared" si="37"/>
        <v>-1641.5999999999995</v>
      </c>
      <c r="N488" s="374">
        <f t="shared" si="38"/>
        <v>-0.20212765957446804</v>
      </c>
      <c r="O488" s="278">
        <f>L488/L503</f>
        <v>0.031196083875889655</v>
      </c>
      <c r="P488" s="247"/>
      <c r="Q488" s="343"/>
    </row>
    <row r="489" spans="2:16" ht="18" thickBot="1">
      <c r="B489" s="246"/>
      <c r="C489" s="341">
        <v>4500</v>
      </c>
      <c r="D489" s="342" t="s">
        <v>17</v>
      </c>
      <c r="E489" s="250"/>
      <c r="F489" s="270" t="s">
        <v>220</v>
      </c>
      <c r="G489" s="284"/>
      <c r="H489" s="285"/>
      <c r="I489" s="273">
        <v>0</v>
      </c>
      <c r="J489" s="284"/>
      <c r="K489" s="285"/>
      <c r="L489" s="303">
        <f>'Rate Schedule (Part 1)'!$E$47</f>
        <v>0.47</v>
      </c>
      <c r="M489" s="304">
        <f t="shared" si="37"/>
        <v>0.47</v>
      </c>
      <c r="N489" s="374" t="str">
        <f t="shared" si="38"/>
        <v> </v>
      </c>
      <c r="O489" s="278">
        <f>L489/L503</f>
        <v>2.2626789230969347E-06</v>
      </c>
      <c r="P489" s="247"/>
    </row>
    <row r="490" spans="2:16" ht="17.25">
      <c r="B490" s="246"/>
      <c r="C490" s="279"/>
      <c r="D490" s="283"/>
      <c r="E490" s="250"/>
      <c r="F490" s="270" t="s">
        <v>134</v>
      </c>
      <c r="G490" s="284"/>
      <c r="H490" s="285"/>
      <c r="I490" s="273">
        <f>'2010 Existing Rates'!$B$48</f>
        <v>1.63</v>
      </c>
      <c r="J490" s="284"/>
      <c r="K490" s="285"/>
      <c r="L490" s="303">
        <f>'Rate Schedule (Part 1)'!$E$48</f>
        <v>1.2</v>
      </c>
      <c r="M490" s="304">
        <f t="shared" si="37"/>
        <v>-0.42999999999999994</v>
      </c>
      <c r="N490" s="374">
        <f t="shared" si="38"/>
        <v>-0.26380368098159507</v>
      </c>
      <c r="O490" s="278">
        <f>L490/L503</f>
        <v>5.777052569609195E-06</v>
      </c>
      <c r="P490" s="247"/>
    </row>
    <row r="491" spans="2:16" ht="17.25">
      <c r="B491" s="246"/>
      <c r="C491" s="279"/>
      <c r="D491" s="283"/>
      <c r="E491" s="250"/>
      <c r="F491" s="270" t="s">
        <v>203</v>
      </c>
      <c r="G491" s="271">
        <f>C489</f>
        <v>4500</v>
      </c>
      <c r="H491" s="272"/>
      <c r="I491" s="273">
        <f>+G491*H491</f>
        <v>0</v>
      </c>
      <c r="J491" s="271">
        <f>C489</f>
        <v>4500</v>
      </c>
      <c r="K491" s="274">
        <f>'Rate Schedule (Part 1)'!$E$49</f>
        <v>0.0863</v>
      </c>
      <c r="L491" s="275">
        <f>+J491*K491</f>
        <v>388.35</v>
      </c>
      <c r="M491" s="304">
        <f t="shared" si="37"/>
        <v>388.35</v>
      </c>
      <c r="N491" s="374" t="str">
        <f t="shared" si="38"/>
        <v> </v>
      </c>
      <c r="O491" s="278">
        <f>L491/L503</f>
        <v>0.0018695986378397759</v>
      </c>
      <c r="P491" s="247"/>
    </row>
    <row r="492" spans="2:16" ht="27">
      <c r="B492" s="246"/>
      <c r="C492" s="279"/>
      <c r="D492" s="283"/>
      <c r="E492" s="250"/>
      <c r="F492" s="270" t="s">
        <v>272</v>
      </c>
      <c r="G492" s="406">
        <f>G491</f>
        <v>4500</v>
      </c>
      <c r="H492" s="272">
        <f>'2010 Existing Rates'!$D$24</f>
        <v>-0.4471</v>
      </c>
      <c r="I492" s="286">
        <f>+G492*H492</f>
        <v>-2011.95</v>
      </c>
      <c r="J492" s="406">
        <f>J491</f>
        <v>4500</v>
      </c>
      <c r="K492" s="274">
        <f>'Rate Schedule (Part 1)'!$E$50</f>
        <v>-0.65217</v>
      </c>
      <c r="L492" s="275">
        <f>J492*K492</f>
        <v>-2934.7650000000003</v>
      </c>
      <c r="M492" s="276">
        <f t="shared" si="37"/>
        <v>-922.8150000000003</v>
      </c>
      <c r="N492" s="277">
        <f t="shared" si="38"/>
        <v>0.45866696488481334</v>
      </c>
      <c r="O492" s="278">
        <f>L492/L503</f>
        <v>-0.014128576403707611</v>
      </c>
      <c r="P492" s="247"/>
    </row>
    <row r="493" spans="2:16" ht="27">
      <c r="B493" s="246"/>
      <c r="C493" s="279"/>
      <c r="D493" s="283"/>
      <c r="E493" s="250"/>
      <c r="F493" s="270" t="s">
        <v>273</v>
      </c>
      <c r="G493" s="406">
        <f>G492</f>
        <v>4500</v>
      </c>
      <c r="H493" s="288"/>
      <c r="I493" s="286">
        <f>+G493*H493</f>
        <v>0</v>
      </c>
      <c r="J493" s="406">
        <f>J492</f>
        <v>4500</v>
      </c>
      <c r="K493" s="274">
        <f>'Rate Schedule (Part 1)'!$E$51</f>
        <v>-0.20404497063310192</v>
      </c>
      <c r="L493" s="275">
        <f>J493*K493</f>
        <v>-918.2023678489587</v>
      </c>
      <c r="M493" s="276">
        <f t="shared" si="37"/>
        <v>-918.2023678489587</v>
      </c>
      <c r="N493" s="277" t="str">
        <f t="shared" si="38"/>
        <v> </v>
      </c>
      <c r="O493" s="278">
        <f>L493/L503</f>
        <v>-0.004420419457169229</v>
      </c>
      <c r="P493" s="247"/>
    </row>
    <row r="494" spans="2:16" ht="27">
      <c r="B494" s="246"/>
      <c r="C494" s="279"/>
      <c r="D494" s="283"/>
      <c r="E494" s="250"/>
      <c r="F494" s="270" t="s">
        <v>274</v>
      </c>
      <c r="G494" s="406">
        <f>G493</f>
        <v>4500</v>
      </c>
      <c r="H494" s="288"/>
      <c r="I494" s="286">
        <f>+G494*H494</f>
        <v>0</v>
      </c>
      <c r="J494" s="406">
        <f>J493</f>
        <v>4500</v>
      </c>
      <c r="K494" s="274">
        <f>'Rate Schedule (Part 1)'!$E$52</f>
        <v>0.1770833132735716</v>
      </c>
      <c r="L494" s="275">
        <f>J494*K494</f>
        <v>796.8749097310722</v>
      </c>
      <c r="M494" s="276">
        <f t="shared" si="37"/>
        <v>796.8749097310722</v>
      </c>
      <c r="N494" s="277" t="str">
        <f t="shared" si="38"/>
        <v> </v>
      </c>
      <c r="O494" s="278">
        <f>L494/L503</f>
        <v>0.0038363235374324887</v>
      </c>
      <c r="P494" s="247"/>
    </row>
    <row r="495" spans="2:16" ht="27.75" thickBot="1">
      <c r="B495" s="246"/>
      <c r="C495" s="250"/>
      <c r="D495" s="250"/>
      <c r="E495" s="250"/>
      <c r="F495" s="270" t="s">
        <v>275</v>
      </c>
      <c r="G495" s="271">
        <f>+C489</f>
        <v>4500</v>
      </c>
      <c r="H495" s="272"/>
      <c r="I495" s="273">
        <f>+G495*H495</f>
        <v>0</v>
      </c>
      <c r="J495" s="271">
        <f>+C489</f>
        <v>4500</v>
      </c>
      <c r="K495" s="274">
        <f>'Rate Schedule (Part 1)'!$E$53</f>
        <v>0.00010656934679870915</v>
      </c>
      <c r="L495" s="275">
        <f>+J495*K495</f>
        <v>0.47956206059419115</v>
      </c>
      <c r="M495" s="304">
        <f t="shared" si="37"/>
        <v>0.47956206059419115</v>
      </c>
      <c r="N495" s="374" t="str">
        <f t="shared" si="38"/>
        <v> </v>
      </c>
      <c r="O495" s="278">
        <f>L495/L503</f>
        <v>2.3087126953689604E-06</v>
      </c>
      <c r="P495" s="247"/>
    </row>
    <row r="496" spans="2:16" ht="14.25" thickBot="1">
      <c r="B496" s="246"/>
      <c r="C496" s="250"/>
      <c r="D496" s="250"/>
      <c r="E496" s="250"/>
      <c r="F496" s="290" t="s">
        <v>200</v>
      </c>
      <c r="G496" s="548"/>
      <c r="H496" s="549"/>
      <c r="I496" s="291">
        <f>SUM(I487:I495)</f>
        <v>6406.099999999999</v>
      </c>
      <c r="J496" s="548"/>
      <c r="K496" s="549"/>
      <c r="L496" s="291">
        <f>SUM(L487:L495)</f>
        <v>6150.257103942708</v>
      </c>
      <c r="M496" s="291">
        <f>SUM(M487:M495)</f>
        <v>-255.8428960572921</v>
      </c>
      <c r="N496" s="379">
        <f t="shared" si="38"/>
        <v>-0.039937387186789484</v>
      </c>
      <c r="O496" s="293">
        <f>SUM(O487:O495)</f>
        <v>0.02960863217174118</v>
      </c>
      <c r="P496" s="247"/>
    </row>
    <row r="497" spans="2:16" ht="14.25" thickBot="1">
      <c r="B497" s="246"/>
      <c r="C497" s="250"/>
      <c r="D497" s="250"/>
      <c r="E497" s="250"/>
      <c r="F497" s="270" t="s">
        <v>204</v>
      </c>
      <c r="G497" s="294">
        <f>C489</f>
        <v>4500</v>
      </c>
      <c r="H497" s="295">
        <f>'Other Electriciy Rates'!$F$13</f>
        <v>4.238300000000001</v>
      </c>
      <c r="I497" s="273">
        <f>+G497*H497</f>
        <v>19072.350000000002</v>
      </c>
      <c r="J497" s="294">
        <f>C489</f>
        <v>4500</v>
      </c>
      <c r="K497" s="480">
        <f>'Other Electriciy Rates'!$F$27</f>
        <v>5.074123105380593</v>
      </c>
      <c r="L497" s="273">
        <f>+J497*K497</f>
        <v>22833.55397421267</v>
      </c>
      <c r="M497" s="296">
        <f>+L497-I497</f>
        <v>3761.203974212669</v>
      </c>
      <c r="N497" s="380">
        <f t="shared" si="38"/>
        <v>0.1972071598000597</v>
      </c>
      <c r="O497" s="278">
        <f>L497/L503</f>
        <v>0.1099255347166963</v>
      </c>
      <c r="P497" s="247"/>
    </row>
    <row r="498" spans="2:16" ht="14.25" thickBot="1">
      <c r="B498" s="246"/>
      <c r="C498" s="250"/>
      <c r="D498" s="250"/>
      <c r="E498" s="250"/>
      <c r="F498" s="290" t="s">
        <v>202</v>
      </c>
      <c r="G498" s="548"/>
      <c r="H498" s="549"/>
      <c r="I498" s="291">
        <f>I496+I497</f>
        <v>25478.45</v>
      </c>
      <c r="J498" s="548"/>
      <c r="K498" s="549"/>
      <c r="L498" s="291">
        <f>L496+L497</f>
        <v>28983.81107815538</v>
      </c>
      <c r="M498" s="291">
        <f>M496+M497</f>
        <v>3505.361078155377</v>
      </c>
      <c r="N498" s="379">
        <f t="shared" si="38"/>
        <v>0.13758141009972652</v>
      </c>
      <c r="O498" s="298">
        <f>L498/L503</f>
        <v>0.1395341668884375</v>
      </c>
      <c r="P498" s="247"/>
    </row>
    <row r="499" spans="2:16" ht="13.5">
      <c r="B499" s="246"/>
      <c r="C499" s="250"/>
      <c r="D499" s="250"/>
      <c r="E499" s="250"/>
      <c r="F499" s="381" t="s">
        <v>76</v>
      </c>
      <c r="G499" s="300">
        <f>C488*'Other Electriciy Rates'!$L$12</f>
        <v>2088000</v>
      </c>
      <c r="H499" s="301">
        <f>'Other Electriciy Rates'!$C$13+'Other Electriciy Rates'!$D$13</f>
        <v>0.0135</v>
      </c>
      <c r="I499" s="302">
        <f>+G499*H499</f>
        <v>28188</v>
      </c>
      <c r="J499" s="300">
        <f>C488*'Other Electriciy Rates'!$L$26</f>
        <v>2086199.9999999998</v>
      </c>
      <c r="K499" s="301">
        <f>'Other Electriciy Rates'!$C$27+'Other Electriciy Rates'!$D$27</f>
        <v>0.0135</v>
      </c>
      <c r="L499" s="303">
        <f>+J499*K499</f>
        <v>28163.699999999997</v>
      </c>
      <c r="M499" s="304">
        <f>+L499-I499</f>
        <v>-24.30000000000291</v>
      </c>
      <c r="N499" s="374">
        <f t="shared" si="38"/>
        <v>-0.0008620689655173446</v>
      </c>
      <c r="O499" s="278">
        <f>L499/L503</f>
        <v>0.1355859795455854</v>
      </c>
      <c r="P499" s="247"/>
    </row>
    <row r="500" spans="2:16" ht="14.25" thickBot="1">
      <c r="B500" s="246"/>
      <c r="C500" s="250"/>
      <c r="D500" s="250"/>
      <c r="E500" s="250"/>
      <c r="F500" s="381" t="s">
        <v>77</v>
      </c>
      <c r="G500" s="300">
        <f>G499</f>
        <v>2088000</v>
      </c>
      <c r="H500" s="301">
        <f>+'Other Electriciy Rates'!$J$13</f>
        <v>0.06072</v>
      </c>
      <c r="I500" s="302">
        <f>+G500*H500</f>
        <v>126783.36</v>
      </c>
      <c r="J500" s="300">
        <f>J499</f>
        <v>2086199.9999999998</v>
      </c>
      <c r="K500" s="301">
        <f>'Other Electriciy Rates'!$J$27</f>
        <v>0.06072</v>
      </c>
      <c r="L500" s="303">
        <f>+J500*K500</f>
        <v>126674.064</v>
      </c>
      <c r="M500" s="304">
        <f>+L500-I500</f>
        <v>-109.2960000000021</v>
      </c>
      <c r="N500" s="374">
        <f t="shared" si="38"/>
        <v>-0.000862068965517258</v>
      </c>
      <c r="O500" s="278">
        <f>L500/L503</f>
        <v>0.6098356057783664</v>
      </c>
      <c r="P500" s="247"/>
    </row>
    <row r="501" spans="2:16" ht="14.25" thickBot="1">
      <c r="B501" s="246"/>
      <c r="C501" s="250"/>
      <c r="D501" s="250"/>
      <c r="E501" s="250"/>
      <c r="F501" s="290" t="s">
        <v>157</v>
      </c>
      <c r="G501" s="548"/>
      <c r="H501" s="549"/>
      <c r="I501" s="291">
        <f>SUM(I498:I500)</f>
        <v>180449.81</v>
      </c>
      <c r="J501" s="548"/>
      <c r="K501" s="549"/>
      <c r="L501" s="291">
        <f>SUM(L498:L500)</f>
        <v>183821.57507815538</v>
      </c>
      <c r="M501" s="291">
        <f>SUM(M498:M500)</f>
        <v>3371.765078155372</v>
      </c>
      <c r="N501" s="379">
        <f>IF(I501=0," ",(+M501/I501))</f>
        <v>0.018685334598885817</v>
      </c>
      <c r="O501" s="298">
        <f>L501/L503</f>
        <v>0.8849557522123893</v>
      </c>
      <c r="P501" s="247"/>
    </row>
    <row r="502" spans="2:16" ht="14.25" thickBot="1">
      <c r="B502" s="246"/>
      <c r="C502" s="250"/>
      <c r="D502" s="250"/>
      <c r="E502" s="250"/>
      <c r="F502" s="324" t="s">
        <v>205</v>
      </c>
      <c r="G502" s="317"/>
      <c r="H502" s="325">
        <v>0.05</v>
      </c>
      <c r="I502" s="326">
        <f>I501*H502</f>
        <v>9022.4905</v>
      </c>
      <c r="J502" s="317"/>
      <c r="K502" s="325">
        <v>0.13</v>
      </c>
      <c r="L502" s="327">
        <f>L501*K502</f>
        <v>23896.8047601602</v>
      </c>
      <c r="M502" s="328">
        <f>+L502-I502</f>
        <v>14874.314260160201</v>
      </c>
      <c r="N502" s="382">
        <f t="shared" si="38"/>
        <v>1.6485818699571035</v>
      </c>
      <c r="O502" s="315">
        <f>L502/L503</f>
        <v>0.11504424778761062</v>
      </c>
      <c r="P502" s="247"/>
    </row>
    <row r="503" spans="2:16" ht="15" thickBot="1">
      <c r="B503" s="246"/>
      <c r="C503" s="250"/>
      <c r="D503" s="250"/>
      <c r="E503" s="345"/>
      <c r="F503" s="383" t="s">
        <v>78</v>
      </c>
      <c r="G503" s="548"/>
      <c r="H503" s="549"/>
      <c r="I503" s="291">
        <f>I501+I502</f>
        <v>189472.3005</v>
      </c>
      <c r="J503" s="548"/>
      <c r="K503" s="549"/>
      <c r="L503" s="291">
        <f>L501+L502</f>
        <v>207718.3798383156</v>
      </c>
      <c r="M503" s="291">
        <f>M501+M502</f>
        <v>18246.079338315572</v>
      </c>
      <c r="N503" s="379">
        <f>+M503/I503</f>
        <v>0.0962994553302295</v>
      </c>
      <c r="O503" s="293">
        <f>O501+O502</f>
        <v>0.9999999999999999</v>
      </c>
      <c r="P503" s="247"/>
    </row>
    <row r="504" spans="2:16" ht="15" thickBot="1">
      <c r="B504" s="339"/>
      <c r="C504" s="346"/>
      <c r="D504" s="346"/>
      <c r="E504" s="346"/>
      <c r="F504" s="392"/>
      <c r="G504" s="393"/>
      <c r="H504" s="394"/>
      <c r="I504" s="395"/>
      <c r="J504" s="393"/>
      <c r="K504" s="396"/>
      <c r="L504" s="395"/>
      <c r="M504" s="397"/>
      <c r="N504" s="398"/>
      <c r="O504" s="399"/>
      <c r="P504" s="340"/>
    </row>
    <row r="505" spans="3:15" s="343" customFormat="1" ht="15" thickBot="1">
      <c r="C505" s="250"/>
      <c r="D505" s="250"/>
      <c r="E505" s="250"/>
      <c r="F505" s="355"/>
      <c r="G505" s="356"/>
      <c r="H505" s="357"/>
      <c r="I505" s="358"/>
      <c r="J505" s="356"/>
      <c r="K505" s="359"/>
      <c r="L505" s="358"/>
      <c r="M505" s="385"/>
      <c r="N505" s="361"/>
      <c r="O505" s="362"/>
    </row>
    <row r="506" spans="2:16" ht="23.25">
      <c r="B506" s="244"/>
      <c r="C506" s="551"/>
      <c r="D506" s="551"/>
      <c r="E506" s="551"/>
      <c r="F506" s="551"/>
      <c r="G506" s="551"/>
      <c r="H506" s="551"/>
      <c r="I506" s="551"/>
      <c r="J506" s="551"/>
      <c r="K506" s="551"/>
      <c r="L506" s="551"/>
      <c r="M506" s="551"/>
      <c r="N506" s="551"/>
      <c r="O506" s="551"/>
      <c r="P506" s="245"/>
    </row>
    <row r="507" spans="2:16" ht="23.25">
      <c r="B507" s="246"/>
      <c r="C507" s="552" t="s">
        <v>80</v>
      </c>
      <c r="D507" s="552"/>
      <c r="E507" s="552"/>
      <c r="F507" s="552"/>
      <c r="G507" s="552"/>
      <c r="H507" s="552"/>
      <c r="I507" s="552"/>
      <c r="J507" s="552"/>
      <c r="K507" s="552"/>
      <c r="L507" s="552"/>
      <c r="M507" s="552"/>
      <c r="N507" s="552"/>
      <c r="O507" s="552"/>
      <c r="P507" s="247"/>
    </row>
    <row r="508" spans="2:17" ht="24" thickBot="1">
      <c r="B508" s="246"/>
      <c r="C508" s="550"/>
      <c r="D508" s="550"/>
      <c r="E508" s="550"/>
      <c r="F508" s="550"/>
      <c r="G508" s="550"/>
      <c r="H508" s="550"/>
      <c r="I508" s="550"/>
      <c r="J508" s="550"/>
      <c r="K508" s="550"/>
      <c r="L508" s="550"/>
      <c r="M508" s="550"/>
      <c r="N508" s="550"/>
      <c r="O508" s="550"/>
      <c r="P508" s="247"/>
      <c r="Q508" s="343"/>
    </row>
    <row r="509" spans="2:17" ht="21" thickBot="1">
      <c r="B509" s="246"/>
      <c r="C509" s="331"/>
      <c r="D509" s="331"/>
      <c r="E509" s="250"/>
      <c r="F509" s="364"/>
      <c r="G509" s="553" t="str">
        <f>$G$10</f>
        <v>2010 BILL</v>
      </c>
      <c r="H509" s="554"/>
      <c r="I509" s="555"/>
      <c r="J509" s="553" t="str">
        <f>$J$10</f>
        <v>2011 BILL</v>
      </c>
      <c r="K509" s="554"/>
      <c r="L509" s="555"/>
      <c r="M509" s="553" t="s">
        <v>72</v>
      </c>
      <c r="N509" s="554"/>
      <c r="O509" s="555"/>
      <c r="P509" s="247"/>
      <c r="Q509" s="343"/>
    </row>
    <row r="510" spans="2:17" ht="27.75" thickBot="1">
      <c r="B510" s="246"/>
      <c r="C510" s="250"/>
      <c r="D510" s="250"/>
      <c r="E510" s="252"/>
      <c r="F510" s="365"/>
      <c r="G510" s="366" t="s">
        <v>66</v>
      </c>
      <c r="H510" s="367" t="s">
        <v>67</v>
      </c>
      <c r="I510" s="368" t="s">
        <v>68</v>
      </c>
      <c r="J510" s="369" t="s">
        <v>66</v>
      </c>
      <c r="K510" s="367" t="s">
        <v>67</v>
      </c>
      <c r="L510" s="368" t="s">
        <v>68</v>
      </c>
      <c r="M510" s="370" t="s">
        <v>73</v>
      </c>
      <c r="N510" s="371" t="s">
        <v>74</v>
      </c>
      <c r="O510" s="372" t="s">
        <v>75</v>
      </c>
      <c r="P510" s="247"/>
      <c r="Q510" s="343"/>
    </row>
    <row r="511" spans="2:17" ht="15.75" thickBot="1">
      <c r="B511" s="246"/>
      <c r="C511" s="556" t="s">
        <v>103</v>
      </c>
      <c r="D511" s="557"/>
      <c r="E511" s="250"/>
      <c r="F511" s="373" t="s">
        <v>70</v>
      </c>
      <c r="G511" s="271">
        <f>C512</f>
        <v>40</v>
      </c>
      <c r="H511" s="302">
        <f>'2010 Existing Rates'!$B$13</f>
        <v>0.87</v>
      </c>
      <c r="I511" s="273">
        <f>G511*H511</f>
        <v>34.8</v>
      </c>
      <c r="J511" s="271">
        <f>C512</f>
        <v>40</v>
      </c>
      <c r="K511" s="273">
        <f>'Rate Schedule (Part 1)'!$E$57</f>
        <v>2.1992</v>
      </c>
      <c r="L511" s="273">
        <f>J511*K511</f>
        <v>87.96799999999999</v>
      </c>
      <c r="M511" s="304">
        <f>+L511-I511</f>
        <v>53.16799999999999</v>
      </c>
      <c r="N511" s="374">
        <f aca="true" t="shared" si="39" ref="N511:N525">IF(I511=0," ",(+M511/I511))</f>
        <v>1.527816091954023</v>
      </c>
      <c r="O511" s="278">
        <f>L511/L525</f>
        <v>0.10560484484201886</v>
      </c>
      <c r="P511" s="247"/>
      <c r="Q511" s="343"/>
    </row>
    <row r="512" spans="2:17" ht="18" thickBot="1">
      <c r="B512" s="246"/>
      <c r="C512" s="341">
        <v>40</v>
      </c>
      <c r="D512" s="464" t="s">
        <v>278</v>
      </c>
      <c r="E512" s="250"/>
      <c r="F512" s="307" t="s">
        <v>79</v>
      </c>
      <c r="G512" s="389">
        <f>C514</f>
        <v>10</v>
      </c>
      <c r="H512" s="272">
        <f>'2010 Existing Rates'!$D$13</f>
        <v>3.4918</v>
      </c>
      <c r="I512" s="273">
        <f>+G512*H512</f>
        <v>34.918</v>
      </c>
      <c r="J512" s="271">
        <f>G512</f>
        <v>10</v>
      </c>
      <c r="K512" s="274">
        <f>'Rate Schedule (Part 1)'!$E$58</f>
        <v>8.8266</v>
      </c>
      <c r="L512" s="273">
        <f>+J512*K512</f>
        <v>88.26599999999999</v>
      </c>
      <c r="M512" s="304">
        <f>+L512-I512</f>
        <v>53.34799999999999</v>
      </c>
      <c r="N512" s="374">
        <f t="shared" si="39"/>
        <v>1.5278080073314622</v>
      </c>
      <c r="O512" s="278">
        <f>L512/L525</f>
        <v>0.10596259133805062</v>
      </c>
      <c r="P512" s="247"/>
      <c r="Q512" s="343"/>
    </row>
    <row r="513" spans="2:16" ht="18" thickBot="1">
      <c r="B513" s="246"/>
      <c r="C513" s="341">
        <v>7000</v>
      </c>
      <c r="D513" s="342" t="s">
        <v>16</v>
      </c>
      <c r="E513" s="250"/>
      <c r="F513" s="270" t="s">
        <v>203</v>
      </c>
      <c r="G513" s="271">
        <f>C514</f>
        <v>10</v>
      </c>
      <c r="H513" s="272"/>
      <c r="I513" s="273">
        <f>+G513*H513</f>
        <v>0</v>
      </c>
      <c r="J513" s="271">
        <f>G513</f>
        <v>10</v>
      </c>
      <c r="K513" s="274">
        <f>'Rate Schedule (Part 1)'!$E59</f>
        <v>0</v>
      </c>
      <c r="L513" s="275">
        <f>+J513*K513</f>
        <v>0</v>
      </c>
      <c r="M513" s="304">
        <f>+L513-I513</f>
        <v>0</v>
      </c>
      <c r="N513" s="374" t="str">
        <f t="shared" si="39"/>
        <v> </v>
      </c>
      <c r="O513" s="278">
        <f>L513/L525</f>
        <v>0</v>
      </c>
      <c r="P513" s="247"/>
    </row>
    <row r="514" spans="2:16" ht="27.75" thickBot="1">
      <c r="B514" s="246"/>
      <c r="C514" s="341">
        <v>10</v>
      </c>
      <c r="D514" s="342" t="s">
        <v>17</v>
      </c>
      <c r="E514" s="250"/>
      <c r="F514" s="270" t="s">
        <v>272</v>
      </c>
      <c r="G514" s="406">
        <f>G513</f>
        <v>10</v>
      </c>
      <c r="H514" s="272">
        <f>'2010 Existing Rates'!$D$26</f>
        <v>-0.38384</v>
      </c>
      <c r="I514" s="286">
        <f>+G514*H514</f>
        <v>-3.8384</v>
      </c>
      <c r="J514" s="406">
        <f>J513</f>
        <v>10</v>
      </c>
      <c r="K514" s="274">
        <f>'Rate Schedule (Part 1)'!$E$60</f>
        <v>-0.52266</v>
      </c>
      <c r="L514" s="275">
        <f>J514*K514</f>
        <v>-5.2266</v>
      </c>
      <c r="M514" s="276">
        <f>+L514-I514</f>
        <v>-1.3882000000000003</v>
      </c>
      <c r="N514" s="277">
        <f t="shared" si="39"/>
        <v>0.3616611087953315</v>
      </c>
      <c r="O514" s="278">
        <f>L514/L525</f>
        <v>-0.006274489383085848</v>
      </c>
      <c r="P514" s="247"/>
    </row>
    <row r="515" spans="2:16" ht="27">
      <c r="B515" s="246"/>
      <c r="E515" s="250"/>
      <c r="F515" s="270" t="s">
        <v>273</v>
      </c>
      <c r="G515" s="406">
        <f>G514</f>
        <v>10</v>
      </c>
      <c r="H515" s="288"/>
      <c r="I515" s="286">
        <f>+G515*H515</f>
        <v>0</v>
      </c>
      <c r="J515" s="406">
        <f>J514</f>
        <v>10</v>
      </c>
      <c r="K515" s="274">
        <f>'Rate Schedule (Part 1)'!$E$61</f>
        <v>0.16583155739423694</v>
      </c>
      <c r="L515" s="275">
        <f>J515*K515</f>
        <v>1.6583155739423694</v>
      </c>
      <c r="M515" s="276">
        <f>+L515-I515</f>
        <v>1.6583155739423694</v>
      </c>
      <c r="N515" s="277" t="str">
        <f t="shared" si="39"/>
        <v> </v>
      </c>
      <c r="O515" s="278">
        <f>L515/L525</f>
        <v>0.001990793912391863</v>
      </c>
      <c r="P515" s="247"/>
    </row>
    <row r="516" spans="2:16" ht="27">
      <c r="B516" s="246"/>
      <c r="C516" s="279"/>
      <c r="D516" s="283"/>
      <c r="E516" s="250"/>
      <c r="F516" s="270" t="s">
        <v>274</v>
      </c>
      <c r="G516" s="406">
        <f>G515</f>
        <v>10</v>
      </c>
      <c r="H516" s="288"/>
      <c r="I516" s="286">
        <f>+G516*H516</f>
        <v>0</v>
      </c>
      <c r="J516" s="406">
        <f>J515</f>
        <v>10</v>
      </c>
      <c r="K516" s="274">
        <f>'Rate Schedule (Part 1)'!$E$62</f>
        <v>0.14169005858988254</v>
      </c>
      <c r="L516" s="275">
        <f>J516*K516</f>
        <v>1.4169005858988255</v>
      </c>
      <c r="M516" s="276">
        <f>+L516-I516</f>
        <v>1.4169005858988255</v>
      </c>
      <c r="N516" s="277" t="str">
        <f t="shared" si="39"/>
        <v> </v>
      </c>
      <c r="O516" s="278">
        <f>L516/L525</f>
        <v>0.0017009772477538548</v>
      </c>
      <c r="P516" s="247"/>
    </row>
    <row r="517" spans="2:16" ht="27.75" thickBot="1">
      <c r="B517" s="246"/>
      <c r="E517" s="250"/>
      <c r="F517" s="270" t="s">
        <v>275</v>
      </c>
      <c r="G517" s="271">
        <f>G513</f>
        <v>10</v>
      </c>
      <c r="H517" s="272"/>
      <c r="I517" s="273">
        <f>+G517*H517</f>
        <v>0</v>
      </c>
      <c r="J517" s="406">
        <f>J516</f>
        <v>10</v>
      </c>
      <c r="K517" s="274">
        <f>'Rate Schedule (Part 1)'!$E$63</f>
        <v>9.56205200362853E-05</v>
      </c>
      <c r="L517" s="275">
        <f>+J517*K517</f>
        <v>0.000956205200362853</v>
      </c>
      <c r="M517" s="304">
        <f>+L517-I517</f>
        <v>0.000956205200362853</v>
      </c>
      <c r="N517" s="374" t="str">
        <f t="shared" si="39"/>
        <v> </v>
      </c>
      <c r="O517" s="278">
        <f>L517/L525</f>
        <v>1.147916308446829E-06</v>
      </c>
      <c r="P517" s="247"/>
    </row>
    <row r="518" spans="2:16" ht="18" thickBot="1">
      <c r="B518" s="246"/>
      <c r="C518" s="279"/>
      <c r="D518" s="283"/>
      <c r="E518" s="250"/>
      <c r="F518" s="290" t="s">
        <v>200</v>
      </c>
      <c r="G518" s="400"/>
      <c r="H518" s="401"/>
      <c r="I518" s="291">
        <f>SUM(I511:I517)</f>
        <v>65.87959999999998</v>
      </c>
      <c r="J518" s="400"/>
      <c r="K518" s="401"/>
      <c r="L518" s="291">
        <f>SUM(L511:L517)</f>
        <v>174.08357236504153</v>
      </c>
      <c r="M518" s="291">
        <f>SUM(M511:M517)</f>
        <v>108.20397236504157</v>
      </c>
      <c r="N518" s="379">
        <f t="shared" si="39"/>
        <v>1.6424503543591884</v>
      </c>
      <c r="O518" s="293">
        <f>SUM(O511:O517)</f>
        <v>0.20898586587343784</v>
      </c>
      <c r="P518" s="247"/>
    </row>
    <row r="519" spans="2:16" ht="14.25" thickBot="1">
      <c r="B519" s="246"/>
      <c r="C519" s="250"/>
      <c r="D519" s="250"/>
      <c r="E519" s="250"/>
      <c r="F519" s="270" t="s">
        <v>204</v>
      </c>
      <c r="G519" s="294">
        <f>G517</f>
        <v>10</v>
      </c>
      <c r="H519" s="295">
        <f>'Other Electriciy Rates'!$F$14</f>
        <v>3.1281</v>
      </c>
      <c r="I519" s="273">
        <f>+G519*H519</f>
        <v>31.281</v>
      </c>
      <c r="J519" s="294">
        <f>G519</f>
        <v>10</v>
      </c>
      <c r="K519" s="274">
        <f>'Other Electriciy Rates'!$F$28</f>
        <v>2.114539171604757</v>
      </c>
      <c r="L519" s="273">
        <f>+J519*K519</f>
        <v>21.14539171604757</v>
      </c>
      <c r="M519" s="296">
        <f>+L519-I519</f>
        <v>-10.135608283952429</v>
      </c>
      <c r="N519" s="380">
        <f t="shared" si="39"/>
        <v>-0.32401803919159966</v>
      </c>
      <c r="O519" s="278">
        <f>L519/L525</f>
        <v>0.025384865079311963</v>
      </c>
      <c r="P519" s="247"/>
    </row>
    <row r="520" spans="2:16" ht="14.25" thickBot="1">
      <c r="B520" s="246"/>
      <c r="C520" s="250"/>
      <c r="D520" s="250"/>
      <c r="E520" s="250"/>
      <c r="F520" s="290" t="s">
        <v>202</v>
      </c>
      <c r="G520" s="400"/>
      <c r="H520" s="401"/>
      <c r="I520" s="291">
        <f>I518+I519</f>
        <v>97.16059999999999</v>
      </c>
      <c r="J520" s="400"/>
      <c r="K520" s="401"/>
      <c r="L520" s="291">
        <f>L518+L519</f>
        <v>195.2289640810891</v>
      </c>
      <c r="M520" s="291">
        <f>M518+M519</f>
        <v>98.06836408108913</v>
      </c>
      <c r="N520" s="379">
        <f t="shared" si="39"/>
        <v>1.009342923788955</v>
      </c>
      <c r="O520" s="298">
        <f>L520/L525</f>
        <v>0.23437073095274974</v>
      </c>
      <c r="P520" s="247"/>
    </row>
    <row r="521" spans="2:16" ht="13.5">
      <c r="B521" s="246"/>
      <c r="C521" s="250"/>
      <c r="D521" s="250"/>
      <c r="E521" s="250"/>
      <c r="F521" s="381" t="s">
        <v>76</v>
      </c>
      <c r="G521" s="300">
        <f>C513*'Other Electriciy Rates'!$L$15</f>
        <v>7308</v>
      </c>
      <c r="H521" s="301">
        <f>'Other Electriciy Rates'!$C$14+'Other Electriciy Rates'!$D$14</f>
        <v>0.0135</v>
      </c>
      <c r="I521" s="302">
        <f>+G521*H521</f>
        <v>98.658</v>
      </c>
      <c r="J521" s="300">
        <f>C513*'Other Electriciy Rates'!$L$29</f>
        <v>7301.7</v>
      </c>
      <c r="K521" s="301">
        <f>'Other Electriciy Rates'!$C$28+'Other Electriciy Rates'!$D$28</f>
        <v>0.0135</v>
      </c>
      <c r="L521" s="303">
        <f>+J521*K521</f>
        <v>98.57294999999999</v>
      </c>
      <c r="M521" s="304">
        <f>+L521-I521</f>
        <v>-0.08505000000000962</v>
      </c>
      <c r="N521" s="374">
        <f t="shared" si="39"/>
        <v>-0.0008620689655173388</v>
      </c>
      <c r="O521" s="278">
        <f>L521/L525</f>
        <v>0.11833599820809935</v>
      </c>
      <c r="P521" s="247"/>
    </row>
    <row r="522" spans="2:16" ht="14.25" thickBot="1">
      <c r="B522" s="246"/>
      <c r="C522" s="250"/>
      <c r="D522" s="250"/>
      <c r="E522" s="250"/>
      <c r="F522" s="381" t="s">
        <v>77</v>
      </c>
      <c r="G522" s="300">
        <f>G521</f>
        <v>7308</v>
      </c>
      <c r="H522" s="301">
        <f>'Other Electriciy Rates'!$J$14</f>
        <v>0.06072</v>
      </c>
      <c r="I522" s="302">
        <f>+G522*H522</f>
        <v>443.74176</v>
      </c>
      <c r="J522" s="300">
        <f>J521</f>
        <v>7301.7</v>
      </c>
      <c r="K522" s="301">
        <f>'Other Electriciy Rates'!$J$28</f>
        <v>0.06072</v>
      </c>
      <c r="L522" s="303">
        <f>+J522*K522</f>
        <v>443.35922400000004</v>
      </c>
      <c r="M522" s="304">
        <f>+L522-I522</f>
        <v>-0.38253599999995913</v>
      </c>
      <c r="N522" s="374">
        <f t="shared" si="39"/>
        <v>-0.0008620689655171493</v>
      </c>
      <c r="O522" s="278">
        <f>L522/L525</f>
        <v>0.5322490230515403</v>
      </c>
      <c r="P522" s="247"/>
    </row>
    <row r="523" spans="2:16" ht="14.25" thickBot="1">
      <c r="B523" s="246"/>
      <c r="C523" s="250"/>
      <c r="D523" s="250"/>
      <c r="E523" s="250"/>
      <c r="F523" s="290" t="s">
        <v>157</v>
      </c>
      <c r="G523" s="400"/>
      <c r="H523" s="401"/>
      <c r="I523" s="291">
        <f>SUM(I520:I522)</f>
        <v>639.56036</v>
      </c>
      <c r="J523" s="400"/>
      <c r="K523" s="401"/>
      <c r="L523" s="291">
        <f>SUM(L520:L522)</f>
        <v>737.1611380810891</v>
      </c>
      <c r="M523" s="291">
        <f>SUM(M520:M522)</f>
        <v>97.60077808108916</v>
      </c>
      <c r="N523" s="379">
        <f t="shared" si="39"/>
        <v>0.152606046567816</v>
      </c>
      <c r="O523" s="298">
        <f>L523/L525</f>
        <v>0.8849557522123893</v>
      </c>
      <c r="P523" s="247"/>
    </row>
    <row r="524" spans="2:16" ht="14.25" thickBot="1">
      <c r="B524" s="246"/>
      <c r="C524" s="250"/>
      <c r="D524" s="250"/>
      <c r="E524" s="250"/>
      <c r="F524" s="324" t="s">
        <v>205</v>
      </c>
      <c r="G524" s="317"/>
      <c r="H524" s="325">
        <v>0.05</v>
      </c>
      <c r="I524" s="326">
        <f>I523*H524</f>
        <v>31.978018</v>
      </c>
      <c r="J524" s="317"/>
      <c r="K524" s="325">
        <v>0.13</v>
      </c>
      <c r="L524" s="327">
        <f>L523*K524</f>
        <v>95.83094795054159</v>
      </c>
      <c r="M524" s="328">
        <f>+L524-I524</f>
        <v>63.852929950541586</v>
      </c>
      <c r="N524" s="382">
        <f t="shared" si="39"/>
        <v>1.9967757210763215</v>
      </c>
      <c r="O524" s="315">
        <f>L524/L525</f>
        <v>0.11504424778761062</v>
      </c>
      <c r="P524" s="247"/>
    </row>
    <row r="525" spans="2:16" ht="15" thickBot="1">
      <c r="B525" s="246"/>
      <c r="C525" s="250"/>
      <c r="D525" s="250"/>
      <c r="E525" s="250"/>
      <c r="F525" s="402" t="s">
        <v>78</v>
      </c>
      <c r="G525" s="571"/>
      <c r="H525" s="572"/>
      <c r="I525" s="403">
        <f>I523+I524</f>
        <v>671.538378</v>
      </c>
      <c r="J525" s="571"/>
      <c r="K525" s="572"/>
      <c r="L525" s="403">
        <f>L523+L524</f>
        <v>832.9920860316307</v>
      </c>
      <c r="M525" s="403">
        <f>M523+M524</f>
        <v>161.45370803163075</v>
      </c>
      <c r="N525" s="404">
        <f t="shared" si="39"/>
        <v>0.24042365011584008</v>
      </c>
      <c r="O525" s="405">
        <f>O523+O524</f>
        <v>0.9999999999999999</v>
      </c>
      <c r="P525" s="247"/>
    </row>
    <row r="526" spans="2:16" ht="15" thickBot="1">
      <c r="B526" s="339"/>
      <c r="C526" s="346"/>
      <c r="D526" s="346"/>
      <c r="E526" s="346"/>
      <c r="F526" s="392"/>
      <c r="G526" s="393"/>
      <c r="H526" s="394"/>
      <c r="I526" s="395"/>
      <c r="J526" s="393"/>
      <c r="K526" s="396"/>
      <c r="L526" s="395"/>
      <c r="M526" s="397"/>
      <c r="N526" s="398"/>
      <c r="O526" s="399"/>
      <c r="P526" s="340"/>
    </row>
    <row r="527" spans="2:16" ht="15" thickBot="1">
      <c r="B527" s="343"/>
      <c r="C527" s="250"/>
      <c r="D527" s="250"/>
      <c r="E527" s="250"/>
      <c r="F527" s="355"/>
      <c r="G527" s="356"/>
      <c r="H527" s="357"/>
      <c r="I527" s="358"/>
      <c r="J527" s="356"/>
      <c r="K527" s="359"/>
      <c r="L527" s="358"/>
      <c r="M527" s="385"/>
      <c r="N527" s="361"/>
      <c r="O527" s="362"/>
      <c r="P527" s="343"/>
    </row>
    <row r="528" spans="2:16" ht="23.25">
      <c r="B528" s="244"/>
      <c r="C528" s="551"/>
      <c r="D528" s="551"/>
      <c r="E528" s="551"/>
      <c r="F528" s="551"/>
      <c r="G528" s="551"/>
      <c r="H528" s="551"/>
      <c r="I528" s="551"/>
      <c r="J528" s="551"/>
      <c r="K528" s="551"/>
      <c r="L528" s="551"/>
      <c r="M528" s="551"/>
      <c r="N528" s="551"/>
      <c r="O528" s="551"/>
      <c r="P528" s="245"/>
    </row>
    <row r="529" spans="2:16" ht="23.25">
      <c r="B529" s="246"/>
      <c r="C529" s="552" t="s">
        <v>80</v>
      </c>
      <c r="D529" s="552"/>
      <c r="E529" s="552"/>
      <c r="F529" s="552"/>
      <c r="G529" s="552"/>
      <c r="H529" s="552"/>
      <c r="I529" s="552"/>
      <c r="J529" s="552"/>
      <c r="K529" s="552"/>
      <c r="L529" s="552"/>
      <c r="M529" s="552"/>
      <c r="N529" s="552"/>
      <c r="O529" s="552"/>
      <c r="P529" s="247"/>
    </row>
    <row r="530" spans="2:17" ht="24" thickBot="1">
      <c r="B530" s="246"/>
      <c r="C530" s="550"/>
      <c r="D530" s="550"/>
      <c r="E530" s="550"/>
      <c r="F530" s="550"/>
      <c r="G530" s="550"/>
      <c r="H530" s="550"/>
      <c r="I530" s="550"/>
      <c r="J530" s="550"/>
      <c r="K530" s="550"/>
      <c r="L530" s="550"/>
      <c r="M530" s="550"/>
      <c r="N530" s="550"/>
      <c r="O530" s="550"/>
      <c r="P530" s="247"/>
      <c r="Q530" s="343"/>
    </row>
    <row r="531" spans="2:17" ht="21" thickBot="1">
      <c r="B531" s="246"/>
      <c r="C531" s="331"/>
      <c r="D531" s="331"/>
      <c r="E531" s="250"/>
      <c r="F531" s="364"/>
      <c r="G531" s="553" t="str">
        <f>$G$10</f>
        <v>2010 BILL</v>
      </c>
      <c r="H531" s="554"/>
      <c r="I531" s="555"/>
      <c r="J531" s="553" t="str">
        <f>$J$10</f>
        <v>2011 BILL</v>
      </c>
      <c r="K531" s="554"/>
      <c r="L531" s="555"/>
      <c r="M531" s="553" t="s">
        <v>72</v>
      </c>
      <c r="N531" s="554"/>
      <c r="O531" s="555"/>
      <c r="P531" s="247"/>
      <c r="Q531" s="343"/>
    </row>
    <row r="532" spans="2:17" ht="27.75" thickBot="1">
      <c r="B532" s="246"/>
      <c r="C532" s="250"/>
      <c r="D532" s="250"/>
      <c r="E532" s="252"/>
      <c r="F532" s="365"/>
      <c r="G532" s="366" t="s">
        <v>66</v>
      </c>
      <c r="H532" s="367" t="s">
        <v>67</v>
      </c>
      <c r="I532" s="368" t="s">
        <v>68</v>
      </c>
      <c r="J532" s="369" t="s">
        <v>66</v>
      </c>
      <c r="K532" s="367" t="s">
        <v>67</v>
      </c>
      <c r="L532" s="368" t="s">
        <v>68</v>
      </c>
      <c r="M532" s="370" t="s">
        <v>73</v>
      </c>
      <c r="N532" s="371" t="s">
        <v>74</v>
      </c>
      <c r="O532" s="372" t="s">
        <v>75</v>
      </c>
      <c r="P532" s="247"/>
      <c r="Q532" s="343"/>
    </row>
    <row r="533" spans="2:17" ht="15.75" thickBot="1">
      <c r="B533" s="246"/>
      <c r="C533" s="556" t="s">
        <v>103</v>
      </c>
      <c r="D533" s="557"/>
      <c r="E533" s="250"/>
      <c r="F533" s="373" t="s">
        <v>70</v>
      </c>
      <c r="G533" s="271">
        <f>C534</f>
        <v>4000</v>
      </c>
      <c r="H533" s="302">
        <f>'2010 Existing Rates'!$B$13</f>
        <v>0.87</v>
      </c>
      <c r="I533" s="273">
        <f>G533*H533</f>
        <v>3480</v>
      </c>
      <c r="J533" s="271">
        <f>C534</f>
        <v>4000</v>
      </c>
      <c r="K533" s="273">
        <f>'Rate Schedule (Part 1)'!$E$57</f>
        <v>2.1992</v>
      </c>
      <c r="L533" s="273">
        <f>J533*K533</f>
        <v>8796.8</v>
      </c>
      <c r="M533" s="304">
        <f>+L533-I533</f>
        <v>5316.799999999999</v>
      </c>
      <c r="N533" s="374">
        <f aca="true" t="shared" si="40" ref="N533:N547">IF(I533=0," ",(+M533/I533))</f>
        <v>1.5278160919540227</v>
      </c>
      <c r="O533" s="278">
        <f>L533/L547</f>
        <v>0.17603625004662996</v>
      </c>
      <c r="P533" s="247"/>
      <c r="Q533" s="343"/>
    </row>
    <row r="534" spans="2:17" ht="18" thickBot="1">
      <c r="B534" s="246"/>
      <c r="C534" s="341">
        <v>4000</v>
      </c>
      <c r="D534" s="464" t="s">
        <v>278</v>
      </c>
      <c r="E534" s="250"/>
      <c r="F534" s="307" t="s">
        <v>79</v>
      </c>
      <c r="G534" s="389">
        <f>C536</f>
        <v>560</v>
      </c>
      <c r="H534" s="272">
        <f>'2010 Existing Rates'!$D$13</f>
        <v>3.4918</v>
      </c>
      <c r="I534" s="273">
        <f>+G534*H534</f>
        <v>1955.408</v>
      </c>
      <c r="J534" s="271">
        <f>G534</f>
        <v>560</v>
      </c>
      <c r="K534" s="274">
        <f>'Rate Schedule (Part 1)'!$E$58</f>
        <v>8.8266</v>
      </c>
      <c r="L534" s="273">
        <f>+J534*K534</f>
        <v>4942.896</v>
      </c>
      <c r="M534" s="304">
        <f>+L534-I534</f>
        <v>2987.488</v>
      </c>
      <c r="N534" s="374">
        <f t="shared" si="40"/>
        <v>1.5278080073314624</v>
      </c>
      <c r="O534" s="278">
        <f>L534/L547</f>
        <v>0.098914250205812</v>
      </c>
      <c r="P534" s="247"/>
      <c r="Q534" s="343"/>
    </row>
    <row r="535" spans="2:16" ht="18" thickBot="1">
      <c r="B535" s="246"/>
      <c r="C535" s="341">
        <v>380000</v>
      </c>
      <c r="D535" s="342" t="s">
        <v>16</v>
      </c>
      <c r="E535" s="250"/>
      <c r="F535" s="270" t="s">
        <v>203</v>
      </c>
      <c r="G535" s="271">
        <f>C536</f>
        <v>560</v>
      </c>
      <c r="H535" s="272"/>
      <c r="I535" s="273">
        <f>+G535*H535</f>
        <v>0</v>
      </c>
      <c r="J535" s="271">
        <f>G535</f>
        <v>560</v>
      </c>
      <c r="K535" s="274">
        <f>'Rate Schedule (Part 1)'!$E$59</f>
        <v>0</v>
      </c>
      <c r="L535" s="275">
        <f>+J535*K535</f>
        <v>0</v>
      </c>
      <c r="M535" s="304">
        <f>+L535-I535</f>
        <v>0</v>
      </c>
      <c r="N535" s="374" t="str">
        <f t="shared" si="40"/>
        <v> </v>
      </c>
      <c r="O535" s="278">
        <f>L535/L547</f>
        <v>0</v>
      </c>
      <c r="P535" s="247"/>
    </row>
    <row r="536" spans="2:16" ht="27.75" thickBot="1">
      <c r="B536" s="246"/>
      <c r="C536" s="341">
        <v>560</v>
      </c>
      <c r="D536" s="342" t="s">
        <v>17</v>
      </c>
      <c r="E536" s="250"/>
      <c r="F536" s="270" t="s">
        <v>272</v>
      </c>
      <c r="G536" s="406">
        <f>G535</f>
        <v>560</v>
      </c>
      <c r="H536" s="272">
        <f>'2010 Existing Rates'!$D$26</f>
        <v>-0.38384</v>
      </c>
      <c r="I536" s="286">
        <f>+G536*H536</f>
        <v>-214.9504</v>
      </c>
      <c r="J536" s="406">
        <f>J535</f>
        <v>560</v>
      </c>
      <c r="K536" s="274">
        <f>'Rate Schedule (Part 1)'!$E$60</f>
        <v>-0.52266</v>
      </c>
      <c r="L536" s="275">
        <f>J536*K536</f>
        <v>-292.6896</v>
      </c>
      <c r="M536" s="276">
        <f>+L536-I536</f>
        <v>-77.73919999999998</v>
      </c>
      <c r="N536" s="277">
        <f t="shared" si="40"/>
        <v>0.3616611087953313</v>
      </c>
      <c r="O536" s="278">
        <f>L536/L547</f>
        <v>-0.005857127547704632</v>
      </c>
      <c r="P536" s="247"/>
    </row>
    <row r="537" spans="2:16" ht="27">
      <c r="B537" s="246"/>
      <c r="E537" s="250"/>
      <c r="F537" s="270" t="s">
        <v>273</v>
      </c>
      <c r="G537" s="406">
        <f>G536</f>
        <v>560</v>
      </c>
      <c r="H537" s="288"/>
      <c r="I537" s="286">
        <f>+G537*H537</f>
        <v>0</v>
      </c>
      <c r="J537" s="406">
        <f>J536</f>
        <v>560</v>
      </c>
      <c r="K537" s="274">
        <f>'Rate Schedule (Part 1)'!$E$61</f>
        <v>0.16583155739423694</v>
      </c>
      <c r="L537" s="275">
        <f>J537*K537</f>
        <v>92.86567214077269</v>
      </c>
      <c r="M537" s="276">
        <f>+L537-I537</f>
        <v>92.86567214077269</v>
      </c>
      <c r="N537" s="277" t="str">
        <f t="shared" si="40"/>
        <v> </v>
      </c>
      <c r="O537" s="278">
        <f>L537/L547</f>
        <v>0.001858371758107655</v>
      </c>
      <c r="P537" s="247"/>
    </row>
    <row r="538" spans="2:16" ht="27">
      <c r="B538" s="246"/>
      <c r="C538" s="279"/>
      <c r="D538" s="283"/>
      <c r="E538" s="250"/>
      <c r="F538" s="270" t="s">
        <v>274</v>
      </c>
      <c r="G538" s="406">
        <f>G537</f>
        <v>560</v>
      </c>
      <c r="H538" s="288"/>
      <c r="I538" s="286">
        <f>+G538*H538</f>
        <v>0</v>
      </c>
      <c r="J538" s="406">
        <f>J537</f>
        <v>560</v>
      </c>
      <c r="K538" s="274">
        <f>'Rate Schedule (Part 1)'!$E$62</f>
        <v>0.14169005858988254</v>
      </c>
      <c r="L538" s="275">
        <f>J538*K538</f>
        <v>79.34643281033422</v>
      </c>
      <c r="M538" s="276">
        <f>+L538-I538</f>
        <v>79.34643281033422</v>
      </c>
      <c r="N538" s="277" t="str">
        <f t="shared" si="40"/>
        <v> </v>
      </c>
      <c r="O538" s="278">
        <f>L538/L547</f>
        <v>0.0015878329036136004</v>
      </c>
      <c r="P538" s="247"/>
    </row>
    <row r="539" spans="2:16" ht="27.75" thickBot="1">
      <c r="B539" s="246"/>
      <c r="E539" s="250"/>
      <c r="F539" s="270" t="s">
        <v>275</v>
      </c>
      <c r="G539" s="271">
        <f>G535</f>
        <v>560</v>
      </c>
      <c r="H539" s="272"/>
      <c r="I539" s="273">
        <f>+G539*H539</f>
        <v>0</v>
      </c>
      <c r="J539" s="271">
        <f>J535</f>
        <v>560</v>
      </c>
      <c r="K539" s="274">
        <f>'Rate Schedule (Part 1)'!$E$63</f>
        <v>9.56205200362853E-05</v>
      </c>
      <c r="L539" s="275">
        <f>+J539*K539</f>
        <v>0.053547491220319765</v>
      </c>
      <c r="M539" s="304">
        <f>+L539-I539</f>
        <v>0.053547491220319765</v>
      </c>
      <c r="N539" s="374" t="str">
        <f t="shared" si="40"/>
        <v> </v>
      </c>
      <c r="O539" s="278">
        <f>L539/L547</f>
        <v>1.071560062048692E-06</v>
      </c>
      <c r="P539" s="247"/>
    </row>
    <row r="540" spans="2:16" ht="18" thickBot="1">
      <c r="B540" s="246"/>
      <c r="C540" s="279"/>
      <c r="D540" s="283"/>
      <c r="E540" s="250"/>
      <c r="F540" s="290" t="s">
        <v>200</v>
      </c>
      <c r="G540" s="473"/>
      <c r="H540" s="474"/>
      <c r="I540" s="291">
        <f>SUM(I533:I539)</f>
        <v>5220.4576</v>
      </c>
      <c r="J540" s="473"/>
      <c r="K540" s="474"/>
      <c r="L540" s="291">
        <f>SUM(L533:L539)</f>
        <v>13619.272052442328</v>
      </c>
      <c r="M540" s="291">
        <f>SUM(M533:M539)</f>
        <v>8398.814452442326</v>
      </c>
      <c r="N540" s="379">
        <f t="shared" si="40"/>
        <v>1.608827251550195</v>
      </c>
      <c r="O540" s="293">
        <f>SUM(O533:O539)</f>
        <v>0.27254064892652063</v>
      </c>
      <c r="P540" s="247"/>
    </row>
    <row r="541" spans="2:16" ht="14.25" thickBot="1">
      <c r="B541" s="246"/>
      <c r="C541" s="250"/>
      <c r="D541" s="250"/>
      <c r="E541" s="250"/>
      <c r="F541" s="270" t="s">
        <v>204</v>
      </c>
      <c r="G541" s="294">
        <f>G539</f>
        <v>560</v>
      </c>
      <c r="H541" s="295">
        <f>'Other Electriciy Rates'!$F$14</f>
        <v>3.1281</v>
      </c>
      <c r="I541" s="273">
        <f>+G541*H541</f>
        <v>1751.7359999999999</v>
      </c>
      <c r="J541" s="294">
        <f>G541</f>
        <v>560</v>
      </c>
      <c r="K541" s="274">
        <f>'Other Electriciy Rates'!$F$28</f>
        <v>2.114539171604757</v>
      </c>
      <c r="L541" s="273">
        <f>+J541*K541</f>
        <v>1184.1419360986638</v>
      </c>
      <c r="M541" s="296">
        <f>+L541-I541</f>
        <v>-567.5940639013361</v>
      </c>
      <c r="N541" s="380">
        <f t="shared" si="40"/>
        <v>-0.3240180391915997</v>
      </c>
      <c r="O541" s="278">
        <f>L541/L547</f>
        <v>0.02369633343417662</v>
      </c>
      <c r="P541" s="247"/>
    </row>
    <row r="542" spans="2:16" ht="14.25" thickBot="1">
      <c r="B542" s="246"/>
      <c r="C542" s="250"/>
      <c r="D542" s="250"/>
      <c r="E542" s="250"/>
      <c r="F542" s="290" t="s">
        <v>202</v>
      </c>
      <c r="G542" s="400"/>
      <c r="H542" s="401"/>
      <c r="I542" s="291">
        <f>I540+I541</f>
        <v>6972.1936</v>
      </c>
      <c r="J542" s="400"/>
      <c r="K542" s="401"/>
      <c r="L542" s="291">
        <f>L540+L541</f>
        <v>14803.413988540991</v>
      </c>
      <c r="M542" s="291">
        <f>M540+M541</f>
        <v>7831.22038854099</v>
      </c>
      <c r="N542" s="379">
        <f t="shared" si="40"/>
        <v>1.123207535221195</v>
      </c>
      <c r="O542" s="298">
        <f>L542/L547</f>
        <v>0.2962369823606973</v>
      </c>
      <c r="P542" s="247"/>
    </row>
    <row r="543" spans="2:16" ht="13.5">
      <c r="B543" s="246"/>
      <c r="C543" s="250"/>
      <c r="D543" s="250"/>
      <c r="E543" s="250"/>
      <c r="F543" s="381" t="s">
        <v>76</v>
      </c>
      <c r="G543" s="300">
        <f>C535*'Other Electriciy Rates'!$L$15</f>
        <v>396720</v>
      </c>
      <c r="H543" s="301">
        <f>'Other Electriciy Rates'!$C$14+'Other Electriciy Rates'!$D$14</f>
        <v>0.0135</v>
      </c>
      <c r="I543" s="302">
        <f>+G543*H543</f>
        <v>5355.72</v>
      </c>
      <c r="J543" s="300">
        <f>C535*'Other Electriciy Rates'!$L$29</f>
        <v>396377.99999999994</v>
      </c>
      <c r="K543" s="301">
        <f>'Other Electriciy Rates'!$C$28+'Other Electriciy Rates'!$D$28</f>
        <v>0.0135</v>
      </c>
      <c r="L543" s="303">
        <f>+J543*K543</f>
        <v>5351.102999999999</v>
      </c>
      <c r="M543" s="304">
        <f>+L543-I543</f>
        <v>-4.617000000001099</v>
      </c>
      <c r="N543" s="374">
        <f t="shared" si="40"/>
        <v>-0.0008620689655174465</v>
      </c>
      <c r="O543" s="278">
        <f>L543/L547</f>
        <v>0.10708304221231262</v>
      </c>
      <c r="P543" s="247"/>
    </row>
    <row r="544" spans="2:16" ht="14.25" thickBot="1">
      <c r="B544" s="246"/>
      <c r="C544" s="250"/>
      <c r="D544" s="250"/>
      <c r="E544" s="250"/>
      <c r="F544" s="381" t="s">
        <v>77</v>
      </c>
      <c r="G544" s="300">
        <f>G543</f>
        <v>396720</v>
      </c>
      <c r="H544" s="301">
        <f>'Other Electriciy Rates'!$J$14</f>
        <v>0.06072</v>
      </c>
      <c r="I544" s="302">
        <f>+G544*H544</f>
        <v>24088.8384</v>
      </c>
      <c r="J544" s="300">
        <f>J543</f>
        <v>396377.99999999994</v>
      </c>
      <c r="K544" s="301">
        <f>'Other Electriciy Rates'!$J$28</f>
        <v>0.06072</v>
      </c>
      <c r="L544" s="303">
        <f>+J544*K544</f>
        <v>24068.072159999996</v>
      </c>
      <c r="M544" s="304">
        <f>+L544-I544</f>
        <v>-20.766240000004473</v>
      </c>
      <c r="N544" s="374">
        <f t="shared" si="40"/>
        <v>-0.000862068965517427</v>
      </c>
      <c r="O544" s="278">
        <f>L544/L547</f>
        <v>0.4816357276393794</v>
      </c>
      <c r="P544" s="247"/>
    </row>
    <row r="545" spans="2:16" ht="14.25" thickBot="1">
      <c r="B545" s="246"/>
      <c r="C545" s="250"/>
      <c r="D545" s="250"/>
      <c r="E545" s="250"/>
      <c r="F545" s="290" t="s">
        <v>157</v>
      </c>
      <c r="G545" s="400"/>
      <c r="H545" s="401"/>
      <c r="I545" s="291">
        <f>SUM(I542:I544)</f>
        <v>36416.752</v>
      </c>
      <c r="J545" s="400"/>
      <c r="K545" s="401"/>
      <c r="L545" s="291">
        <f>SUM(L542:L544)</f>
        <v>44222.58914854099</v>
      </c>
      <c r="M545" s="291">
        <f>SUM(M542:M544)</f>
        <v>7805.837148540984</v>
      </c>
      <c r="N545" s="379">
        <f t="shared" si="40"/>
        <v>0.2143474285828946</v>
      </c>
      <c r="O545" s="298">
        <f>L545/L547</f>
        <v>0.8849557522123893</v>
      </c>
      <c r="P545" s="247"/>
    </row>
    <row r="546" spans="2:16" ht="14.25" thickBot="1">
      <c r="B546" s="246"/>
      <c r="C546" s="250"/>
      <c r="D546" s="250"/>
      <c r="E546" s="250"/>
      <c r="F546" s="324" t="s">
        <v>205</v>
      </c>
      <c r="G546" s="317"/>
      <c r="H546" s="325">
        <v>0.05</v>
      </c>
      <c r="I546" s="326">
        <f>I545*H546</f>
        <v>1820.8376</v>
      </c>
      <c r="J546" s="317"/>
      <c r="K546" s="325">
        <v>0.13</v>
      </c>
      <c r="L546" s="327">
        <f>L545*K546</f>
        <v>5748.936589310329</v>
      </c>
      <c r="M546" s="328">
        <f>+L546-I546</f>
        <v>3928.0989893103288</v>
      </c>
      <c r="N546" s="382">
        <f t="shared" si="40"/>
        <v>2.1573033143155262</v>
      </c>
      <c r="O546" s="315">
        <f>L546/L547</f>
        <v>0.11504424778761062</v>
      </c>
      <c r="P546" s="247"/>
    </row>
    <row r="547" spans="2:16" ht="15" thickBot="1">
      <c r="B547" s="246"/>
      <c r="C547" s="250"/>
      <c r="D547" s="250"/>
      <c r="E547" s="250"/>
      <c r="F547" s="402" t="s">
        <v>78</v>
      </c>
      <c r="G547" s="571"/>
      <c r="H547" s="572"/>
      <c r="I547" s="403">
        <f>I545+I546</f>
        <v>38237.5896</v>
      </c>
      <c r="J547" s="571"/>
      <c r="K547" s="572"/>
      <c r="L547" s="403">
        <f>L545+L546</f>
        <v>49971.52573785132</v>
      </c>
      <c r="M547" s="403">
        <f>M545+M546</f>
        <v>11733.936137851313</v>
      </c>
      <c r="N547" s="404">
        <f t="shared" si="40"/>
        <v>0.30686913742730565</v>
      </c>
      <c r="O547" s="405">
        <f>O545+O546</f>
        <v>0.9999999999999999</v>
      </c>
      <c r="P547" s="247"/>
    </row>
    <row r="548" spans="2:16" ht="15" thickBot="1">
      <c r="B548" s="339"/>
      <c r="C548" s="346"/>
      <c r="D548" s="346"/>
      <c r="E548" s="346"/>
      <c r="F548" s="392"/>
      <c r="G548" s="393"/>
      <c r="H548" s="394"/>
      <c r="I548" s="395"/>
      <c r="J548" s="393"/>
      <c r="K548" s="396"/>
      <c r="L548" s="395"/>
      <c r="M548" s="397"/>
      <c r="N548" s="398"/>
      <c r="O548" s="399"/>
      <c r="P548" s="340"/>
    </row>
    <row r="551" ht="14.25" thickBot="1"/>
    <row r="552" spans="2:16" ht="23.25">
      <c r="B552" s="244"/>
      <c r="C552" s="569" t="s">
        <v>156</v>
      </c>
      <c r="D552" s="569"/>
      <c r="E552" s="569"/>
      <c r="F552" s="569"/>
      <c r="G552" s="569"/>
      <c r="H552" s="569"/>
      <c r="I552" s="569"/>
      <c r="J552" s="569"/>
      <c r="K552" s="569"/>
      <c r="L552" s="569"/>
      <c r="M552" s="569"/>
      <c r="N552" s="569"/>
      <c r="O552" s="569"/>
      <c r="P552" s="245"/>
    </row>
    <row r="553" spans="2:16" ht="18" thickBot="1">
      <c r="B553" s="246"/>
      <c r="C553" s="570"/>
      <c r="D553" s="570"/>
      <c r="E553" s="570"/>
      <c r="F553" s="570"/>
      <c r="G553" s="570"/>
      <c r="H553" s="570"/>
      <c r="I553" s="570"/>
      <c r="J553" s="570"/>
      <c r="K553" s="570"/>
      <c r="L553" s="570"/>
      <c r="M553" s="570"/>
      <c r="N553" s="570"/>
      <c r="O553" s="570"/>
      <c r="P553" s="247"/>
    </row>
    <row r="554" spans="2:16" ht="21" thickBot="1">
      <c r="B554" s="246"/>
      <c r="C554" s="331"/>
      <c r="D554" s="331"/>
      <c r="E554" s="250"/>
      <c r="F554" s="251"/>
      <c r="G554" s="553" t="s">
        <v>158</v>
      </c>
      <c r="H554" s="554"/>
      <c r="I554" s="555"/>
      <c r="J554" s="553" t="s">
        <v>199</v>
      </c>
      <c r="K554" s="554"/>
      <c r="L554" s="555"/>
      <c r="M554" s="553" t="s">
        <v>72</v>
      </c>
      <c r="N554" s="554"/>
      <c r="O554" s="555"/>
      <c r="P554" s="247"/>
    </row>
    <row r="555" spans="2:16" ht="27.75" thickBot="1">
      <c r="B555" s="246"/>
      <c r="C555" s="250"/>
      <c r="D555" s="250"/>
      <c r="E555" s="252"/>
      <c r="F555" s="253"/>
      <c r="G555" s="254" t="s">
        <v>66</v>
      </c>
      <c r="H555" s="255" t="s">
        <v>67</v>
      </c>
      <c r="I555" s="256" t="s">
        <v>68</v>
      </c>
      <c r="J555" s="254" t="s">
        <v>66</v>
      </c>
      <c r="K555" s="255" t="s">
        <v>67</v>
      </c>
      <c r="L555" s="256" t="s">
        <v>68</v>
      </c>
      <c r="M555" s="257" t="s">
        <v>73</v>
      </c>
      <c r="N555" s="257" t="s">
        <v>74</v>
      </c>
      <c r="O555" s="259" t="s">
        <v>75</v>
      </c>
      <c r="P555" s="247"/>
    </row>
    <row r="556" spans="2:16" ht="15.75" thickBot="1">
      <c r="B556" s="246"/>
      <c r="C556" s="556" t="s">
        <v>69</v>
      </c>
      <c r="D556" s="557"/>
      <c r="E556" s="250"/>
      <c r="F556" s="260" t="s">
        <v>70</v>
      </c>
      <c r="G556" s="261"/>
      <c r="H556" s="262"/>
      <c r="I556" s="263">
        <f>'2010 Existing Rates'!$B$15</f>
        <v>10.73</v>
      </c>
      <c r="J556" s="261"/>
      <c r="K556" s="262"/>
      <c r="L556" s="264">
        <f>'Rate Schedule (Part 1)'!$E$70</f>
        <v>13.2728</v>
      </c>
      <c r="M556" s="265">
        <f>+L556-I556</f>
        <v>2.5427999999999997</v>
      </c>
      <c r="N556" s="266">
        <f aca="true" t="shared" si="41" ref="N556:N570">IF(I556=0," ",(+M556/I556))</f>
        <v>0.2369804287045666</v>
      </c>
      <c r="O556" s="267">
        <f>L556/L570</f>
        <v>0.28548568588367323</v>
      </c>
      <c r="P556" s="247"/>
    </row>
    <row r="557" spans="2:16" ht="18" thickBot="1">
      <c r="B557" s="246"/>
      <c r="C557" s="268">
        <v>250</v>
      </c>
      <c r="D557" s="269" t="s">
        <v>16</v>
      </c>
      <c r="E557" s="250"/>
      <c r="F557" s="270" t="s">
        <v>71</v>
      </c>
      <c r="G557" s="271">
        <f>+C557</f>
        <v>250</v>
      </c>
      <c r="H557" s="272">
        <f>'2010 Existing Rates'!$E$15</f>
        <v>0.0123</v>
      </c>
      <c r="I557" s="273">
        <f>+G557*H557</f>
        <v>3.075</v>
      </c>
      <c r="J557" s="271">
        <f>+C557</f>
        <v>250</v>
      </c>
      <c r="K557" s="274">
        <f>'Rate Schedule (Part 1)'!$E$71</f>
        <v>0.0152</v>
      </c>
      <c r="L557" s="275">
        <f>+J557*K557</f>
        <v>3.8</v>
      </c>
      <c r="M557" s="276">
        <f>+L557-I557</f>
        <v>0.7249999999999996</v>
      </c>
      <c r="N557" s="277">
        <f t="shared" si="41"/>
        <v>0.2357723577235771</v>
      </c>
      <c r="O557" s="278">
        <f>L557/L570</f>
        <v>0.08173449508453065</v>
      </c>
      <c r="P557" s="247"/>
    </row>
    <row r="558" spans="2:16" ht="17.25">
      <c r="B558" s="246"/>
      <c r="C558" s="279"/>
      <c r="D558" s="280"/>
      <c r="E558" s="250"/>
      <c r="F558" s="270" t="s">
        <v>126</v>
      </c>
      <c r="G558" s="271">
        <f>C557</f>
        <v>250</v>
      </c>
      <c r="H558" s="272"/>
      <c r="I558" s="286">
        <f>+G558*H558</f>
        <v>0</v>
      </c>
      <c r="J558" s="271">
        <f>C557</f>
        <v>250</v>
      </c>
      <c r="K558" s="274">
        <f>'Rate Schedule (Part 1)'!$E$72</f>
        <v>0.0122</v>
      </c>
      <c r="L558" s="275">
        <f>J558*K558</f>
        <v>3.0500000000000003</v>
      </c>
      <c r="M558" s="276">
        <f>+L558-I558</f>
        <v>3.0500000000000003</v>
      </c>
      <c r="N558" s="277" t="str">
        <f t="shared" si="41"/>
        <v> </v>
      </c>
      <c r="O558" s="278">
        <f>L558/L570</f>
        <v>0.06560268684416276</v>
      </c>
      <c r="P558" s="247"/>
    </row>
    <row r="559" spans="2:16" ht="27">
      <c r="B559" s="246"/>
      <c r="C559" s="279"/>
      <c r="D559" s="280"/>
      <c r="E559" s="250"/>
      <c r="F559" s="270" t="s">
        <v>268</v>
      </c>
      <c r="G559" s="406">
        <f>G558</f>
        <v>250</v>
      </c>
      <c r="H559" s="288">
        <f>'2010 Existing Rates'!$B$28</f>
        <v>0</v>
      </c>
      <c r="I559" s="273">
        <f>+G559*H559</f>
        <v>0</v>
      </c>
      <c r="J559" s="406">
        <f>J558</f>
        <v>250</v>
      </c>
      <c r="K559" s="274">
        <f>'Rate Schedule (Part 1)'!$E$73</f>
        <v>-0.00143</v>
      </c>
      <c r="L559" s="275">
        <f>J559*K559</f>
        <v>-0.35750000000000004</v>
      </c>
      <c r="M559" s="276">
        <f>+L559-I559</f>
        <v>-0.35750000000000004</v>
      </c>
      <c r="N559" s="277" t="str">
        <f>IF(I559=0," ",(+M559/I559))</f>
        <v> </v>
      </c>
      <c r="O559" s="278">
        <f>L559/L570</f>
        <v>-0.007689495261242029</v>
      </c>
      <c r="P559" s="247"/>
    </row>
    <row r="560" spans="2:16" ht="27">
      <c r="B560" s="246"/>
      <c r="C560" s="279"/>
      <c r="D560" s="280"/>
      <c r="E560" s="250"/>
      <c r="F560" s="270" t="s">
        <v>269</v>
      </c>
      <c r="G560" s="406">
        <f>G559</f>
        <v>250</v>
      </c>
      <c r="H560" s="288"/>
      <c r="I560" s="273">
        <f>+G560*H560</f>
        <v>0</v>
      </c>
      <c r="J560" s="406">
        <f>J559</f>
        <v>250</v>
      </c>
      <c r="K560" s="274">
        <f>'Rate Schedule (Part 1)'!$E$74</f>
        <v>0.000222138791977524</v>
      </c>
      <c r="L560" s="275">
        <f>J560*K560</f>
        <v>0.055534697994380995</v>
      </c>
      <c r="M560" s="276">
        <f>+L560-I560</f>
        <v>0.055534697994380995</v>
      </c>
      <c r="N560" s="277" t="str">
        <f>IF(I560=0," ",(+M560/I560))</f>
        <v> </v>
      </c>
      <c r="O560" s="278">
        <f>L560/L570</f>
        <v>0.0011945001316427967</v>
      </c>
      <c r="P560" s="247"/>
    </row>
    <row r="561" spans="2:16" ht="27">
      <c r="B561" s="246"/>
      <c r="C561" s="279"/>
      <c r="D561" s="280"/>
      <c r="E561" s="250"/>
      <c r="F561" s="270" t="s">
        <v>270</v>
      </c>
      <c r="G561" s="406">
        <f>G560</f>
        <v>250</v>
      </c>
      <c r="H561" s="288"/>
      <c r="I561" s="273">
        <f>+G561*H561</f>
        <v>0</v>
      </c>
      <c r="J561" s="406">
        <f>J560</f>
        <v>250</v>
      </c>
      <c r="K561" s="274">
        <f>'Rate Schedule (Part 1)'!$E$75</f>
        <v>0.00038864786062876817</v>
      </c>
      <c r="L561" s="275">
        <f>J561*K561</f>
        <v>0.09716196515719204</v>
      </c>
      <c r="M561" s="276">
        <f>+L561-I561</f>
        <v>0.09716196515719204</v>
      </c>
      <c r="N561" s="277" t="str">
        <f>IF(I561=0," ",(+M561/I561))</f>
        <v> </v>
      </c>
      <c r="O561" s="278">
        <f>L561/L570</f>
        <v>0.0020898642535641713</v>
      </c>
      <c r="P561" s="247"/>
    </row>
    <row r="562" spans="2:16" ht="27.75" thickBot="1">
      <c r="B562" s="246"/>
      <c r="C562" s="279"/>
      <c r="D562" s="283"/>
      <c r="E562" s="250"/>
      <c r="F562" s="270" t="s">
        <v>271</v>
      </c>
      <c r="G562" s="406">
        <f>G561</f>
        <v>250</v>
      </c>
      <c r="H562" s="288"/>
      <c r="I562" s="273">
        <f>+G562*H562</f>
        <v>0</v>
      </c>
      <c r="J562" s="406">
        <f>J561</f>
        <v>250</v>
      </c>
      <c r="K562" s="274">
        <f>'Rate Schedule (Part 1)'!$E$76</f>
        <v>2.1115078323244392E-05</v>
      </c>
      <c r="L562" s="275">
        <f>J562*K562</f>
        <v>0.005278769580811098</v>
      </c>
      <c r="M562" s="276">
        <f>+L562-I562</f>
        <v>0.005278769580811098</v>
      </c>
      <c r="N562" s="277" t="str">
        <f>IF(I562=0," ",(+M562/I562))</f>
        <v> </v>
      </c>
      <c r="O562" s="278">
        <f>L562/L570</f>
        <v>0.00011354146483030911</v>
      </c>
      <c r="P562" s="247"/>
    </row>
    <row r="563" spans="2:16" ht="14.25" thickBot="1">
      <c r="B563" s="246"/>
      <c r="C563" s="250"/>
      <c r="D563" s="250"/>
      <c r="E563" s="250"/>
      <c r="F563" s="290" t="s">
        <v>200</v>
      </c>
      <c r="G563" s="400"/>
      <c r="H563" s="401"/>
      <c r="I563" s="291">
        <f>SUM(I556:I562)</f>
        <v>13.805</v>
      </c>
      <c r="J563" s="400"/>
      <c r="K563" s="401"/>
      <c r="L563" s="291">
        <f>SUM(L556:L562)</f>
        <v>19.923275432732385</v>
      </c>
      <c r="M563" s="291">
        <f>SUM(M556:M562)</f>
        <v>6.118275432732385</v>
      </c>
      <c r="N563" s="292">
        <f>IF(I563=0," ",(+M563/I563))</f>
        <v>0.4431927151562756</v>
      </c>
      <c r="O563" s="293">
        <f>L563/L570</f>
        <v>0.42853127840116195</v>
      </c>
      <c r="P563" s="247"/>
    </row>
    <row r="564" spans="2:16" ht="14.25" thickBot="1">
      <c r="B564" s="246"/>
      <c r="C564" s="250"/>
      <c r="D564" s="250"/>
      <c r="E564" s="250"/>
      <c r="F564" s="270" t="s">
        <v>201</v>
      </c>
      <c r="G564" s="294">
        <f>C557*'Other Electriciy Rates'!$L$16</f>
        <v>261</v>
      </c>
      <c r="H564" s="295">
        <f>'Other Electriciy Rates'!$B$16</f>
        <v>0.0098</v>
      </c>
      <c r="I564" s="273">
        <f>+G564*H564</f>
        <v>2.5578</v>
      </c>
      <c r="J564" s="294">
        <f>C557*'Other Electriciy Rates'!$L$30</f>
        <v>260.775</v>
      </c>
      <c r="K564" s="480">
        <f>'Other Electriciy Rates'!$B$30</f>
        <v>0.0071531600962254855</v>
      </c>
      <c r="L564" s="273">
        <f>+J564*K564</f>
        <v>1.8653653240932009</v>
      </c>
      <c r="M564" s="296">
        <f>+L564-I564</f>
        <v>-0.692434675906799</v>
      </c>
      <c r="N564" s="297">
        <f t="shared" si="41"/>
        <v>-0.2707149409284538</v>
      </c>
      <c r="O564" s="267">
        <f>L564/L570</f>
        <v>0.04012228760867096</v>
      </c>
      <c r="P564" s="247"/>
    </row>
    <row r="565" spans="2:16" ht="14.25" thickBot="1">
      <c r="B565" s="246"/>
      <c r="C565" s="250"/>
      <c r="D565" s="250"/>
      <c r="E565" s="250"/>
      <c r="F565" s="290" t="s">
        <v>202</v>
      </c>
      <c r="G565" s="400"/>
      <c r="H565" s="401"/>
      <c r="I565" s="291">
        <f>I563+I564</f>
        <v>16.3628</v>
      </c>
      <c r="J565" s="400"/>
      <c r="K565" s="401"/>
      <c r="L565" s="291">
        <f>L563+L564</f>
        <v>21.788640756825586</v>
      </c>
      <c r="M565" s="291">
        <f>M563+M564</f>
        <v>5.425840756825586</v>
      </c>
      <c r="N565" s="292">
        <f t="shared" si="41"/>
        <v>0.3315961056069613</v>
      </c>
      <c r="O565" s="298">
        <f>L565/L570</f>
        <v>0.4686535660098329</v>
      </c>
      <c r="P565" s="247"/>
    </row>
    <row r="566" spans="2:16" ht="13.5">
      <c r="B566" s="246"/>
      <c r="C566" s="250"/>
      <c r="D566" s="250"/>
      <c r="E566" s="250"/>
      <c r="F566" s="299" t="s">
        <v>76</v>
      </c>
      <c r="G566" s="300">
        <f>G564</f>
        <v>261</v>
      </c>
      <c r="H566" s="301">
        <f>'Other Electriciy Rates'!$C$16+'Other Electriciy Rates'!$D$16</f>
        <v>0.0135</v>
      </c>
      <c r="I566" s="302">
        <f>+G566*H566</f>
        <v>3.5235</v>
      </c>
      <c r="J566" s="300">
        <f>J564</f>
        <v>260.775</v>
      </c>
      <c r="K566" s="301">
        <f>'Other Electriciy Rates'!$C$30+'Other Electriciy Rates'!$D$30</f>
        <v>0.0135</v>
      </c>
      <c r="L566" s="303">
        <f>+J566*K566</f>
        <v>3.5204625</v>
      </c>
      <c r="M566" s="304">
        <f>+L566-I566</f>
        <v>-0.0030375000000000263</v>
      </c>
      <c r="N566" s="305">
        <f t="shared" si="41"/>
        <v>-0.0008620689655172488</v>
      </c>
      <c r="O566" s="306">
        <f>L566/L570</f>
        <v>0.07572190128987485</v>
      </c>
      <c r="P566" s="247"/>
    </row>
    <row r="567" spans="2:16" ht="14.25" thickBot="1">
      <c r="B567" s="246"/>
      <c r="C567" s="250"/>
      <c r="D567" s="250"/>
      <c r="E567" s="250"/>
      <c r="F567" s="270" t="s">
        <v>77</v>
      </c>
      <c r="G567" s="406">
        <f>G566</f>
        <v>261</v>
      </c>
      <c r="H567" s="407">
        <f>'Other Electriciy Rates'!$J$16</f>
        <v>0.06072</v>
      </c>
      <c r="I567" s="286">
        <f>+G567*H567</f>
        <v>15.84792</v>
      </c>
      <c r="J567" s="406">
        <f>J566</f>
        <v>260.775</v>
      </c>
      <c r="K567" s="407">
        <f>'Other Electriciy Rates'!$J$30</f>
        <v>0.06072</v>
      </c>
      <c r="L567" s="289">
        <f>+J567*K567</f>
        <v>15.834258</v>
      </c>
      <c r="M567" s="328">
        <f>+L567-I567</f>
        <v>-0.013662000000000063</v>
      </c>
      <c r="N567" s="329">
        <f t="shared" si="41"/>
        <v>-0.0008620689655172454</v>
      </c>
      <c r="O567" s="315">
        <f>L567/L570</f>
        <v>0.3405802849126816</v>
      </c>
      <c r="P567" s="247"/>
    </row>
    <row r="568" spans="2:16" ht="14.25" thickBot="1">
      <c r="B568" s="246"/>
      <c r="C568" s="250"/>
      <c r="D568" s="250"/>
      <c r="E568" s="250"/>
      <c r="F568" s="290" t="s">
        <v>157</v>
      </c>
      <c r="G568" s="400"/>
      <c r="H568" s="401"/>
      <c r="I568" s="291">
        <f>SUM(I565:I567)</f>
        <v>35.73422</v>
      </c>
      <c r="J568" s="400"/>
      <c r="K568" s="401"/>
      <c r="L568" s="291">
        <f>SUM(L565:L567)</f>
        <v>41.143361256825585</v>
      </c>
      <c r="M568" s="291">
        <f>SUM(M565:M567)</f>
        <v>5.4091412568255866</v>
      </c>
      <c r="N568" s="292">
        <f t="shared" si="41"/>
        <v>0.15137146569382476</v>
      </c>
      <c r="O568" s="298">
        <f>L568/L570</f>
        <v>0.8849557522123893</v>
      </c>
      <c r="P568" s="247"/>
    </row>
    <row r="569" spans="2:16" ht="14.25" thickBot="1">
      <c r="B569" s="246"/>
      <c r="C569" s="250"/>
      <c r="D569" s="250"/>
      <c r="E569" s="250"/>
      <c r="F569" s="324" t="s">
        <v>205</v>
      </c>
      <c r="G569" s="317"/>
      <c r="H569" s="325">
        <v>0.05</v>
      </c>
      <c r="I569" s="326">
        <f>I568*H569</f>
        <v>1.7867110000000002</v>
      </c>
      <c r="J569" s="317"/>
      <c r="K569" s="325">
        <v>0.13</v>
      </c>
      <c r="L569" s="327">
        <f>L568*K569</f>
        <v>5.348636963387326</v>
      </c>
      <c r="M569" s="328">
        <f>+L569-I569</f>
        <v>3.561925963387326</v>
      </c>
      <c r="N569" s="329">
        <f t="shared" si="41"/>
        <v>1.993565810803944</v>
      </c>
      <c r="O569" s="315">
        <f>L569/L570</f>
        <v>0.11504424778761062</v>
      </c>
      <c r="P569" s="323"/>
    </row>
    <row r="570" spans="2:16" ht="15" thickBot="1">
      <c r="B570" s="246"/>
      <c r="C570" s="250"/>
      <c r="D570" s="250"/>
      <c r="E570" s="250"/>
      <c r="F570" s="333" t="s">
        <v>78</v>
      </c>
      <c r="G570" s="560"/>
      <c r="H570" s="561"/>
      <c r="I570" s="334">
        <f>I568+I569</f>
        <v>37.520931</v>
      </c>
      <c r="J570" s="560"/>
      <c r="K570" s="561"/>
      <c r="L570" s="334">
        <f>L568+L569</f>
        <v>46.49199822021291</v>
      </c>
      <c r="M570" s="334">
        <f>M568+M569</f>
        <v>8.971067220212912</v>
      </c>
      <c r="N570" s="292">
        <f t="shared" si="41"/>
        <v>0.2390950059371638</v>
      </c>
      <c r="O570" s="336">
        <f>O568+O569</f>
        <v>0.9999999999999999</v>
      </c>
      <c r="P570" s="247"/>
    </row>
    <row r="571" spans="2:17" ht="14.25">
      <c r="B571" s="330"/>
      <c r="C571" s="331"/>
      <c r="D571" s="331"/>
      <c r="E571" s="331"/>
      <c r="F571" s="481"/>
      <c r="G571" s="481"/>
      <c r="P571" s="337"/>
      <c r="Q571" s="338"/>
    </row>
    <row r="572" spans="2:16" ht="24" thickBot="1">
      <c r="B572" s="339"/>
      <c r="C572" s="564"/>
      <c r="D572" s="564"/>
      <c r="E572" s="564"/>
      <c r="F572" s="564"/>
      <c r="G572" s="564"/>
      <c r="H572" s="564"/>
      <c r="I572" s="564"/>
      <c r="J572" s="564"/>
      <c r="K572" s="564"/>
      <c r="L572" s="564"/>
      <c r="M572" s="564"/>
      <c r="N572" s="564"/>
      <c r="O572" s="564"/>
      <c r="P572" s="340"/>
    </row>
    <row r="573" ht="14.25" thickBot="1"/>
    <row r="574" spans="2:16" ht="23.25">
      <c r="B574" s="244"/>
      <c r="C574" s="569" t="s">
        <v>156</v>
      </c>
      <c r="D574" s="569"/>
      <c r="E574" s="569"/>
      <c r="F574" s="569"/>
      <c r="G574" s="569"/>
      <c r="H574" s="569"/>
      <c r="I574" s="569"/>
      <c r="J574" s="569"/>
      <c r="K574" s="569"/>
      <c r="L574" s="569"/>
      <c r="M574" s="569"/>
      <c r="N574" s="569"/>
      <c r="O574" s="569"/>
      <c r="P574" s="245"/>
    </row>
    <row r="575" spans="2:16" ht="18" thickBot="1">
      <c r="B575" s="246"/>
      <c r="C575" s="570"/>
      <c r="D575" s="570"/>
      <c r="E575" s="570"/>
      <c r="F575" s="570"/>
      <c r="G575" s="570"/>
      <c r="H575" s="570"/>
      <c r="I575" s="570"/>
      <c r="J575" s="570"/>
      <c r="K575" s="570"/>
      <c r="L575" s="570"/>
      <c r="M575" s="570"/>
      <c r="N575" s="570"/>
      <c r="O575" s="570"/>
      <c r="P575" s="247"/>
    </row>
    <row r="576" spans="2:16" ht="21" thickBot="1">
      <c r="B576" s="246"/>
      <c r="C576" s="331"/>
      <c r="D576" s="331"/>
      <c r="E576" s="250"/>
      <c r="F576" s="251"/>
      <c r="G576" s="553" t="s">
        <v>158</v>
      </c>
      <c r="H576" s="554"/>
      <c r="I576" s="555"/>
      <c r="J576" s="553" t="s">
        <v>199</v>
      </c>
      <c r="K576" s="554"/>
      <c r="L576" s="555"/>
      <c r="M576" s="553" t="s">
        <v>72</v>
      </c>
      <c r="N576" s="554"/>
      <c r="O576" s="555"/>
      <c r="P576" s="247"/>
    </row>
    <row r="577" spans="2:16" ht="27.75" thickBot="1">
      <c r="B577" s="246"/>
      <c r="C577" s="250"/>
      <c r="D577" s="250"/>
      <c r="E577" s="252"/>
      <c r="F577" s="253"/>
      <c r="G577" s="254" t="s">
        <v>66</v>
      </c>
      <c r="H577" s="255" t="s">
        <v>67</v>
      </c>
      <c r="I577" s="256" t="s">
        <v>68</v>
      </c>
      <c r="J577" s="254" t="s">
        <v>66</v>
      </c>
      <c r="K577" s="255" t="s">
        <v>67</v>
      </c>
      <c r="L577" s="256" t="s">
        <v>68</v>
      </c>
      <c r="M577" s="257" t="s">
        <v>73</v>
      </c>
      <c r="N577" s="257" t="s">
        <v>74</v>
      </c>
      <c r="O577" s="259" t="s">
        <v>75</v>
      </c>
      <c r="P577" s="247"/>
    </row>
    <row r="578" spans="2:16" ht="15.75" thickBot="1">
      <c r="B578" s="246"/>
      <c r="C578" s="556" t="s">
        <v>69</v>
      </c>
      <c r="D578" s="557"/>
      <c r="E578" s="250"/>
      <c r="F578" s="260" t="s">
        <v>70</v>
      </c>
      <c r="G578" s="261"/>
      <c r="H578" s="262"/>
      <c r="I578" s="263">
        <f>'2010 Existing Rates'!$B$15</f>
        <v>10.73</v>
      </c>
      <c r="J578" s="261"/>
      <c r="K578" s="262"/>
      <c r="L578" s="264">
        <f>'Rate Schedule (Part 1)'!$E$70</f>
        <v>13.2728</v>
      </c>
      <c r="M578" s="265">
        <f>+L578-I578</f>
        <v>2.5427999999999997</v>
      </c>
      <c r="N578" s="266">
        <f aca="true" t="shared" si="42" ref="N578:N592">IF(I578=0," ",(+M578/I578))</f>
        <v>0.2369804287045666</v>
      </c>
      <c r="O578" s="267">
        <f>L578/L592</f>
        <v>0.17019523423902239</v>
      </c>
      <c r="P578" s="247"/>
    </row>
    <row r="579" spans="2:16" ht="18" thickBot="1">
      <c r="B579" s="246"/>
      <c r="C579" s="268">
        <v>500</v>
      </c>
      <c r="D579" s="269" t="s">
        <v>16</v>
      </c>
      <c r="E579" s="250"/>
      <c r="F579" s="270" t="s">
        <v>71</v>
      </c>
      <c r="G579" s="271">
        <f>+C579</f>
        <v>500</v>
      </c>
      <c r="H579" s="272">
        <f>'2010 Existing Rates'!$E$15</f>
        <v>0.0123</v>
      </c>
      <c r="I579" s="273">
        <f>+G579*H579</f>
        <v>6.15</v>
      </c>
      <c r="J579" s="271">
        <f>+C579</f>
        <v>500</v>
      </c>
      <c r="K579" s="274">
        <f>'Rate Schedule (Part 1)'!$E$71</f>
        <v>0.0152</v>
      </c>
      <c r="L579" s="275">
        <f>+J579*K579</f>
        <v>7.6</v>
      </c>
      <c r="M579" s="276">
        <f>+L579-I579</f>
        <v>1.4499999999999993</v>
      </c>
      <c r="N579" s="277">
        <f t="shared" si="42"/>
        <v>0.2357723577235771</v>
      </c>
      <c r="O579" s="278">
        <f>L579/L592</f>
        <v>0.09745372342057215</v>
      </c>
      <c r="P579" s="247"/>
    </row>
    <row r="580" spans="2:16" ht="17.25">
      <c r="B580" s="246"/>
      <c r="C580" s="279"/>
      <c r="D580" s="280"/>
      <c r="E580" s="250"/>
      <c r="F580" s="270" t="s">
        <v>126</v>
      </c>
      <c r="G580" s="271">
        <f>C579</f>
        <v>500</v>
      </c>
      <c r="H580" s="272"/>
      <c r="I580" s="286">
        <f>+G580*H580</f>
        <v>0</v>
      </c>
      <c r="J580" s="271">
        <f>C579</f>
        <v>500</v>
      </c>
      <c r="K580" s="274">
        <f>'Rate Schedule (Part 1)'!$E$72</f>
        <v>0.0122</v>
      </c>
      <c r="L580" s="275">
        <f>J580*K580</f>
        <v>6.1000000000000005</v>
      </c>
      <c r="M580" s="276">
        <f>+L580-I580</f>
        <v>6.1000000000000005</v>
      </c>
      <c r="N580" s="277" t="str">
        <f t="shared" si="42"/>
        <v> </v>
      </c>
      <c r="O580" s="278">
        <f>L580/L592</f>
        <v>0.07821943590335398</v>
      </c>
      <c r="P580" s="247"/>
    </row>
    <row r="581" spans="2:16" ht="27">
      <c r="B581" s="246"/>
      <c r="C581" s="279"/>
      <c r="D581" s="280"/>
      <c r="E581" s="250"/>
      <c r="F581" s="270" t="s">
        <v>268</v>
      </c>
      <c r="G581" s="406">
        <f>G580</f>
        <v>500</v>
      </c>
      <c r="H581" s="288">
        <f>'2010 Existing Rates'!$B$28</f>
        <v>0</v>
      </c>
      <c r="I581" s="273">
        <f>+G581*H581</f>
        <v>0</v>
      </c>
      <c r="J581" s="406">
        <f>J580</f>
        <v>500</v>
      </c>
      <c r="K581" s="274">
        <f>'Rate Schedule (Part 1)'!$E$73</f>
        <v>-0.00143</v>
      </c>
      <c r="L581" s="275">
        <f>J581*K581</f>
        <v>-0.7150000000000001</v>
      </c>
      <c r="M581" s="276">
        <f>+L581-I581</f>
        <v>-0.7150000000000001</v>
      </c>
      <c r="N581" s="277" t="str">
        <f t="shared" si="42"/>
        <v> </v>
      </c>
      <c r="O581" s="278">
        <f>L581/L592</f>
        <v>-0.009168343716540671</v>
      </c>
      <c r="P581" s="247"/>
    </row>
    <row r="582" spans="2:16" ht="27">
      <c r="B582" s="246"/>
      <c r="C582" s="279"/>
      <c r="D582" s="280"/>
      <c r="E582" s="250"/>
      <c r="F582" s="270" t="s">
        <v>269</v>
      </c>
      <c r="G582" s="406">
        <f>G581</f>
        <v>500</v>
      </c>
      <c r="H582" s="288"/>
      <c r="I582" s="273">
        <f>+G582*H582</f>
        <v>0</v>
      </c>
      <c r="J582" s="406">
        <f>J581</f>
        <v>500</v>
      </c>
      <c r="K582" s="274">
        <f>'Rate Schedule (Part 1)'!$E$74</f>
        <v>0.000222138791977524</v>
      </c>
      <c r="L582" s="275">
        <f>J582*K582</f>
        <v>0.11106939598876199</v>
      </c>
      <c r="M582" s="276">
        <f>+L582-I582</f>
        <v>0.11106939598876199</v>
      </c>
      <c r="N582" s="277" t="str">
        <f t="shared" si="42"/>
        <v> </v>
      </c>
      <c r="O582" s="278">
        <f>L582/L592</f>
        <v>0.0014242271312077392</v>
      </c>
      <c r="P582" s="247"/>
    </row>
    <row r="583" spans="2:16" ht="27">
      <c r="B583" s="246"/>
      <c r="C583" s="279"/>
      <c r="D583" s="280"/>
      <c r="E583" s="250"/>
      <c r="F583" s="270" t="s">
        <v>270</v>
      </c>
      <c r="G583" s="406">
        <f>G582</f>
        <v>500</v>
      </c>
      <c r="H583" s="288"/>
      <c r="I583" s="273">
        <f>+G583*H583</f>
        <v>0</v>
      </c>
      <c r="J583" s="406">
        <f>J582</f>
        <v>500</v>
      </c>
      <c r="K583" s="274">
        <f>'Rate Schedule (Part 1)'!$E$75</f>
        <v>0.00038864786062876817</v>
      </c>
      <c r="L583" s="275">
        <f>J583*K583</f>
        <v>0.19432393031438408</v>
      </c>
      <c r="M583" s="276">
        <f>+L583-I583</f>
        <v>0.19432393031438408</v>
      </c>
      <c r="N583" s="277" t="str">
        <f t="shared" si="42"/>
        <v> </v>
      </c>
      <c r="O583" s="278">
        <f>L583/L592</f>
        <v>0.00249178823142849</v>
      </c>
      <c r="P583" s="247"/>
    </row>
    <row r="584" spans="2:16" ht="27.75" thickBot="1">
      <c r="B584" s="246"/>
      <c r="C584" s="279"/>
      <c r="D584" s="283"/>
      <c r="E584" s="250"/>
      <c r="F584" s="270" t="s">
        <v>271</v>
      </c>
      <c r="G584" s="406">
        <f>G583</f>
        <v>500</v>
      </c>
      <c r="H584" s="288"/>
      <c r="I584" s="273">
        <f>+G584*H584</f>
        <v>0</v>
      </c>
      <c r="J584" s="406">
        <f>J583</f>
        <v>500</v>
      </c>
      <c r="K584" s="274">
        <f>'Rate Schedule (Part 1)'!$E$76</f>
        <v>2.1115078323244392E-05</v>
      </c>
      <c r="L584" s="275">
        <f>J584*K584</f>
        <v>0.010557539161622196</v>
      </c>
      <c r="M584" s="276">
        <f>+L584-I584</f>
        <v>0.010557539161622196</v>
      </c>
      <c r="N584" s="277" t="str">
        <f t="shared" si="42"/>
        <v> </v>
      </c>
      <c r="O584" s="278">
        <f>L584/L592</f>
        <v>0.000135377829139288</v>
      </c>
      <c r="P584" s="247"/>
    </row>
    <row r="585" spans="2:16" ht="14.25" thickBot="1">
      <c r="B585" s="246"/>
      <c r="C585" s="250"/>
      <c r="D585" s="250"/>
      <c r="E585" s="250"/>
      <c r="F585" s="290" t="s">
        <v>200</v>
      </c>
      <c r="G585" s="473"/>
      <c r="H585" s="474"/>
      <c r="I585" s="291">
        <f>SUM(I578:I584)</f>
        <v>16.880000000000003</v>
      </c>
      <c r="J585" s="473"/>
      <c r="K585" s="474"/>
      <c r="L585" s="291">
        <f>SUM(L578:L584)</f>
        <v>26.573750865464763</v>
      </c>
      <c r="M585" s="291">
        <f>SUM(M578:M584)</f>
        <v>9.69375086546477</v>
      </c>
      <c r="N585" s="292">
        <f>IF(I585=0," ",(+M585/I585))</f>
        <v>0.5742743403711356</v>
      </c>
      <c r="O585" s="293">
        <f>L585/L592</f>
        <v>0.34075144303818333</v>
      </c>
      <c r="P585" s="247"/>
    </row>
    <row r="586" spans="2:16" ht="14.25" thickBot="1">
      <c r="B586" s="246"/>
      <c r="C586" s="250"/>
      <c r="D586" s="250"/>
      <c r="E586" s="250"/>
      <c r="F586" s="270" t="s">
        <v>201</v>
      </c>
      <c r="G586" s="294">
        <f>C579*'Other Electriciy Rates'!$L$16</f>
        <v>522</v>
      </c>
      <c r="H586" s="295">
        <f>'Other Electriciy Rates'!$B$16</f>
        <v>0.0098</v>
      </c>
      <c r="I586" s="273">
        <f>+G586*H586</f>
        <v>5.1156</v>
      </c>
      <c r="J586" s="294">
        <f>C579*'Other Electriciy Rates'!$L$30</f>
        <v>521.55</v>
      </c>
      <c r="K586" s="480">
        <f>'Other Electriciy Rates'!$B$30</f>
        <v>0.0071531600962254855</v>
      </c>
      <c r="L586" s="273">
        <f>+J586*K586</f>
        <v>3.7307306481864018</v>
      </c>
      <c r="M586" s="296">
        <f>+L586-I586</f>
        <v>-1.384869351813598</v>
      </c>
      <c r="N586" s="297">
        <f>IF(I586=0," ",(+M586/I586))</f>
        <v>-0.2707149409284538</v>
      </c>
      <c r="O586" s="267">
        <f>L586/L592</f>
        <v>0.047838630624343355</v>
      </c>
      <c r="P586" s="247"/>
    </row>
    <row r="587" spans="2:16" ht="14.25" thickBot="1">
      <c r="B587" s="246"/>
      <c r="C587" s="250"/>
      <c r="D587" s="250"/>
      <c r="E587" s="250"/>
      <c r="F587" s="290" t="s">
        <v>202</v>
      </c>
      <c r="G587" s="400"/>
      <c r="H587" s="401"/>
      <c r="I587" s="291">
        <f>I585+I586</f>
        <v>21.995600000000003</v>
      </c>
      <c r="J587" s="400"/>
      <c r="K587" s="401"/>
      <c r="L587" s="291">
        <f>L585+L586</f>
        <v>30.304481513651165</v>
      </c>
      <c r="M587" s="291">
        <f>M585+M586</f>
        <v>8.308881513651173</v>
      </c>
      <c r="N587" s="292">
        <f t="shared" si="42"/>
        <v>0.3777519828352567</v>
      </c>
      <c r="O587" s="298">
        <f>L587/L592</f>
        <v>0.3885900736625267</v>
      </c>
      <c r="P587" s="247"/>
    </row>
    <row r="588" spans="2:16" ht="13.5">
      <c r="B588" s="246"/>
      <c r="C588" s="250"/>
      <c r="D588" s="250"/>
      <c r="E588" s="250"/>
      <c r="F588" s="299" t="s">
        <v>76</v>
      </c>
      <c r="G588" s="300">
        <f>G586</f>
        <v>522</v>
      </c>
      <c r="H588" s="301">
        <f>'Other Electriciy Rates'!$C$16+'Other Electriciy Rates'!$D$16</f>
        <v>0.0135</v>
      </c>
      <c r="I588" s="302">
        <f>+G588*H588</f>
        <v>7.047</v>
      </c>
      <c r="J588" s="300">
        <f>J586</f>
        <v>521.55</v>
      </c>
      <c r="K588" s="301">
        <f>'Other Electriciy Rates'!$C$30+'Other Electriciy Rates'!$D$30</f>
        <v>0.0135</v>
      </c>
      <c r="L588" s="303">
        <f>+J588*K588</f>
        <v>7.040925</v>
      </c>
      <c r="M588" s="304">
        <f>+L588-I588</f>
        <v>-0.006075000000000053</v>
      </c>
      <c r="N588" s="305">
        <f t="shared" si="42"/>
        <v>-0.0008620689655172488</v>
      </c>
      <c r="O588" s="306">
        <f>L588/L592</f>
        <v>0.09028478389144631</v>
      </c>
      <c r="P588" s="247"/>
    </row>
    <row r="589" spans="2:16" ht="14.25" thickBot="1">
      <c r="B589" s="246"/>
      <c r="C589" s="250"/>
      <c r="D589" s="250"/>
      <c r="E589" s="250"/>
      <c r="F589" s="270" t="s">
        <v>77</v>
      </c>
      <c r="G589" s="406">
        <f>G588</f>
        <v>522</v>
      </c>
      <c r="H589" s="407">
        <f>'Other Electriciy Rates'!$J$16</f>
        <v>0.06072</v>
      </c>
      <c r="I589" s="286">
        <f>+G589*H589</f>
        <v>31.69584</v>
      </c>
      <c r="J589" s="406">
        <f>J588</f>
        <v>521.55</v>
      </c>
      <c r="K589" s="407">
        <f>'Other Electriciy Rates'!$J$30</f>
        <v>0.06072</v>
      </c>
      <c r="L589" s="289">
        <f>+J589*K589</f>
        <v>31.668516</v>
      </c>
      <c r="M589" s="328">
        <f>+L589-I589</f>
        <v>-0.027324000000000126</v>
      </c>
      <c r="N589" s="329">
        <f t="shared" si="42"/>
        <v>-0.0008620689655172454</v>
      </c>
      <c r="O589" s="315">
        <f>L589/L592</f>
        <v>0.40608089465841635</v>
      </c>
      <c r="P589" s="247"/>
    </row>
    <row r="590" spans="2:16" ht="14.25" thickBot="1">
      <c r="B590" s="246"/>
      <c r="C590" s="250"/>
      <c r="D590" s="250"/>
      <c r="E590" s="250"/>
      <c r="F590" s="290" t="s">
        <v>157</v>
      </c>
      <c r="G590" s="400"/>
      <c r="H590" s="401"/>
      <c r="I590" s="291">
        <f>SUM(I587:I589)</f>
        <v>60.738440000000004</v>
      </c>
      <c r="J590" s="400"/>
      <c r="K590" s="401"/>
      <c r="L590" s="291">
        <f>SUM(L587:L589)</f>
        <v>69.01392251365117</v>
      </c>
      <c r="M590" s="291">
        <f>SUM(M587:M589)</f>
        <v>8.275482513651173</v>
      </c>
      <c r="N590" s="292">
        <f t="shared" si="42"/>
        <v>0.13624786072298156</v>
      </c>
      <c r="O590" s="298">
        <f>L590/L592</f>
        <v>0.8849557522123893</v>
      </c>
      <c r="P590" s="247"/>
    </row>
    <row r="591" spans="2:16" ht="14.25" thickBot="1">
      <c r="B591" s="246"/>
      <c r="C591" s="250"/>
      <c r="D591" s="250"/>
      <c r="E591" s="250"/>
      <c r="F591" s="324" t="s">
        <v>205</v>
      </c>
      <c r="G591" s="317"/>
      <c r="H591" s="325">
        <v>0.05</v>
      </c>
      <c r="I591" s="326">
        <f>I590*H591</f>
        <v>3.0369220000000006</v>
      </c>
      <c r="J591" s="317"/>
      <c r="K591" s="325">
        <v>0.13</v>
      </c>
      <c r="L591" s="327">
        <f>L590*K591</f>
        <v>8.971809926774652</v>
      </c>
      <c r="M591" s="328">
        <f>+L591-I591</f>
        <v>5.9348879267746515</v>
      </c>
      <c r="N591" s="329">
        <f t="shared" si="42"/>
        <v>1.9542444378797514</v>
      </c>
      <c r="O591" s="315">
        <f>L591/L592</f>
        <v>0.11504424778761062</v>
      </c>
      <c r="P591" s="323"/>
    </row>
    <row r="592" spans="2:16" ht="15" thickBot="1">
      <c r="B592" s="246"/>
      <c r="C592" s="250"/>
      <c r="D592" s="250"/>
      <c r="E592" s="250"/>
      <c r="F592" s="333" t="s">
        <v>78</v>
      </c>
      <c r="G592" s="560"/>
      <c r="H592" s="561"/>
      <c r="I592" s="334">
        <f>I590+I591</f>
        <v>63.775362</v>
      </c>
      <c r="J592" s="560"/>
      <c r="K592" s="561"/>
      <c r="L592" s="334">
        <f>L590+L591</f>
        <v>77.98573244042582</v>
      </c>
      <c r="M592" s="334">
        <f>M590+M591</f>
        <v>14.210370440425825</v>
      </c>
      <c r="N592" s="292">
        <f t="shared" si="42"/>
        <v>0.2228191263018754</v>
      </c>
      <c r="O592" s="336">
        <f>O590+O591</f>
        <v>0.9999999999999999</v>
      </c>
      <c r="P592" s="247"/>
    </row>
    <row r="593" spans="2:16" ht="24" thickBot="1">
      <c r="B593" s="339"/>
      <c r="C593" s="564"/>
      <c r="D593" s="564"/>
      <c r="E593" s="564"/>
      <c r="F593" s="564"/>
      <c r="G593" s="564"/>
      <c r="H593" s="564"/>
      <c r="I593" s="564"/>
      <c r="J593" s="564"/>
      <c r="K593" s="564"/>
      <c r="L593" s="564"/>
      <c r="M593" s="564"/>
      <c r="N593" s="564"/>
      <c r="O593" s="564"/>
      <c r="P593" s="340"/>
    </row>
  </sheetData>
  <sheetProtection/>
  <mergeCells count="354">
    <mergeCell ref="J496:K496"/>
    <mergeCell ref="G498:H498"/>
    <mergeCell ref="G152:H152"/>
    <mergeCell ref="J152:K152"/>
    <mergeCell ref="G285:H285"/>
    <mergeCell ref="J285:K285"/>
    <mergeCell ref="G547:H547"/>
    <mergeCell ref="J547:K547"/>
    <mergeCell ref="G592:H592"/>
    <mergeCell ref="J592:K592"/>
    <mergeCell ref="G210:H210"/>
    <mergeCell ref="J210:K210"/>
    <mergeCell ref="G233:H233"/>
    <mergeCell ref="J233:K233"/>
    <mergeCell ref="G235:H235"/>
    <mergeCell ref="J235:K235"/>
    <mergeCell ref="G258:H258"/>
    <mergeCell ref="J258:K258"/>
    <mergeCell ref="G260:H260"/>
    <mergeCell ref="J260:K260"/>
    <mergeCell ref="C529:O529"/>
    <mergeCell ref="G531:I531"/>
    <mergeCell ref="J531:L531"/>
    <mergeCell ref="M531:O531"/>
    <mergeCell ref="C487:D487"/>
    <mergeCell ref="G496:H496"/>
    <mergeCell ref="G157:H157"/>
    <mergeCell ref="J157:K157"/>
    <mergeCell ref="G183:H183"/>
    <mergeCell ref="J183:K183"/>
    <mergeCell ref="G185:H185"/>
    <mergeCell ref="J185:K185"/>
    <mergeCell ref="G208:H208"/>
    <mergeCell ref="J208:K208"/>
    <mergeCell ref="G413:I413"/>
    <mergeCell ref="J413:L413"/>
    <mergeCell ref="C315:O315"/>
    <mergeCell ref="G316:I316"/>
    <mergeCell ref="J165:L165"/>
    <mergeCell ref="M165:O165"/>
    <mergeCell ref="J182:K182"/>
    <mergeCell ref="C167:D167"/>
    <mergeCell ref="G176:H176"/>
    <mergeCell ref="J176:K176"/>
    <mergeCell ref="G178:H178"/>
    <mergeCell ref="J282:K282"/>
    <mergeCell ref="C267:D267"/>
    <mergeCell ref="G276:H276"/>
    <mergeCell ref="J156:K156"/>
    <mergeCell ref="J27:K27"/>
    <mergeCell ref="G100:H100"/>
    <mergeCell ref="J100:K100"/>
    <mergeCell ref="G150:H150"/>
    <mergeCell ref="J150:K150"/>
    <mergeCell ref="J52:K52"/>
    <mergeCell ref="J77:K77"/>
    <mergeCell ref="G105:H105"/>
    <mergeCell ref="J105:K105"/>
    <mergeCell ref="G131:H131"/>
    <mergeCell ref="J104:K104"/>
    <mergeCell ref="J130:K130"/>
    <mergeCell ref="G48:H48"/>
    <mergeCell ref="J48:K48"/>
    <mergeCell ref="G55:H55"/>
    <mergeCell ref="J55:K55"/>
    <mergeCell ref="C81:O81"/>
    <mergeCell ref="C141:D141"/>
    <mergeCell ref="J131:K131"/>
    <mergeCell ref="C33:O33"/>
    <mergeCell ref="G35:I35"/>
    <mergeCell ref="J35:L35"/>
    <mergeCell ref="M35:O35"/>
    <mergeCell ref="J498:K498"/>
    <mergeCell ref="J503:K503"/>
    <mergeCell ref="G509:I509"/>
    <mergeCell ref="J509:L509"/>
    <mergeCell ref="C506:O506"/>
    <mergeCell ref="C533:D533"/>
    <mergeCell ref="C507:O507"/>
    <mergeCell ref="C508:O508"/>
    <mergeCell ref="C528:O528"/>
    <mergeCell ref="G525:H525"/>
    <mergeCell ref="J525:K525"/>
    <mergeCell ref="M509:O509"/>
    <mergeCell ref="C511:D511"/>
    <mergeCell ref="G448:H448"/>
    <mergeCell ref="J448:K448"/>
    <mergeCell ref="G450:H450"/>
    <mergeCell ref="J450:K450"/>
    <mergeCell ref="C434:O434"/>
    <mergeCell ref="C435:O435"/>
    <mergeCell ref="C436:O436"/>
    <mergeCell ref="G437:I437"/>
    <mergeCell ref="J437:L437"/>
    <mergeCell ref="C412:O412"/>
    <mergeCell ref="M413:O413"/>
    <mergeCell ref="G404:H404"/>
    <mergeCell ref="J404:K404"/>
    <mergeCell ref="G406:H406"/>
    <mergeCell ref="J406:K406"/>
    <mergeCell ref="C439:D439"/>
    <mergeCell ref="M437:O437"/>
    <mergeCell ref="G429:H429"/>
    <mergeCell ref="J429:K429"/>
    <mergeCell ref="G431:H431"/>
    <mergeCell ref="J431:K431"/>
    <mergeCell ref="C415:D415"/>
    <mergeCell ref="G424:H424"/>
    <mergeCell ref="J424:K424"/>
    <mergeCell ref="G426:H426"/>
    <mergeCell ref="J426:K426"/>
    <mergeCell ref="C34:O34"/>
    <mergeCell ref="C37:D37"/>
    <mergeCell ref="G80:H80"/>
    <mergeCell ref="J80:K80"/>
    <mergeCell ref="C58:O58"/>
    <mergeCell ref="C56:O56"/>
    <mergeCell ref="C59:O59"/>
    <mergeCell ref="G60:I60"/>
    <mergeCell ref="J60:L60"/>
    <mergeCell ref="M60:O60"/>
    <mergeCell ref="G46:H46"/>
    <mergeCell ref="J46:K46"/>
    <mergeCell ref="G53:H53"/>
    <mergeCell ref="J53:K53"/>
    <mergeCell ref="G78:H78"/>
    <mergeCell ref="G71:H71"/>
    <mergeCell ref="J71:K71"/>
    <mergeCell ref="G73:H73"/>
    <mergeCell ref="J73:K73"/>
    <mergeCell ref="M139:O139"/>
    <mergeCell ref="C294:D294"/>
    <mergeCell ref="C291:O291"/>
    <mergeCell ref="G292:I292"/>
    <mergeCell ref="J232:K232"/>
    <mergeCell ref="C217:D217"/>
    <mergeCell ref="G226:H226"/>
    <mergeCell ref="J226:K226"/>
    <mergeCell ref="G228:H228"/>
    <mergeCell ref="J228:K228"/>
    <mergeCell ref="G283:H283"/>
    <mergeCell ref="J283:K283"/>
    <mergeCell ref="C237:O237"/>
    <mergeCell ref="C238:O238"/>
    <mergeCell ref="C239:O239"/>
    <mergeCell ref="G240:I240"/>
    <mergeCell ref="J240:L240"/>
    <mergeCell ref="M240:O240"/>
    <mergeCell ref="J257:K257"/>
    <mergeCell ref="C242:D242"/>
    <mergeCell ref="G251:H251"/>
    <mergeCell ref="G278:H278"/>
    <mergeCell ref="J278:K278"/>
    <mergeCell ref="G215:I215"/>
    <mergeCell ref="C136:O136"/>
    <mergeCell ref="C137:O137"/>
    <mergeCell ref="C138:O138"/>
    <mergeCell ref="G139:I139"/>
    <mergeCell ref="J139:L139"/>
    <mergeCell ref="G305:H305"/>
    <mergeCell ref="J305:K305"/>
    <mergeCell ref="C313:O313"/>
    <mergeCell ref="C314:O314"/>
    <mergeCell ref="G159:H159"/>
    <mergeCell ref="J159:K159"/>
    <mergeCell ref="C162:O162"/>
    <mergeCell ref="C163:O163"/>
    <mergeCell ref="C164:O164"/>
    <mergeCell ref="G165:I165"/>
    <mergeCell ref="J251:K251"/>
    <mergeCell ref="G253:H253"/>
    <mergeCell ref="J253:K253"/>
    <mergeCell ref="C262:O262"/>
    <mergeCell ref="C263:O263"/>
    <mergeCell ref="C264:O264"/>
    <mergeCell ref="G265:I265"/>
    <mergeCell ref="J265:L265"/>
    <mergeCell ref="M265:O265"/>
    <mergeCell ref="J327:K327"/>
    <mergeCell ref="C410:O410"/>
    <mergeCell ref="C411:O411"/>
    <mergeCell ref="C337:O337"/>
    <mergeCell ref="J316:L316"/>
    <mergeCell ref="G388:I388"/>
    <mergeCell ref="J388:L388"/>
    <mergeCell ref="M388:O388"/>
    <mergeCell ref="C390:D390"/>
    <mergeCell ref="J382:K382"/>
    <mergeCell ref="C385:O385"/>
    <mergeCell ref="C386:O386"/>
    <mergeCell ref="C387:O387"/>
    <mergeCell ref="G399:H399"/>
    <mergeCell ref="J399:K399"/>
    <mergeCell ref="G380:H380"/>
    <mergeCell ref="J380:K380"/>
    <mergeCell ref="G382:H382"/>
    <mergeCell ref="G329:H329"/>
    <mergeCell ref="J329:K329"/>
    <mergeCell ref="G401:H401"/>
    <mergeCell ref="J401:K401"/>
    <mergeCell ref="G332:H332"/>
    <mergeCell ref="G356:H356"/>
    <mergeCell ref="J554:L554"/>
    <mergeCell ref="C552:O552"/>
    <mergeCell ref="C553:O553"/>
    <mergeCell ref="M554:O554"/>
    <mergeCell ref="G453:H453"/>
    <mergeCell ref="J453:K453"/>
    <mergeCell ref="G455:H455"/>
    <mergeCell ref="J455:K455"/>
    <mergeCell ref="C458:O458"/>
    <mergeCell ref="G503:H503"/>
    <mergeCell ref="G477:H477"/>
    <mergeCell ref="J477:K477"/>
    <mergeCell ref="G479:H479"/>
    <mergeCell ref="J479:K479"/>
    <mergeCell ref="C463:D463"/>
    <mergeCell ref="G472:H472"/>
    <mergeCell ref="J472:K472"/>
    <mergeCell ref="G474:H474"/>
    <mergeCell ref="J474:K474"/>
    <mergeCell ref="C482:O482"/>
    <mergeCell ref="C483:O483"/>
    <mergeCell ref="C484:O484"/>
    <mergeCell ref="G485:I485"/>
    <mergeCell ref="J485:L485"/>
    <mergeCell ref="G576:I576"/>
    <mergeCell ref="J576:L576"/>
    <mergeCell ref="M576:O576"/>
    <mergeCell ref="C578:D578"/>
    <mergeCell ref="C110:O110"/>
    <mergeCell ref="C111:O111"/>
    <mergeCell ref="C112:O112"/>
    <mergeCell ref="G113:I113"/>
    <mergeCell ref="J113:L113"/>
    <mergeCell ref="M113:O113"/>
    <mergeCell ref="C556:D556"/>
    <mergeCell ref="C572:O572"/>
    <mergeCell ref="C574:O574"/>
    <mergeCell ref="C575:O575"/>
    <mergeCell ref="G570:H570"/>
    <mergeCell ref="J570:K570"/>
    <mergeCell ref="G554:I554"/>
    <mergeCell ref="C115:D115"/>
    <mergeCell ref="G124:H124"/>
    <mergeCell ref="J124:K124"/>
    <mergeCell ref="G126:H126"/>
    <mergeCell ref="J126:K126"/>
    <mergeCell ref="G133:H133"/>
    <mergeCell ref="J133:K133"/>
    <mergeCell ref="B1:O1"/>
    <mergeCell ref="B2:O2"/>
    <mergeCell ref="B3:O3"/>
    <mergeCell ref="B7:O7"/>
    <mergeCell ref="C6:O6"/>
    <mergeCell ref="C4:O4"/>
    <mergeCell ref="C5:O5"/>
    <mergeCell ref="C8:O8"/>
    <mergeCell ref="C9:O9"/>
    <mergeCell ref="C12:D12"/>
    <mergeCell ref="G10:I10"/>
    <mergeCell ref="J10:L10"/>
    <mergeCell ref="M10:O10"/>
    <mergeCell ref="C31:O31"/>
    <mergeCell ref="J78:K78"/>
    <mergeCell ref="J30:K30"/>
    <mergeCell ref="G30:H30"/>
    <mergeCell ref="C593:O593"/>
    <mergeCell ref="C459:O459"/>
    <mergeCell ref="C460:O460"/>
    <mergeCell ref="G461:I461"/>
    <mergeCell ref="J461:L461"/>
    <mergeCell ref="M461:O461"/>
    <mergeCell ref="G501:H501"/>
    <mergeCell ref="J501:K501"/>
    <mergeCell ref="J332:K332"/>
    <mergeCell ref="G334:H334"/>
    <mergeCell ref="J334:K334"/>
    <mergeCell ref="C338:O338"/>
    <mergeCell ref="C339:O339"/>
    <mergeCell ref="G340:I340"/>
    <mergeCell ref="J340:L340"/>
    <mergeCell ref="M340:O340"/>
    <mergeCell ref="J356:K356"/>
    <mergeCell ref="C342:D342"/>
    <mergeCell ref="C366:D366"/>
    <mergeCell ref="G375:H375"/>
    <mergeCell ref="J375:K375"/>
    <mergeCell ref="G377:H377"/>
    <mergeCell ref="G21:H21"/>
    <mergeCell ref="J21:K21"/>
    <mergeCell ref="G28:H28"/>
    <mergeCell ref="J28:K28"/>
    <mergeCell ref="G23:H23"/>
    <mergeCell ref="J23:K23"/>
    <mergeCell ref="G107:H107"/>
    <mergeCell ref="J107:K107"/>
    <mergeCell ref="J98:K98"/>
    <mergeCell ref="C85:O85"/>
    <mergeCell ref="C86:O86"/>
    <mergeCell ref="C84:O84"/>
    <mergeCell ref="G87:I87"/>
    <mergeCell ref="J87:L87"/>
    <mergeCell ref="M87:O87"/>
    <mergeCell ref="C89:D89"/>
    <mergeCell ref="G98:H98"/>
    <mergeCell ref="C62:D62"/>
    <mergeCell ref="J215:L215"/>
    <mergeCell ref="M215:O215"/>
    <mergeCell ref="J292:L292"/>
    <mergeCell ref="M292:O292"/>
    <mergeCell ref="J178:K178"/>
    <mergeCell ref="C187:O187"/>
    <mergeCell ref="C188:O188"/>
    <mergeCell ref="C189:O189"/>
    <mergeCell ref="G190:I190"/>
    <mergeCell ref="J190:L190"/>
    <mergeCell ref="M190:O190"/>
    <mergeCell ref="C290:O290"/>
    <mergeCell ref="C289:O289"/>
    <mergeCell ref="J207:K207"/>
    <mergeCell ref="C192:D192"/>
    <mergeCell ref="G201:H201"/>
    <mergeCell ref="J201:K201"/>
    <mergeCell ref="G203:H203"/>
    <mergeCell ref="J203:K203"/>
    <mergeCell ref="C212:O212"/>
    <mergeCell ref="C213:O213"/>
    <mergeCell ref="C214:O214"/>
    <mergeCell ref="J276:K276"/>
    <mergeCell ref="J377:K377"/>
    <mergeCell ref="C530:O530"/>
    <mergeCell ref="G303:H303"/>
    <mergeCell ref="J303:K303"/>
    <mergeCell ref="G310:H310"/>
    <mergeCell ref="J310:K310"/>
    <mergeCell ref="G308:H308"/>
    <mergeCell ref="G358:H358"/>
    <mergeCell ref="J358:K358"/>
    <mergeCell ref="C361:O361"/>
    <mergeCell ref="C362:O362"/>
    <mergeCell ref="C363:O363"/>
    <mergeCell ref="G364:I364"/>
    <mergeCell ref="J364:L364"/>
    <mergeCell ref="M364:O364"/>
    <mergeCell ref="G351:H351"/>
    <mergeCell ref="J351:K351"/>
    <mergeCell ref="G353:H353"/>
    <mergeCell ref="J353:K353"/>
    <mergeCell ref="J308:K308"/>
    <mergeCell ref="M485:O485"/>
    <mergeCell ref="M316:O316"/>
    <mergeCell ref="C318:D318"/>
    <mergeCell ref="G327:H327"/>
  </mergeCells>
  <printOptions verticalCentered="1"/>
  <pageMargins left="0.03937007874015748" right="0.03937007874015748" top="0.3937007874015748" bottom="0.7874015748031497" header="0.5118110236220472" footer="0.5118110236220472"/>
  <pageSetup fitToHeight="7" horizontalDpi="355" verticalDpi="355" orientation="portrait" scale="57" r:id="rId1"/>
  <rowBreaks count="11" manualBreakCount="11">
    <brk id="56" max="255" man="1"/>
    <brk id="108" max="255" man="1"/>
    <brk id="160" max="255" man="1"/>
    <brk id="210" max="255" man="1"/>
    <brk id="260" max="255" man="1"/>
    <brk id="311" max="255" man="1"/>
    <brk id="359" max="255" man="1"/>
    <brk id="408" max="255" man="1"/>
    <brk id="456" max="255" man="1"/>
    <brk id="504" max="255" man="1"/>
    <brk id="5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GridLines="0" zoomScalePageLayoutView="0" workbookViewId="0" topLeftCell="A5">
      <selection activeCell="H28" sqref="H28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43.7109375" style="0" customWidth="1"/>
    <col min="4" max="4" width="13.00390625" style="0" customWidth="1"/>
    <col min="5" max="5" width="16.28125" style="0" customWidth="1"/>
  </cols>
  <sheetData>
    <row r="1" spans="1:5" ht="12.75">
      <c r="A1" s="522" t="str">
        <f>+'Revenue Input'!A1</f>
        <v>Woodstock Hydro Services Inc.</v>
      </c>
      <c r="B1" s="522"/>
      <c r="C1" s="522"/>
      <c r="D1" s="522"/>
      <c r="E1" s="522"/>
    </row>
    <row r="2" spans="1:5" ht="12.75">
      <c r="A2" s="522" t="str">
        <f>+'Revenue Input'!A2</f>
        <v>, License Number ED-2003-0011, File Number EB-2010-0145</v>
      </c>
      <c r="B2" s="522"/>
      <c r="C2" s="522"/>
      <c r="D2" s="522"/>
      <c r="E2" s="522"/>
    </row>
    <row r="3" spans="1:5" ht="12.75">
      <c r="A3" s="522">
        <f>+'Revenue Input'!A3</f>
        <v>0</v>
      </c>
      <c r="B3" s="522"/>
      <c r="C3" s="522"/>
      <c r="D3" s="522"/>
      <c r="E3" s="522"/>
    </row>
    <row r="4" spans="1:5" ht="8.25" customHeight="1">
      <c r="A4" s="494"/>
      <c r="B4" s="494"/>
      <c r="C4" s="494"/>
      <c r="D4" s="494"/>
      <c r="E4" s="494"/>
    </row>
    <row r="5" spans="1:5" ht="19.5" customHeight="1">
      <c r="A5" s="528" t="s">
        <v>86</v>
      </c>
      <c r="B5" s="528"/>
      <c r="C5" s="528"/>
      <c r="D5" s="528"/>
      <c r="E5" s="528"/>
    </row>
    <row r="6" spans="1:5" ht="19.5" customHeight="1">
      <c r="A6" s="576" t="s">
        <v>251</v>
      </c>
      <c r="B6" s="576"/>
      <c r="C6" s="576"/>
      <c r="D6" s="576"/>
      <c r="E6" s="576"/>
    </row>
    <row r="7" spans="1:5" ht="19.5" customHeight="1">
      <c r="A7" s="576" t="s">
        <v>195</v>
      </c>
      <c r="B7" s="576"/>
      <c r="C7" s="576"/>
      <c r="D7" s="576"/>
      <c r="E7" s="576"/>
    </row>
    <row r="8" spans="1:5" ht="19.5" customHeight="1">
      <c r="A8" s="567"/>
      <c r="B8" s="567"/>
      <c r="C8" s="567"/>
      <c r="D8" s="567"/>
      <c r="E8" s="567"/>
    </row>
    <row r="9" spans="1:6" ht="11.25" customHeight="1" thickBot="1">
      <c r="A9" s="443"/>
      <c r="B9" s="443"/>
      <c r="C9" s="443"/>
      <c r="D9" s="443"/>
      <c r="E9" s="444"/>
      <c r="F9" s="15"/>
    </row>
    <row r="10" spans="1:6" ht="26.25" thickBot="1">
      <c r="A10" s="445"/>
      <c r="B10" s="446" t="s">
        <v>0</v>
      </c>
      <c r="C10" s="446" t="s">
        <v>81</v>
      </c>
      <c r="D10" s="446" t="s">
        <v>82</v>
      </c>
      <c r="E10" s="446" t="s">
        <v>146</v>
      </c>
      <c r="F10" s="15"/>
    </row>
    <row r="11" spans="1:6" ht="15">
      <c r="A11" s="447"/>
      <c r="B11" s="573" t="str">
        <f>'Distribution Rate Schedule'!A11</f>
        <v>Residential</v>
      </c>
      <c r="C11" s="574"/>
      <c r="D11" s="574"/>
      <c r="E11" s="575"/>
      <c r="F11" s="22"/>
    </row>
    <row r="12" spans="1:6" ht="15">
      <c r="A12" s="447"/>
      <c r="B12" s="448"/>
      <c r="C12" s="449" t="s">
        <v>70</v>
      </c>
      <c r="D12" s="450" t="s">
        <v>83</v>
      </c>
      <c r="E12" s="451">
        <f>'Distribution Rate Schedule'!C11</f>
        <v>13.74</v>
      </c>
      <c r="F12" s="22"/>
    </row>
    <row r="13" spans="1:6" ht="15">
      <c r="A13" s="447"/>
      <c r="B13" s="448"/>
      <c r="C13" s="449" t="s">
        <v>84</v>
      </c>
      <c r="D13" s="450" t="s">
        <v>55</v>
      </c>
      <c r="E13" s="452">
        <f>'Distribution Rate Schedule'!E11</f>
        <v>0.0235</v>
      </c>
      <c r="F13" s="22"/>
    </row>
    <row r="14" spans="1:6" ht="15">
      <c r="A14" s="447"/>
      <c r="B14" s="448"/>
      <c r="C14" s="449" t="s">
        <v>221</v>
      </c>
      <c r="D14" s="450" t="s">
        <v>83</v>
      </c>
      <c r="E14" s="451">
        <f>'2011 Rate Rider'!E7</f>
        <v>0.47</v>
      </c>
      <c r="F14" s="22"/>
    </row>
    <row r="15" spans="1:6" ht="15">
      <c r="A15" s="447"/>
      <c r="B15" s="448"/>
      <c r="C15" s="449" t="s">
        <v>133</v>
      </c>
      <c r="D15" s="450" t="s">
        <v>83</v>
      </c>
      <c r="E15" s="451">
        <f>'2011 Rate Rider'!D7</f>
        <v>1.2</v>
      </c>
      <c r="F15" s="22"/>
    </row>
    <row r="16" spans="1:6" ht="15">
      <c r="A16" s="447"/>
      <c r="B16" s="448"/>
      <c r="C16" s="449" t="s">
        <v>127</v>
      </c>
      <c r="D16" s="450" t="s">
        <v>55</v>
      </c>
      <c r="E16" s="452">
        <f>'LRAM and SSM Rate Rider'!L9</f>
        <v>0.001</v>
      </c>
      <c r="F16" s="22"/>
    </row>
    <row r="17" spans="1:7" ht="15">
      <c r="A17" s="447"/>
      <c r="B17" s="448"/>
      <c r="C17" s="449" t="s">
        <v>264</v>
      </c>
      <c r="D17" s="450" t="s">
        <v>55</v>
      </c>
      <c r="E17" s="452">
        <f>'2011 Rate Rider'!B19</f>
        <v>-0.00143</v>
      </c>
      <c r="F17" s="22"/>
      <c r="G17" s="449"/>
    </row>
    <row r="18" spans="1:6" ht="15">
      <c r="A18" s="447"/>
      <c r="B18" s="448"/>
      <c r="C18" s="449" t="s">
        <v>267</v>
      </c>
      <c r="D18" s="450" t="s">
        <v>55</v>
      </c>
      <c r="E18" s="452">
        <f>'2011 Rate Rider'!D19</f>
        <v>0.0008277518618380966</v>
      </c>
      <c r="F18" s="22"/>
    </row>
    <row r="19" spans="1:6" ht="15">
      <c r="A19" s="447"/>
      <c r="B19" s="448"/>
      <c r="C19" s="449" t="s">
        <v>265</v>
      </c>
      <c r="D19" s="450" t="s">
        <v>55</v>
      </c>
      <c r="E19" s="452">
        <f>'2011 Rate Rider'!B30</f>
        <v>0.00038864787756281473</v>
      </c>
      <c r="F19" s="22"/>
    </row>
    <row r="20" spans="1:6" ht="15.75" thickBot="1">
      <c r="A20" s="447"/>
      <c r="B20" s="453"/>
      <c r="C20" s="454" t="s">
        <v>266</v>
      </c>
      <c r="D20" s="455" t="s">
        <v>55</v>
      </c>
      <c r="E20" s="489">
        <f>'2011 Rate Rider'!D30</f>
        <v>1.545006868400765E-05</v>
      </c>
      <c r="F20" s="22"/>
    </row>
    <row r="21" spans="1:6" ht="6.75" customHeight="1" thickBot="1">
      <c r="A21" s="447"/>
      <c r="B21" s="457"/>
      <c r="C21" s="449"/>
      <c r="D21" s="450"/>
      <c r="E21" s="458"/>
      <c r="F21" s="22"/>
    </row>
    <row r="22" spans="1:5" ht="15.75" customHeight="1">
      <c r="A22" s="459"/>
      <c r="B22" s="573" t="str">
        <f>'Distribution Rate Schedule'!A12</f>
        <v>GS &lt; 50 kW</v>
      </c>
      <c r="C22" s="574"/>
      <c r="D22" s="574"/>
      <c r="E22" s="575"/>
    </row>
    <row r="23" spans="1:5" ht="15">
      <c r="A23" s="459"/>
      <c r="B23" s="448"/>
      <c r="C23" s="449" t="s">
        <v>70</v>
      </c>
      <c r="D23" s="450" t="s">
        <v>83</v>
      </c>
      <c r="E23" s="451">
        <f>'Distribution Rate Schedule'!C12</f>
        <v>28.42</v>
      </c>
    </row>
    <row r="24" spans="1:5" ht="15">
      <c r="A24" s="459"/>
      <c r="B24" s="448"/>
      <c r="C24" s="449" t="s">
        <v>84</v>
      </c>
      <c r="D24" s="450" t="s">
        <v>55</v>
      </c>
      <c r="E24" s="452">
        <f>'Distribution Rate Schedule'!E12</f>
        <v>0.0163</v>
      </c>
    </row>
    <row r="25" spans="1:5" ht="15">
      <c r="A25" s="459"/>
      <c r="B25" s="448"/>
      <c r="C25" s="449" t="s">
        <v>221</v>
      </c>
      <c r="D25" s="450" t="s">
        <v>83</v>
      </c>
      <c r="E25" s="451">
        <f>'2011 Rate Rider'!E8</f>
        <v>0.47</v>
      </c>
    </row>
    <row r="26" spans="1:5" ht="15">
      <c r="A26" s="459"/>
      <c r="B26" s="448"/>
      <c r="C26" s="449" t="s">
        <v>133</v>
      </c>
      <c r="D26" s="450" t="s">
        <v>83</v>
      </c>
      <c r="E26" s="451">
        <f>'2011 Rate Rider'!D8</f>
        <v>1.2</v>
      </c>
    </row>
    <row r="27" spans="1:5" ht="15">
      <c r="A27" s="459"/>
      <c r="B27" s="448"/>
      <c r="C27" s="449" t="s">
        <v>127</v>
      </c>
      <c r="D27" s="450" t="s">
        <v>55</v>
      </c>
      <c r="E27" s="452">
        <f>'LRAM and SSM Rate Rider'!L10</f>
        <v>0.0003</v>
      </c>
    </row>
    <row r="28" spans="1:5" ht="15">
      <c r="A28" s="459"/>
      <c r="B28" s="448"/>
      <c r="C28" s="449" t="s">
        <v>264</v>
      </c>
      <c r="D28" s="450" t="s">
        <v>55</v>
      </c>
      <c r="E28" s="452">
        <f>'2011 Rate Rider'!B20</f>
        <v>-0.00143</v>
      </c>
    </row>
    <row r="29" spans="1:5" ht="15">
      <c r="A29" s="459"/>
      <c r="B29" s="448"/>
      <c r="C29" s="449" t="s">
        <v>267</v>
      </c>
      <c r="D29" s="450" t="s">
        <v>55</v>
      </c>
      <c r="E29" s="452">
        <f>'2011 Rate Rider'!D20</f>
        <v>0.000222138791977524</v>
      </c>
    </row>
    <row r="30" spans="1:5" ht="15">
      <c r="A30" s="459"/>
      <c r="B30" s="448"/>
      <c r="C30" s="449" t="s">
        <v>265</v>
      </c>
      <c r="D30" s="450" t="s">
        <v>55</v>
      </c>
      <c r="E30" s="452">
        <f>'2011 Rate Rider'!B31</f>
        <v>0.00038864786062876817</v>
      </c>
    </row>
    <row r="31" spans="1:5" ht="15.75" thickBot="1">
      <c r="A31" s="459"/>
      <c r="B31" s="453"/>
      <c r="C31" s="454" t="s">
        <v>266</v>
      </c>
      <c r="D31" s="455" t="s">
        <v>55</v>
      </c>
      <c r="E31" s="456">
        <f>'2011 Rate Rider'!D31</f>
        <v>2.1115078323244392E-05</v>
      </c>
    </row>
    <row r="32" spans="1:5" ht="6.75" customHeight="1" thickBot="1">
      <c r="A32" s="459"/>
      <c r="B32" s="457"/>
      <c r="C32" s="449"/>
      <c r="D32" s="450"/>
      <c r="E32" s="458"/>
    </row>
    <row r="33" spans="1:5" ht="15.75" customHeight="1">
      <c r="A33" s="459"/>
      <c r="B33" s="573" t="str">
        <f>'Distribution Rate Schedule'!A13</f>
        <v>GS 50 kW - 999 kW</v>
      </c>
      <c r="C33" s="574"/>
      <c r="D33" s="574"/>
      <c r="E33" s="575"/>
    </row>
    <row r="34" spans="1:5" ht="15">
      <c r="A34" s="459"/>
      <c r="B34" s="448"/>
      <c r="C34" s="449" t="s">
        <v>70</v>
      </c>
      <c r="D34" s="450" t="s">
        <v>83</v>
      </c>
      <c r="E34" s="451">
        <f>'Distribution Rate Schedule'!C13</f>
        <v>360.69</v>
      </c>
    </row>
    <row r="35" spans="1:5" ht="15">
      <c r="A35" s="459"/>
      <c r="B35" s="448"/>
      <c r="C35" s="449" t="s">
        <v>84</v>
      </c>
      <c r="D35" s="450" t="s">
        <v>22</v>
      </c>
      <c r="E35" s="452">
        <f>'Distribution Rate Schedule'!D13</f>
        <v>2.1129</v>
      </c>
    </row>
    <row r="36" spans="1:5" ht="15">
      <c r="A36" s="459"/>
      <c r="B36" s="448"/>
      <c r="C36" s="449" t="s">
        <v>221</v>
      </c>
      <c r="D36" s="450" t="s">
        <v>83</v>
      </c>
      <c r="E36" s="451">
        <f>'2011 Rate Rider'!E9</f>
        <v>0.47</v>
      </c>
    </row>
    <row r="37" spans="1:5" ht="15">
      <c r="A37" s="459"/>
      <c r="B37" s="448"/>
      <c r="C37" s="449" t="s">
        <v>133</v>
      </c>
      <c r="D37" s="450" t="s">
        <v>83</v>
      </c>
      <c r="E37" s="451">
        <f>'2011 Rate Rider'!D9</f>
        <v>1.2</v>
      </c>
    </row>
    <row r="38" spans="1:5" ht="15">
      <c r="A38" s="459"/>
      <c r="B38" s="448"/>
      <c r="C38" s="449" t="s">
        <v>127</v>
      </c>
      <c r="D38" s="450" t="s">
        <v>22</v>
      </c>
      <c r="E38" s="452">
        <f>'LRAM and SSM Rate Rider'!L11</f>
        <v>0.0863</v>
      </c>
    </row>
    <row r="39" spans="1:5" ht="15">
      <c r="A39" s="459"/>
      <c r="B39" s="448"/>
      <c r="C39" s="449" t="s">
        <v>264</v>
      </c>
      <c r="D39" s="450" t="s">
        <v>22</v>
      </c>
      <c r="E39" s="452">
        <f>'2011 Rate Rider'!C21</f>
        <v>-0.54218</v>
      </c>
    </row>
    <row r="40" spans="1:5" ht="15">
      <c r="A40" s="459"/>
      <c r="B40" s="448"/>
      <c r="C40" s="449" t="s">
        <v>267</v>
      </c>
      <c r="D40" s="450" t="s">
        <v>22</v>
      </c>
      <c r="E40" s="452">
        <f>'2011 Rate Rider'!E21</f>
        <v>-0.048716078100961534</v>
      </c>
    </row>
    <row r="41" spans="1:5" ht="15">
      <c r="A41" s="459"/>
      <c r="B41" s="448"/>
      <c r="C41" s="449" t="s">
        <v>265</v>
      </c>
      <c r="D41" s="450" t="s">
        <v>22</v>
      </c>
      <c r="E41" s="452">
        <f>'2011 Rate Rider'!C32</f>
        <v>0.14709616226355388</v>
      </c>
    </row>
    <row r="42" spans="1:5" ht="15.75" thickBot="1">
      <c r="A42" s="459"/>
      <c r="B42" s="453"/>
      <c r="C42" s="454" t="s">
        <v>266</v>
      </c>
      <c r="D42" s="455" t="s">
        <v>22</v>
      </c>
      <c r="E42" s="456">
        <f>'2011 Rate Rider'!E32</f>
        <v>9.72275037757188E-05</v>
      </c>
    </row>
    <row r="43" spans="1:5" ht="15.75" thickBot="1">
      <c r="A43" s="459"/>
      <c r="B43" s="457"/>
      <c r="C43" s="449"/>
      <c r="D43" s="450"/>
      <c r="E43" s="458"/>
    </row>
    <row r="44" spans="1:5" ht="15">
      <c r="A44" s="459"/>
      <c r="B44" s="573" t="str">
        <f>'Distribution Rate Schedule'!A14</f>
        <v>GS&gt;1000 kW</v>
      </c>
      <c r="C44" s="574"/>
      <c r="D44" s="574"/>
      <c r="E44" s="575"/>
    </row>
    <row r="45" spans="1:5" ht="15">
      <c r="A45" s="459"/>
      <c r="B45" s="448"/>
      <c r="C45" s="449" t="s">
        <v>70</v>
      </c>
      <c r="D45" s="450" t="s">
        <v>83</v>
      </c>
      <c r="E45" s="451">
        <f>'Distribution Rate Schedule'!C14</f>
        <v>2335.85</v>
      </c>
    </row>
    <row r="46" spans="1:5" ht="15">
      <c r="A46" s="459"/>
      <c r="B46" s="448"/>
      <c r="C46" s="449" t="s">
        <v>84</v>
      </c>
      <c r="D46" s="450" t="s">
        <v>22</v>
      </c>
      <c r="E46" s="452">
        <f>'Distribution Rate Schedule'!D14</f>
        <v>1.44</v>
      </c>
    </row>
    <row r="47" spans="1:5" ht="15">
      <c r="A47" s="459"/>
      <c r="B47" s="448"/>
      <c r="C47" s="449" t="s">
        <v>221</v>
      </c>
      <c r="D47" s="450" t="s">
        <v>83</v>
      </c>
      <c r="E47" s="451">
        <f>'2011 Rate Rider'!E10</f>
        <v>0.47</v>
      </c>
    </row>
    <row r="48" spans="1:5" ht="15">
      <c r="A48" s="459"/>
      <c r="B48" s="448"/>
      <c r="C48" s="449" t="s">
        <v>133</v>
      </c>
      <c r="D48" s="450" t="s">
        <v>83</v>
      </c>
      <c r="E48" s="451">
        <f>'2011 Rate Rider'!D10</f>
        <v>1.2</v>
      </c>
    </row>
    <row r="49" spans="1:5" ht="15">
      <c r="A49" s="459"/>
      <c r="B49" s="448"/>
      <c r="C49" s="449" t="s">
        <v>127</v>
      </c>
      <c r="D49" s="450" t="s">
        <v>22</v>
      </c>
      <c r="E49" s="452">
        <f>'LRAM and SSM Rate Rider'!L12</f>
        <v>0.0863</v>
      </c>
    </row>
    <row r="50" spans="1:5" ht="15">
      <c r="A50" s="459"/>
      <c r="B50" s="448"/>
      <c r="C50" s="449" t="s">
        <v>264</v>
      </c>
      <c r="D50" s="450" t="s">
        <v>22</v>
      </c>
      <c r="E50" s="452">
        <f>'2011 Rate Rider'!C22</f>
        <v>-0.65217</v>
      </c>
    </row>
    <row r="51" spans="1:5" ht="15">
      <c r="A51" s="459"/>
      <c r="B51" s="448"/>
      <c r="C51" s="449" t="s">
        <v>267</v>
      </c>
      <c r="D51" s="450" t="s">
        <v>22</v>
      </c>
      <c r="E51" s="452">
        <f>'2011 Rate Rider'!E22</f>
        <v>-0.20404497063310192</v>
      </c>
    </row>
    <row r="52" spans="1:5" ht="15">
      <c r="A52" s="459"/>
      <c r="B52" s="448"/>
      <c r="C52" s="449" t="s">
        <v>265</v>
      </c>
      <c r="D52" s="450" t="s">
        <v>22</v>
      </c>
      <c r="E52" s="452">
        <f>'2011 Rate Rider'!C33</f>
        <v>0.1770833132735716</v>
      </c>
    </row>
    <row r="53" spans="1:5" ht="15.75" thickBot="1">
      <c r="A53" s="459"/>
      <c r="B53" s="453"/>
      <c r="C53" s="454" t="s">
        <v>266</v>
      </c>
      <c r="D53" s="455" t="s">
        <v>22</v>
      </c>
      <c r="E53" s="456">
        <f>'2011 Rate Rider'!E33</f>
        <v>0.00010656934679870915</v>
      </c>
    </row>
    <row r="54" spans="1:5" ht="15">
      <c r="A54" s="459"/>
      <c r="B54" s="457"/>
      <c r="C54" s="449"/>
      <c r="D54" s="450"/>
      <c r="E54" s="458"/>
    </row>
    <row r="55" spans="1:5" ht="6.75" customHeight="1" thickBot="1">
      <c r="A55" s="459"/>
      <c r="B55" s="457"/>
      <c r="C55" s="449"/>
      <c r="D55" s="450"/>
      <c r="E55" s="458"/>
    </row>
    <row r="56" spans="1:5" ht="15">
      <c r="A56" s="459"/>
      <c r="B56" s="573" t="str">
        <f>'Distribution Rate Schedule'!A15</f>
        <v>Street Lighting</v>
      </c>
      <c r="C56" s="574"/>
      <c r="D56" s="574"/>
      <c r="E56" s="575"/>
    </row>
    <row r="57" spans="1:5" ht="15">
      <c r="A57" s="459"/>
      <c r="B57" s="448"/>
      <c r="C57" s="449" t="s">
        <v>70</v>
      </c>
      <c r="D57" s="450" t="s">
        <v>83</v>
      </c>
      <c r="E57" s="451">
        <f>'Distribution Rate Schedule'!B15</f>
        <v>2.1992</v>
      </c>
    </row>
    <row r="58" spans="1:5" ht="15">
      <c r="A58" s="459"/>
      <c r="B58" s="448"/>
      <c r="C58" s="449" t="s">
        <v>84</v>
      </c>
      <c r="D58" s="450" t="s">
        <v>22</v>
      </c>
      <c r="E58" s="452">
        <f>'Distribution Rate Schedule'!D15</f>
        <v>8.8266</v>
      </c>
    </row>
    <row r="59" spans="1:5" ht="15">
      <c r="A59" s="459"/>
      <c r="B59" s="448"/>
      <c r="C59" s="449" t="s">
        <v>127</v>
      </c>
      <c r="D59" s="450" t="s">
        <v>22</v>
      </c>
      <c r="E59" s="452">
        <f>'LRAM and SSM Rate Rider'!L14</f>
        <v>0</v>
      </c>
    </row>
    <row r="60" spans="1:5" ht="15">
      <c r="A60" s="459"/>
      <c r="B60" s="448"/>
      <c r="C60" s="449" t="s">
        <v>264</v>
      </c>
      <c r="D60" s="450" t="s">
        <v>22</v>
      </c>
      <c r="E60" s="452">
        <f>'2011 Rate Rider'!C24</f>
        <v>-0.52266</v>
      </c>
    </row>
    <row r="61" spans="1:5" ht="15">
      <c r="A61" s="459"/>
      <c r="B61" s="448"/>
      <c r="C61" s="449" t="s">
        <v>267</v>
      </c>
      <c r="D61" s="450" t="s">
        <v>22</v>
      </c>
      <c r="E61" s="452">
        <f>'2011 Rate Rider'!E24</f>
        <v>0.16583155739423694</v>
      </c>
    </row>
    <row r="62" spans="1:5" ht="15">
      <c r="A62" s="459"/>
      <c r="B62" s="448"/>
      <c r="C62" s="449" t="s">
        <v>265</v>
      </c>
      <c r="D62" s="450" t="s">
        <v>22</v>
      </c>
      <c r="E62" s="452">
        <f>'2011 Rate Rider'!C35</f>
        <v>0.14169005858988254</v>
      </c>
    </row>
    <row r="63" spans="1:5" ht="15.75" thickBot="1">
      <c r="A63" s="459"/>
      <c r="B63" s="453"/>
      <c r="C63" s="454" t="s">
        <v>266</v>
      </c>
      <c r="D63" s="455" t="s">
        <v>22</v>
      </c>
      <c r="E63" s="456">
        <f>'2011 Rate Rider'!E35</f>
        <v>9.56205200362853E-05</v>
      </c>
    </row>
    <row r="64" spans="1:5" ht="6.75" customHeight="1" thickBot="1">
      <c r="A64" s="459"/>
      <c r="B64" s="457"/>
      <c r="C64" s="449"/>
      <c r="D64" s="450"/>
      <c r="E64" s="458"/>
    </row>
    <row r="65" spans="1:5" ht="15">
      <c r="A65" s="459"/>
      <c r="B65" s="573" t="str">
        <f>'Distribution Rate Schedule'!A16</f>
        <v>microFIT Generator service</v>
      </c>
      <c r="C65" s="574"/>
      <c r="D65" s="574"/>
      <c r="E65" s="575"/>
    </row>
    <row r="66" spans="1:5" ht="15">
      <c r="A66" s="459"/>
      <c r="B66" s="448"/>
      <c r="C66" s="449" t="s">
        <v>70</v>
      </c>
      <c r="D66" s="450" t="s">
        <v>83</v>
      </c>
      <c r="E66" s="451">
        <f>'Distribution Rate Schedule'!B16</f>
        <v>5.25</v>
      </c>
    </row>
    <row r="67" spans="1:5" ht="15.75" thickBot="1">
      <c r="A67" s="459"/>
      <c r="B67" s="453"/>
      <c r="C67" s="454"/>
      <c r="D67" s="455"/>
      <c r="E67" s="456"/>
    </row>
    <row r="68" spans="1:5" ht="15.75" thickBot="1">
      <c r="A68" s="459"/>
      <c r="B68" s="457"/>
      <c r="C68" s="449"/>
      <c r="D68" s="450"/>
      <c r="E68" s="458"/>
    </row>
    <row r="69" spans="1:5" ht="15">
      <c r="A69" s="459"/>
      <c r="B69" s="573" t="str">
        <f>'Distribution Rate Schedule'!A17</f>
        <v>USL</v>
      </c>
      <c r="C69" s="574"/>
      <c r="D69" s="574"/>
      <c r="E69" s="575"/>
    </row>
    <row r="70" spans="1:5" ht="15">
      <c r="A70" s="459"/>
      <c r="B70" s="448"/>
      <c r="C70" s="449" t="s">
        <v>70</v>
      </c>
      <c r="D70" s="450" t="s">
        <v>83</v>
      </c>
      <c r="E70" s="451">
        <f>'Distribution Rate Schedule'!B17</f>
        <v>13.2728</v>
      </c>
    </row>
    <row r="71" spans="1:5" ht="15">
      <c r="A71" s="459"/>
      <c r="B71" s="448"/>
      <c r="C71" s="449" t="s">
        <v>84</v>
      </c>
      <c r="D71" s="450" t="s">
        <v>55</v>
      </c>
      <c r="E71" s="452">
        <f>'Distribution Rate Schedule'!E17</f>
        <v>0.0152</v>
      </c>
    </row>
    <row r="72" spans="1:5" ht="15">
      <c r="A72" s="459"/>
      <c r="B72" s="448"/>
      <c r="C72" s="449" t="s">
        <v>127</v>
      </c>
      <c r="D72" s="450" t="s">
        <v>55</v>
      </c>
      <c r="E72" s="452">
        <f>'LRAM and SSM Rate Rider'!L16</f>
        <v>0.0122</v>
      </c>
    </row>
    <row r="73" spans="1:5" ht="15">
      <c r="A73" s="459"/>
      <c r="B73" s="448"/>
      <c r="C73" s="449" t="s">
        <v>264</v>
      </c>
      <c r="D73" s="450" t="s">
        <v>55</v>
      </c>
      <c r="E73" s="452">
        <f>'2011 Rate Rider'!B26</f>
        <v>-0.00143</v>
      </c>
    </row>
    <row r="74" spans="1:5" ht="15">
      <c r="A74" s="459"/>
      <c r="B74" s="448"/>
      <c r="C74" s="449" t="s">
        <v>267</v>
      </c>
      <c r="D74" s="450" t="s">
        <v>55</v>
      </c>
      <c r="E74" s="452">
        <f>'2011 Rate Rider'!D26</f>
        <v>0.000222138791977524</v>
      </c>
    </row>
    <row r="75" spans="1:5" ht="15">
      <c r="A75" s="459"/>
      <c r="B75" s="448"/>
      <c r="C75" s="449" t="s">
        <v>265</v>
      </c>
      <c r="D75" s="450" t="s">
        <v>55</v>
      </c>
      <c r="E75" s="452">
        <f>'2011 Rate Rider'!B37</f>
        <v>0.00038864786062876817</v>
      </c>
    </row>
    <row r="76" spans="1:5" ht="15.75" thickBot="1">
      <c r="A76" s="459"/>
      <c r="B76" s="453"/>
      <c r="C76" s="454" t="s">
        <v>266</v>
      </c>
      <c r="D76" s="455" t="s">
        <v>55</v>
      </c>
      <c r="E76" s="456">
        <f>'2011 Rate Rider'!D37</f>
        <v>2.1115078323244392E-05</v>
      </c>
    </row>
    <row r="77" spans="2:5" ht="12.75">
      <c r="B77" s="15"/>
      <c r="C77" s="22"/>
      <c r="D77" s="22"/>
      <c r="E77" s="29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</sheetData>
  <sheetProtection/>
  <mergeCells count="15">
    <mergeCell ref="A6:E6"/>
    <mergeCell ref="B44:E44"/>
    <mergeCell ref="A1:E1"/>
    <mergeCell ref="A2:E2"/>
    <mergeCell ref="A3:E3"/>
    <mergeCell ref="A4:E4"/>
    <mergeCell ref="A5:E5"/>
    <mergeCell ref="A7:E7"/>
    <mergeCell ref="A8:E8"/>
    <mergeCell ref="B56:E56"/>
    <mergeCell ref="B65:E65"/>
    <mergeCell ref="B69:E69"/>
    <mergeCell ref="B11:E11"/>
    <mergeCell ref="B22:E22"/>
    <mergeCell ref="B33:E33"/>
  </mergeCells>
  <printOptions/>
  <pageMargins left="0.75" right="0.75" top="1" bottom="1" header="0.5" footer="0.5"/>
  <pageSetup fitToHeight="1" fitToWidth="1" horizontalDpi="355" verticalDpi="355" orientation="portrait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PageLayoutView="0" workbookViewId="0" topLeftCell="A17">
      <selection activeCell="H21" sqref="H21"/>
    </sheetView>
  </sheetViews>
  <sheetFormatPr defaultColWidth="9.14062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11.7109375" style="0" customWidth="1"/>
  </cols>
  <sheetData>
    <row r="1" spans="1:4" ht="12.75">
      <c r="A1" s="522" t="str">
        <f>+'Revenue Input'!A1</f>
        <v>Woodstock Hydro Services Inc.</v>
      </c>
      <c r="B1" s="522"/>
      <c r="C1" s="522"/>
      <c r="D1" s="522"/>
    </row>
    <row r="2" spans="1:4" ht="12.75">
      <c r="A2" s="522" t="str">
        <f>+'Revenue Input'!A2</f>
        <v>, License Number ED-2003-0011, File Number EB-2010-0145</v>
      </c>
      <c r="B2" s="522"/>
      <c r="C2" s="522"/>
      <c r="D2" s="522"/>
    </row>
    <row r="3" spans="1:4" ht="12.75">
      <c r="A3" s="522">
        <f>+'Revenue Input'!A3</f>
        <v>0</v>
      </c>
      <c r="B3" s="522"/>
      <c r="C3" s="522"/>
      <c r="D3" s="522"/>
    </row>
    <row r="4" spans="1:4" ht="12.75">
      <c r="A4" s="579"/>
      <c r="B4" s="579"/>
      <c r="C4" s="579"/>
      <c r="D4" s="579"/>
    </row>
    <row r="5" spans="1:4" ht="19.5" customHeight="1">
      <c r="A5" s="529" t="s">
        <v>92</v>
      </c>
      <c r="B5" s="529"/>
      <c r="C5" s="529"/>
      <c r="D5" s="529"/>
    </row>
    <row r="6" spans="1:4" ht="19.5" customHeight="1">
      <c r="A6" s="580" t="s">
        <v>85</v>
      </c>
      <c r="B6" s="580"/>
      <c r="C6" s="580"/>
      <c r="D6" s="580"/>
    </row>
    <row r="7" spans="1:4" ht="19.5" customHeight="1">
      <c r="A7" s="580" t="s">
        <v>195</v>
      </c>
      <c r="B7" s="580"/>
      <c r="C7" s="580"/>
      <c r="D7" s="580"/>
    </row>
    <row r="8" spans="1:4" ht="19.5" customHeight="1">
      <c r="A8" s="581"/>
      <c r="B8" s="581"/>
      <c r="C8" s="581"/>
      <c r="D8" s="581"/>
    </row>
    <row r="9" spans="1:4" ht="30.75" customHeight="1">
      <c r="A9" s="26"/>
      <c r="B9" s="130" t="s">
        <v>87</v>
      </c>
      <c r="C9" s="130" t="s">
        <v>88</v>
      </c>
      <c r="D9" s="130" t="s">
        <v>146</v>
      </c>
    </row>
    <row r="10" spans="1:4" ht="44.25" customHeight="1">
      <c r="A10" s="27"/>
      <c r="B10" s="132" t="s">
        <v>236</v>
      </c>
      <c r="C10" s="133" t="s">
        <v>90</v>
      </c>
      <c r="D10" s="134">
        <v>15</v>
      </c>
    </row>
    <row r="11" spans="1:4" ht="44.25" customHeight="1">
      <c r="A11" s="27"/>
      <c r="B11" s="132" t="s">
        <v>89</v>
      </c>
      <c r="C11" s="133" t="s">
        <v>90</v>
      </c>
      <c r="D11" s="134">
        <v>15</v>
      </c>
    </row>
    <row r="12" spans="1:4" ht="44.25" customHeight="1">
      <c r="A12" s="27"/>
      <c r="B12" s="132" t="s">
        <v>237</v>
      </c>
      <c r="C12" s="133" t="s">
        <v>90</v>
      </c>
      <c r="D12" s="134">
        <v>15</v>
      </c>
    </row>
    <row r="13" spans="1:4" ht="44.25" customHeight="1">
      <c r="A13" s="27"/>
      <c r="B13" s="132" t="s">
        <v>238</v>
      </c>
      <c r="C13" s="133" t="s">
        <v>90</v>
      </c>
      <c r="D13" s="134">
        <v>15</v>
      </c>
    </row>
    <row r="14" spans="1:4" ht="44.25" customHeight="1">
      <c r="A14" s="27"/>
      <c r="B14" s="132" t="s">
        <v>239</v>
      </c>
      <c r="C14" s="133" t="s">
        <v>90</v>
      </c>
      <c r="D14" s="134">
        <v>15</v>
      </c>
    </row>
    <row r="15" spans="1:4" ht="44.25" customHeight="1">
      <c r="A15" s="27"/>
      <c r="B15" s="132" t="s">
        <v>240</v>
      </c>
      <c r="C15" s="133" t="s">
        <v>90</v>
      </c>
      <c r="D15" s="134">
        <v>30</v>
      </c>
    </row>
    <row r="16" spans="1:4" ht="44.25" customHeight="1">
      <c r="A16" s="27"/>
      <c r="B16" s="132" t="s">
        <v>241</v>
      </c>
      <c r="C16" s="133" t="s">
        <v>90</v>
      </c>
      <c r="D16" s="134">
        <v>30</v>
      </c>
    </row>
    <row r="17" spans="1:4" ht="44.25" customHeight="1">
      <c r="A17" s="27"/>
      <c r="B17" s="132" t="s">
        <v>242</v>
      </c>
      <c r="C17" s="133" t="s">
        <v>90</v>
      </c>
      <c r="D17" s="134">
        <v>30</v>
      </c>
    </row>
    <row r="18" spans="1:4" ht="44.25" customHeight="1">
      <c r="A18" s="27"/>
      <c r="B18" s="132" t="s">
        <v>243</v>
      </c>
      <c r="C18" s="133" t="s">
        <v>90</v>
      </c>
      <c r="D18" s="134">
        <v>65</v>
      </c>
    </row>
    <row r="19" spans="1:4" ht="44.25" customHeight="1">
      <c r="A19" s="27"/>
      <c r="B19" s="132" t="s">
        <v>244</v>
      </c>
      <c r="C19" s="133" t="s">
        <v>90</v>
      </c>
      <c r="D19" s="134">
        <v>65</v>
      </c>
    </row>
    <row r="20" spans="1:4" ht="44.25" customHeight="1">
      <c r="A20" s="27"/>
      <c r="B20" s="132" t="s">
        <v>245</v>
      </c>
      <c r="C20" s="133" t="s">
        <v>90</v>
      </c>
      <c r="D20" s="134">
        <v>185</v>
      </c>
    </row>
    <row r="21" spans="1:4" ht="44.25" customHeight="1">
      <c r="A21" s="27"/>
      <c r="B21" s="132" t="s">
        <v>246</v>
      </c>
      <c r="C21" s="133" t="s">
        <v>90</v>
      </c>
      <c r="D21" s="134">
        <v>185</v>
      </c>
    </row>
    <row r="22" spans="1:4" ht="44.25" customHeight="1">
      <c r="A22" s="27"/>
      <c r="B22" s="132" t="s">
        <v>252</v>
      </c>
      <c r="C22" s="133" t="s">
        <v>90</v>
      </c>
      <c r="D22" s="134">
        <v>30</v>
      </c>
    </row>
    <row r="23" spans="1:4" ht="44.25" customHeight="1">
      <c r="A23" s="27"/>
      <c r="B23" s="132" t="s">
        <v>253</v>
      </c>
      <c r="C23" s="133" t="s">
        <v>90</v>
      </c>
      <c r="D23" s="134">
        <v>22.35</v>
      </c>
    </row>
    <row r="24" spans="1:4" s="8" customFormat="1" ht="12" customHeight="1">
      <c r="A24" s="28"/>
      <c r="B24" s="135"/>
      <c r="C24" s="136"/>
      <c r="D24" s="137"/>
    </row>
    <row r="25" spans="1:4" ht="17.25">
      <c r="A25" s="27"/>
      <c r="B25" s="582" t="s">
        <v>91</v>
      </c>
      <c r="C25" s="583"/>
      <c r="D25" s="584"/>
    </row>
    <row r="26" spans="2:4" ht="15">
      <c r="B26" s="577" t="s">
        <v>56</v>
      </c>
      <c r="C26" s="578"/>
      <c r="D26" s="131">
        <v>1.004444401967947</v>
      </c>
    </row>
    <row r="27" spans="2:4" ht="15">
      <c r="B27" s="577" t="s">
        <v>57</v>
      </c>
      <c r="C27" s="578"/>
      <c r="D27" s="131">
        <v>1.038449</v>
      </c>
    </row>
    <row r="28" spans="2:4" ht="15">
      <c r="B28" s="577" t="s">
        <v>58</v>
      </c>
      <c r="C28" s="578"/>
      <c r="D28" s="131">
        <v>1.01</v>
      </c>
    </row>
    <row r="29" spans="2:4" ht="15">
      <c r="B29" s="577" t="s">
        <v>59</v>
      </c>
      <c r="C29" s="578"/>
      <c r="D29" s="131">
        <f>D27*0.99</f>
        <v>1.0280645099999999</v>
      </c>
    </row>
    <row r="30" spans="2:4" ht="15">
      <c r="B30" s="577" t="s">
        <v>60</v>
      </c>
      <c r="C30" s="578"/>
      <c r="D30" s="131">
        <v>1</v>
      </c>
    </row>
    <row r="31" spans="2:4" ht="15">
      <c r="B31" s="577" t="s">
        <v>61</v>
      </c>
      <c r="C31" s="578"/>
      <c r="D31" s="131">
        <f>D26*D27</f>
        <v>1.0430642847792126</v>
      </c>
    </row>
    <row r="32" spans="2:4" ht="15">
      <c r="B32" s="577" t="s">
        <v>62</v>
      </c>
      <c r="C32" s="578"/>
      <c r="D32" s="131">
        <f>D26*D28</f>
        <v>1.0144888459876265</v>
      </c>
    </row>
    <row r="33" spans="2:4" ht="15">
      <c r="B33" s="577" t="s">
        <v>63</v>
      </c>
      <c r="C33" s="578"/>
      <c r="D33" s="131">
        <f>D26*D29</f>
        <v>1.0326336419314204</v>
      </c>
    </row>
    <row r="34" spans="2:4" ht="15">
      <c r="B34" s="577" t="s">
        <v>64</v>
      </c>
      <c r="C34" s="578"/>
      <c r="D34" s="131">
        <f>D26*D30</f>
        <v>1.004444401967947</v>
      </c>
    </row>
  </sheetData>
  <sheetProtection/>
  <mergeCells count="18">
    <mergeCell ref="B28:C28"/>
    <mergeCell ref="A1:D1"/>
    <mergeCell ref="A2:D2"/>
    <mergeCell ref="A3:D3"/>
    <mergeCell ref="A4:D4"/>
    <mergeCell ref="A5:D5"/>
    <mergeCell ref="A6:D6"/>
    <mergeCell ref="A7:D7"/>
    <mergeCell ref="A8:D8"/>
    <mergeCell ref="B25:D25"/>
    <mergeCell ref="B26:C26"/>
    <mergeCell ref="B27:C27"/>
    <mergeCell ref="B33:C33"/>
    <mergeCell ref="B34:C34"/>
    <mergeCell ref="B29:C29"/>
    <mergeCell ref="B30:C30"/>
    <mergeCell ref="B31:C31"/>
    <mergeCell ref="B32:C32"/>
  </mergeCells>
  <printOptions/>
  <pageMargins left="0.75" right="0.75" top="1" bottom="1" header="0.5" footer="0.5"/>
  <pageSetup fitToHeight="2" fitToWidth="1" horizontalDpi="355" verticalDpi="355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2">
      <selection activeCell="B23" sqref="B23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22" t="str">
        <f>+'Revenue Input'!A1</f>
        <v>Woodstock Hydro Services Inc.</v>
      </c>
      <c r="B1" s="522"/>
      <c r="C1" s="522"/>
      <c r="D1" s="522"/>
      <c r="E1" s="522"/>
      <c r="F1" s="522"/>
    </row>
    <row r="2" spans="1:6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</row>
    <row r="3" spans="1:6" ht="12.75">
      <c r="A3" s="522">
        <f>+'Revenue Input'!A3</f>
        <v>0</v>
      </c>
      <c r="B3" s="522"/>
      <c r="C3" s="522"/>
      <c r="D3" s="522"/>
      <c r="E3" s="522"/>
      <c r="F3" s="522"/>
    </row>
    <row r="4" spans="1:6" ht="12.75">
      <c r="A4" s="494"/>
      <c r="B4" s="494"/>
      <c r="C4" s="494"/>
      <c r="D4" s="494"/>
      <c r="E4" s="494"/>
      <c r="F4" s="494"/>
    </row>
    <row r="5" spans="1:6" ht="21">
      <c r="A5" s="536" t="s">
        <v>226</v>
      </c>
      <c r="B5" s="536"/>
      <c r="C5" s="536"/>
      <c r="D5" s="536"/>
      <c r="E5" s="536"/>
      <c r="F5" s="536"/>
    </row>
    <row r="6" spans="1:6" ht="12.75">
      <c r="A6" s="585"/>
      <c r="B6" s="585"/>
      <c r="C6" s="585"/>
      <c r="D6" s="585"/>
      <c r="E6" s="585"/>
      <c r="F6" s="585"/>
    </row>
    <row r="7" spans="1:12" ht="39">
      <c r="A7" s="460" t="s">
        <v>0</v>
      </c>
      <c r="B7" s="461" t="s">
        <v>11</v>
      </c>
      <c r="C7" s="461" t="s">
        <v>12</v>
      </c>
      <c r="D7" s="461" t="s">
        <v>30</v>
      </c>
      <c r="E7" s="461" t="s">
        <v>28</v>
      </c>
      <c r="F7" s="460" t="s">
        <v>32</v>
      </c>
      <c r="G7" s="10"/>
      <c r="H7" s="10"/>
      <c r="I7" s="10"/>
      <c r="J7" s="10"/>
      <c r="K7" s="10"/>
      <c r="L7" s="10"/>
    </row>
    <row r="8" spans="1:12" ht="19.5" customHeight="1">
      <c r="A8" s="156" t="str">
        <f>'Other Electriciy Rates'!A10</f>
        <v>Residential</v>
      </c>
      <c r="B8" s="82">
        <f>+'Distribution Rate Schedule'!C31*'Forecast Data For 2011'!C7*12</f>
        <v>2272870.8</v>
      </c>
      <c r="C8" s="82">
        <f>+'Distribution Rate Schedule'!E31*'Forecast Data For 2011'!C8</f>
        <v>2759324.562476107</v>
      </c>
      <c r="D8" s="172"/>
      <c r="E8" s="82">
        <f>+B8+C8+D8</f>
        <v>5032195.362476107</v>
      </c>
      <c r="F8" s="82">
        <f>+'Rates By Rate Class'!K8-'Rates By Rate Class'!H8</f>
        <v>5033039.631389899</v>
      </c>
      <c r="G8" s="11"/>
      <c r="H8" s="11"/>
      <c r="I8" s="12"/>
      <c r="J8" s="13"/>
      <c r="K8" s="13"/>
      <c r="L8" s="13"/>
    </row>
    <row r="9" spans="1:12" ht="19.5" customHeight="1">
      <c r="A9" s="156" t="str">
        <f>'Other Electriciy Rates'!A11</f>
        <v>GS &lt; 50 kW</v>
      </c>
      <c r="B9" s="82">
        <f>+'Distribution Rate Schedule'!C32*'Forecast Data For 2011'!C9*12</f>
        <v>399357.83999999997</v>
      </c>
      <c r="C9" s="82">
        <f>+'Distribution Rate Schedule'!E32*'Forecast Data For 2011'!C10</f>
        <v>752773.234997094</v>
      </c>
      <c r="D9" s="172"/>
      <c r="E9" s="82">
        <f aca="true" t="shared" si="0" ref="E9:E14">+B9+C9+D9</f>
        <v>1152131.074997094</v>
      </c>
      <c r="F9" s="82">
        <f>+'Rates By Rate Class'!K9-'Rates By Rate Class'!H9</f>
        <v>1151852.9134080692</v>
      </c>
      <c r="G9" s="11"/>
      <c r="H9" s="11"/>
      <c r="I9" s="12"/>
      <c r="J9" s="13"/>
      <c r="K9" s="13"/>
      <c r="L9" s="13"/>
    </row>
    <row r="10" spans="1:12" ht="19.5" customHeight="1">
      <c r="A10" s="156" t="str">
        <f>'Other Electriciy Rates'!A12</f>
        <v>GS 50 kW - 999 kW</v>
      </c>
      <c r="B10" s="82">
        <f>+'Distribution Rate Schedule'!C33*'Forecast Data For 2011'!C11*12</f>
        <v>835358.04</v>
      </c>
      <c r="C10" s="82">
        <f>+'Distribution Rate Schedule'!D33*'Forecast Data For 2011'!C12</f>
        <v>805587.945737536</v>
      </c>
      <c r="D10" s="172">
        <f>'Transformer Allowance'!C12</f>
        <v>-162439.91804190562</v>
      </c>
      <c r="E10" s="82">
        <f>+B10+C10+D10</f>
        <v>1478506.0676956305</v>
      </c>
      <c r="F10" s="82">
        <f>+'Rates By Rate Class'!K10-'Rates By Rate Class'!H10</f>
        <v>1478504.6887888995</v>
      </c>
      <c r="G10" s="11"/>
      <c r="H10" s="11"/>
      <c r="I10" s="11"/>
      <c r="J10" s="13"/>
      <c r="K10" s="13"/>
      <c r="L10" s="13"/>
    </row>
    <row r="11" spans="1:12" ht="19.5" customHeight="1">
      <c r="A11" s="156" t="str">
        <f>'Other Electriciy Rates'!A13</f>
        <v>GS&gt;1000 kW</v>
      </c>
      <c r="B11" s="82">
        <f>+'Distribution Rate Schedule'!C34*'Forecast Data For 2011'!C14*12</f>
        <v>196211.4</v>
      </c>
      <c r="C11" s="82">
        <f>+'Distribution Rate Schedule'!D34*'Forecast Data For 2011'!C15</f>
        <v>214531.15757347117</v>
      </c>
      <c r="D11" s="172">
        <f>'Transformer Allowance'!C13</f>
        <v>-63472.6498752236</v>
      </c>
      <c r="E11" s="82">
        <f>+B11+C11+D11</f>
        <v>347269.9076982476</v>
      </c>
      <c r="F11" s="82">
        <f>+'Rates By Rate Class'!K11-'Rates By Rate Class'!H11</f>
        <v>347277.4631523499</v>
      </c>
      <c r="G11" s="11"/>
      <c r="H11" s="11"/>
      <c r="I11" s="11"/>
      <c r="J11" s="13"/>
      <c r="K11" s="13"/>
      <c r="L11" s="13"/>
    </row>
    <row r="12" spans="1:12" ht="19.5" customHeight="1">
      <c r="A12" s="156" t="str">
        <f>'Other Electriciy Rates'!A14</f>
        <v>Street Lighting</v>
      </c>
      <c r="B12" s="82">
        <f>+'Distribution Rate Schedule'!B35*'Forecast Data For 2011'!C20*12</f>
        <v>115307.92253553632</v>
      </c>
      <c r="C12" s="82">
        <f>+'Distribution Rate Schedule'!D35*'Forecast Data For 2011'!C21</f>
        <v>75366.99814018991</v>
      </c>
      <c r="D12" s="172"/>
      <c r="E12" s="82">
        <f t="shared" si="0"/>
        <v>190674.92067572623</v>
      </c>
      <c r="F12" s="82">
        <f>+'Rates By Rate Class'!K13-'Rates By Rate Class'!H13</f>
        <v>190675.34100323956</v>
      </c>
      <c r="G12" s="11"/>
      <c r="H12" s="11"/>
      <c r="I12" s="11"/>
      <c r="J12" s="13"/>
      <c r="K12" s="13"/>
      <c r="L12" s="13"/>
    </row>
    <row r="13" spans="1:12" ht="19.5" customHeight="1">
      <c r="A13" s="156" t="str">
        <f>'Other Electriciy Rates'!A15</f>
        <v>microFIT Generator service</v>
      </c>
      <c r="B13" s="82">
        <f>+'Distribution Rate Schedule'!B36*'Forecast Data For 2011'!C23*12</f>
        <v>252</v>
      </c>
      <c r="C13" s="82">
        <f>+'Distribution Rate Schedule'!D36*'Forecast Data For 2011'!C24</f>
        <v>0</v>
      </c>
      <c r="D13" s="172"/>
      <c r="E13" s="82">
        <f t="shared" si="0"/>
        <v>252</v>
      </c>
      <c r="F13" s="82">
        <f>+'Rates By Rate Class'!K14-'Rates By Rate Class'!H14</f>
        <v>252</v>
      </c>
      <c r="G13" s="11"/>
      <c r="H13" s="11"/>
      <c r="I13" s="12"/>
      <c r="J13" s="13"/>
      <c r="K13" s="13"/>
      <c r="L13" s="13"/>
    </row>
    <row r="14" spans="1:12" ht="19.5" customHeight="1">
      <c r="A14" s="156" t="str">
        <f>'Other Electriciy Rates'!A16</f>
        <v>USL</v>
      </c>
      <c r="B14" s="82">
        <f>+'Distribution Rate Schedule'!B37*'Forecast Data For 2011'!C25*12</f>
        <v>21501.936</v>
      </c>
      <c r="C14" s="82">
        <f>+'Distribution Rate Schedule'!E37*'Forecast Data For 2011'!C26</f>
        <v>9360.607960641713</v>
      </c>
      <c r="D14" s="172"/>
      <c r="E14" s="82">
        <f t="shared" si="0"/>
        <v>30862.543960641713</v>
      </c>
      <c r="F14" s="82">
        <f>+'Rates By Rate Class'!K15-'Rates By Rate Class'!H15</f>
        <v>30871.73594632548</v>
      </c>
      <c r="G14" s="11"/>
      <c r="H14" s="11"/>
      <c r="I14" s="12"/>
      <c r="J14" s="13"/>
      <c r="K14" s="13"/>
      <c r="L14" s="13"/>
    </row>
    <row r="15" spans="1:12" ht="31.5" customHeight="1" thickBot="1">
      <c r="A15" s="34" t="s">
        <v>31</v>
      </c>
      <c r="B15" s="138">
        <f>SUM(B8:B14)</f>
        <v>3840859.938535536</v>
      </c>
      <c r="C15" s="138">
        <f>SUM(C8:C14)</f>
        <v>4616944.506885039</v>
      </c>
      <c r="D15" s="173">
        <f>SUM(D8:D14)</f>
        <v>-225912.56791712923</v>
      </c>
      <c r="E15" s="138">
        <f>SUM(E8:E14)</f>
        <v>8231891.877503447</v>
      </c>
      <c r="F15" s="138">
        <f>SUM(F8:F14)</f>
        <v>8232473.773688782</v>
      </c>
      <c r="G15" s="14"/>
      <c r="H15" s="14"/>
      <c r="I15" s="14"/>
      <c r="J15" s="14"/>
      <c r="K15" s="14"/>
      <c r="L15" s="14"/>
    </row>
    <row r="16" spans="6:12" ht="13.5" thickTop="1">
      <c r="F16" s="9"/>
      <c r="G16" s="15"/>
      <c r="H16" s="15"/>
      <c r="I16" s="15"/>
      <c r="J16" s="15"/>
      <c r="K16" s="15"/>
      <c r="L16" s="15"/>
    </row>
    <row r="17" spans="5:7" ht="12.75">
      <c r="E17" s="586" t="s">
        <v>135</v>
      </c>
      <c r="F17" s="586"/>
      <c r="G17" s="8"/>
    </row>
    <row r="18" spans="5:6" ht="12.75">
      <c r="E18" s="465"/>
      <c r="F18" s="466"/>
    </row>
    <row r="19" spans="5:6" ht="13.5" thickBot="1">
      <c r="E19" s="467">
        <f>+F15-E15</f>
        <v>581.8961853347719</v>
      </c>
      <c r="F19" s="466"/>
    </row>
    <row r="20" ht="12.75">
      <c r="E20" s="9"/>
    </row>
    <row r="21" spans="2:3" ht="12.75">
      <c r="B21" s="229"/>
      <c r="C21" s="229"/>
    </row>
    <row r="22" spans="2:5" ht="12.75">
      <c r="B22" s="229"/>
      <c r="C22" s="229"/>
      <c r="E22" s="9"/>
    </row>
    <row r="23" spans="2:3" ht="12.75">
      <c r="B23" s="229"/>
      <c r="C23" s="229"/>
    </row>
    <row r="24" spans="2:3" ht="12.75">
      <c r="B24" s="229"/>
      <c r="C24" s="229"/>
    </row>
    <row r="25" spans="2:3" ht="12.75">
      <c r="B25" s="229"/>
      <c r="C25" s="229"/>
    </row>
    <row r="26" spans="2:3" ht="12.75">
      <c r="B26" s="229"/>
      <c r="C26" s="229"/>
    </row>
    <row r="27" spans="2:3" ht="12.75">
      <c r="B27" s="229"/>
      <c r="C27" s="229"/>
    </row>
    <row r="28" spans="2:3" ht="12.75">
      <c r="B28" s="229"/>
      <c r="C28" s="229"/>
    </row>
  </sheetData>
  <sheetProtection/>
  <mergeCells count="7">
    <mergeCell ref="A6:F6"/>
    <mergeCell ref="E17:F17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C12">
      <selection activeCell="J28" sqref="J28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</cols>
  <sheetData>
    <row r="1" spans="1:9" ht="12.75">
      <c r="A1" s="522" t="str">
        <f>+'Revenue Input'!A1</f>
        <v>Woodstock Hydro Services Inc.</v>
      </c>
      <c r="B1" s="522"/>
      <c r="C1" s="522"/>
      <c r="D1" s="522"/>
      <c r="E1" s="522"/>
      <c r="F1" s="522"/>
      <c r="G1" s="522"/>
      <c r="H1" s="522"/>
      <c r="I1" s="522"/>
    </row>
    <row r="2" spans="1:9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  <c r="G2" s="522"/>
      <c r="H2" s="522"/>
      <c r="I2" s="522"/>
    </row>
    <row r="3" spans="1:9" ht="12.75">
      <c r="A3" s="522">
        <f>+'Revenue Input'!A3</f>
        <v>0</v>
      </c>
      <c r="B3" s="522"/>
      <c r="C3" s="522"/>
      <c r="D3" s="522"/>
      <c r="E3" s="522"/>
      <c r="F3" s="522"/>
      <c r="G3" s="522"/>
      <c r="H3" s="522"/>
      <c r="I3" s="522"/>
    </row>
    <row r="4" spans="1:9" ht="7.5" customHeight="1">
      <c r="A4" s="494"/>
      <c r="B4" s="494"/>
      <c r="C4" s="494"/>
      <c r="D4" s="494"/>
      <c r="E4" s="494"/>
      <c r="F4" s="494"/>
      <c r="G4" s="494"/>
      <c r="H4" s="494"/>
      <c r="I4" s="494"/>
    </row>
    <row r="5" spans="1:9" ht="15">
      <c r="A5" s="587" t="s">
        <v>227</v>
      </c>
      <c r="B5" s="523"/>
      <c r="C5" s="523"/>
      <c r="D5" s="523"/>
      <c r="E5" s="523"/>
      <c r="F5" s="523"/>
      <c r="G5" s="523"/>
      <c r="H5" s="523"/>
      <c r="I5" s="523"/>
    </row>
    <row r="6" spans="1:9" ht="8.25" customHeight="1">
      <c r="A6" s="523"/>
      <c r="B6" s="523"/>
      <c r="C6" s="523"/>
      <c r="D6" s="523"/>
      <c r="E6" s="523"/>
      <c r="F6" s="523"/>
      <c r="G6" s="523"/>
      <c r="H6" s="523"/>
      <c r="I6" s="523"/>
    </row>
    <row r="7" spans="1:9" ht="39">
      <c r="A7" s="58" t="s">
        <v>0</v>
      </c>
      <c r="B7" s="63" t="s">
        <v>7</v>
      </c>
      <c r="C7" s="63" t="s">
        <v>8</v>
      </c>
      <c r="D7" s="63" t="s">
        <v>9</v>
      </c>
      <c r="E7" s="63" t="s">
        <v>10</v>
      </c>
      <c r="F7" s="63" t="s">
        <v>26</v>
      </c>
      <c r="G7" s="63" t="s">
        <v>11</v>
      </c>
      <c r="H7" s="63" t="s">
        <v>12</v>
      </c>
      <c r="I7" s="63" t="s">
        <v>93</v>
      </c>
    </row>
    <row r="8" spans="1:9" ht="19.5" customHeight="1">
      <c r="A8" s="157" t="str">
        <f>'Dist. Rev. Reconciliation'!A8</f>
        <v>Residential</v>
      </c>
      <c r="B8" s="139">
        <f>+'Forecast Data For 2011'!$C$8</f>
        <v>117418066.48834497</v>
      </c>
      <c r="C8" s="139"/>
      <c r="D8" s="139"/>
      <c r="E8" s="139">
        <f>+'Forecast Data For 2011'!$C$7*12</f>
        <v>165420</v>
      </c>
      <c r="F8" s="139"/>
      <c r="G8" s="160">
        <f>+E8*'2010 Existing Rates'!$C$8</f>
        <v>1836162</v>
      </c>
      <c r="H8" s="160">
        <f>+B8*('2010 Existing Rates'!$E$8-'2010 Existing Rates'!B33)</f>
        <v>2230943.263278554</v>
      </c>
      <c r="I8" s="160">
        <f>+G8+H8</f>
        <v>4067105.263278554</v>
      </c>
    </row>
    <row r="9" spans="1:9" ht="19.5" customHeight="1">
      <c r="A9" s="157" t="str">
        <f>'Dist. Rev. Reconciliation'!A9</f>
        <v>GS &lt; 50 kW</v>
      </c>
      <c r="B9" s="139">
        <f>+'Forecast Data For 2011'!$C$10</f>
        <v>46182407.05503645</v>
      </c>
      <c r="C9" s="139"/>
      <c r="D9" s="139"/>
      <c r="E9" s="139">
        <f>+'Forecast Data For 2011'!$C$9*12</f>
        <v>14052</v>
      </c>
      <c r="F9" s="139"/>
      <c r="G9" s="160">
        <f>+E9*'2010 Existing Rates'!$C$9</f>
        <v>301415.39999999997</v>
      </c>
      <c r="H9" s="160">
        <f>+B9*('2010 Existing Rates'!$E$9-'2010 Existing Rates'!B34)</f>
        <v>568043.6067769483</v>
      </c>
      <c r="I9" s="160">
        <f>+G9+H9</f>
        <v>869459.0067769482</v>
      </c>
    </row>
    <row r="10" spans="1:9" ht="19.5" customHeight="1">
      <c r="A10" s="157" t="str">
        <f>'Dist. Rev. Reconciliation'!A10</f>
        <v>GS 50 kW - 999 kW</v>
      </c>
      <c r="B10" s="139">
        <f>+'Forecast Data For 2011'!$C$13</f>
        <v>118202395.5281348</v>
      </c>
      <c r="C10" s="139">
        <f>+'Forecast Data For 2011'!$C$12</f>
        <v>381271.21290053293</v>
      </c>
      <c r="D10" s="139">
        <f>'Transformer Allowance'!B12</f>
        <v>270733.1967365094</v>
      </c>
      <c r="E10" s="139">
        <f>+'Forecast Data For 2011'!$C$11*12</f>
        <v>2316</v>
      </c>
      <c r="F10" s="139"/>
      <c r="G10" s="160">
        <f>+E10*'2010 Existing Rates'!$C$10</f>
        <v>682803.12</v>
      </c>
      <c r="H10" s="160">
        <f>+C10*('2010 Existing Rates'!$D$10-'2010 Existing Rates'!D35)</f>
        <v>688118.2850428818</v>
      </c>
      <c r="I10" s="160">
        <f>+G10+H10</f>
        <v>1370921.4050428818</v>
      </c>
    </row>
    <row r="11" spans="1:9" ht="19.5" customHeight="1">
      <c r="A11" s="157" t="str">
        <f>'Dist. Rev. Reconciliation'!A11</f>
        <v>GS&gt;1000 kW</v>
      </c>
      <c r="B11" s="139">
        <f>+'Forecast Data For 2011'!$C$16</f>
        <v>69723916.57308918</v>
      </c>
      <c r="C11" s="139">
        <f>+'Forecast Data For 2011'!$C$15</f>
        <v>148979.97053713276</v>
      </c>
      <c r="D11" s="139">
        <f>'Transformer Allowance'!B16</f>
        <v>376520.9465285487</v>
      </c>
      <c r="E11" s="139">
        <f>+'Forecast Data For 2011'!$C$14*12</f>
        <v>84</v>
      </c>
      <c r="F11" s="139"/>
      <c r="G11" s="160">
        <f>+E11*'2010 Existing Rates'!$C$11</f>
        <v>24764.88</v>
      </c>
      <c r="H11" s="160">
        <f>+C11*('2010 Existing Rates'!$D$11-'2010 Existing Rates'!D36)</f>
        <v>268879.0508254172</v>
      </c>
      <c r="I11" s="160">
        <f>+G11+H11</f>
        <v>293643.9308254172</v>
      </c>
    </row>
    <row r="12" spans="1:9" ht="19.5" customHeight="1">
      <c r="A12" s="157" t="str">
        <f>'Dist. Rev. Reconciliation'!A12</f>
        <v>Street Lighting</v>
      </c>
      <c r="B12" s="139">
        <f>+'Forecast Data For 2011'!$C$22</f>
        <v>2490098.0164234308</v>
      </c>
      <c r="C12" s="139">
        <f>+'Forecast Data For 2011'!$C$21</f>
        <v>8538.621682209448</v>
      </c>
      <c r="D12" s="139"/>
      <c r="E12" s="139"/>
      <c r="F12" s="139">
        <f>+'Forecast Data For 2011'!$C$20*12</f>
        <v>52431.758155482145</v>
      </c>
      <c r="G12" s="160">
        <f>+F12*'2010 Existing Rates'!$B$13</f>
        <v>45615.62959526946</v>
      </c>
      <c r="H12" s="160">
        <f>+C12*('2010 Existing Rates'!$D$13-'2010 Existing Rates'!D38)</f>
        <v>29815.159189938953</v>
      </c>
      <c r="I12" s="160">
        <f>+G12+H12</f>
        <v>75430.78878520842</v>
      </c>
    </row>
    <row r="13" spans="1:9" ht="19.5" customHeight="1">
      <c r="A13" s="157" t="str">
        <f>'Dist. Rev. Reconciliation'!A13</f>
        <v>microFIT Generator service</v>
      </c>
      <c r="B13" s="139">
        <f>'Forecast Data For 2011'!$C$24</f>
        <v>0</v>
      </c>
      <c r="C13" s="139"/>
      <c r="D13" s="139"/>
      <c r="E13" s="139"/>
      <c r="F13" s="139">
        <f>+'Forecast Data For 2011'!$C$23*12</f>
        <v>48</v>
      </c>
      <c r="G13" s="160">
        <f>+F13*'2010 Existing Rates'!$B$14</f>
        <v>252</v>
      </c>
      <c r="H13" s="160">
        <v>0</v>
      </c>
      <c r="I13" s="160">
        <f>+G13+H13</f>
        <v>252</v>
      </c>
    </row>
    <row r="14" spans="1:9" ht="19.5" customHeight="1">
      <c r="A14" s="157" t="str">
        <f>'Dist. Rev. Reconciliation'!A14</f>
        <v>USL</v>
      </c>
      <c r="B14" s="139">
        <f>+'Forecast Data For 2011'!$C$26</f>
        <v>615829.4710948495</v>
      </c>
      <c r="C14" s="139"/>
      <c r="D14" s="139"/>
      <c r="E14" s="139"/>
      <c r="F14" s="139">
        <f>+'Forecast Data For 2011'!$C$25*12</f>
        <v>1620</v>
      </c>
      <c r="G14" s="160">
        <f>+F14*'2010 Existing Rates'!$B$15</f>
        <v>17382.600000000002</v>
      </c>
      <c r="H14" s="160">
        <f>B14*('2010 Existing Rates'!$E$15-'2010 Existing Rates'!B40)</f>
        <v>7574.702494466649</v>
      </c>
      <c r="I14" s="160">
        <f>+G14+H14</f>
        <v>24957.30249446665</v>
      </c>
    </row>
    <row r="15" spans="1:9" ht="24.75" customHeight="1" thickBot="1">
      <c r="A15" s="34" t="s">
        <v>40</v>
      </c>
      <c r="B15" s="140">
        <f aca="true" t="shared" si="0" ref="B15:I15">SUM(B8:B14)</f>
        <v>354632713.13212365</v>
      </c>
      <c r="C15" s="140">
        <f t="shared" si="0"/>
        <v>538789.8051198751</v>
      </c>
      <c r="D15" s="140">
        <f t="shared" si="0"/>
        <v>647254.143265058</v>
      </c>
      <c r="E15" s="140">
        <f t="shared" si="0"/>
        <v>181872</v>
      </c>
      <c r="F15" s="140">
        <f t="shared" si="0"/>
        <v>54099.758155482145</v>
      </c>
      <c r="G15" s="409">
        <f t="shared" si="0"/>
        <v>2908395.6295952694</v>
      </c>
      <c r="H15" s="409">
        <f t="shared" si="0"/>
        <v>3793374.067608207</v>
      </c>
      <c r="I15" s="409">
        <f t="shared" si="0"/>
        <v>6701769.697203476</v>
      </c>
    </row>
    <row r="16" spans="1:9" ht="9.75" customHeight="1" thickTop="1">
      <c r="A16" s="494"/>
      <c r="B16" s="494"/>
      <c r="C16" s="494"/>
      <c r="D16" s="494"/>
      <c r="E16" s="494"/>
      <c r="F16" s="494"/>
      <c r="G16" s="494"/>
      <c r="H16" s="494"/>
      <c r="I16" s="494"/>
    </row>
    <row r="17" spans="1:9" ht="18" customHeight="1">
      <c r="A17" s="588" t="s">
        <v>109</v>
      </c>
      <c r="B17" s="494"/>
      <c r="C17" s="494"/>
      <c r="D17" s="494"/>
      <c r="E17" s="494"/>
      <c r="F17" s="494"/>
      <c r="G17" s="494"/>
      <c r="H17" s="494"/>
      <c r="I17" s="8"/>
    </row>
    <row r="18" spans="1:9" ht="18" customHeight="1">
      <c r="A18" s="589" t="str">
        <f>A10</f>
        <v>GS 50 kW - 999 kW</v>
      </c>
      <c r="B18" s="494"/>
      <c r="C18" s="494"/>
      <c r="D18" s="494"/>
      <c r="E18" s="494"/>
      <c r="F18" s="494"/>
      <c r="G18" s="494"/>
      <c r="H18" s="494"/>
      <c r="I18" s="164">
        <f>'Transformer Allowance'!C12</f>
        <v>-162439.91804190562</v>
      </c>
    </row>
    <row r="19" spans="1:9" ht="18" customHeight="1">
      <c r="A19" s="589" t="str">
        <f>A11</f>
        <v>GS&gt;1000 kW</v>
      </c>
      <c r="B19" s="494"/>
      <c r="C19" s="494"/>
      <c r="D19" s="494"/>
      <c r="E19" s="494"/>
      <c r="F19" s="494"/>
      <c r="G19" s="494"/>
      <c r="H19" s="494"/>
      <c r="I19" s="164">
        <f>'Transformer Allowance'!C13</f>
        <v>-63472.6498752236</v>
      </c>
    </row>
    <row r="20" spans="1:9" ht="7.5" customHeight="1">
      <c r="A20" s="494"/>
      <c r="B20" s="494"/>
      <c r="C20" s="494"/>
      <c r="D20" s="494"/>
      <c r="E20" s="494"/>
      <c r="F20" s="494"/>
      <c r="G20" s="494"/>
      <c r="H20" s="494"/>
      <c r="I20" s="164"/>
    </row>
    <row r="21" spans="1:9" ht="18" customHeight="1" thickBot="1">
      <c r="A21" s="510" t="s">
        <v>110</v>
      </c>
      <c r="B21" s="510"/>
      <c r="C21" s="510"/>
      <c r="D21" s="510"/>
      <c r="E21" s="510"/>
      <c r="F21" s="510"/>
      <c r="G21" s="510"/>
      <c r="H21" s="510"/>
      <c r="I21" s="165">
        <f>+I15+I18+I19</f>
        <v>6475857.129286347</v>
      </c>
    </row>
    <row r="22" spans="1:9" ht="7.5" customHeight="1" thickTop="1">
      <c r="A22" s="494"/>
      <c r="B22" s="494"/>
      <c r="C22" s="494"/>
      <c r="D22" s="494"/>
      <c r="E22" s="494"/>
      <c r="F22" s="494"/>
      <c r="G22" s="494"/>
      <c r="H22" s="494"/>
      <c r="I22" s="166"/>
    </row>
    <row r="23" spans="1:9" ht="18" customHeight="1">
      <c r="A23" s="585" t="s">
        <v>107</v>
      </c>
      <c r="B23" s="585"/>
      <c r="C23" s="585"/>
      <c r="D23" s="585"/>
      <c r="E23" s="585"/>
      <c r="F23" s="585"/>
      <c r="G23" s="585"/>
      <c r="H23" s="585"/>
      <c r="I23" s="167">
        <f>+'Revenue Input'!B9</f>
        <v>483278.80000000005</v>
      </c>
    </row>
    <row r="24" spans="1:9" ht="18" customHeight="1" thickBot="1">
      <c r="A24" s="510" t="s">
        <v>108</v>
      </c>
      <c r="B24" s="510"/>
      <c r="C24" s="510"/>
      <c r="D24" s="510"/>
      <c r="E24" s="510"/>
      <c r="F24" s="510"/>
      <c r="G24" s="510"/>
      <c r="H24" s="510"/>
      <c r="I24" s="168">
        <f>+I21+I23</f>
        <v>6959135.929286347</v>
      </c>
    </row>
    <row r="25" spans="1:9" ht="7.5" customHeight="1">
      <c r="A25" s="494"/>
      <c r="B25" s="494"/>
      <c r="C25" s="494"/>
      <c r="D25" s="494"/>
      <c r="E25" s="494"/>
      <c r="F25" s="494"/>
      <c r="G25" s="494"/>
      <c r="H25" s="494"/>
      <c r="I25" s="166"/>
    </row>
    <row r="26" spans="1:9" ht="18" customHeight="1" thickBot="1">
      <c r="A26" s="510" t="s">
        <v>105</v>
      </c>
      <c r="B26" s="510"/>
      <c r="C26" s="510"/>
      <c r="D26" s="510"/>
      <c r="E26" s="510"/>
      <c r="F26" s="510"/>
      <c r="G26" s="510"/>
      <c r="H26" s="510"/>
      <c r="I26" s="168">
        <f>+'Revenue Input'!B8</f>
        <v>8715752.573688783</v>
      </c>
    </row>
    <row r="27" spans="1:9" ht="7.5" customHeight="1">
      <c r="A27" s="494"/>
      <c r="B27" s="494"/>
      <c r="C27" s="494"/>
      <c r="D27" s="494"/>
      <c r="E27" s="494"/>
      <c r="F27" s="494"/>
      <c r="G27" s="494"/>
      <c r="H27" s="494"/>
      <c r="I27" s="169"/>
    </row>
    <row r="28" spans="1:9" ht="18" customHeight="1" thickBot="1">
      <c r="A28" s="510" t="s">
        <v>106</v>
      </c>
      <c r="B28" s="510"/>
      <c r="C28" s="510"/>
      <c r="D28" s="510"/>
      <c r="E28" s="510"/>
      <c r="F28" s="510"/>
      <c r="G28" s="510"/>
      <c r="H28" s="510"/>
      <c r="I28" s="170">
        <f>+I26-I24</f>
        <v>1756616.644402436</v>
      </c>
    </row>
    <row r="29" ht="13.5" thickTop="1"/>
    <row r="30" spans="7:11" ht="12.75">
      <c r="G30" s="15"/>
      <c r="H30" s="15"/>
      <c r="I30" s="15"/>
      <c r="J30" s="15"/>
      <c r="K30" s="15"/>
    </row>
    <row r="31" spans="7:11" ht="12.75">
      <c r="G31" s="15"/>
      <c r="H31" s="15"/>
      <c r="I31" s="15"/>
      <c r="J31" s="15"/>
      <c r="K31" s="15"/>
    </row>
    <row r="32" ht="12.75">
      <c r="I32" s="9"/>
    </row>
  </sheetData>
  <sheetProtection/>
  <mergeCells count="19">
    <mergeCell ref="A21:H21"/>
    <mergeCell ref="A5:I5"/>
    <mergeCell ref="A6:I6"/>
    <mergeCell ref="A1:I1"/>
    <mergeCell ref="A2:I2"/>
    <mergeCell ref="A3:I3"/>
    <mergeCell ref="A4:I4"/>
    <mergeCell ref="A16:I16"/>
    <mergeCell ref="A17:H17"/>
    <mergeCell ref="A18:H18"/>
    <mergeCell ref="A20:H20"/>
    <mergeCell ref="A19:H19"/>
    <mergeCell ref="A22:H22"/>
    <mergeCell ref="A23:H23"/>
    <mergeCell ref="A28:H28"/>
    <mergeCell ref="A24:H24"/>
    <mergeCell ref="A25:H25"/>
    <mergeCell ref="A26:H26"/>
    <mergeCell ref="A27:H27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493" t="str">
        <f>+'Revenue Input'!A1</f>
        <v>Woodstock Hydro Services Inc.</v>
      </c>
      <c r="B1" s="493"/>
      <c r="C1" s="493"/>
      <c r="D1" s="493"/>
      <c r="E1" s="493"/>
      <c r="F1" s="493"/>
      <c r="G1" s="493"/>
      <c r="H1" s="493"/>
      <c r="I1" s="493"/>
    </row>
    <row r="2" spans="1:9" ht="12.75">
      <c r="A2" s="493" t="str">
        <f>+'Revenue Input'!A2</f>
        <v>, License Number ED-2003-0011, File Number EB-2010-0145</v>
      </c>
      <c r="B2" s="493"/>
      <c r="C2" s="493"/>
      <c r="D2" s="493"/>
      <c r="E2" s="493"/>
      <c r="F2" s="493"/>
      <c r="G2" s="493"/>
      <c r="H2" s="493"/>
      <c r="I2" s="493"/>
    </row>
    <row r="3" spans="1:9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</row>
    <row r="4" spans="1:9" ht="8.25" customHeight="1">
      <c r="A4" s="494"/>
      <c r="B4" s="494"/>
      <c r="C4" s="494"/>
      <c r="D4" s="494"/>
      <c r="E4" s="494"/>
      <c r="F4" s="494"/>
      <c r="G4" s="494"/>
      <c r="H4" s="494"/>
      <c r="I4" s="494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498" t="s">
        <v>37</v>
      </c>
      <c r="B6" s="498"/>
      <c r="C6" s="498"/>
    </row>
    <row r="7" ht="15" customHeight="1"/>
    <row r="8" spans="1:3" ht="15" customHeight="1">
      <c r="A8" s="499"/>
      <c r="B8" s="499"/>
      <c r="C8" s="499"/>
    </row>
    <row r="9" spans="1:3" ht="15">
      <c r="A9" s="496" t="s">
        <v>142</v>
      </c>
      <c r="B9" s="495" t="s">
        <v>181</v>
      </c>
      <c r="C9" s="495"/>
    </row>
    <row r="10" spans="1:3" ht="15">
      <c r="A10" s="497"/>
      <c r="B10" s="50" t="s">
        <v>33</v>
      </c>
      <c r="C10" s="51" t="s">
        <v>36</v>
      </c>
    </row>
    <row r="11" spans="1:3" ht="15">
      <c r="A11" s="52" t="s">
        <v>34</v>
      </c>
      <c r="B11" s="53"/>
      <c r="C11" s="54"/>
    </row>
    <row r="12" spans="1:9" ht="15">
      <c r="A12" s="55" t="str">
        <f>'Forecast Data For 2011'!A11</f>
        <v>GS 50 kW - 999 kW</v>
      </c>
      <c r="B12" s="152">
        <v>270733.1967365094</v>
      </c>
      <c r="C12" s="161">
        <f>+B12*$B$18</f>
        <v>-162439.91804190562</v>
      </c>
      <c r="E12" s="33"/>
      <c r="F12" s="33"/>
      <c r="G12" s="33"/>
      <c r="H12" s="8"/>
      <c r="I12" s="8"/>
    </row>
    <row r="13" spans="1:9" ht="15">
      <c r="A13" s="55" t="str">
        <f>'Forecast Data For 2011'!A14</f>
        <v>GS&gt;1000 kW</v>
      </c>
      <c r="B13" s="152">
        <v>105787.74979203934</v>
      </c>
      <c r="C13" s="161">
        <f>+B13*$B$18</f>
        <v>-63472.6498752236</v>
      </c>
      <c r="E13" s="223"/>
      <c r="F13" s="223"/>
      <c r="G13" s="223"/>
      <c r="H13" s="222"/>
      <c r="I13" s="222"/>
    </row>
    <row r="14" spans="1:9" ht="15">
      <c r="A14" s="55"/>
      <c r="B14" s="152"/>
      <c r="C14" s="161">
        <f>+B14*$B$18</f>
        <v>0</v>
      </c>
      <c r="E14" s="33"/>
      <c r="F14" s="33"/>
      <c r="G14" s="33"/>
      <c r="H14" s="8"/>
      <c r="I14" s="8"/>
    </row>
    <row r="15" spans="1:9" ht="15">
      <c r="A15" s="55"/>
      <c r="B15" s="152">
        <v>0</v>
      </c>
      <c r="C15" s="161">
        <f>+B15*$B$18</f>
        <v>0</v>
      </c>
      <c r="E15" s="33"/>
      <c r="F15" s="33"/>
      <c r="G15" s="33"/>
      <c r="H15" s="8"/>
      <c r="I15" s="8"/>
    </row>
    <row r="16" spans="1:3" ht="15">
      <c r="A16" s="56" t="s">
        <v>35</v>
      </c>
      <c r="B16" s="153">
        <f>SUM(B12:B15)</f>
        <v>376520.9465285487</v>
      </c>
      <c r="C16" s="161">
        <f>SUM(C12:C15)</f>
        <v>-225912.56791712923</v>
      </c>
    </row>
    <row r="17" ht="13.5" thickBot="1"/>
    <row r="18" spans="1:2" ht="15.75" thickBot="1">
      <c r="A18" s="5" t="s">
        <v>143</v>
      </c>
      <c r="B18" s="162">
        <v>-0.6</v>
      </c>
    </row>
    <row r="19" ht="15">
      <c r="A19" s="4"/>
    </row>
    <row r="20" ht="15">
      <c r="A20" s="5"/>
    </row>
    <row r="21" ht="15">
      <c r="A21" s="4"/>
    </row>
    <row r="22" ht="15">
      <c r="A22" s="4"/>
    </row>
    <row r="23" ht="15">
      <c r="A23" s="4"/>
    </row>
    <row r="25" ht="15">
      <c r="A25" s="5"/>
    </row>
    <row r="26" ht="15">
      <c r="A26" s="4"/>
    </row>
    <row r="27" ht="15">
      <c r="A27" s="5"/>
    </row>
    <row r="28" ht="15">
      <c r="A28" s="4"/>
    </row>
    <row r="29" ht="15">
      <c r="A29" s="4"/>
    </row>
    <row r="30" ht="15">
      <c r="A30" s="4"/>
    </row>
    <row r="32" ht="15">
      <c r="A32" s="5"/>
    </row>
    <row r="33" ht="15">
      <c r="A33" s="4"/>
    </row>
    <row r="34" ht="15">
      <c r="A34" s="5"/>
    </row>
    <row r="35" ht="15">
      <c r="A35" s="4"/>
    </row>
    <row r="36" ht="15">
      <c r="A36" s="4"/>
    </row>
    <row r="37" ht="15">
      <c r="A37" s="4"/>
    </row>
  </sheetData>
  <sheetProtection/>
  <mergeCells count="8">
    <mergeCell ref="A1:I1"/>
    <mergeCell ref="A2:I2"/>
    <mergeCell ref="A3:I3"/>
    <mergeCell ref="A4:I4"/>
    <mergeCell ref="B9:C9"/>
    <mergeCell ref="A9:A10"/>
    <mergeCell ref="A6:C6"/>
    <mergeCell ref="A8:C8"/>
  </mergeCells>
  <printOptions/>
  <pageMargins left="0.75" right="0.75" top="1" bottom="1" header="0.5" footer="0.5"/>
  <pageSetup fitToHeight="1" fitToWidth="1" horizontalDpi="355" verticalDpi="355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7.7109375" style="0" customWidth="1"/>
    <col min="4" max="4" width="13.421875" style="0" bestFit="1" customWidth="1"/>
    <col min="5" max="5" width="13.8515625" style="0" customWidth="1"/>
    <col min="6" max="10" width="10.140625" style="0" customWidth="1"/>
  </cols>
  <sheetData>
    <row r="1" spans="1:3" ht="12.75">
      <c r="A1" s="187" t="str">
        <f>+'Revenue Input'!A1</f>
        <v>Woodstock Hydro Services Inc.</v>
      </c>
      <c r="B1" s="187"/>
      <c r="C1" s="187"/>
    </row>
    <row r="2" spans="1:3" ht="12.75">
      <c r="A2" s="187" t="str">
        <f>+'Revenue Input'!A2</f>
        <v>, License Number ED-2003-0011, File Number EB-2010-0145</v>
      </c>
      <c r="B2" s="187"/>
      <c r="C2" s="187"/>
    </row>
    <row r="3" spans="1:3" ht="12.75">
      <c r="A3" s="187">
        <f>+'Revenue Input'!A3</f>
        <v>0</v>
      </c>
      <c r="B3" s="187"/>
      <c r="C3" s="187"/>
    </row>
    <row r="4" spans="1:3" ht="27" customHeight="1">
      <c r="A4" s="500" t="s">
        <v>172</v>
      </c>
      <c r="B4" s="501"/>
      <c r="C4" s="502"/>
    </row>
    <row r="5" spans="1:3" ht="18.75" customHeight="1">
      <c r="A5" s="163" t="s">
        <v>29</v>
      </c>
      <c r="B5" s="163"/>
      <c r="C5" s="188"/>
    </row>
    <row r="6" spans="1:10" ht="27" thickBot="1">
      <c r="A6" s="48" t="s">
        <v>23</v>
      </c>
      <c r="B6" s="49" t="s">
        <v>139</v>
      </c>
      <c r="C6" s="48" t="s">
        <v>173</v>
      </c>
      <c r="E6" s="15"/>
      <c r="F6" s="15"/>
      <c r="G6" s="15"/>
      <c r="H6" s="15"/>
      <c r="I6" s="15"/>
      <c r="J6" s="15"/>
    </row>
    <row r="7" spans="1:10" ht="15" customHeight="1">
      <c r="A7" s="143" t="s">
        <v>167</v>
      </c>
      <c r="B7" s="42" t="s">
        <v>140</v>
      </c>
      <c r="C7" s="174">
        <v>13785</v>
      </c>
      <c r="D7" s="224"/>
      <c r="E7" s="38"/>
      <c r="F7" s="15"/>
      <c r="G7" s="15"/>
      <c r="H7" s="15"/>
      <c r="I7" s="15"/>
      <c r="J7" s="15"/>
    </row>
    <row r="8" spans="1:10" ht="13.5" thickBot="1">
      <c r="A8" s="45"/>
      <c r="B8" s="46" t="s">
        <v>16</v>
      </c>
      <c r="C8" s="47">
        <v>117418066.48834497</v>
      </c>
      <c r="E8" s="15"/>
      <c r="F8" s="15"/>
      <c r="G8" s="15"/>
      <c r="H8" s="15"/>
      <c r="I8" s="15"/>
      <c r="J8" s="15"/>
    </row>
    <row r="9" spans="1:10" ht="15" customHeight="1">
      <c r="A9" s="143" t="s">
        <v>168</v>
      </c>
      <c r="B9" s="42" t="s">
        <v>140</v>
      </c>
      <c r="C9" s="41">
        <v>1171</v>
      </c>
      <c r="E9" s="38"/>
      <c r="F9" s="15"/>
      <c r="G9" s="15"/>
      <c r="H9" s="15"/>
      <c r="I9" s="15"/>
      <c r="J9" s="15"/>
    </row>
    <row r="10" spans="1:10" ht="15" customHeight="1" thickBot="1">
      <c r="A10" s="45"/>
      <c r="B10" s="46" t="s">
        <v>16</v>
      </c>
      <c r="C10" s="47">
        <v>46182407.05503645</v>
      </c>
      <c r="E10" s="15"/>
      <c r="F10" s="15"/>
      <c r="G10" s="15"/>
      <c r="H10" s="15"/>
      <c r="I10" s="15"/>
      <c r="J10" s="15"/>
    </row>
    <row r="11" spans="1:10" ht="15" customHeight="1">
      <c r="A11" s="143" t="s">
        <v>206</v>
      </c>
      <c r="B11" s="42" t="s">
        <v>140</v>
      </c>
      <c r="C11" s="43">
        <v>193</v>
      </c>
      <c r="E11" s="15"/>
      <c r="F11" s="15"/>
      <c r="G11" s="15"/>
      <c r="H11" s="15"/>
      <c r="I11" s="15"/>
      <c r="J11" s="15"/>
    </row>
    <row r="12" spans="1:10" ht="15" customHeight="1">
      <c r="A12" s="44"/>
      <c r="B12" s="40" t="s">
        <v>17</v>
      </c>
      <c r="C12" s="41">
        <v>381271.21290053293</v>
      </c>
      <c r="E12" s="15"/>
      <c r="F12" s="15"/>
      <c r="G12" s="15"/>
      <c r="H12" s="15"/>
      <c r="I12" s="15"/>
      <c r="J12" s="15"/>
    </row>
    <row r="13" spans="1:3" ht="15" customHeight="1" thickBot="1">
      <c r="A13" s="45"/>
      <c r="B13" s="46" t="s">
        <v>16</v>
      </c>
      <c r="C13" s="47">
        <v>118202395.5281348</v>
      </c>
    </row>
    <row r="14" spans="1:3" ht="15" customHeight="1">
      <c r="A14" s="143" t="s">
        <v>207</v>
      </c>
      <c r="B14" s="194" t="s">
        <v>140</v>
      </c>
      <c r="C14" s="192">
        <v>7</v>
      </c>
    </row>
    <row r="15" spans="1:3" ht="15" customHeight="1">
      <c r="A15" s="44"/>
      <c r="B15" s="195" t="s">
        <v>17</v>
      </c>
      <c r="C15" s="191">
        <v>148979.97053713276</v>
      </c>
    </row>
    <row r="16" spans="1:3" ht="15" customHeight="1" thickBot="1">
      <c r="A16" s="45"/>
      <c r="B16" s="196" t="s">
        <v>16</v>
      </c>
      <c r="C16" s="193">
        <v>69723916.57308918</v>
      </c>
    </row>
    <row r="17" spans="1:10" ht="15" customHeight="1">
      <c r="A17" s="143" t="s">
        <v>169</v>
      </c>
      <c r="B17" s="194" t="s">
        <v>140</v>
      </c>
      <c r="C17" s="192">
        <v>0</v>
      </c>
      <c r="E17" s="15"/>
      <c r="F17" s="15"/>
      <c r="G17" s="15"/>
      <c r="H17" s="15"/>
      <c r="I17" s="15"/>
      <c r="J17" s="15"/>
    </row>
    <row r="18" spans="1:10" ht="15" customHeight="1">
      <c r="A18" s="44"/>
      <c r="B18" s="195" t="s">
        <v>17</v>
      </c>
      <c r="C18" s="191">
        <v>0</v>
      </c>
      <c r="E18" s="15"/>
      <c r="F18" s="15"/>
      <c r="G18" s="15"/>
      <c r="H18" s="15"/>
      <c r="I18" s="15"/>
      <c r="J18" s="15"/>
    </row>
    <row r="19" spans="1:3" ht="15" customHeight="1" thickBot="1">
      <c r="A19" s="45"/>
      <c r="B19" s="196" t="s">
        <v>16</v>
      </c>
      <c r="C19" s="193">
        <v>0</v>
      </c>
    </row>
    <row r="20" spans="1:3" ht="15" customHeight="1">
      <c r="A20" s="143" t="s">
        <v>170</v>
      </c>
      <c r="B20" s="42" t="s">
        <v>141</v>
      </c>
      <c r="C20" s="43">
        <v>4369.313179623512</v>
      </c>
    </row>
    <row r="21" spans="1:3" ht="15" customHeight="1">
      <c r="A21" s="44"/>
      <c r="B21" s="40" t="s">
        <v>17</v>
      </c>
      <c r="C21" s="41">
        <v>8538.621682209448</v>
      </c>
    </row>
    <row r="22" spans="1:3" ht="15" customHeight="1" thickBot="1">
      <c r="A22" s="45"/>
      <c r="B22" s="46" t="s">
        <v>16</v>
      </c>
      <c r="C22" s="47">
        <v>2490098.0164234308</v>
      </c>
    </row>
    <row r="23" spans="1:3" ht="15" customHeight="1">
      <c r="A23" s="143" t="s">
        <v>213</v>
      </c>
      <c r="B23" s="42" t="s">
        <v>141</v>
      </c>
      <c r="C23" s="41">
        <v>4</v>
      </c>
    </row>
    <row r="24" spans="1:3" ht="15" customHeight="1" thickBot="1">
      <c r="A24" s="45"/>
      <c r="B24" s="46" t="s">
        <v>16</v>
      </c>
      <c r="C24" s="41"/>
    </row>
    <row r="25" spans="1:3" ht="15" customHeight="1">
      <c r="A25" s="143" t="s">
        <v>171</v>
      </c>
      <c r="B25" s="42" t="s">
        <v>141</v>
      </c>
      <c r="C25" s="43">
        <v>135</v>
      </c>
    </row>
    <row r="26" spans="1:3" ht="15" customHeight="1" thickBot="1">
      <c r="A26" s="45"/>
      <c r="B26" s="46" t="s">
        <v>16</v>
      </c>
      <c r="C26" s="41">
        <v>615829.4710948495</v>
      </c>
    </row>
    <row r="27" spans="1:3" ht="15" customHeight="1">
      <c r="A27" s="197" t="s">
        <v>174</v>
      </c>
      <c r="B27" s="42" t="s">
        <v>175</v>
      </c>
      <c r="C27" s="190">
        <f>C7+C9++C14+C11+C17+C20+C25</f>
        <v>19660.31317962351</v>
      </c>
    </row>
    <row r="28" spans="1:3" ht="15" customHeight="1">
      <c r="A28" s="198"/>
      <c r="B28" s="40" t="s">
        <v>17</v>
      </c>
      <c r="C28" s="199">
        <f>C12+C15+C18+C21</f>
        <v>538789.8051198751</v>
      </c>
    </row>
    <row r="29" spans="1:3" ht="15" customHeight="1" thickBot="1">
      <c r="A29" s="45"/>
      <c r="B29" s="46" t="s">
        <v>16</v>
      </c>
      <c r="C29" s="200">
        <f>C8+C10+C13+C16+C19+C22+C26</f>
        <v>354632713.13212365</v>
      </c>
    </row>
    <row r="30" ht="12.75">
      <c r="E30" s="3"/>
    </row>
    <row r="31" ht="12.75">
      <c r="C31" s="21"/>
    </row>
    <row r="32" ht="12.75">
      <c r="C32" s="21"/>
    </row>
    <row r="33" ht="12.75">
      <c r="C33" s="21"/>
    </row>
  </sheetData>
  <sheetProtection/>
  <mergeCells count="1">
    <mergeCell ref="A4:C4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7">
      <selection activeCell="C11" sqref="C11:D12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</cols>
  <sheetData>
    <row r="1" spans="1:5" ht="12.75">
      <c r="A1" s="493" t="str">
        <f>+'Revenue Input'!A1</f>
        <v>Woodstock Hydro Services Inc.</v>
      </c>
      <c r="B1" s="493"/>
      <c r="C1" s="493"/>
      <c r="D1" s="493"/>
      <c r="E1" s="493"/>
    </row>
    <row r="2" spans="1:5" ht="12.75">
      <c r="A2" s="493" t="str">
        <f>+'Revenue Input'!A2</f>
        <v>, License Number ED-2003-0011, File Number EB-2010-0145</v>
      </c>
      <c r="B2" s="493"/>
      <c r="C2" s="493"/>
      <c r="D2" s="493"/>
      <c r="E2" s="493"/>
    </row>
    <row r="3" spans="1:5" ht="12.75">
      <c r="A3" s="493">
        <f>+'Revenue Input'!A3</f>
        <v>0</v>
      </c>
      <c r="B3" s="493"/>
      <c r="C3" s="493"/>
      <c r="D3" s="493"/>
      <c r="E3" s="493"/>
    </row>
    <row r="4" spans="1:5" ht="12.75">
      <c r="A4" s="510" t="s">
        <v>208</v>
      </c>
      <c r="B4" s="510"/>
      <c r="C4" s="510"/>
      <c r="D4" s="510"/>
      <c r="E4" s="510"/>
    </row>
    <row r="5" spans="1:5" s="8" customFormat="1" ht="48.75" customHeight="1">
      <c r="A5" s="512" t="s">
        <v>176</v>
      </c>
      <c r="B5" s="512"/>
      <c r="C5" s="512"/>
      <c r="D5" s="512"/>
      <c r="E5" s="512"/>
    </row>
    <row r="6" spans="1:5" s="8" customFormat="1" ht="13.5" thickBot="1">
      <c r="A6" s="514"/>
      <c r="B6" s="514"/>
      <c r="C6" s="514"/>
      <c r="D6" s="514"/>
      <c r="E6" s="514"/>
    </row>
    <row r="7" spans="1:5" ht="13.5" thickBot="1">
      <c r="A7" s="59" t="s">
        <v>0</v>
      </c>
      <c r="B7" s="60" t="s">
        <v>24</v>
      </c>
      <c r="C7" s="60" t="s">
        <v>25</v>
      </c>
      <c r="D7" s="60" t="s">
        <v>17</v>
      </c>
      <c r="E7" s="60" t="s">
        <v>16</v>
      </c>
    </row>
    <row r="8" spans="1:9" ht="12.75">
      <c r="A8" s="61" t="str">
        <f>'Forecast Data For 2011'!A7</f>
        <v>Residential</v>
      </c>
      <c r="B8" s="154"/>
      <c r="C8" s="155">
        <v>11.1</v>
      </c>
      <c r="D8" s="154">
        <v>0</v>
      </c>
      <c r="E8" s="154">
        <f aca="true" t="shared" si="0" ref="E8:E13">B58</f>
        <v>0.019</v>
      </c>
      <c r="F8" s="33"/>
      <c r="G8" s="8"/>
      <c r="H8" s="8"/>
      <c r="I8" s="8"/>
    </row>
    <row r="9" spans="1:9" ht="12.75">
      <c r="A9" s="62" t="str">
        <f>'Forecast Data For 2011'!A9</f>
        <v>GS &lt; 50 kW</v>
      </c>
      <c r="B9" s="154"/>
      <c r="C9" s="155">
        <v>21.45</v>
      </c>
      <c r="D9" s="154">
        <v>0</v>
      </c>
      <c r="E9" s="154">
        <f t="shared" si="0"/>
        <v>0.0123</v>
      </c>
      <c r="F9" s="8"/>
      <c r="G9" s="8"/>
      <c r="H9" s="8"/>
      <c r="I9" s="8"/>
    </row>
    <row r="10" spans="1:9" ht="12.75">
      <c r="A10" s="62" t="str">
        <f>'Forecast Data For 2011'!A11</f>
        <v>GS 50 kW - 999 kW</v>
      </c>
      <c r="B10" s="154"/>
      <c r="C10" s="155">
        <v>294.82</v>
      </c>
      <c r="D10" s="154">
        <v>1.8048</v>
      </c>
      <c r="E10" s="154">
        <f t="shared" si="0"/>
        <v>0</v>
      </c>
      <c r="F10" s="8"/>
      <c r="G10" s="8"/>
      <c r="H10" s="8"/>
      <c r="I10" s="8"/>
    </row>
    <row r="11" spans="1:9" ht="12.75">
      <c r="A11" s="62" t="str">
        <f>'Forecast Data For 2011'!A14</f>
        <v>GS&gt;1000 kW</v>
      </c>
      <c r="B11" s="154"/>
      <c r="C11" s="155">
        <v>294.82</v>
      </c>
      <c r="D11" s="154">
        <v>1.8048</v>
      </c>
      <c r="E11" s="154">
        <f t="shared" si="0"/>
        <v>0</v>
      </c>
      <c r="F11" s="222"/>
      <c r="G11" s="222"/>
      <c r="H11" s="222"/>
      <c r="I11" s="222"/>
    </row>
    <row r="12" spans="1:9" ht="12.75">
      <c r="A12" s="62" t="str">
        <f>'Forecast Data For 2011'!A17</f>
        <v>Large Use</v>
      </c>
      <c r="B12" s="154"/>
      <c r="C12" s="155">
        <v>13876.25</v>
      </c>
      <c r="D12" s="154">
        <v>2.4566</v>
      </c>
      <c r="E12" s="154">
        <f t="shared" si="0"/>
        <v>0</v>
      </c>
      <c r="F12" s="8"/>
      <c r="G12" s="8"/>
      <c r="H12" s="8"/>
      <c r="I12" s="8"/>
    </row>
    <row r="13" spans="1:9" ht="12.75">
      <c r="A13" s="62" t="str">
        <f>'Forecast Data For 2011'!A20</f>
        <v>Street Lighting</v>
      </c>
      <c r="B13" s="155">
        <v>0.87</v>
      </c>
      <c r="C13" s="155"/>
      <c r="D13" s="154">
        <v>3.4918</v>
      </c>
      <c r="E13" s="154">
        <f t="shared" si="0"/>
        <v>0</v>
      </c>
      <c r="F13" s="8"/>
      <c r="G13" s="8"/>
      <c r="H13" s="8"/>
      <c r="I13" s="8"/>
    </row>
    <row r="14" spans="1:9" ht="12.75">
      <c r="A14" s="62" t="str">
        <f>'Forecast Data For 2011'!A23</f>
        <v>microFIT Generator service</v>
      </c>
      <c r="B14" s="155">
        <v>5.25</v>
      </c>
      <c r="C14" s="155"/>
      <c r="D14" s="154">
        <v>0</v>
      </c>
      <c r="E14" s="154">
        <v>0</v>
      </c>
      <c r="F14" s="226"/>
      <c r="G14" s="226"/>
      <c r="H14" s="226"/>
      <c r="I14" s="226"/>
    </row>
    <row r="15" spans="1:9" ht="12.75">
      <c r="A15" s="62" t="str">
        <f>'Forecast Data For 2011'!A25</f>
        <v>USL</v>
      </c>
      <c r="B15" s="155">
        <v>10.73</v>
      </c>
      <c r="C15" s="155"/>
      <c r="D15" s="154">
        <f>D65</f>
        <v>0</v>
      </c>
      <c r="E15" s="154">
        <v>0.0123</v>
      </c>
      <c r="F15" s="8"/>
      <c r="G15" s="8"/>
      <c r="H15" s="8"/>
      <c r="I15" s="8"/>
    </row>
    <row r="16" spans="1:9" ht="12.75">
      <c r="A16" s="62" t="str">
        <f>'Forecast Data For 2011'!A27</f>
        <v>Total Check</v>
      </c>
      <c r="B16" s="154"/>
      <c r="C16" s="155"/>
      <c r="D16" s="154"/>
      <c r="E16" s="154"/>
      <c r="F16" s="8"/>
      <c r="G16" s="8"/>
      <c r="H16" s="8"/>
      <c r="I16" s="8"/>
    </row>
    <row r="17" spans="1:5" s="8" customFormat="1" ht="12.75">
      <c r="A17" s="494"/>
      <c r="B17" s="494"/>
      <c r="C17" s="494"/>
      <c r="D17" s="494"/>
      <c r="E17" s="494"/>
    </row>
    <row r="18" spans="1:5" s="8" customFormat="1" ht="17.25">
      <c r="A18" s="509" t="s">
        <v>177</v>
      </c>
      <c r="B18" s="509"/>
      <c r="C18" s="509"/>
      <c r="D18" s="509"/>
      <c r="E18" s="509"/>
    </row>
    <row r="19" spans="1:5" s="8" customFormat="1" ht="13.5" thickBot="1">
      <c r="A19" s="510"/>
      <c r="B19" s="510"/>
      <c r="C19" s="510"/>
      <c r="D19" s="510"/>
      <c r="E19" s="510"/>
    </row>
    <row r="20" spans="1:9" ht="51.75" customHeight="1" thickBot="1">
      <c r="A20" s="59" t="s">
        <v>0</v>
      </c>
      <c r="B20" s="507" t="s">
        <v>45</v>
      </c>
      <c r="C20" s="513"/>
      <c r="D20" s="507" t="s">
        <v>46</v>
      </c>
      <c r="E20" s="513"/>
      <c r="F20" s="8"/>
      <c r="G20" s="8"/>
      <c r="H20" s="8"/>
      <c r="I20" s="8"/>
    </row>
    <row r="21" spans="1:5" ht="12.75">
      <c r="A21" s="61" t="str">
        <f aca="true" t="shared" si="1" ref="A21:A27">A8</f>
        <v>Residential</v>
      </c>
      <c r="B21" s="516">
        <v>-0.0014</v>
      </c>
      <c r="C21" s="516"/>
      <c r="D21" s="517"/>
      <c r="E21" s="517"/>
    </row>
    <row r="22" spans="1:5" ht="12.75">
      <c r="A22" s="61" t="str">
        <f t="shared" si="1"/>
        <v>GS &lt; 50 kW</v>
      </c>
      <c r="B22" s="516">
        <v>-0.0014</v>
      </c>
      <c r="C22" s="516"/>
      <c r="D22" s="506"/>
      <c r="E22" s="506"/>
    </row>
    <row r="23" spans="1:5" ht="12.75">
      <c r="A23" s="61" t="str">
        <f t="shared" si="1"/>
        <v>GS 50 kW - 999 kW</v>
      </c>
      <c r="B23" s="515"/>
      <c r="C23" s="515"/>
      <c r="D23" s="506">
        <v>-0.4471</v>
      </c>
      <c r="E23" s="506"/>
    </row>
    <row r="24" spans="1:5" ht="12.75">
      <c r="A24" s="61" t="str">
        <f t="shared" si="1"/>
        <v>GS&gt;1000 kW</v>
      </c>
      <c r="B24" s="506"/>
      <c r="C24" s="506"/>
      <c r="D24" s="506">
        <v>-0.4471</v>
      </c>
      <c r="E24" s="506"/>
    </row>
    <row r="25" spans="1:5" ht="12.75">
      <c r="A25" s="61" t="str">
        <f t="shared" si="1"/>
        <v>Large Use</v>
      </c>
      <c r="B25" s="506"/>
      <c r="C25" s="506"/>
      <c r="D25" s="506">
        <v>-0.3361</v>
      </c>
      <c r="E25" s="506"/>
    </row>
    <row r="26" spans="1:5" ht="12.75">
      <c r="A26" s="61" t="str">
        <f t="shared" si="1"/>
        <v>Street Lighting</v>
      </c>
      <c r="B26" s="515"/>
      <c r="C26" s="515"/>
      <c r="D26" s="503">
        <v>-0.38384</v>
      </c>
      <c r="E26" s="504"/>
    </row>
    <row r="27" spans="1:5" ht="12.75">
      <c r="A27" s="61" t="str">
        <f t="shared" si="1"/>
        <v>microFIT Generator service</v>
      </c>
      <c r="B27" s="503"/>
      <c r="C27" s="504"/>
      <c r="D27" s="503"/>
      <c r="E27" s="504"/>
    </row>
    <row r="28" spans="1:5" ht="12.75">
      <c r="A28" s="61" t="str">
        <f>A15</f>
        <v>USL</v>
      </c>
      <c r="B28" s="506"/>
      <c r="C28" s="506"/>
      <c r="D28" s="506"/>
      <c r="E28" s="506"/>
    </row>
    <row r="29" spans="1:5" ht="12.75">
      <c r="A29" s="511"/>
      <c r="B29" s="511"/>
      <c r="C29" s="511"/>
      <c r="D29" s="511"/>
      <c r="E29" s="511"/>
    </row>
    <row r="30" spans="1:5" ht="17.25">
      <c r="A30" s="509" t="s">
        <v>178</v>
      </c>
      <c r="B30" s="509"/>
      <c r="C30" s="509"/>
      <c r="D30" s="509"/>
      <c r="E30" s="509"/>
    </row>
    <row r="31" spans="1:5" ht="13.5" thickBot="1">
      <c r="A31" s="510"/>
      <c r="B31" s="510"/>
      <c r="C31" s="510"/>
      <c r="D31" s="510"/>
      <c r="E31" s="510"/>
    </row>
    <row r="32" spans="1:5" ht="40.5" customHeight="1" thickBot="1">
      <c r="A32" s="59" t="s">
        <v>0</v>
      </c>
      <c r="B32" s="507" t="s">
        <v>137</v>
      </c>
      <c r="C32" s="508"/>
      <c r="D32" s="507" t="s">
        <v>138</v>
      </c>
      <c r="E32" s="508"/>
    </row>
    <row r="33" spans="1:5" ht="12.75">
      <c r="A33" s="62" t="str">
        <f aca="true" t="shared" si="2" ref="A33:A39">A21</f>
        <v>Residential</v>
      </c>
      <c r="B33" s="506"/>
      <c r="C33" s="506"/>
      <c r="D33" s="506"/>
      <c r="E33" s="506"/>
    </row>
    <row r="34" spans="1:5" ht="12.75">
      <c r="A34" s="62" t="str">
        <f t="shared" si="2"/>
        <v>GS &lt; 50 kW</v>
      </c>
      <c r="B34" s="506"/>
      <c r="C34" s="506"/>
      <c r="D34" s="506"/>
      <c r="E34" s="506"/>
    </row>
    <row r="35" spans="1:5" ht="12.75">
      <c r="A35" s="62" t="str">
        <f t="shared" si="2"/>
        <v>GS 50 kW - 999 kW</v>
      </c>
      <c r="B35" s="506"/>
      <c r="C35" s="506"/>
      <c r="D35" s="506"/>
      <c r="E35" s="506"/>
    </row>
    <row r="36" spans="1:5" ht="12.75">
      <c r="A36" s="62" t="str">
        <f t="shared" si="2"/>
        <v>GS&gt;1000 kW</v>
      </c>
      <c r="B36" s="506"/>
      <c r="C36" s="506"/>
      <c r="D36" s="506"/>
      <c r="E36" s="506"/>
    </row>
    <row r="37" spans="1:5" ht="12.75">
      <c r="A37" s="62" t="str">
        <f t="shared" si="2"/>
        <v>Large Use</v>
      </c>
      <c r="B37" s="506"/>
      <c r="C37" s="506"/>
      <c r="D37" s="506"/>
      <c r="E37" s="506"/>
    </row>
    <row r="38" spans="1:5" ht="12.75">
      <c r="A38" s="62" t="str">
        <f t="shared" si="2"/>
        <v>Street Lighting</v>
      </c>
      <c r="B38" s="506"/>
      <c r="C38" s="506"/>
      <c r="D38" s="506"/>
      <c r="E38" s="506"/>
    </row>
    <row r="39" spans="1:5" ht="12.75">
      <c r="A39" s="62" t="str">
        <f t="shared" si="2"/>
        <v>microFIT Generator service</v>
      </c>
      <c r="B39" s="503"/>
      <c r="C39" s="504"/>
      <c r="D39" s="503"/>
      <c r="E39" s="504"/>
    </row>
    <row r="40" spans="1:5" ht="12.75">
      <c r="A40" s="62" t="str">
        <f>A28</f>
        <v>USL</v>
      </c>
      <c r="B40" s="506"/>
      <c r="C40" s="506"/>
      <c r="D40" s="506"/>
      <c r="E40" s="506"/>
    </row>
    <row r="42" spans="1:5" ht="17.25">
      <c r="A42" s="509" t="s">
        <v>179</v>
      </c>
      <c r="B42" s="509"/>
      <c r="C42" s="509"/>
      <c r="D42" s="509"/>
      <c r="E42" s="509"/>
    </row>
    <row r="43" spans="1:5" ht="13.5" thickBot="1">
      <c r="A43" s="510"/>
      <c r="B43" s="510"/>
      <c r="C43" s="510"/>
      <c r="D43" s="510"/>
      <c r="E43" s="510"/>
    </row>
    <row r="44" spans="1:2" ht="13.5" thickBot="1">
      <c r="A44" s="147" t="s">
        <v>0</v>
      </c>
      <c r="B44" s="148" t="s">
        <v>153</v>
      </c>
    </row>
    <row r="45" spans="1:2" ht="12.75">
      <c r="A45" s="62" t="str">
        <f aca="true" t="shared" si="3" ref="A45:A51">A33</f>
        <v>Residential</v>
      </c>
      <c r="B45" s="149">
        <v>1.63</v>
      </c>
    </row>
    <row r="46" spans="1:2" ht="12.75">
      <c r="A46" s="62" t="str">
        <f t="shared" si="3"/>
        <v>GS &lt; 50 kW</v>
      </c>
      <c r="B46" s="149">
        <v>1.63</v>
      </c>
    </row>
    <row r="47" spans="1:2" ht="12.75">
      <c r="A47" s="62" t="str">
        <f t="shared" si="3"/>
        <v>GS 50 kW - 999 kW</v>
      </c>
      <c r="B47" s="149">
        <v>1.63</v>
      </c>
    </row>
    <row r="48" spans="1:2" ht="12.75">
      <c r="A48" s="62" t="str">
        <f t="shared" si="3"/>
        <v>GS&gt;1000 kW</v>
      </c>
      <c r="B48" s="149">
        <v>1.63</v>
      </c>
    </row>
    <row r="49" spans="1:2" ht="12.75">
      <c r="A49" s="62" t="str">
        <f t="shared" si="3"/>
        <v>Large Use</v>
      </c>
      <c r="B49" s="149">
        <v>1.63</v>
      </c>
    </row>
    <row r="50" spans="1:2" ht="12.75">
      <c r="A50" s="62" t="str">
        <f t="shared" si="3"/>
        <v>Street Lighting</v>
      </c>
      <c r="B50" s="149"/>
    </row>
    <row r="51" spans="1:2" ht="12.75">
      <c r="A51" s="62" t="str">
        <f t="shared" si="3"/>
        <v>microFIT Generator service</v>
      </c>
      <c r="B51" s="149"/>
    </row>
    <row r="52" spans="1:2" ht="12.75">
      <c r="A52" s="62" t="str">
        <f>A40</f>
        <v>USL</v>
      </c>
      <c r="B52" s="149"/>
    </row>
    <row r="55" spans="1:5" s="8" customFormat="1" ht="17.25">
      <c r="A55" s="509" t="s">
        <v>180</v>
      </c>
      <c r="B55" s="509"/>
      <c r="C55" s="509"/>
      <c r="D55" s="509"/>
      <c r="E55" s="509"/>
    </row>
    <row r="56" spans="1:5" ht="13.5" thickBot="1">
      <c r="A56" s="510"/>
      <c r="B56" s="510"/>
      <c r="C56" s="510"/>
      <c r="D56" s="510"/>
      <c r="E56" s="510"/>
    </row>
    <row r="57" spans="1:5" ht="13.5" thickBot="1">
      <c r="A57" s="59" t="s">
        <v>0</v>
      </c>
      <c r="B57" s="507" t="s">
        <v>55</v>
      </c>
      <c r="C57" s="508"/>
      <c r="D57" s="507" t="s">
        <v>22</v>
      </c>
      <c r="E57" s="508"/>
    </row>
    <row r="58" spans="1:5" ht="12.75">
      <c r="A58" s="62" t="str">
        <f aca="true" t="shared" si="4" ref="A58:A64">A33</f>
        <v>Residential</v>
      </c>
      <c r="B58" s="505">
        <v>0.019</v>
      </c>
      <c r="C58" s="505"/>
      <c r="D58" s="505">
        <v>0</v>
      </c>
      <c r="E58" s="505"/>
    </row>
    <row r="59" spans="1:5" ht="12.75">
      <c r="A59" s="62" t="str">
        <f t="shared" si="4"/>
        <v>GS &lt; 50 kW</v>
      </c>
      <c r="B59" s="505">
        <v>0.0123</v>
      </c>
      <c r="C59" s="505"/>
      <c r="D59" s="505">
        <v>0</v>
      </c>
      <c r="E59" s="505"/>
    </row>
    <row r="60" spans="1:5" ht="12.75">
      <c r="A60" s="62" t="str">
        <f t="shared" si="4"/>
        <v>GS 50 kW - 999 kW</v>
      </c>
      <c r="B60" s="505">
        <v>0</v>
      </c>
      <c r="C60" s="505"/>
      <c r="D60" s="505">
        <v>1.8048</v>
      </c>
      <c r="E60" s="505"/>
    </row>
    <row r="61" spans="1:5" ht="12.75">
      <c r="A61" s="62" t="str">
        <f t="shared" si="4"/>
        <v>GS&gt;1000 kW</v>
      </c>
      <c r="B61" s="505">
        <v>0</v>
      </c>
      <c r="C61" s="505"/>
      <c r="D61" s="505">
        <v>1.8048</v>
      </c>
      <c r="E61" s="505"/>
    </row>
    <row r="62" spans="1:5" ht="12.75">
      <c r="A62" s="62" t="str">
        <f t="shared" si="4"/>
        <v>Large Use</v>
      </c>
      <c r="B62" s="505">
        <v>0</v>
      </c>
      <c r="C62" s="505"/>
      <c r="D62" s="505">
        <v>2.4566</v>
      </c>
      <c r="E62" s="505"/>
    </row>
    <row r="63" spans="1:5" ht="12.75">
      <c r="A63" s="62" t="str">
        <f t="shared" si="4"/>
        <v>Street Lighting</v>
      </c>
      <c r="B63" s="505">
        <v>0</v>
      </c>
      <c r="C63" s="505"/>
      <c r="D63" s="505">
        <v>3.4918</v>
      </c>
      <c r="E63" s="505"/>
    </row>
    <row r="64" spans="1:5" ht="12.75">
      <c r="A64" s="62" t="str">
        <f t="shared" si="4"/>
        <v>microFIT Generator service</v>
      </c>
      <c r="B64" s="505">
        <v>0</v>
      </c>
      <c r="C64" s="505"/>
      <c r="D64" s="505">
        <v>0</v>
      </c>
      <c r="E64" s="505"/>
    </row>
    <row r="65" spans="1:5" ht="12.75">
      <c r="A65" s="62" t="str">
        <f>A40</f>
        <v>USL</v>
      </c>
      <c r="B65" s="505">
        <v>0.0123</v>
      </c>
      <c r="C65" s="505"/>
      <c r="D65" s="505">
        <v>0</v>
      </c>
      <c r="E65" s="505"/>
    </row>
  </sheetData>
  <sheetProtection/>
  <mergeCells count="70">
    <mergeCell ref="B61:C61"/>
    <mergeCell ref="D61:E61"/>
    <mergeCell ref="B60:C60"/>
    <mergeCell ref="D60:E60"/>
    <mergeCell ref="B58:C58"/>
    <mergeCell ref="D58:E58"/>
    <mergeCell ref="B59:C59"/>
    <mergeCell ref="D59:E59"/>
    <mergeCell ref="B65:C65"/>
    <mergeCell ref="D65:E65"/>
    <mergeCell ref="B63:C63"/>
    <mergeCell ref="D63:E63"/>
    <mergeCell ref="B62:C62"/>
    <mergeCell ref="D62:E62"/>
    <mergeCell ref="A1:E1"/>
    <mergeCell ref="A2:E2"/>
    <mergeCell ref="A3:E3"/>
    <mergeCell ref="A4:E4"/>
    <mergeCell ref="B21:C21"/>
    <mergeCell ref="B22:C22"/>
    <mergeCell ref="B23:C23"/>
    <mergeCell ref="B25:C25"/>
    <mergeCell ref="D21:E21"/>
    <mergeCell ref="D22:E22"/>
    <mergeCell ref="D23:E23"/>
    <mergeCell ref="D25:E25"/>
    <mergeCell ref="A42:E42"/>
    <mergeCell ref="A43:E43"/>
    <mergeCell ref="A5:E5"/>
    <mergeCell ref="A18:E18"/>
    <mergeCell ref="A30:E30"/>
    <mergeCell ref="B32:C32"/>
    <mergeCell ref="D32:E32"/>
    <mergeCell ref="D20:E20"/>
    <mergeCell ref="B20:C20"/>
    <mergeCell ref="A6:E6"/>
    <mergeCell ref="A17:E17"/>
    <mergeCell ref="A19:E19"/>
    <mergeCell ref="B26:C26"/>
    <mergeCell ref="B28:C28"/>
    <mergeCell ref="B24:C24"/>
    <mergeCell ref="B36:C36"/>
    <mergeCell ref="D36:E36"/>
    <mergeCell ref="D26:E26"/>
    <mergeCell ref="D28:E28"/>
    <mergeCell ref="D24:E24"/>
    <mergeCell ref="A29:E29"/>
    <mergeCell ref="A31:E31"/>
    <mergeCell ref="B33:C33"/>
    <mergeCell ref="B34:C34"/>
    <mergeCell ref="B35:C35"/>
    <mergeCell ref="D33:E33"/>
    <mergeCell ref="D34:E34"/>
    <mergeCell ref="D35:E35"/>
    <mergeCell ref="B39:C39"/>
    <mergeCell ref="D39:E39"/>
    <mergeCell ref="B64:C64"/>
    <mergeCell ref="D64:E64"/>
    <mergeCell ref="B27:C27"/>
    <mergeCell ref="D27:E27"/>
    <mergeCell ref="B38:C38"/>
    <mergeCell ref="B40:C40"/>
    <mergeCell ref="B57:C57"/>
    <mergeCell ref="D57:E57"/>
    <mergeCell ref="D40:E40"/>
    <mergeCell ref="B37:C37"/>
    <mergeCell ref="D37:E37"/>
    <mergeCell ref="A55:E55"/>
    <mergeCell ref="A56:E56"/>
    <mergeCell ref="D38:E38"/>
  </mergeCells>
  <printOptions/>
  <pageMargins left="0.15748031496062992" right="0.15748031496062992" top="0.984251968503937" bottom="0.7874015748031497" header="0.5118110236220472" footer="0.5118110236220472"/>
  <pageSetup fitToHeight="1" fitToWidth="1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3">
      <selection activeCell="C27" sqref="C27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493" t="str">
        <f>+'Revenue Input'!A1</f>
        <v>Woodstock Hydro Services Inc.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ht="12.75">
      <c r="A2" s="493" t="str">
        <f>+'Revenue Input'!A2</f>
        <v>, License Number ED-2003-0011, File Number EB-2010-0145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.75">
      <c r="A3" s="493">
        <f>+'Revenue Input'!A3</f>
        <v>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2.7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18" customHeight="1">
      <c r="A5" s="509" t="s">
        <v>182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ht="18" customHeight="1">
      <c r="A6" s="509" t="s">
        <v>27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8" customHeight="1">
      <c r="A7" s="509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</row>
    <row r="8" spans="1:11" s="2" customFormat="1" ht="39">
      <c r="A8" s="63" t="s">
        <v>23</v>
      </c>
      <c r="B8" s="63" t="s">
        <v>7</v>
      </c>
      <c r="C8" s="63" t="s">
        <v>8</v>
      </c>
      <c r="D8" s="63" t="s">
        <v>10</v>
      </c>
      <c r="E8" s="63" t="s">
        <v>26</v>
      </c>
      <c r="F8" s="63" t="s">
        <v>11</v>
      </c>
      <c r="G8" s="63" t="s">
        <v>12</v>
      </c>
      <c r="H8" s="63" t="s">
        <v>154</v>
      </c>
      <c r="I8" s="63" t="s">
        <v>6</v>
      </c>
      <c r="J8" s="63" t="s">
        <v>155</v>
      </c>
      <c r="K8" s="63" t="s">
        <v>94</v>
      </c>
    </row>
    <row r="9" spans="1:11" ht="18" customHeight="1">
      <c r="A9" s="62" t="str">
        <f>'Cost Allocation Study'!A7</f>
        <v>Residential</v>
      </c>
      <c r="B9" s="69">
        <f>+'Forecast Data For 2011'!$C$8</f>
        <v>117418066.48834497</v>
      </c>
      <c r="C9" s="69"/>
      <c r="D9" s="69">
        <f>+'Forecast Data For 2011'!$C$7*12</f>
        <v>165420</v>
      </c>
      <c r="E9" s="69"/>
      <c r="F9" s="69">
        <f>+D9*'2010 Existing Rates'!$C$8</f>
        <v>1836162</v>
      </c>
      <c r="G9" s="69">
        <f>+B9*'2010 Existing Rates'!$B$58</f>
        <v>2230943.263278554</v>
      </c>
      <c r="H9" s="69">
        <f>+F9+G9</f>
        <v>4067105.263278554</v>
      </c>
      <c r="I9" s="69"/>
      <c r="J9" s="69">
        <f>H9-I9</f>
        <v>4067105.263278554</v>
      </c>
      <c r="K9" s="70">
        <f>+J9/$J$17</f>
        <v>0.6280412279149151</v>
      </c>
    </row>
    <row r="10" spans="1:11" ht="18" customHeight="1">
      <c r="A10" s="62" t="str">
        <f>'Cost Allocation Study'!A8</f>
        <v>GS &lt; 50 kW</v>
      </c>
      <c r="B10" s="69">
        <f>+'Forecast Data For 2011'!$C$10</f>
        <v>46182407.05503645</v>
      </c>
      <c r="C10" s="69"/>
      <c r="D10" s="69">
        <f>+'Forecast Data For 2011'!$C$9*12</f>
        <v>14052</v>
      </c>
      <c r="E10" s="69"/>
      <c r="F10" s="69">
        <f>+D10*'2010 Existing Rates'!$C$9</f>
        <v>301415.39999999997</v>
      </c>
      <c r="G10" s="69">
        <f>+B10*'2010 Existing Rates'!$B$59</f>
        <v>568043.6067769483</v>
      </c>
      <c r="H10" s="69">
        <f aca="true" t="shared" si="0" ref="H10:H16">+F10+G10</f>
        <v>869459.0067769482</v>
      </c>
      <c r="I10" s="69"/>
      <c r="J10" s="69">
        <f aca="true" t="shared" si="1" ref="J10:J16">H10-I10</f>
        <v>869459.0067769482</v>
      </c>
      <c r="K10" s="70">
        <f aca="true" t="shared" si="2" ref="K10:K16">+J10/$J$17</f>
        <v>0.13426161038126</v>
      </c>
    </row>
    <row r="11" spans="1:11" ht="18" customHeight="1">
      <c r="A11" s="62" t="str">
        <f>'Cost Allocation Study'!A9</f>
        <v>GS 50 kW - 999 kW</v>
      </c>
      <c r="B11" s="69">
        <f>+'Forecast Data For 2011'!$C$13</f>
        <v>118202395.5281348</v>
      </c>
      <c r="C11" s="69">
        <f>+'Forecast Data For 2011'!$C$12</f>
        <v>381271.21290053293</v>
      </c>
      <c r="D11" s="69">
        <f>+'Forecast Data For 2011'!$C$11*12</f>
        <v>2316</v>
      </c>
      <c r="E11" s="69"/>
      <c r="F11" s="69">
        <f>+D11*'2010 Existing Rates'!$C$10</f>
        <v>682803.12</v>
      </c>
      <c r="G11" s="69">
        <f>+C11*'2010 Existing Rates'!$D$60</f>
        <v>688118.2850428818</v>
      </c>
      <c r="H11" s="69">
        <f>+F11+G11</f>
        <v>1370921.4050428818</v>
      </c>
      <c r="I11" s="69">
        <f>-'Transformer Allowance'!C12</f>
        <v>162439.91804190562</v>
      </c>
      <c r="J11" s="69">
        <f>H11-I11</f>
        <v>1208481.4870009762</v>
      </c>
      <c r="K11" s="70">
        <f>+J11/$J$17</f>
        <v>0.18661336451290017</v>
      </c>
    </row>
    <row r="12" spans="1:11" ht="18" customHeight="1">
      <c r="A12" s="62" t="str">
        <f>'Cost Allocation Study'!A10</f>
        <v>GS&gt;1000 kW</v>
      </c>
      <c r="B12" s="69">
        <f>+'Forecast Data For 2011'!$C$16</f>
        <v>69723916.57308918</v>
      </c>
      <c r="C12" s="69">
        <f>+'Forecast Data For 2011'!$C$15</f>
        <v>148979.97053713276</v>
      </c>
      <c r="D12" s="69">
        <f>+'Forecast Data For 2011'!$C$14*12</f>
        <v>84</v>
      </c>
      <c r="E12" s="69"/>
      <c r="F12" s="69">
        <f>+D12*'2010 Existing Rates'!$C$11</f>
        <v>24764.88</v>
      </c>
      <c r="G12" s="69">
        <f>+C12*'2010 Existing Rates'!$D$61</f>
        <v>268879.0508254172</v>
      </c>
      <c r="H12" s="69">
        <f>+F12+G12</f>
        <v>293643.9308254172</v>
      </c>
      <c r="I12" s="69">
        <f>-'Transformer Allowance'!C13</f>
        <v>63472.6498752236</v>
      </c>
      <c r="J12" s="69">
        <f>H12-I12</f>
        <v>230171.2809501936</v>
      </c>
      <c r="K12" s="70">
        <f t="shared" si="2"/>
        <v>0.035542983168864166</v>
      </c>
    </row>
    <row r="13" spans="1:11" ht="18" customHeight="1">
      <c r="A13" s="62" t="str">
        <f>'Cost Allocation Study'!A11</f>
        <v>Large Use</v>
      </c>
      <c r="B13" s="69">
        <f>'Forecast Data For 2011'!C19</f>
        <v>0</v>
      </c>
      <c r="C13" s="69">
        <f>'Forecast Data For 2011'!C18</f>
        <v>0</v>
      </c>
      <c r="D13" s="69">
        <f>'Forecast Data For 2011'!C17*12</f>
        <v>0</v>
      </c>
      <c r="E13" s="69"/>
      <c r="F13" s="69">
        <f>+D13*'2010 Existing Rates'!$C$12</f>
        <v>0</v>
      </c>
      <c r="G13" s="69">
        <f>+C13*'2010 Existing Rates'!$D$62</f>
        <v>0</v>
      </c>
      <c r="H13" s="69">
        <f t="shared" si="0"/>
        <v>0</v>
      </c>
      <c r="I13" s="69">
        <f>-'Transformer Allowance'!C14</f>
        <v>0</v>
      </c>
      <c r="J13" s="69">
        <f t="shared" si="1"/>
        <v>0</v>
      </c>
      <c r="K13" s="70">
        <f t="shared" si="2"/>
        <v>0</v>
      </c>
    </row>
    <row r="14" spans="1:11" ht="18" customHeight="1">
      <c r="A14" s="62" t="str">
        <f>'Cost Allocation Study'!A12</f>
        <v>Street Lighting</v>
      </c>
      <c r="B14" s="69">
        <f>+'Forecast Data For 2011'!$C$22</f>
        <v>2490098.0164234308</v>
      </c>
      <c r="C14" s="69">
        <f>+'Forecast Data For 2011'!$C$21</f>
        <v>8538.621682209448</v>
      </c>
      <c r="D14" s="69"/>
      <c r="E14" s="69">
        <f>+'Forecast Data For 2011'!$C$20*12</f>
        <v>52431.758155482145</v>
      </c>
      <c r="F14" s="69">
        <f>+E14*'2010 Existing Rates'!$B$13</f>
        <v>45615.62959526946</v>
      </c>
      <c r="G14" s="69">
        <f>+C14*'2010 Existing Rates'!$D$63</f>
        <v>29815.159189938953</v>
      </c>
      <c r="H14" s="69">
        <f t="shared" si="0"/>
        <v>75430.78878520842</v>
      </c>
      <c r="I14" s="69"/>
      <c r="J14" s="69">
        <f t="shared" si="1"/>
        <v>75430.78878520842</v>
      </c>
      <c r="K14" s="70">
        <f t="shared" si="2"/>
        <v>0.011648000763340044</v>
      </c>
    </row>
    <row r="15" spans="1:11" ht="18" customHeight="1">
      <c r="A15" s="62" t="str">
        <f>'Cost Allocation Study'!A13</f>
        <v>microFIT Generator service</v>
      </c>
      <c r="B15" s="69">
        <v>0</v>
      </c>
      <c r="C15" s="69"/>
      <c r="D15" s="69">
        <v>48</v>
      </c>
      <c r="E15" s="69"/>
      <c r="F15" s="69">
        <f>+D15*'2010 Existing Rates'!$B$14</f>
        <v>252</v>
      </c>
      <c r="G15" s="69">
        <v>0</v>
      </c>
      <c r="H15" s="69">
        <f t="shared" si="0"/>
        <v>252</v>
      </c>
      <c r="I15" s="69"/>
      <c r="J15" s="69">
        <f>H15-I15</f>
        <v>252</v>
      </c>
      <c r="K15" s="227">
        <f>+J15/$J$17</f>
        <v>3.891376770193986E-05</v>
      </c>
    </row>
    <row r="16" spans="1:11" ht="18" customHeight="1">
      <c r="A16" s="62" t="str">
        <f>'Cost Allocation Study'!A14</f>
        <v>USL</v>
      </c>
      <c r="B16" s="69">
        <f>+'Forecast Data For 2011'!$C$26</f>
        <v>615829.4710948495</v>
      </c>
      <c r="C16" s="69"/>
      <c r="D16" s="69"/>
      <c r="E16" s="69">
        <f>+'Forecast Data For 2011'!$C$25*12</f>
        <v>1620</v>
      </c>
      <c r="F16" s="69">
        <f>+E16*'2010 Existing Rates'!$B$15</f>
        <v>17382.600000000002</v>
      </c>
      <c r="G16" s="69">
        <f>+B16*'2010 Existing Rates'!$B$65</f>
        <v>7574.702494466649</v>
      </c>
      <c r="H16" s="69">
        <f t="shared" si="0"/>
        <v>24957.30249446665</v>
      </c>
      <c r="I16" s="69"/>
      <c r="J16" s="69">
        <f t="shared" si="1"/>
        <v>24957.30249446665</v>
      </c>
      <c r="K16" s="70">
        <f t="shared" si="2"/>
        <v>0.003853899491018728</v>
      </c>
    </row>
    <row r="17" spans="1:11" ht="18" customHeight="1" thickBot="1">
      <c r="A17" s="8"/>
      <c r="B17" s="151">
        <f aca="true" t="shared" si="3" ref="B17:K17">SUM(B9:B16)</f>
        <v>354632713.13212365</v>
      </c>
      <c r="C17" s="151">
        <f t="shared" si="3"/>
        <v>538789.8051198751</v>
      </c>
      <c r="D17" s="151">
        <f t="shared" si="3"/>
        <v>181920</v>
      </c>
      <c r="E17" s="151">
        <f t="shared" si="3"/>
        <v>54051.758155482145</v>
      </c>
      <c r="F17" s="151">
        <f t="shared" si="3"/>
        <v>2908395.6295952694</v>
      </c>
      <c r="G17" s="151">
        <f t="shared" si="3"/>
        <v>3793374.067608207</v>
      </c>
      <c r="H17" s="151">
        <f t="shared" si="3"/>
        <v>6701769.697203476</v>
      </c>
      <c r="I17" s="151">
        <f t="shared" si="3"/>
        <v>225912.56791712923</v>
      </c>
      <c r="J17" s="151">
        <f>SUM(J9:J16)</f>
        <v>6475857.129286346</v>
      </c>
      <c r="K17" s="71">
        <f t="shared" si="3"/>
        <v>1.0000000000000002</v>
      </c>
    </row>
    <row r="18" ht="13.5" thickTop="1"/>
    <row r="19" spans="7:12" ht="12.75">
      <c r="G19" s="21"/>
      <c r="H19" s="21"/>
      <c r="I19" s="21"/>
      <c r="J19" s="21"/>
      <c r="K19" s="21"/>
      <c r="L19" s="21"/>
    </row>
    <row r="20" spans="7:12" ht="12.75">
      <c r="G20" s="32"/>
      <c r="H20" s="3"/>
      <c r="I20" s="3"/>
      <c r="J20" s="3"/>
      <c r="K20" s="1"/>
      <c r="L20" s="1"/>
    </row>
    <row r="21" spans="8:12" ht="12.75">
      <c r="H21" s="32"/>
      <c r="I21" s="32"/>
      <c r="J21" s="32"/>
      <c r="K21" s="32"/>
      <c r="L21" s="32"/>
    </row>
  </sheetData>
  <sheetProtection/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355" verticalDpi="355" orientation="landscape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33.140625" style="0" bestFit="1" customWidth="1"/>
    <col min="2" max="2" width="15.8515625" style="178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7" width="15.7109375" style="0" customWidth="1"/>
    <col min="8" max="8" width="21.00390625" style="0" bestFit="1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3" ht="12.75">
      <c r="A1" s="519" t="str">
        <f>+'Revenue Input'!A1</f>
        <v>Woodstock Hydro Services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2.75">
      <c r="A3" s="519">
        <f>+'Revenue Input'!A3</f>
        <v>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</row>
    <row r="4" spans="1:13" s="8" customFormat="1" ht="10.5" customHeight="1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4" ht="36" customHeight="1">
      <c r="A5" s="518" t="s">
        <v>149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N5" s="146"/>
    </row>
    <row r="6" spans="1:14" ht="89.25">
      <c r="A6" s="58" t="s">
        <v>23</v>
      </c>
      <c r="B6" s="175" t="s">
        <v>183</v>
      </c>
      <c r="C6" s="63" t="s">
        <v>228</v>
      </c>
      <c r="D6" s="63" t="s">
        <v>184</v>
      </c>
      <c r="E6" s="63" t="s">
        <v>160</v>
      </c>
      <c r="F6" s="63" t="s">
        <v>161</v>
      </c>
      <c r="G6" s="63" t="s">
        <v>210</v>
      </c>
      <c r="H6" s="63" t="s">
        <v>162</v>
      </c>
      <c r="I6" s="63" t="s">
        <v>163</v>
      </c>
      <c r="J6" s="63" t="s">
        <v>164</v>
      </c>
      <c r="K6" s="201" t="s">
        <v>165</v>
      </c>
      <c r="L6" s="203" t="s">
        <v>185</v>
      </c>
      <c r="M6" s="202" t="s">
        <v>186</v>
      </c>
      <c r="N6" s="240" t="s">
        <v>232</v>
      </c>
    </row>
    <row r="7" spans="1:15" ht="18" customHeight="1">
      <c r="A7" s="62" t="str">
        <f>'2010 Existing Rates'!A8</f>
        <v>Residential</v>
      </c>
      <c r="B7" s="176">
        <v>5235976.071128323</v>
      </c>
      <c r="C7" s="150">
        <f>'2011 Test Yr On Existing Rates'!K9*'Cost Allocation Study'!$C$15+'2011 Test Yr On Existing Rates'!K15*'Cost Allocation Study'!$C$15-'Cost Allocation Study'!C13</f>
        <v>5170401.294176879</v>
      </c>
      <c r="D7" s="150">
        <v>340284.88175933395</v>
      </c>
      <c r="E7" s="179">
        <f>C7+D7</f>
        <v>5510686.175936214</v>
      </c>
      <c r="F7" s="230">
        <f>(E7+E13)/(B7+B13)</f>
        <v>1.0524633574161133</v>
      </c>
      <c r="G7" s="231">
        <v>1.0524633574161135</v>
      </c>
      <c r="H7" s="233">
        <f>((1-F7)/2+F7)</f>
        <v>1.0262316787080565</v>
      </c>
      <c r="I7" s="232">
        <f>B7*H7</f>
        <v>5373324.513149234</v>
      </c>
      <c r="J7" s="98">
        <f>D7</f>
        <v>340284.88175933395</v>
      </c>
      <c r="K7" s="179">
        <f>I7-J7</f>
        <v>5033039.631389899</v>
      </c>
      <c r="L7" s="204">
        <v>0.85</v>
      </c>
      <c r="M7" s="205">
        <v>1.15</v>
      </c>
      <c r="N7" s="241">
        <f>H7-G7</f>
        <v>-0.026231678708056982</v>
      </c>
      <c r="O7" s="239"/>
    </row>
    <row r="8" spans="1:15" ht="18" customHeight="1">
      <c r="A8" s="62" t="str">
        <f>'2010 Existing Rates'!A9</f>
        <v>GS &lt; 50 kW</v>
      </c>
      <c r="B8" s="176">
        <v>1270561.122982691</v>
      </c>
      <c r="C8" s="150">
        <f>'2011 Test Yr On Existing Rates'!K10*'Cost Allocation Study'!$C$15</f>
        <v>1105305.1862769446</v>
      </c>
      <c r="D8" s="150">
        <v>72160.48244349737</v>
      </c>
      <c r="E8" s="179">
        <f aca="true" t="shared" si="0" ref="E8:E14">C8+D8</f>
        <v>1177465.6687204419</v>
      </c>
      <c r="F8" s="230">
        <f aca="true" t="shared" si="1" ref="F8:F14">E8/B8</f>
        <v>0.9267288660275517</v>
      </c>
      <c r="G8" s="231">
        <v>0.9267288660275517</v>
      </c>
      <c r="H8" s="233">
        <f>((1-F8)/2+F8)</f>
        <v>0.9633644330137758</v>
      </c>
      <c r="I8" s="232">
        <f>B8*H8</f>
        <v>1224013.3958515665</v>
      </c>
      <c r="J8" s="98">
        <f aca="true" t="shared" si="2" ref="J8:J14">D8</f>
        <v>72160.48244349737</v>
      </c>
      <c r="K8" s="179">
        <f aca="true" t="shared" si="3" ref="K8:K14">I8-J8</f>
        <v>1151852.9134080692</v>
      </c>
      <c r="L8" s="204">
        <v>0.8</v>
      </c>
      <c r="M8" s="205">
        <v>1.2</v>
      </c>
      <c r="N8" s="241">
        <f aca="true" t="shared" si="4" ref="N8:N14">H8-G8</f>
        <v>0.036635566986224166</v>
      </c>
      <c r="O8" s="239"/>
    </row>
    <row r="9" spans="1:15" ht="18" customHeight="1">
      <c r="A9" s="62" t="str">
        <f>'2010 Existing Rates'!A10</f>
        <v>GS 50 kW - 999 kW</v>
      </c>
      <c r="B9" s="176">
        <v>1250870.664090418</v>
      </c>
      <c r="C9" s="150">
        <f>'2011 Test Yr On Existing Rates'!K11*'Cost Allocation Study'!$C$15</f>
        <v>1536289.6291722758</v>
      </c>
      <c r="D9" s="150">
        <v>53057.04430445906</v>
      </c>
      <c r="E9" s="179">
        <f t="shared" si="0"/>
        <v>1589346.673476735</v>
      </c>
      <c r="F9" s="230">
        <f t="shared" si="1"/>
        <v>1.2705923314881182</v>
      </c>
      <c r="G9" s="231">
        <v>1.2705923314881182</v>
      </c>
      <c r="H9" s="233">
        <f>(B15-(I7+I8+I10+I12+I13+I14))/B9</f>
        <v>1.2243965559837056</v>
      </c>
      <c r="I9" s="232">
        <f>B9*H9</f>
        <v>1531561.7330933586</v>
      </c>
      <c r="J9" s="98">
        <f t="shared" si="2"/>
        <v>53057.04430445906</v>
      </c>
      <c r="K9" s="179">
        <f t="shared" si="3"/>
        <v>1478504.6887888995</v>
      </c>
      <c r="L9" s="204">
        <v>0.8</v>
      </c>
      <c r="M9" s="205">
        <v>1.8</v>
      </c>
      <c r="N9" s="241">
        <f t="shared" si="4"/>
        <v>-0.04619577550441267</v>
      </c>
      <c r="O9" s="239"/>
    </row>
    <row r="10" spans="1:15" ht="18" customHeight="1">
      <c r="A10" s="62" t="str">
        <f>'2010 Existing Rates'!A11</f>
        <v>GS&gt;1000 kW</v>
      </c>
      <c r="B10" s="176">
        <v>513827.6983602602</v>
      </c>
      <c r="C10" s="150">
        <f>'2011 Test Yr On Existing Rates'!K12*'Cost Allocation Study'!$C$15</f>
        <v>292606.6767763361</v>
      </c>
      <c r="D10" s="150">
        <v>9113.909159844397</v>
      </c>
      <c r="E10" s="179">
        <f t="shared" si="0"/>
        <v>301720.5859361805</v>
      </c>
      <c r="F10" s="230">
        <f t="shared" si="1"/>
        <v>0.5872018711701193</v>
      </c>
      <c r="G10" s="231">
        <v>0.5872018711701193</v>
      </c>
      <c r="H10" s="233">
        <f>((L10-F10)/2+F10)</f>
        <v>0.6936009355850596</v>
      </c>
      <c r="I10" s="232">
        <f>B10*H10</f>
        <v>356391.3723121943</v>
      </c>
      <c r="J10" s="98">
        <f t="shared" si="2"/>
        <v>9113.909159844397</v>
      </c>
      <c r="K10" s="179">
        <f t="shared" si="3"/>
        <v>347277.4631523499</v>
      </c>
      <c r="L10" s="204">
        <v>0.8</v>
      </c>
      <c r="M10" s="205">
        <v>1.8</v>
      </c>
      <c r="N10" s="241">
        <f t="shared" si="4"/>
        <v>0.10639906441494029</v>
      </c>
      <c r="O10" s="239"/>
    </row>
    <row r="11" spans="1:15" ht="18" customHeight="1">
      <c r="A11" s="62" t="str">
        <f>'2010 Existing Rates'!A12</f>
        <v>Large Use</v>
      </c>
      <c r="B11" s="176">
        <v>0</v>
      </c>
      <c r="C11" s="150">
        <f>'2011 Test Yr On Existing Rates'!K13*'Cost Allocation Study'!$C$15</f>
        <v>0</v>
      </c>
      <c r="D11" s="150">
        <v>0</v>
      </c>
      <c r="E11" s="179">
        <f t="shared" si="0"/>
        <v>0</v>
      </c>
      <c r="F11" s="230"/>
      <c r="G11" s="231"/>
      <c r="H11" s="67"/>
      <c r="I11" s="232">
        <f>B11*H11</f>
        <v>0</v>
      </c>
      <c r="J11" s="98">
        <f t="shared" si="2"/>
        <v>0</v>
      </c>
      <c r="K11" s="179">
        <f t="shared" si="3"/>
        <v>0</v>
      </c>
      <c r="L11" s="204"/>
      <c r="M11" s="205"/>
      <c r="N11" s="241">
        <f t="shared" si="4"/>
        <v>0</v>
      </c>
      <c r="O11" s="239"/>
    </row>
    <row r="12" spans="1:15" ht="18" customHeight="1">
      <c r="A12" s="62" t="str">
        <f>'2010 Existing Rates'!A13</f>
        <v>Street Lighting</v>
      </c>
      <c r="B12" s="176">
        <v>417960.7432137233</v>
      </c>
      <c r="C12" s="150">
        <f>'2011 Test Yr On Existing Rates'!K14*'Cost Allocation Study'!$C$15</f>
        <v>95891.86080010384</v>
      </c>
      <c r="D12" s="150">
        <v>7113.699043231026</v>
      </c>
      <c r="E12" s="179">
        <f t="shared" si="0"/>
        <v>103005.55984333486</v>
      </c>
      <c r="F12" s="230">
        <f t="shared" si="1"/>
        <v>0.24644792965798512</v>
      </c>
      <c r="G12" s="231">
        <v>0.24644792965798512</v>
      </c>
      <c r="H12" s="233">
        <f>((L12-F12)/2+F12)</f>
        <v>0.47322396482899254</v>
      </c>
      <c r="I12" s="232">
        <f>B12*H12</f>
        <v>197789.0400464706</v>
      </c>
      <c r="J12" s="98">
        <f t="shared" si="2"/>
        <v>7113.699043231026</v>
      </c>
      <c r="K12" s="179">
        <f>I12-J12</f>
        <v>190675.34100323956</v>
      </c>
      <c r="L12" s="204">
        <v>0.7</v>
      </c>
      <c r="M12" s="205">
        <v>1.2</v>
      </c>
      <c r="N12" s="241">
        <f t="shared" si="4"/>
        <v>0.22677603517100742</v>
      </c>
      <c r="O12" s="239"/>
    </row>
    <row r="13" spans="1:15" ht="18" customHeight="1">
      <c r="A13" s="62" t="str">
        <f>'2010 Existing Rates'!A14</f>
        <v>microFIT Generator service</v>
      </c>
      <c r="B13" s="176">
        <v>252</v>
      </c>
      <c r="C13" s="150">
        <f>'2011 Test Yr On Existing Rates'!J15</f>
        <v>252</v>
      </c>
      <c r="D13" s="150">
        <v>0</v>
      </c>
      <c r="E13" s="179">
        <f>C13+D13</f>
        <v>252</v>
      </c>
      <c r="F13" s="230"/>
      <c r="G13" s="231">
        <v>0</v>
      </c>
      <c r="H13" s="233">
        <v>1</v>
      </c>
      <c r="I13" s="232">
        <f>E13</f>
        <v>252</v>
      </c>
      <c r="J13" s="98"/>
      <c r="K13" s="179">
        <f>I13-J13</f>
        <v>252</v>
      </c>
      <c r="L13" s="204"/>
      <c r="M13" s="205"/>
      <c r="N13" s="241"/>
      <c r="O13" s="239"/>
    </row>
    <row r="14" spans="1:15" ht="18" customHeight="1">
      <c r="A14" s="62" t="str">
        <f>'2010 Existing Rates'!A15</f>
        <v>USL</v>
      </c>
      <c r="B14" s="176">
        <v>26304.273913367448</v>
      </c>
      <c r="C14" s="150">
        <f>'2011 Test Yr On Existing Rates'!K16*'Cost Allocation Study'!$C$15</f>
        <v>31727.126486244226</v>
      </c>
      <c r="D14" s="150">
        <v>1548.7832896341997</v>
      </c>
      <c r="E14" s="179">
        <f t="shared" si="0"/>
        <v>33275.90977587843</v>
      </c>
      <c r="F14" s="230">
        <f t="shared" si="1"/>
        <v>1.2650381411580456</v>
      </c>
      <c r="G14" s="231">
        <v>1.2650381411580456</v>
      </c>
      <c r="H14" s="233">
        <f>((G14+M14)/2)</f>
        <v>1.2325190705790228</v>
      </c>
      <c r="I14" s="232">
        <f>B14*H14</f>
        <v>32420.51923595968</v>
      </c>
      <c r="J14" s="98">
        <f t="shared" si="2"/>
        <v>1548.7832896341997</v>
      </c>
      <c r="K14" s="179">
        <f t="shared" si="3"/>
        <v>30871.73594632548</v>
      </c>
      <c r="L14" s="204">
        <v>0.8</v>
      </c>
      <c r="M14" s="205">
        <v>1.2</v>
      </c>
      <c r="N14" s="241">
        <f t="shared" si="4"/>
        <v>-0.03251907057902281</v>
      </c>
      <c r="O14" s="239"/>
    </row>
    <row r="15" spans="1:13" ht="18" customHeight="1" thickBot="1">
      <c r="A15" s="64" t="s">
        <v>1</v>
      </c>
      <c r="B15" s="177">
        <f>SUM(B7:B14)</f>
        <v>8715752.573688783</v>
      </c>
      <c r="C15" s="65">
        <f>'Revenue Input'!B10</f>
        <v>8232473.773688783</v>
      </c>
      <c r="D15" s="65">
        <f>SUM(D7:D14)</f>
        <v>483278.8</v>
      </c>
      <c r="E15" s="65">
        <f>SUM(E7:E14)</f>
        <v>8715752.573688786</v>
      </c>
      <c r="F15" s="180">
        <f>E15/B15</f>
        <v>1.0000000000000004</v>
      </c>
      <c r="G15" s="181">
        <v>0.9999999964557681</v>
      </c>
      <c r="H15" s="66"/>
      <c r="I15" s="65">
        <f>SUM(I7:I14)</f>
        <v>8715752.573688783</v>
      </c>
      <c r="J15" s="65">
        <f>SUM(J7:J14)</f>
        <v>483278.8</v>
      </c>
      <c r="K15" s="65">
        <f>SUM(K7:K14)</f>
        <v>8232473.773688782</v>
      </c>
      <c r="L15" s="179"/>
      <c r="M15" s="206"/>
    </row>
    <row r="16" ht="13.5" customHeight="1">
      <c r="C16" s="224" t="s">
        <v>214</v>
      </c>
    </row>
    <row r="17" spans="2:11" ht="12.75">
      <c r="B17" s="178">
        <f>'Revenue Input'!B8</f>
        <v>8715752.573688783</v>
      </c>
      <c r="E17" s="182"/>
      <c r="K17" s="178">
        <f>'Revenue Input'!B10</f>
        <v>8232473.773688783</v>
      </c>
    </row>
    <row r="18" spans="8:12" ht="12.75">
      <c r="H18" s="487"/>
      <c r="L18" s="224" t="s">
        <v>231</v>
      </c>
    </row>
    <row r="19" spans="2:11" ht="12.75">
      <c r="B19" s="183">
        <f>B15-B17</f>
        <v>0</v>
      </c>
      <c r="C19" t="s">
        <v>159</v>
      </c>
      <c r="K19" s="183">
        <f>K15-K17</f>
        <v>0</v>
      </c>
    </row>
    <row r="22" ht="12.75">
      <c r="A22" s="224" t="s">
        <v>215</v>
      </c>
    </row>
    <row r="23" ht="12.75">
      <c r="A23" s="224"/>
    </row>
    <row r="24" ht="12.75">
      <c r="A24" s="224"/>
    </row>
    <row r="29" ht="15" customHeight="1"/>
  </sheetData>
  <sheetProtection/>
  <mergeCells count="5"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355" verticalDpi="355" orientation="landscape" paperSize="5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B4">
      <selection activeCell="M10" sqref="M10"/>
    </sheetView>
  </sheetViews>
  <sheetFormatPr defaultColWidth="9.140625" defaultRowHeight="12.75"/>
  <cols>
    <col min="1" max="1" width="32.7109375" style="0" bestFit="1" customWidth="1"/>
    <col min="2" max="2" width="18.57421875" style="182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2.75">
      <c r="A1" s="522" t="str">
        <f>+'Revenue Input'!A1</f>
        <v>Woodstock Hydro Services Inc.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2.75">
      <c r="A3" s="522">
        <f>+'Revenue Input'!A3</f>
        <v>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spans="1:11" ht="12.7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</row>
    <row r="5" spans="1:11" ht="15">
      <c r="A5" s="523" t="s">
        <v>187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</row>
    <row r="6" spans="1:11" ht="12.75">
      <c r="A6" s="524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11" ht="39">
      <c r="A7" s="63" t="s">
        <v>0</v>
      </c>
      <c r="B7" s="175" t="s">
        <v>114</v>
      </c>
      <c r="C7" s="63" t="s">
        <v>95</v>
      </c>
      <c r="D7" s="63" t="s">
        <v>2</v>
      </c>
      <c r="E7" s="63" t="s">
        <v>3</v>
      </c>
      <c r="F7" s="63" t="s">
        <v>4</v>
      </c>
      <c r="G7" s="63" t="s">
        <v>5</v>
      </c>
      <c r="H7" s="63" t="s">
        <v>6</v>
      </c>
      <c r="I7" s="63" t="s">
        <v>115</v>
      </c>
      <c r="J7" s="63" t="s">
        <v>41</v>
      </c>
      <c r="K7" s="63" t="s">
        <v>40</v>
      </c>
    </row>
    <row r="8" spans="1:11" ht="18" customHeight="1">
      <c r="A8" s="80" t="str">
        <f>'Cost Allocation Study'!A7</f>
        <v>Residential</v>
      </c>
      <c r="B8" s="98">
        <f>'Cost Allocation Study'!K7</f>
        <v>5033039.631389899</v>
      </c>
      <c r="C8" s="67">
        <f>(+B8+B14)/$B$16</f>
        <v>0.6113947969656995</v>
      </c>
      <c r="D8" s="88">
        <f>E25</f>
        <v>13.736241452327908</v>
      </c>
      <c r="E8" s="81">
        <f>+G8/'Forecast Data For 2011'!C8</f>
        <v>0.023512485368849565</v>
      </c>
      <c r="F8" s="82">
        <f>+D8*'Forecast Data For 2011'!C7*12</f>
        <v>2272249.0610440825</v>
      </c>
      <c r="G8" s="82">
        <f>+B8-F8</f>
        <v>2760790.5703458167</v>
      </c>
      <c r="H8" s="83"/>
      <c r="I8" s="158">
        <f>+F8+G8+H8</f>
        <v>5033039.631389899</v>
      </c>
      <c r="J8" s="158">
        <f>+'Allocation Low Voltage Costs'!F8</f>
        <v>0</v>
      </c>
      <c r="K8" s="158">
        <f>+I8+J8</f>
        <v>5033039.631389899</v>
      </c>
    </row>
    <row r="9" spans="1:11" ht="18" customHeight="1">
      <c r="A9" s="80" t="str">
        <f>'Cost Allocation Study'!A8</f>
        <v>GS &lt; 50 kW</v>
      </c>
      <c r="B9" s="98">
        <f>'Cost Allocation Study'!K8</f>
        <v>1151852.9134080692</v>
      </c>
      <c r="C9" s="67">
        <f>+B9/$B$16</f>
        <v>0.13991577077225845</v>
      </c>
      <c r="D9" s="88">
        <f>E26</f>
        <v>28.41680263246901</v>
      </c>
      <c r="E9" s="81">
        <f>+G9/'Forecast Data For 2011'!C10</f>
        <v>0.016294949761275945</v>
      </c>
      <c r="F9" s="82">
        <f>+D9*'Forecast Data For 2011'!C9*12</f>
        <v>399312.91059145454</v>
      </c>
      <c r="G9" s="82">
        <f>+B9-F9</f>
        <v>752540.0028166147</v>
      </c>
      <c r="H9" s="83"/>
      <c r="I9" s="158">
        <f aca="true" t="shared" si="0" ref="I9:I15">+F9+G9+H9</f>
        <v>1151852.9134080692</v>
      </c>
      <c r="J9" s="158">
        <f>+'Allocation Low Voltage Costs'!F9</f>
        <v>0</v>
      </c>
      <c r="K9" s="158">
        <f aca="true" t="shared" si="1" ref="K9:K15">+I9+J9</f>
        <v>1151852.9134080692</v>
      </c>
    </row>
    <row r="10" spans="1:14" ht="18" customHeight="1">
      <c r="A10" s="80" t="str">
        <f>'Cost Allocation Study'!A9</f>
        <v>GS 50 kW - 999 kW</v>
      </c>
      <c r="B10" s="98">
        <f>'Cost Allocation Study'!K9</f>
        <v>1478504.6887888995</v>
      </c>
      <c r="C10" s="67">
        <f>+B10/$B$16</f>
        <v>0.179594217902551</v>
      </c>
      <c r="D10" s="88">
        <f>E27</f>
        <v>360.69460478908536</v>
      </c>
      <c r="E10" s="81">
        <f>(+G10+H10)/'Forecast Data For 2011'!C12</f>
        <v>2.112868411991661</v>
      </c>
      <c r="F10" s="82">
        <f>+D10*'Forecast Data For 2011'!C11*12</f>
        <v>835368.7046915216</v>
      </c>
      <c r="G10" s="82">
        <f>+B10-F10</f>
        <v>643135.9840973779</v>
      </c>
      <c r="H10" s="82">
        <f>-'Transformer Allowance'!C12</f>
        <v>162439.91804190562</v>
      </c>
      <c r="I10" s="158">
        <f t="shared" si="0"/>
        <v>1640944.606830805</v>
      </c>
      <c r="J10" s="158">
        <f>+'Allocation Low Voltage Costs'!F10</f>
        <v>0</v>
      </c>
      <c r="K10" s="158">
        <f t="shared" si="1"/>
        <v>1640944.606830805</v>
      </c>
      <c r="L10">
        <v>2.112868411991661</v>
      </c>
      <c r="M10">
        <v>1.6868</v>
      </c>
      <c r="N10">
        <f>L10-M10</f>
        <v>0.4260684119916609</v>
      </c>
    </row>
    <row r="11" spans="1:14" ht="18" customHeight="1">
      <c r="A11" s="80" t="str">
        <f>'Cost Allocation Study'!A10</f>
        <v>GS&gt;1000 kW</v>
      </c>
      <c r="B11" s="98">
        <f>'Cost Allocation Study'!K10</f>
        <v>347277.4631523499</v>
      </c>
      <c r="C11" s="67">
        <f>+B11/$B$16</f>
        <v>0.04218385295830015</v>
      </c>
      <c r="D11" s="88">
        <f>E28</f>
        <v>2335.8543652509247</v>
      </c>
      <c r="E11" s="81">
        <f>(+G11+H11)/'Forecast Data For 2011'!C15</f>
        <v>1.440048253285316</v>
      </c>
      <c r="F11" s="82">
        <f>+D11*'Forecast Data For 2011'!C14*12</f>
        <v>196211.76668107766</v>
      </c>
      <c r="G11" s="82">
        <f>+B11-F11</f>
        <v>151065.69647127227</v>
      </c>
      <c r="H11" s="82">
        <f>-'Transformer Allowance'!C13</f>
        <v>63472.6498752236</v>
      </c>
      <c r="I11" s="158">
        <f t="shared" si="0"/>
        <v>410750.1130275735</v>
      </c>
      <c r="J11" s="158">
        <f>+'Allocation Low Voltage Costs'!F11</f>
        <v>0</v>
      </c>
      <c r="K11" s="158">
        <f t="shared" si="1"/>
        <v>410750.1130275735</v>
      </c>
      <c r="L11">
        <v>1.440048253285316</v>
      </c>
      <c r="M11">
        <v>1.014</v>
      </c>
      <c r="N11">
        <f>L11-M11</f>
        <v>0.42604825328531604</v>
      </c>
    </row>
    <row r="12" spans="1:11" ht="18" customHeight="1">
      <c r="A12" s="80" t="str">
        <f>'Cost Allocation Study'!A11</f>
        <v>Large Use</v>
      </c>
      <c r="B12" s="98">
        <f>'Cost Allocation Study'!K11</f>
        <v>0</v>
      </c>
      <c r="C12" s="67">
        <f>+B12/$B$16</f>
        <v>0</v>
      </c>
      <c r="D12" s="88">
        <f>E29</f>
        <v>0</v>
      </c>
      <c r="E12" s="81">
        <v>0</v>
      </c>
      <c r="F12" s="82">
        <f>+D12*'Forecast Data For 2011'!C17*12</f>
        <v>0</v>
      </c>
      <c r="G12" s="82">
        <f>+B12-F12</f>
        <v>0</v>
      </c>
      <c r="H12" s="82"/>
      <c r="I12" s="158">
        <f t="shared" si="0"/>
        <v>0</v>
      </c>
      <c r="J12" s="158">
        <f>+'Allocation Low Voltage Costs'!F12</f>
        <v>0</v>
      </c>
      <c r="K12" s="158">
        <f t="shared" si="1"/>
        <v>0</v>
      </c>
    </row>
    <row r="13" spans="1:11" ht="18" customHeight="1">
      <c r="A13" s="80" t="str">
        <f>'Cost Allocation Study'!A12</f>
        <v>Street Lighting</v>
      </c>
      <c r="B13" s="98">
        <f>'Cost Allocation Study'!K12</f>
        <v>190675.34100323956</v>
      </c>
      <c r="C13" s="67">
        <f>+B13/$B$16</f>
        <v>0.023161366345635176</v>
      </c>
      <c r="D13" s="88">
        <f>E30</f>
        <v>2.1992020678079944</v>
      </c>
      <c r="E13" s="81">
        <f>(+G13+H13)/'Forecast Data For 2011'!C21</f>
        <v>8.826636529163165</v>
      </c>
      <c r="F13" s="82">
        <f>+D13*'Forecast Data For 2011'!C20*12</f>
        <v>115308.03095434501</v>
      </c>
      <c r="G13" s="82">
        <f>+B13-F13</f>
        <v>75367.31004889455</v>
      </c>
      <c r="H13" s="83"/>
      <c r="I13" s="158">
        <f t="shared" si="0"/>
        <v>190675.34100323956</v>
      </c>
      <c r="J13" s="158">
        <f>+'Allocation Low Voltage Costs'!F14</f>
        <v>0</v>
      </c>
      <c r="K13" s="158">
        <f t="shared" si="1"/>
        <v>190675.34100323956</v>
      </c>
    </row>
    <row r="14" spans="1:11" ht="18" customHeight="1">
      <c r="A14" s="80" t="str">
        <f>'Cost Allocation Study'!A13</f>
        <v>microFIT Generator service</v>
      </c>
      <c r="B14" s="98">
        <f>'Cost Allocation Study'!K13</f>
        <v>252</v>
      </c>
      <c r="C14" s="67">
        <f>+B14/$B$16</f>
        <v>3.0610483182515456E-05</v>
      </c>
      <c r="D14" s="88">
        <f>E31</f>
        <v>5.25</v>
      </c>
      <c r="E14" s="81">
        <v>0</v>
      </c>
      <c r="F14" s="82">
        <f>+D14*'Forecast Data For 2011'!C23*12</f>
        <v>252</v>
      </c>
      <c r="G14" s="82">
        <f>+B14-F14</f>
        <v>0</v>
      </c>
      <c r="H14" s="83"/>
      <c r="I14" s="158">
        <f t="shared" si="0"/>
        <v>252</v>
      </c>
      <c r="J14" s="158">
        <f>+'Allocation Low Voltage Costs'!F14</f>
        <v>0</v>
      </c>
      <c r="K14" s="158">
        <f t="shared" si="1"/>
        <v>252</v>
      </c>
    </row>
    <row r="15" spans="1:11" ht="18" customHeight="1">
      <c r="A15" s="80" t="str">
        <f>'Cost Allocation Study'!A14</f>
        <v>USL</v>
      </c>
      <c r="B15" s="98">
        <f>'Cost Allocation Study'!K14</f>
        <v>30871.73594632548</v>
      </c>
      <c r="C15" s="67">
        <f>+B15/$B$16</f>
        <v>0.0037499950555557695</v>
      </c>
      <c r="D15" s="88">
        <f>E32</f>
        <v>13.272817716478597</v>
      </c>
      <c r="E15" s="81">
        <f>+G15/'Forecast Data For 2011'!C26</f>
        <v>0.015214879581797456</v>
      </c>
      <c r="F15" s="82">
        <f>+D15*'Forecast Data For 2011'!C25*12</f>
        <v>21501.964700695327</v>
      </c>
      <c r="G15" s="82">
        <f>+B15-F15</f>
        <v>9369.771245630152</v>
      </c>
      <c r="H15" s="83"/>
      <c r="I15" s="158">
        <f t="shared" si="0"/>
        <v>30871.73594632548</v>
      </c>
      <c r="J15" s="158">
        <f>+'Allocation Low Voltage Costs'!F15</f>
        <v>0</v>
      </c>
      <c r="K15" s="158">
        <f t="shared" si="1"/>
        <v>30871.73594632548</v>
      </c>
    </row>
    <row r="16" spans="1:11" ht="18" customHeight="1" thickBot="1">
      <c r="A16" s="72" t="s">
        <v>1</v>
      </c>
      <c r="B16" s="184">
        <f>SUM(B8:B15)</f>
        <v>8232473.773688782</v>
      </c>
      <c r="C16" s="77">
        <f>SUM(C8:C15)</f>
        <v>1.0000306104831826</v>
      </c>
      <c r="D16" s="78"/>
      <c r="E16" s="79"/>
      <c r="F16" s="76">
        <f aca="true" t="shared" si="2" ref="F16:K16">SUM(F8:F15)</f>
        <v>3840204.438663177</v>
      </c>
      <c r="G16" s="76">
        <f t="shared" si="2"/>
        <v>4392269.335025607</v>
      </c>
      <c r="H16" s="76">
        <f t="shared" si="2"/>
        <v>225912.56791712923</v>
      </c>
      <c r="I16" s="76">
        <f t="shared" si="2"/>
        <v>8458386.341605913</v>
      </c>
      <c r="J16" s="76">
        <f t="shared" si="2"/>
        <v>0</v>
      </c>
      <c r="K16" s="76">
        <f t="shared" si="2"/>
        <v>8458386.341605913</v>
      </c>
    </row>
    <row r="17" spans="4:9" ht="18" customHeight="1" thickBot="1" thickTop="1">
      <c r="D17" s="74" t="s">
        <v>104</v>
      </c>
      <c r="E17" s="74"/>
      <c r="F17" s="75">
        <f>+F16/I16</f>
        <v>0.4540114725871075</v>
      </c>
      <c r="G17" s="75">
        <f>+G16/I16</f>
        <v>0.5192798197713547</v>
      </c>
      <c r="H17" s="75">
        <f>+H16/I16</f>
        <v>0.02670870764153785</v>
      </c>
      <c r="I17" s="75">
        <f>F17+G17+H17</f>
        <v>1</v>
      </c>
    </row>
    <row r="18" spans="4:10" ht="18" customHeight="1">
      <c r="D18" s="15"/>
      <c r="E18" s="15"/>
      <c r="F18" s="171"/>
      <c r="G18" s="171"/>
      <c r="H18" s="171"/>
      <c r="I18" s="171"/>
      <c r="J18" s="8"/>
    </row>
    <row r="20" spans="4:9" ht="12.75">
      <c r="D20" s="33"/>
      <c r="E20" s="33"/>
      <c r="F20" s="16"/>
      <c r="G20" s="16"/>
      <c r="H20" s="16"/>
      <c r="I20" s="16"/>
    </row>
    <row r="21" ht="12.75">
      <c r="H21" s="9"/>
    </row>
    <row r="23" spans="1:8" ht="17.25">
      <c r="A23" s="520" t="s">
        <v>230</v>
      </c>
      <c r="B23" s="520"/>
      <c r="C23" s="520"/>
      <c r="D23" s="520"/>
      <c r="E23" s="520"/>
      <c r="F23" s="520"/>
      <c r="G23" s="520"/>
      <c r="H23" s="521"/>
    </row>
    <row r="24" spans="1:8" ht="105">
      <c r="A24" s="63" t="s">
        <v>0</v>
      </c>
      <c r="B24" s="175" t="s">
        <v>216</v>
      </c>
      <c r="C24" s="63" t="s">
        <v>234</v>
      </c>
      <c r="D24" s="63" t="s">
        <v>40</v>
      </c>
      <c r="E24" s="63" t="s">
        <v>233</v>
      </c>
      <c r="F24" s="63" t="s">
        <v>211</v>
      </c>
      <c r="G24" s="63" t="s">
        <v>116</v>
      </c>
      <c r="H24" s="238"/>
    </row>
    <row r="25" spans="1:7" ht="18" customHeight="1">
      <c r="A25" s="80" t="str">
        <f>A8</f>
        <v>Residential</v>
      </c>
      <c r="B25" s="70">
        <f>('2011 Test Yr On Existing Rates'!G9-'2011 Test Yr On Existing Rates'!I9)/'2011 Test Yr On Existing Rates'!J9</f>
        <v>0.5485334455002912</v>
      </c>
      <c r="C25" s="70">
        <f>1-B25</f>
        <v>0.45146655449970885</v>
      </c>
      <c r="D25" s="70">
        <f>SUM(B25:C25)</f>
        <v>1</v>
      </c>
      <c r="E25" s="84">
        <f>+B8*C25/'Forecast Data For 2011'!C7/12</f>
        <v>13.736241452327908</v>
      </c>
      <c r="F25" s="84">
        <f>+'2010 Existing Rates'!C8</f>
        <v>11.1</v>
      </c>
      <c r="G25" s="84">
        <v>17.020967733438056</v>
      </c>
    </row>
    <row r="26" spans="1:8" ht="18" customHeight="1">
      <c r="A26" s="80" t="str">
        <f>A9</f>
        <v>GS &lt; 50 kW</v>
      </c>
      <c r="B26" s="70">
        <f>('2011 Test Yr On Existing Rates'!G10-'2011 Test Yr On Existing Rates'!I10)/'2011 Test Yr On Existing Rates'!J10</f>
        <v>0.6533299469547904</v>
      </c>
      <c r="C26" s="70">
        <f>1-B26</f>
        <v>0.3466700530452096</v>
      </c>
      <c r="D26" s="70">
        <f aca="true" t="shared" si="3" ref="D26:D32">SUM(B26:C26)</f>
        <v>1</v>
      </c>
      <c r="E26" s="84">
        <f>+B9*C26/'Forecast Data For 2011'!C9/12</f>
        <v>28.41680263246901</v>
      </c>
      <c r="F26" s="84">
        <f>+'2010 Existing Rates'!C9</f>
        <v>21.45</v>
      </c>
      <c r="G26" s="84">
        <v>46.34058905714571</v>
      </c>
      <c r="H26" s="237"/>
    </row>
    <row r="27" spans="1:8" ht="18" customHeight="1">
      <c r="A27" s="80" t="str">
        <f>A10</f>
        <v>GS 50 kW - 999 kW</v>
      </c>
      <c r="B27" s="70">
        <f>('2011 Test Yr On Existing Rates'!G11-'2011 Test Yr On Existing Rates'!I11)/'2011 Test Yr On Existing Rates'!J11</f>
        <v>0.4349908315976971</v>
      </c>
      <c r="C27" s="70">
        <f>1-B27</f>
        <v>0.5650091684023029</v>
      </c>
      <c r="D27" s="70">
        <f t="shared" si="3"/>
        <v>1</v>
      </c>
      <c r="E27" s="84">
        <f>+B10*C27/'Forecast Data For 2011'!C11/12</f>
        <v>360.69460478908536</v>
      </c>
      <c r="F27" s="84">
        <f>+'2010 Existing Rates'!C10</f>
        <v>294.82</v>
      </c>
      <c r="G27" s="84">
        <v>156.2765418443699</v>
      </c>
      <c r="H27" s="224"/>
    </row>
    <row r="28" spans="1:8" ht="18" customHeight="1">
      <c r="A28" s="80" t="str">
        <f>A11</f>
        <v>GS&gt;1000 kW</v>
      </c>
      <c r="B28" s="70">
        <v>0.435</v>
      </c>
      <c r="C28" s="70">
        <f>1-B28</f>
        <v>0.565</v>
      </c>
      <c r="D28" s="70">
        <f>SUM(B28:C28)</f>
        <v>1</v>
      </c>
      <c r="E28" s="84">
        <f>+B11*C28/'Forecast Data For 2011'!C14/12</f>
        <v>2335.8543652509247</v>
      </c>
      <c r="F28" s="84">
        <f>+'2010 Existing Rates'!C11</f>
        <v>294.82</v>
      </c>
      <c r="G28" s="84">
        <v>462.01793594739564</v>
      </c>
      <c r="H28" s="224"/>
    </row>
    <row r="29" spans="1:7" ht="18" customHeight="1">
      <c r="A29" s="80" t="str">
        <f>A12</f>
        <v>Large Use</v>
      </c>
      <c r="B29" s="70">
        <v>0</v>
      </c>
      <c r="C29" s="70">
        <v>0</v>
      </c>
      <c r="D29" s="70">
        <f t="shared" si="3"/>
        <v>0</v>
      </c>
      <c r="E29" s="84">
        <v>0</v>
      </c>
      <c r="F29" s="84">
        <f>+'2010 Existing Rates'!C12</f>
        <v>13876.25</v>
      </c>
      <c r="G29" s="84">
        <v>0</v>
      </c>
    </row>
    <row r="30" spans="1:7" ht="18" customHeight="1">
      <c r="A30" s="80" t="str">
        <f>A13</f>
        <v>Street Lighting</v>
      </c>
      <c r="B30" s="70">
        <f>('2011 Test Yr On Existing Rates'!G14-'2011 Test Yr On Existing Rates'!I14)/'2011 Test Yr On Existing Rates'!J14</f>
        <v>0.3952651121657838</v>
      </c>
      <c r="C30" s="70">
        <f>1-B30</f>
        <v>0.6047348878342163</v>
      </c>
      <c r="D30" s="70">
        <f>SUM(B30:C30)</f>
        <v>1</v>
      </c>
      <c r="E30" s="84">
        <f>+B13*C30/'Forecast Data For 2011'!C20/12</f>
        <v>2.1992020678079944</v>
      </c>
      <c r="F30" s="84">
        <f>'2010 Existing Rates'!B13</f>
        <v>0.87</v>
      </c>
      <c r="G30" s="84">
        <v>13.854408573175403</v>
      </c>
    </row>
    <row r="31" spans="1:7" ht="18" customHeight="1">
      <c r="A31" s="80" t="str">
        <f>A14</f>
        <v>microFIT Generator service</v>
      </c>
      <c r="B31" s="70">
        <f>('2011 Test Yr On Existing Rates'!G15-'2011 Test Yr On Existing Rates'!I15)/'2011 Test Yr On Existing Rates'!J15</f>
        <v>0</v>
      </c>
      <c r="C31" s="70">
        <f>1-B31</f>
        <v>1</v>
      </c>
      <c r="D31" s="70">
        <f t="shared" si="3"/>
        <v>1</v>
      </c>
      <c r="E31" s="84">
        <v>5.25</v>
      </c>
      <c r="F31" s="84">
        <f>'2010 Existing Rates'!B14</f>
        <v>5.25</v>
      </c>
      <c r="G31" s="84">
        <v>5.25</v>
      </c>
    </row>
    <row r="32" spans="1:7" ht="18" customHeight="1">
      <c r="A32" s="80" t="str">
        <f>A15</f>
        <v>USL</v>
      </c>
      <c r="B32" s="70">
        <f>('2011 Test Yr On Existing Rates'!G16-'2011 Test Yr On Existing Rates'!I16)/'2011 Test Yr On Existing Rates'!J16</f>
        <v>0.30350645852635944</v>
      </c>
      <c r="C32" s="70">
        <f>1-B32</f>
        <v>0.6964935414736406</v>
      </c>
      <c r="D32" s="70">
        <f t="shared" si="3"/>
        <v>1</v>
      </c>
      <c r="E32" s="84">
        <f>+B15*C32/'Forecast Data For 2011'!C25/12</f>
        <v>13.272817716478597</v>
      </c>
      <c r="F32" s="84">
        <f>'2010 Existing Rates'!B15</f>
        <v>10.73</v>
      </c>
      <c r="G32" s="84">
        <v>10.766113045925637</v>
      </c>
    </row>
    <row r="33" spans="1:7" ht="18" customHeight="1">
      <c r="A33" s="80"/>
      <c r="B33" s="185"/>
      <c r="C33" s="70"/>
      <c r="D33" s="70"/>
      <c r="E33" s="84"/>
      <c r="F33" s="84"/>
      <c r="G33" s="84"/>
    </row>
    <row r="34" spans="1:7" ht="18" customHeight="1" thickBot="1">
      <c r="A34" s="86" t="s">
        <v>1</v>
      </c>
      <c r="B34" s="186"/>
      <c r="C34" s="87"/>
      <c r="D34" s="87"/>
      <c r="E34" s="87"/>
      <c r="F34" s="87"/>
      <c r="G34" s="87"/>
    </row>
    <row r="35" ht="13.5" thickTop="1">
      <c r="F35" s="1"/>
    </row>
    <row r="36" spans="1:8" ht="17.25">
      <c r="A36" s="520" t="s">
        <v>229</v>
      </c>
      <c r="B36" s="520"/>
      <c r="C36" s="520"/>
      <c r="D36" s="520"/>
      <c r="E36" s="520"/>
      <c r="F36" s="520"/>
      <c r="G36" s="520"/>
      <c r="H36" s="521"/>
    </row>
    <row r="37" spans="1:8" ht="105">
      <c r="A37" s="63" t="s">
        <v>0</v>
      </c>
      <c r="B37" s="175" t="s">
        <v>150</v>
      </c>
      <c r="C37" s="63" t="s">
        <v>151</v>
      </c>
      <c r="D37" s="63" t="s">
        <v>40</v>
      </c>
      <c r="E37" s="63" t="s">
        <v>152</v>
      </c>
      <c r="F37" s="63" t="s">
        <v>211</v>
      </c>
      <c r="G37" s="63" t="s">
        <v>116</v>
      </c>
      <c r="H37" s="238"/>
    </row>
    <row r="38" spans="1:8" ht="12.75">
      <c r="A38" s="80" t="str">
        <f>A25</f>
        <v>Residential</v>
      </c>
      <c r="B38" s="70">
        <f>('2011 Test Yr On Existing Rates'!G9-'2011 Test Yr On Existing Rates'!I9)/'2011 Test Yr On Existing Rates'!J9</f>
        <v>0.5485334455002912</v>
      </c>
      <c r="C38" s="70">
        <f>1-B38</f>
        <v>0.45146655449970885</v>
      </c>
      <c r="D38" s="70">
        <f>SUM(B38:C38)</f>
        <v>1</v>
      </c>
      <c r="E38" s="84">
        <f>+B8*C38/'Forecast Data For 2011'!C7/12</f>
        <v>13.736241452327908</v>
      </c>
      <c r="F38" s="84">
        <f>F25</f>
        <v>11.1</v>
      </c>
      <c r="G38" s="84">
        <v>17.020967733438056</v>
      </c>
      <c r="H38" s="236"/>
    </row>
    <row r="39" spans="1:8" ht="12.75">
      <c r="A39" s="80" t="str">
        <f aca="true" t="shared" si="4" ref="A39:A46">A26</f>
        <v>GS &lt; 50 kW</v>
      </c>
      <c r="B39" s="70">
        <f>('2011 Test Yr On Existing Rates'!G10-'2011 Test Yr On Existing Rates'!I10)/'2011 Test Yr On Existing Rates'!J10</f>
        <v>0.6533299469547904</v>
      </c>
      <c r="C39" s="70">
        <f>1-B39</f>
        <v>0.3466700530452096</v>
      </c>
      <c r="D39" s="70">
        <f aca="true" t="shared" si="5" ref="D39:D45">SUM(B39:C39)</f>
        <v>1</v>
      </c>
      <c r="E39" s="84">
        <f>+B9*C39/'Forecast Data For 2011'!C9/12</f>
        <v>28.41680263246901</v>
      </c>
      <c r="F39" s="84">
        <f aca="true" t="shared" si="6" ref="F39:F45">F26</f>
        <v>21.45</v>
      </c>
      <c r="G39" s="84">
        <v>46.34058905714571</v>
      </c>
      <c r="H39" s="236"/>
    </row>
    <row r="40" spans="1:8" ht="12.75">
      <c r="A40" s="80" t="str">
        <f t="shared" si="4"/>
        <v>GS 50 kW - 999 kW</v>
      </c>
      <c r="B40" s="234">
        <f>('2011 Test Yr On Existing Rates'!G11-'2011 Test Yr On Existing Rates'!I11)/'2011 Test Yr On Existing Rates'!J11</f>
        <v>0.4349908315976971</v>
      </c>
      <c r="C40" s="234">
        <f>1-B40</f>
        <v>0.5650091684023029</v>
      </c>
      <c r="D40" s="70">
        <f t="shared" si="5"/>
        <v>1</v>
      </c>
      <c r="E40" s="235">
        <f>+B10*C40/'Forecast Data For 2011'!C11/12</f>
        <v>360.69460478908536</v>
      </c>
      <c r="F40" s="84">
        <f t="shared" si="6"/>
        <v>294.82</v>
      </c>
      <c r="G40" s="235">
        <v>156.2765418443699</v>
      </c>
      <c r="H40" s="236"/>
    </row>
    <row r="41" spans="1:8" ht="12.75">
      <c r="A41" s="80" t="str">
        <f t="shared" si="4"/>
        <v>GS&gt;1000 kW</v>
      </c>
      <c r="B41" s="234">
        <f>('2011 Test Yr On Existing Rates'!G12-'2011 Test Yr On Existing Rates'!I12)/'2011 Test Yr On Existing Rates'!J12</f>
        <v>0.8924067333780062</v>
      </c>
      <c r="C41" s="234">
        <f>1-B41</f>
        <v>0.10759326662199376</v>
      </c>
      <c r="D41" s="70">
        <f t="shared" si="5"/>
        <v>1</v>
      </c>
      <c r="E41" s="235">
        <f>+B11*C41/'Forecast Data For 2011'!C14/12</f>
        <v>444.8180557709571</v>
      </c>
      <c r="F41" s="84">
        <f t="shared" si="6"/>
        <v>294.82</v>
      </c>
      <c r="G41" s="235">
        <v>462.01793594739564</v>
      </c>
      <c r="H41" s="236"/>
    </row>
    <row r="42" spans="1:8" ht="12.75">
      <c r="A42" s="80" t="str">
        <f t="shared" si="4"/>
        <v>Large Use</v>
      </c>
      <c r="B42" s="70">
        <v>0</v>
      </c>
      <c r="C42" s="70">
        <v>0</v>
      </c>
      <c r="D42" s="70">
        <f t="shared" si="5"/>
        <v>0</v>
      </c>
      <c r="E42" s="84">
        <v>0</v>
      </c>
      <c r="F42" s="84">
        <f t="shared" si="6"/>
        <v>13876.25</v>
      </c>
      <c r="G42" s="84">
        <v>0</v>
      </c>
      <c r="H42" s="236"/>
    </row>
    <row r="43" spans="1:8" ht="12.75">
      <c r="A43" s="80" t="str">
        <f t="shared" si="4"/>
        <v>Street Lighting</v>
      </c>
      <c r="B43" s="70">
        <f>('2011 Test Yr On Existing Rates'!G14-'2011 Test Yr On Existing Rates'!I14)/'2011 Test Yr On Existing Rates'!J14</f>
        <v>0.3952651121657838</v>
      </c>
      <c r="C43" s="70">
        <f>1-B43</f>
        <v>0.6047348878342163</v>
      </c>
      <c r="D43" s="70">
        <f t="shared" si="5"/>
        <v>1</v>
      </c>
      <c r="E43" s="84">
        <f>+B13*C43/'Forecast Data For 2011'!C20/12</f>
        <v>2.1992020678079944</v>
      </c>
      <c r="F43" s="84">
        <f t="shared" si="6"/>
        <v>0.87</v>
      </c>
      <c r="G43" s="84">
        <v>13.854408573175403</v>
      </c>
      <c r="H43" s="236"/>
    </row>
    <row r="44" spans="1:8" ht="12.75">
      <c r="A44" s="80" t="str">
        <f t="shared" si="4"/>
        <v>microFIT Generator service</v>
      </c>
      <c r="B44" s="70">
        <f>('2011 Test Yr On Existing Rates'!G15-'2011 Test Yr On Existing Rates'!I15)/'2011 Test Yr On Existing Rates'!J15</f>
        <v>0</v>
      </c>
      <c r="C44" s="70">
        <f>1-B44</f>
        <v>1</v>
      </c>
      <c r="D44" s="70">
        <f t="shared" si="5"/>
        <v>1</v>
      </c>
      <c r="E44" s="84">
        <f>E31</f>
        <v>5.25</v>
      </c>
      <c r="F44" s="84">
        <f t="shared" si="6"/>
        <v>5.25</v>
      </c>
      <c r="G44" s="84">
        <v>5.25</v>
      </c>
      <c r="H44" s="236"/>
    </row>
    <row r="45" spans="1:8" ht="12.75">
      <c r="A45" s="80" t="str">
        <f t="shared" si="4"/>
        <v>USL</v>
      </c>
      <c r="B45" s="70">
        <f>('2011 Test Yr On Existing Rates'!G16-'2011 Test Yr On Existing Rates'!I16)/'2011 Test Yr On Existing Rates'!J16</f>
        <v>0.30350645852635944</v>
      </c>
      <c r="C45" s="70">
        <f>1-B45</f>
        <v>0.6964935414736406</v>
      </c>
      <c r="D45" s="70">
        <f t="shared" si="5"/>
        <v>1</v>
      </c>
      <c r="E45" s="84">
        <f>+B15*C45/'Forecast Data For 2011'!C25/12</f>
        <v>13.272817716478597</v>
      </c>
      <c r="F45" s="84">
        <f t="shared" si="6"/>
        <v>10.73</v>
      </c>
      <c r="G45" s="84">
        <v>10.766113045925637</v>
      </c>
      <c r="H45" s="236"/>
    </row>
    <row r="46" spans="1:7" ht="12.75">
      <c r="A46" s="80">
        <f t="shared" si="4"/>
        <v>0</v>
      </c>
      <c r="B46" s="185"/>
      <c r="C46" s="70"/>
      <c r="D46" s="70"/>
      <c r="E46" s="84"/>
      <c r="F46" s="84"/>
      <c r="G46" s="84"/>
    </row>
    <row r="47" spans="1:7" ht="13.5" thickBot="1">
      <c r="A47" s="86" t="s">
        <v>1</v>
      </c>
      <c r="B47" s="186"/>
      <c r="C47" s="87"/>
      <c r="D47" s="87"/>
      <c r="E47" s="87"/>
      <c r="F47" s="87"/>
      <c r="G47" s="87"/>
    </row>
    <row r="48" ht="13.5" thickTop="1">
      <c r="C48" s="1"/>
    </row>
    <row r="49" ht="12.75">
      <c r="C49" s="1"/>
    </row>
  </sheetData>
  <sheetProtection/>
  <mergeCells count="8">
    <mergeCell ref="A36:H36"/>
    <mergeCell ref="A1:K1"/>
    <mergeCell ref="A2:K2"/>
    <mergeCell ref="A3:K3"/>
    <mergeCell ref="A23:H23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ht="12.75">
      <c r="A1" s="522" t="str">
        <f>+'Revenue Input'!A1</f>
        <v>Woodstock Hydro Services Inc.</v>
      </c>
      <c r="B1" s="522"/>
      <c r="C1" s="522"/>
      <c r="D1" s="522"/>
      <c r="E1" s="522"/>
      <c r="F1" s="522"/>
    </row>
    <row r="2" spans="1:6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</row>
    <row r="3" spans="1:6" ht="12.75">
      <c r="A3" s="522">
        <f>+'Revenue Input'!A3</f>
        <v>0</v>
      </c>
      <c r="B3" s="522"/>
      <c r="C3" s="522"/>
      <c r="D3" s="522"/>
      <c r="E3" s="522"/>
      <c r="F3" s="522"/>
    </row>
    <row r="4" spans="1:6" ht="12.75">
      <c r="A4" s="494"/>
      <c r="B4" s="494"/>
      <c r="C4" s="494"/>
      <c r="D4" s="494"/>
      <c r="E4" s="494"/>
      <c r="F4" s="494"/>
    </row>
    <row r="5" spans="1:6" s="35" customFormat="1" ht="21">
      <c r="A5" s="526" t="s">
        <v>100</v>
      </c>
      <c r="B5" s="526"/>
      <c r="C5" s="526"/>
      <c r="D5" s="526"/>
      <c r="E5" s="526"/>
      <c r="F5" s="526"/>
    </row>
    <row r="6" spans="1:6" ht="38.25" customHeight="1">
      <c r="A6" s="525" t="s">
        <v>0</v>
      </c>
      <c r="B6" s="525" t="s">
        <v>212</v>
      </c>
      <c r="C6" s="525"/>
      <c r="D6" s="527" t="s">
        <v>144</v>
      </c>
      <c r="E6" s="527" t="s">
        <v>19</v>
      </c>
      <c r="F6" s="527" t="s">
        <v>20</v>
      </c>
    </row>
    <row r="7" spans="1:6" ht="12.75">
      <c r="A7" s="525"/>
      <c r="B7" s="89" t="s">
        <v>21</v>
      </c>
      <c r="C7" s="90" t="s">
        <v>22</v>
      </c>
      <c r="D7" s="527"/>
      <c r="E7" s="527"/>
      <c r="F7" s="527"/>
    </row>
    <row r="8" spans="1:6" ht="18" customHeight="1">
      <c r="A8" s="80" t="str">
        <f>'Rates By Rate Class'!A25</f>
        <v>Residential</v>
      </c>
      <c r="B8" s="93">
        <v>0</v>
      </c>
      <c r="C8" s="93"/>
      <c r="D8" s="98">
        <f>+B8*'2011 Test Yr On Existing Rates'!B9</f>
        <v>0</v>
      </c>
      <c r="E8" s="67">
        <v>0</v>
      </c>
      <c r="F8" s="68">
        <f aca="true" t="shared" si="0" ref="F8:F15">+$F$16*E8</f>
        <v>0</v>
      </c>
    </row>
    <row r="9" spans="1:6" ht="18" customHeight="1">
      <c r="A9" s="80" t="str">
        <f>'Rates By Rate Class'!A26</f>
        <v>GS &lt; 50 kW</v>
      </c>
      <c r="B9" s="93">
        <v>0</v>
      </c>
      <c r="C9" s="93"/>
      <c r="D9" s="98">
        <f>+B9*'2011 Test Yr On Existing Rates'!B10</f>
        <v>0</v>
      </c>
      <c r="E9" s="67">
        <v>0</v>
      </c>
      <c r="F9" s="68">
        <f t="shared" si="0"/>
        <v>0</v>
      </c>
    </row>
    <row r="10" spans="1:6" ht="18" customHeight="1">
      <c r="A10" s="80" t="str">
        <f>'Rates By Rate Class'!A27</f>
        <v>GS 50 kW - 999 kW</v>
      </c>
      <c r="B10" s="93"/>
      <c r="C10" s="93">
        <v>0</v>
      </c>
      <c r="D10" s="98">
        <f>+C10*'2011 Test Yr On Existing Rates'!C11</f>
        <v>0</v>
      </c>
      <c r="E10" s="67">
        <v>0</v>
      </c>
      <c r="F10" s="68">
        <f t="shared" si="0"/>
        <v>0</v>
      </c>
    </row>
    <row r="11" spans="1:6" ht="18" customHeight="1">
      <c r="A11" s="80" t="str">
        <f>'Rates By Rate Class'!A28</f>
        <v>GS&gt;1000 kW</v>
      </c>
      <c r="B11" s="93"/>
      <c r="C11" s="93"/>
      <c r="D11" s="98">
        <f>+C11*'2011 Test Yr On Existing Rates'!C12</f>
        <v>0</v>
      </c>
      <c r="E11" s="67">
        <v>0</v>
      </c>
      <c r="F11" s="68">
        <f t="shared" si="0"/>
        <v>0</v>
      </c>
    </row>
    <row r="12" spans="1:6" ht="15.75" customHeight="1" hidden="1">
      <c r="A12" s="80" t="str">
        <f>'Rates By Rate Class'!A29</f>
        <v>Large Use</v>
      </c>
      <c r="B12" s="93"/>
      <c r="C12" s="93">
        <v>0</v>
      </c>
      <c r="D12" s="98">
        <f>+C12*'2011 Test Yr On Existing Rates'!C13</f>
        <v>0</v>
      </c>
      <c r="E12" s="67">
        <v>0</v>
      </c>
      <c r="F12" s="68">
        <f t="shared" si="0"/>
        <v>0</v>
      </c>
    </row>
    <row r="13" spans="1:6" ht="15.75" customHeight="1">
      <c r="A13" s="80" t="str">
        <f>'Rates By Rate Class'!A30</f>
        <v>Street Lighting</v>
      </c>
      <c r="B13" s="93"/>
      <c r="C13" s="93"/>
      <c r="D13" s="98">
        <v>0</v>
      </c>
      <c r="E13" s="67">
        <v>0</v>
      </c>
      <c r="F13" s="68">
        <v>0</v>
      </c>
    </row>
    <row r="14" spans="1:6" ht="18" customHeight="1" hidden="1">
      <c r="A14" s="80" t="str">
        <f>'Rates By Rate Class'!A31</f>
        <v>microFIT Generator service</v>
      </c>
      <c r="B14" s="93"/>
      <c r="C14" s="93">
        <v>0</v>
      </c>
      <c r="D14" s="98">
        <f>+C14*'2011 Test Yr On Existing Rates'!C14</f>
        <v>0</v>
      </c>
      <c r="E14" s="67">
        <v>0</v>
      </c>
      <c r="F14" s="68">
        <f t="shared" si="0"/>
        <v>0</v>
      </c>
    </row>
    <row r="15" spans="1:6" ht="18" customHeight="1">
      <c r="A15" s="80" t="str">
        <f>'Rates By Rate Class'!A32</f>
        <v>USL</v>
      </c>
      <c r="B15" s="93">
        <v>0</v>
      </c>
      <c r="C15" s="93"/>
      <c r="D15" s="98">
        <f>+B15*'2011 Test Yr On Existing Rates'!B16</f>
        <v>0</v>
      </c>
      <c r="E15" s="67">
        <v>0</v>
      </c>
      <c r="F15" s="68">
        <f t="shared" si="0"/>
        <v>0</v>
      </c>
    </row>
    <row r="16" spans="1:6" ht="18" customHeight="1" thickBot="1">
      <c r="A16" s="92" t="s">
        <v>18</v>
      </c>
      <c r="B16" s="73"/>
      <c r="C16" s="91"/>
      <c r="D16" s="151">
        <f>SUM(D8:D15)</f>
        <v>0</v>
      </c>
      <c r="E16" s="77">
        <f>SUM(E8:E15)</f>
        <v>0</v>
      </c>
      <c r="F16" s="78">
        <f>'Revenue Input'!B12</f>
        <v>0</v>
      </c>
    </row>
    <row r="17" ht="13.5" thickTop="1"/>
    <row r="18" spans="2:3" ht="12.75">
      <c r="B18" s="33"/>
      <c r="C18" s="33"/>
    </row>
  </sheetData>
  <sheetProtection/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522" t="str">
        <f>+'Revenue Input'!A1</f>
        <v>Woodstock Hydro Services Inc.</v>
      </c>
      <c r="B1" s="522"/>
      <c r="C1" s="522"/>
      <c r="D1" s="522"/>
      <c r="E1" s="522"/>
      <c r="F1" s="522"/>
      <c r="G1" s="522"/>
    </row>
    <row r="2" spans="1:7" ht="12.75">
      <c r="A2" s="522" t="str">
        <f>+'Revenue Input'!A2</f>
        <v>, License Number ED-2003-0011, File Number EB-2010-0145</v>
      </c>
      <c r="B2" s="522"/>
      <c r="C2" s="522"/>
      <c r="D2" s="522"/>
      <c r="E2" s="522"/>
      <c r="F2" s="522"/>
      <c r="G2" s="522"/>
    </row>
    <row r="3" spans="1:7" ht="12.75">
      <c r="A3" s="522">
        <f>+'Revenue Input'!A3</f>
        <v>0</v>
      </c>
      <c r="B3" s="522"/>
      <c r="C3" s="522"/>
      <c r="D3" s="522"/>
      <c r="E3" s="522"/>
      <c r="F3" s="522"/>
      <c r="G3" s="522"/>
    </row>
    <row r="4" spans="1:7" ht="6.75" customHeight="1">
      <c r="A4" s="494"/>
      <c r="B4" s="494"/>
      <c r="C4" s="494"/>
      <c r="D4" s="494"/>
      <c r="E4" s="494"/>
      <c r="F4" s="494"/>
      <c r="G4" s="494"/>
    </row>
    <row r="5" spans="1:7" ht="21">
      <c r="A5" s="529" t="s">
        <v>99</v>
      </c>
      <c r="B5" s="529"/>
      <c r="C5" s="529"/>
      <c r="D5" s="529"/>
      <c r="E5" s="529"/>
      <c r="F5" s="529"/>
      <c r="G5" s="529"/>
    </row>
    <row r="6" spans="1:7" ht="8.25" customHeight="1">
      <c r="A6" s="528"/>
      <c r="B6" s="528"/>
      <c r="C6" s="528"/>
      <c r="D6" s="528"/>
      <c r="E6" s="528"/>
      <c r="F6" s="528"/>
      <c r="G6" s="528"/>
    </row>
    <row r="7" spans="1:7" ht="26.25">
      <c r="A7" s="58" t="s">
        <v>0</v>
      </c>
      <c r="B7" s="63" t="s">
        <v>98</v>
      </c>
      <c r="C7" s="63" t="s">
        <v>13</v>
      </c>
      <c r="D7" s="63" t="s">
        <v>14</v>
      </c>
      <c r="E7" s="63" t="s">
        <v>15</v>
      </c>
      <c r="F7" s="63" t="s">
        <v>96</v>
      </c>
      <c r="G7" s="63" t="s">
        <v>97</v>
      </c>
    </row>
    <row r="8" spans="1:7" ht="18" customHeight="1">
      <c r="A8" s="80" t="str">
        <f>'Allocation Low Voltage Costs'!A8</f>
        <v>Residential</v>
      </c>
      <c r="B8" s="68">
        <f>+'Allocation Low Voltage Costs'!F8</f>
        <v>0</v>
      </c>
      <c r="C8" s="98">
        <f>+'2011 Test Yr On Existing Rates'!B9</f>
        <v>117418066.48834497</v>
      </c>
      <c r="D8" s="98">
        <f>+'2011 Test Yr On Existing Rates'!C9</f>
        <v>0</v>
      </c>
      <c r="E8" s="97" t="s">
        <v>16</v>
      </c>
      <c r="F8" s="101">
        <f>+B8/C8</f>
        <v>0</v>
      </c>
      <c r="G8" s="101"/>
    </row>
    <row r="9" spans="1:7" ht="18" customHeight="1">
      <c r="A9" s="80" t="str">
        <f>'Allocation Low Voltage Costs'!A9</f>
        <v>GS &lt; 50 kW</v>
      </c>
      <c r="B9" s="68">
        <f>+'Allocation Low Voltage Costs'!F9</f>
        <v>0</v>
      </c>
      <c r="C9" s="98">
        <f>+'2011 Test Yr On Existing Rates'!B10</f>
        <v>46182407.05503645</v>
      </c>
      <c r="D9" s="98">
        <f>+'2011 Test Yr On Existing Rates'!C10</f>
        <v>0</v>
      </c>
      <c r="E9" s="97" t="s">
        <v>16</v>
      </c>
      <c r="F9" s="101">
        <f>+B9/C9</f>
        <v>0</v>
      </c>
      <c r="G9" s="101"/>
    </row>
    <row r="10" spans="1:7" ht="18" customHeight="1">
      <c r="A10" s="80" t="str">
        <f>'Allocation Low Voltage Costs'!A10</f>
        <v>GS 50 kW - 999 kW</v>
      </c>
      <c r="B10" s="68">
        <f>+'Allocation Low Voltage Costs'!F10</f>
        <v>0</v>
      </c>
      <c r="C10" s="98">
        <v>0</v>
      </c>
      <c r="D10" s="98">
        <f>+'2011 Test Yr On Existing Rates'!C11</f>
        <v>381271.21290053293</v>
      </c>
      <c r="E10" s="97" t="s">
        <v>17</v>
      </c>
      <c r="F10" s="101"/>
      <c r="G10" s="101">
        <f>+B10/D10</f>
        <v>0</v>
      </c>
    </row>
    <row r="11" spans="1:7" ht="18" customHeight="1">
      <c r="A11" s="80" t="str">
        <f>'Allocation Low Voltage Costs'!A11</f>
        <v>GS&gt;1000 kW</v>
      </c>
      <c r="B11" s="68">
        <f>+'Allocation Low Voltage Costs'!F11</f>
        <v>0</v>
      </c>
      <c r="C11" s="98">
        <v>0</v>
      </c>
      <c r="D11" s="98">
        <f>+'2011 Test Yr On Existing Rates'!C12</f>
        <v>148979.97053713276</v>
      </c>
      <c r="E11" s="97" t="s">
        <v>17</v>
      </c>
      <c r="F11" s="101"/>
      <c r="G11" s="101"/>
    </row>
    <row r="12" spans="1:7" ht="18" customHeight="1" hidden="1">
      <c r="A12" s="80" t="str">
        <f>'Allocation Low Voltage Costs'!A12</f>
        <v>Large Use</v>
      </c>
      <c r="B12" s="68">
        <f>+'Allocation Low Voltage Costs'!F12</f>
        <v>0</v>
      </c>
      <c r="C12" s="98">
        <f>+'2011 Test Yr On Existing Rates'!B13</f>
        <v>0</v>
      </c>
      <c r="D12" s="98">
        <f>+'2011 Test Yr On Existing Rates'!C13</f>
        <v>0</v>
      </c>
      <c r="E12" s="97" t="s">
        <v>17</v>
      </c>
      <c r="F12" s="101"/>
      <c r="G12" s="101">
        <v>0</v>
      </c>
    </row>
    <row r="13" spans="1:7" ht="18" customHeight="1">
      <c r="A13" s="80" t="str">
        <f>'Allocation Low Voltage Costs'!A13</f>
        <v>Street Lighting</v>
      </c>
      <c r="B13" s="68">
        <f>+'Allocation Low Voltage Costs'!F13</f>
        <v>0</v>
      </c>
      <c r="C13" s="98">
        <v>0</v>
      </c>
      <c r="D13" s="98">
        <f>+'2011 Test Yr On Existing Rates'!C14</f>
        <v>8538.621682209448</v>
      </c>
      <c r="E13" s="97" t="s">
        <v>17</v>
      </c>
      <c r="F13" s="101"/>
      <c r="G13" s="101">
        <v>0</v>
      </c>
    </row>
    <row r="14" spans="1:7" ht="18" customHeight="1" hidden="1">
      <c r="A14" s="80" t="str">
        <f>'Allocation Low Voltage Costs'!A14</f>
        <v>microFIT Generator service</v>
      </c>
      <c r="B14" s="68">
        <f>+'Allocation Low Voltage Costs'!F14</f>
        <v>0</v>
      </c>
      <c r="C14" s="98">
        <f>+'2011 Test Yr On Existing Rates'!B15</f>
        <v>0</v>
      </c>
      <c r="D14" s="98">
        <f>+'2011 Test Yr On Existing Rates'!C15</f>
        <v>0</v>
      </c>
      <c r="E14" s="97" t="s">
        <v>17</v>
      </c>
      <c r="F14" s="101"/>
      <c r="G14" s="101">
        <v>0</v>
      </c>
    </row>
    <row r="15" spans="1:7" ht="21" customHeight="1">
      <c r="A15" s="80" t="str">
        <f>'Allocation Low Voltage Costs'!A15</f>
        <v>USL</v>
      </c>
      <c r="B15" s="68">
        <f>+'Allocation Low Voltage Costs'!F15</f>
        <v>0</v>
      </c>
      <c r="C15" s="98">
        <f>+'2011 Test Yr On Existing Rates'!B16</f>
        <v>615829.4710948495</v>
      </c>
      <c r="D15" s="98">
        <f>+'2011 Test Yr On Existing Rates'!C16</f>
        <v>0</v>
      </c>
      <c r="E15" s="97" t="s">
        <v>16</v>
      </c>
      <c r="F15" s="101">
        <f>+B15/C15</f>
        <v>0</v>
      </c>
      <c r="G15" s="101"/>
    </row>
    <row r="16" spans="1:7" ht="18" customHeight="1" thickBot="1">
      <c r="A16" s="85" t="s">
        <v>18</v>
      </c>
      <c r="B16" s="94">
        <f>SUM(B8:B15)</f>
        <v>0</v>
      </c>
      <c r="C16" s="99">
        <f>SUM(C8:C15)</f>
        <v>164216303.01447627</v>
      </c>
      <c r="D16" s="100">
        <f>SUM(D8:D15)</f>
        <v>538789.8051198751</v>
      </c>
      <c r="E16" s="95"/>
      <c r="F16" s="96"/>
      <c r="G16" s="95"/>
    </row>
    <row r="17" ht="13.5" thickTop="1"/>
  </sheetData>
  <sheetProtection/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Patti Eitel</cp:lastModifiedBy>
  <cp:lastPrinted>2010-10-28T16:56:33Z</cp:lastPrinted>
  <dcterms:created xsi:type="dcterms:W3CDTF">2007-07-20T14:53:09Z</dcterms:created>
  <dcterms:modified xsi:type="dcterms:W3CDTF">2010-11-09T20:11:07Z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