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" yWindow="65260" windowWidth="10776" windowHeight="10020" tabRatio="880" activeTab="0"/>
  </bookViews>
  <sheets>
    <sheet name="Notes" sheetId="1" r:id="rId1"/>
    <sheet name="FA Continuity 2006" sheetId="2" r:id="rId2"/>
    <sheet name="FA Continuity 2007" sheetId="3" r:id="rId3"/>
    <sheet name="FA Continuity 2008" sheetId="4" r:id="rId4"/>
    <sheet name="FA Continuity 2009" sheetId="5" r:id="rId5"/>
    <sheet name="FA Continuity 2010" sheetId="6" r:id="rId6"/>
    <sheet name="FA Continuity 2011" sheetId="7" r:id="rId7"/>
    <sheet name="Trial Balance" sheetId="8" r:id="rId8"/>
    <sheet name="2006 Balance Sheet" sheetId="9" r:id="rId9"/>
    <sheet name="2006 Income Statement" sheetId="10" r:id="rId10"/>
    <sheet name="2007 Balance Sheet" sheetId="11" r:id="rId11"/>
    <sheet name="2007 Income Statement" sheetId="12" r:id="rId12"/>
    <sheet name="2008 Balance Sheet" sheetId="13" r:id="rId13"/>
    <sheet name="2008 Income Statement" sheetId="14" r:id="rId14"/>
    <sheet name="2009 Balance Sheet" sheetId="15" r:id="rId15"/>
    <sheet name="2009 Income Statement" sheetId="16" r:id="rId16"/>
    <sheet name="2010 Balance Sheet" sheetId="17" r:id="rId17"/>
    <sheet name="2010 Income Statement" sheetId="18" r:id="rId18"/>
    <sheet name="2011 Balance Sheet" sheetId="19" r:id="rId19"/>
    <sheet name="2011 Income Statement" sheetId="20" r:id="rId20"/>
    <sheet name="Return on Capital" sheetId="21" r:id="rId21"/>
    <sheet name="Debt &amp; Capital Structure" sheetId="22" r:id="rId22"/>
    <sheet name="Tax rates" sheetId="23" r:id="rId23"/>
    <sheet name="CCA Continuity 2010" sheetId="24" r:id="rId24"/>
    <sheet name="CCA Continuity 2011" sheetId="25" r:id="rId25"/>
    <sheet name="Reserves Continuity" sheetId="26" r:id="rId26"/>
    <sheet name="Corporation Loss Continuity" sheetId="27" r:id="rId27"/>
    <sheet name="Tax Adjustments 2010" sheetId="28" r:id="rId28"/>
    <sheet name="Tax Adjustments 2011" sheetId="29" r:id="rId29"/>
    <sheet name="2011 Rev Deficiency" sheetId="30" r:id="rId30"/>
    <sheet name="Capital Tax &amp; Expense Schedules" sheetId="31" r:id="rId31"/>
    <sheet name="Revenue Requirement" sheetId="32" r:id="rId32"/>
    <sheet name="Sheet1" sheetId="33" r:id="rId33"/>
  </sheets>
  <externalReferences>
    <externalReference r:id="rId36"/>
  </externalReferences>
  <definedNames>
    <definedName name="DaysInPreviousYear">'[1]Distribution Revenue by Source'!$B$22</definedName>
    <definedName name="DaysInYear">'[1]Distribution Revenue by Source'!$B$21</definedName>
    <definedName name="MofF">#REF!</definedName>
    <definedName name="_xlnm.Print_Area" localSheetId="8">'2006 Balance Sheet'!$A$1:$B$246</definedName>
    <definedName name="_xlnm.Print_Area" localSheetId="10">'2007 Balance Sheet'!$A$1:$B$246</definedName>
    <definedName name="_xlnm.Print_Area" localSheetId="12">'2008 Balance Sheet'!$A$1:$B$246</definedName>
    <definedName name="_xlnm.Print_Area" localSheetId="14">'2009 Balance Sheet'!$A$1:$B$246</definedName>
    <definedName name="_xlnm.Print_Area" localSheetId="16">'2010 Balance Sheet'!$A$1:$B$237</definedName>
    <definedName name="_xlnm.Print_Area" localSheetId="18">'2011 Balance Sheet'!$A$1:$B$237</definedName>
    <definedName name="_xlnm.Print_Area" localSheetId="1">'FA Continuity 2006'!$A$1:$M$55</definedName>
    <definedName name="_xlnm.Print_Area" localSheetId="2">'FA Continuity 2007'!$A$1:$M$55</definedName>
    <definedName name="_xlnm.Print_Area" localSheetId="3">'FA Continuity 2008'!$A$1:$N$55</definedName>
    <definedName name="_xlnm.Print_Area" localSheetId="4">'FA Continuity 2009'!$A$1:$M$55</definedName>
    <definedName name="_xlnm.Print_Area" localSheetId="5">'FA Continuity 2010'!$A$1:$M$65</definedName>
    <definedName name="_xlnm.Print_Area" localSheetId="6">'FA Continuity 2011'!$A$1:$M$64</definedName>
    <definedName name="_xlnm.Print_Area" localSheetId="20">'Return on Capital'!$A$1:$AJ$43</definedName>
    <definedName name="_xlnm.Print_Area" localSheetId="27">'Tax Adjustments 2010'!$A$1:$F$78</definedName>
    <definedName name="_xlnm.Print_Area" localSheetId="28">'Tax Adjustments 2011'!$B$1:$F$78</definedName>
    <definedName name="_xlnm.Print_Area" localSheetId="7">'Trial Balance'!$A$3:$L$402</definedName>
    <definedName name="_xlnm.Print_Titles" localSheetId="8">'2006 Balance Sheet'!$3:$5</definedName>
    <definedName name="_xlnm.Print_Titles" localSheetId="9">'2006 Income Statement'!$3:$5</definedName>
    <definedName name="_xlnm.Print_Titles" localSheetId="10">'2007 Balance Sheet'!$3:$5</definedName>
    <definedName name="_xlnm.Print_Titles" localSheetId="11">'2007 Income Statement'!$3:$5</definedName>
    <definedName name="_xlnm.Print_Titles" localSheetId="12">'2008 Balance Sheet'!$3:$5</definedName>
    <definedName name="_xlnm.Print_Titles" localSheetId="13">'2008 Income Statement'!$3:$5</definedName>
    <definedName name="_xlnm.Print_Titles" localSheetId="14">'2009 Balance Sheet'!$3:$5</definedName>
    <definedName name="_xlnm.Print_Titles" localSheetId="15">'2009 Income Statement'!$5:$5</definedName>
    <definedName name="_xlnm.Print_Titles" localSheetId="16">'2010 Balance Sheet'!$5:$5</definedName>
    <definedName name="_xlnm.Print_Titles" localSheetId="17">'2010 Income Statement'!$5:$5</definedName>
    <definedName name="_xlnm.Print_Titles" localSheetId="18">'2011 Balance Sheet'!$5:$5</definedName>
    <definedName name="_xlnm.Print_Titles" localSheetId="19">'2011 Income Statement'!$5:$5</definedName>
    <definedName name="_xlnm.Print_Titles" localSheetId="29">'2011 Rev Deficiency'!$5:$5</definedName>
    <definedName name="_xlnm.Print_Titles" localSheetId="20">'Return on Capital'!$1:$3</definedName>
    <definedName name="_xlnm.Print_Titles" localSheetId="27">'Tax Adjustments 2010'!$4:$4</definedName>
    <definedName name="_xlnm.Print_Titles" localSheetId="28">'Tax Adjustments 2011'!$4:$4</definedName>
    <definedName name="_xlnm.Print_Titles" localSheetId="7">'Trial Balance'!$3:$5</definedName>
    <definedName name="Ratebase">'[1]Distribution Revenue by Source'!$C$25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25" authorId="0">
      <text>
        <r>
          <rPr>
            <b/>
            <sz val="8"/>
            <rFont val="Tahoma"/>
            <family val="2"/>
          </rPr>
          <t>Part of CEC calculation</t>
        </r>
      </text>
    </comment>
  </commentList>
</comments>
</file>

<file path=xl/comments22.xml><?xml version="1.0" encoding="utf-8"?>
<comments xmlns="http://schemas.openxmlformats.org/spreadsheetml/2006/main">
  <authors>
    <author>Patti Eitel</author>
  </authors>
  <commentList>
    <comment ref="M18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pro-rated - 1 month</t>
        </r>
      </text>
    </comment>
    <comment ref="M17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pro-rated 8 months</t>
        </r>
      </text>
    </comment>
    <comment ref="M13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pro-rated 8 months</t>
        </r>
      </text>
    </comment>
    <comment ref="M12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pro-rated 4 months. </t>
        </r>
      </text>
    </comment>
    <comment ref="J9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weighted average rate</t>
        </r>
      </text>
    </comment>
    <comment ref="H49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weighted</t>
        </r>
      </text>
    </comment>
    <comment ref="D64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2006 approved EDR</t>
        </r>
      </text>
    </comment>
  </commentList>
</comments>
</file>

<file path=xl/comments23.xml><?xml version="1.0" encoding="utf-8"?>
<comments xmlns="http://schemas.openxmlformats.org/spreadsheetml/2006/main">
  <authors>
    <author>Patti Eitel</author>
  </authors>
  <commentList>
    <comment ref="C11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Effective Ontario Tax Rate after $500,000 small business deduction</t>
        </r>
      </text>
    </comment>
  </commentList>
</comments>
</file>

<file path=xl/comments24.xml><?xml version="1.0" encoding="utf-8"?>
<comments xmlns="http://schemas.openxmlformats.org/spreadsheetml/2006/main">
  <authors>
    <author>User</author>
  </authors>
  <commentList>
    <comment ref="H5" authorId="0">
      <text>
        <r>
          <rPr>
            <sz val="8"/>
            <rFont val="Tahoma"/>
            <family val="2"/>
          </rPr>
          <t>See Continuity Schedule for CCA class to add to</t>
        </r>
      </text>
    </comment>
    <comment ref="H9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  <comment ref="H10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  <comment ref="E65" authorId="0">
      <text>
        <r>
          <rPr>
            <b/>
            <sz val="8"/>
            <rFont val="Tahoma"/>
            <family val="2"/>
          </rPr>
          <t>Input the CEC deduction rate</t>
        </r>
      </text>
    </comment>
  </commentList>
</comments>
</file>

<file path=xl/comments25.xml><?xml version="1.0" encoding="utf-8"?>
<comments xmlns="http://schemas.openxmlformats.org/spreadsheetml/2006/main">
  <authors>
    <author>User</author>
  </authors>
  <commentList>
    <comment ref="H5" authorId="0">
      <text>
        <r>
          <rPr>
            <sz val="8"/>
            <rFont val="Tahoma"/>
            <family val="2"/>
          </rPr>
          <t>See Continuity Schedule for CCA class to add to</t>
        </r>
      </text>
    </comment>
    <comment ref="H9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  <comment ref="H10" authorId="0">
      <text>
        <r>
          <rPr>
            <b/>
            <sz val="8"/>
            <rFont val="Tahoma"/>
            <family val="2"/>
          </rPr>
          <t>Fully allocated items are inputted here from the contuity schedule</t>
        </r>
      </text>
    </comment>
    <comment ref="E65" authorId="0">
      <text>
        <r>
          <rPr>
            <b/>
            <sz val="8"/>
            <rFont val="Tahoma"/>
            <family val="2"/>
          </rPr>
          <t>Input the CEC deduction rate</t>
        </r>
      </text>
    </comment>
  </commentList>
</comments>
</file>

<file path=xl/comments26.xml><?xml version="1.0" encoding="utf-8"?>
<comments xmlns="http://schemas.openxmlformats.org/spreadsheetml/2006/main">
  <authors>
    <author>BenumMa</author>
  </authors>
  <commentList>
    <comment ref="C13" authorId="0">
      <text>
        <r>
          <rPr>
            <b/>
            <sz val="8"/>
            <rFont val="Tahoma"/>
            <family val="2"/>
          </rPr>
          <t xml:space="preserve">Please Note that if this cell is red then total does not balance to cell C65
 from worksheet "2004 Adjusted Taxable Income"
</t>
        </r>
        <r>
          <rPr>
            <sz val="8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2"/>
          </rPr>
          <t>Please Note that if this cell is red then total does not balance to cell D65 from worksheet "2004 Adjusted Taxable Income"</t>
        </r>
      </text>
    </comment>
    <comment ref="E13" authorId="0">
      <text>
        <r>
          <rPr>
            <b/>
            <sz val="8"/>
            <rFont val="Tahoma"/>
            <family val="2"/>
          </rPr>
          <t>Please Note that if this cell is red then total does not balance to cell E65 from worksheet "2004 Adjusted Taxable Income"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Please Note that if this cell is red then total does not balance to cell C32 from worksheet "2004 Adjusted Taxable Income"</t>
        </r>
      </text>
    </comment>
    <comment ref="D32" authorId="0">
      <text>
        <r>
          <rPr>
            <b/>
            <sz val="8"/>
            <rFont val="Tahoma"/>
            <family val="2"/>
          </rPr>
          <t>Please Note that if this cell is red then total does not balance to cell D32 from worksheet "2004 Adjusted Taxable Income"</t>
        </r>
      </text>
    </comment>
    <comment ref="E32" authorId="0">
      <text>
        <r>
          <rPr>
            <b/>
            <sz val="8"/>
            <rFont val="Tahoma"/>
            <family val="2"/>
          </rPr>
          <t>Please Note that if this cell is red then total does not balance to cell E32 from worksheet "2004 Adjusted Taxable Income"</t>
        </r>
      </text>
    </comment>
  </commentList>
</comments>
</file>

<file path=xl/comments28.xml><?xml version="1.0" encoding="utf-8"?>
<comments xmlns="http://schemas.openxmlformats.org/spreadsheetml/2006/main">
  <authors>
    <author>User</author>
  </authors>
  <commentList>
    <comment ref="B78" authorId="0">
      <text>
        <r>
          <rPr>
            <sz val="10"/>
            <rFont val="Tahoma"/>
            <family val="2"/>
          </rPr>
          <t>Used in the determination of PILs</t>
        </r>
      </text>
    </comment>
  </commentList>
</comments>
</file>

<file path=xl/comments29.xml><?xml version="1.0" encoding="utf-8"?>
<comments xmlns="http://schemas.openxmlformats.org/spreadsheetml/2006/main">
  <authors>
    <author>User</author>
  </authors>
  <commentList>
    <comment ref="B78" authorId="0">
      <text>
        <r>
          <rPr>
            <sz val="10"/>
            <rFont val="Tahoma"/>
            <family val="2"/>
          </rPr>
          <t>Used in the determination of PILs</t>
        </r>
      </text>
    </comment>
  </commentList>
</comments>
</file>

<file path=xl/comments31.xml><?xml version="1.0" encoding="utf-8"?>
<comments xmlns="http://schemas.openxmlformats.org/spreadsheetml/2006/main">
  <authors>
    <author>Patti Eitel</author>
  </authors>
  <commentList>
    <comment ref="H12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2.5 apprentices</t>
        </r>
      </text>
    </comment>
    <comment ref="H25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3 apprentices</t>
        </r>
      </text>
    </comment>
  </commentList>
</comments>
</file>

<file path=xl/comments32.xml><?xml version="1.0" encoding="utf-8"?>
<comments xmlns="http://schemas.openxmlformats.org/spreadsheetml/2006/main">
  <authors>
    <author>User</author>
  </authors>
  <commentList>
    <comment ref="C15" authorId="0">
      <text>
        <r>
          <rPr>
            <sz val="8"/>
            <rFont val="Tahoma"/>
            <family val="2"/>
          </rPr>
          <t>This is the portion of the SSS Admin cost ($0.25 on each invoice) that is calculated as a revenue offset</t>
        </r>
      </text>
    </comment>
  </commentList>
</comments>
</file>

<file path=xl/comments6.xml><?xml version="1.0" encoding="utf-8"?>
<comments xmlns="http://schemas.openxmlformats.org/spreadsheetml/2006/main">
  <authors>
    <author>Patti Eitel</author>
  </authors>
  <commentList>
    <comment ref="J8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1/2 year rule applied.</t>
        </r>
      </text>
    </comment>
  </commentList>
</comments>
</file>

<file path=xl/comments7.xml><?xml version="1.0" encoding="utf-8"?>
<comments xmlns="http://schemas.openxmlformats.org/spreadsheetml/2006/main">
  <authors>
    <author>Patti Eitel</author>
  </authors>
  <commentList>
    <comment ref="J8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1/2 year rule applied to current year additions</t>
        </r>
      </text>
    </comment>
  </commentList>
</comments>
</file>

<file path=xl/comments8.xml><?xml version="1.0" encoding="utf-8"?>
<comments xmlns="http://schemas.openxmlformats.org/spreadsheetml/2006/main">
  <authors>
    <author>Patti Eitel</author>
  </authors>
  <commentList>
    <comment ref="L389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estimated @ 28.25%</t>
        </r>
      </text>
    </comment>
    <comment ref="N389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estimated @ 28.25%</t>
        </r>
      </text>
    </comment>
  </commentList>
</comments>
</file>

<file path=xl/sharedStrings.xml><?xml version="1.0" encoding="utf-8"?>
<sst xmlns="http://schemas.openxmlformats.org/spreadsheetml/2006/main" count="2070" uniqueCount="945">
  <si>
    <t>NS</t>
  </si>
  <si>
    <t>CS</t>
  </si>
  <si>
    <t>Mtaint Dist Stn Equip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</si>
  <si>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</si>
  <si>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</si>
  <si>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</si>
  <si>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</si>
  <si>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Street Lighting and Signal Systems</t>
  </si>
  <si>
    <t>Sentinel Lights - Labour</t>
  </si>
  <si>
    <t>Sentinel Lights - Materials and Expenses</t>
  </si>
  <si>
    <t>Maintenance of Meters</t>
  </si>
  <si>
    <t>Customer Installations Expenses - Leased Property</t>
  </si>
  <si>
    <t>Maintenance of Other Installations on Customer Premises</t>
  </si>
  <si>
    <t>Purchase of Transmission and System Services</t>
  </si>
  <si>
    <t>Transmission Charges</t>
  </si>
  <si>
    <t>Transmission Charges Recovered</t>
  </si>
  <si>
    <t>Meter Reading Expense</t>
  </si>
  <si>
    <t>Customer Billing</t>
  </si>
  <si>
    <t>Collecting - Cash Over and Short</t>
  </si>
  <si>
    <t>Collection Charges</t>
  </si>
  <si>
    <t>Bad Debt Expense</t>
  </si>
  <si>
    <t>Miscellaneous Customer Accounts Expenses</t>
  </si>
  <si>
    <t>Community Relations - Sundry</t>
  </si>
  <si>
    <t>Energy Conservation</t>
  </si>
  <si>
    <t>Community Safety Program</t>
  </si>
  <si>
    <t>Miscellaneous Customer Service and Informational Expenses</t>
  </si>
  <si>
    <t>Demonstrating and Selling Expense</t>
  </si>
  <si>
    <t>Advertising Expense</t>
  </si>
  <si>
    <t>Miscellaneous Sales Expense</t>
  </si>
  <si>
    <t>Executive Salaries and Expenses</t>
  </si>
  <si>
    <t>Management Salaries and Expenses</t>
  </si>
  <si>
    <t>General Administrative Salaries and Expenses</t>
  </si>
  <si>
    <t>Office Supplies and Expenses</t>
  </si>
  <si>
    <t>Administrative Expense Transferred-Credit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</si>
  <si>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</si>
  <si>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</si>
  <si>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</si>
  <si>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</si>
  <si>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</si>
  <si>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Expenses</t>
  </si>
  <si>
    <t>General Advertising Expenses</t>
  </si>
  <si>
    <t>Miscellaneous Expenses</t>
  </si>
  <si>
    <t xml:space="preserve">Rent  </t>
  </si>
  <si>
    <t>Maintenance of General Plant</t>
  </si>
  <si>
    <t>Electrical Safety Authority Fees</t>
  </si>
  <si>
    <t>Independent Market Operator Fees and Penalties</t>
  </si>
  <si>
    <t>Amortization Expense - Property, Plant and Equipment</t>
  </si>
  <si>
    <t>Amortization of Limited Term Electric Plant</t>
  </si>
  <si>
    <t>Amortization of Intangibles and Other Electric Plant</t>
  </si>
  <si>
    <t>Amortization of Electric Plant Acquisition Adjustments</t>
  </si>
  <si>
    <t>Miscellaneous Amortization</t>
  </si>
  <si>
    <t>Amortization of Unrecovered Plant and Regulatory Study Costs</t>
  </si>
  <si>
    <t>Amortization of Deferred Development Costs</t>
  </si>
  <si>
    <t>Amortization of Deferred Charges</t>
  </si>
  <si>
    <t>Interest on Long Term Debt</t>
  </si>
  <si>
    <t>Amortization of Debt Discount and Expense</t>
  </si>
  <si>
    <t>Amortization of Premium on Debt-Credit</t>
  </si>
  <si>
    <t>Amortization of Loss on Reacquired Debt</t>
  </si>
  <si>
    <t>Amortization of Gain on Reacquired Debt-Credit</t>
  </si>
  <si>
    <t>Interest on Debt to Associated Companies</t>
  </si>
  <si>
    <t>Other Interest Expense</t>
  </si>
  <si>
    <t>Allowance for Borrowed Funds Used During Construction-Credit</t>
  </si>
  <si>
    <t>Allowance for Other Funds Used During Construction</t>
  </si>
  <si>
    <t>Interest Expense on Capital Lease Obligations</t>
  </si>
  <si>
    <t>Taxes Other Than Income Taxes</t>
  </si>
  <si>
    <t>Income Taxes</t>
  </si>
  <si>
    <t>Provision for Future Income Taxes</t>
  </si>
  <si>
    <t>Life Insurance</t>
  </si>
  <si>
    <t>Penalties</t>
  </si>
  <si>
    <t>Extraordinary Income</t>
  </si>
  <si>
    <t>Extraordinary Deductions</t>
  </si>
  <si>
    <t>Income Taxes, Extraordinary Items</t>
  </si>
  <si>
    <t>TOTALS</t>
  </si>
  <si>
    <t>Other</t>
  </si>
  <si>
    <t>3050-Revenues From Services - Distirbution Total</t>
  </si>
  <si>
    <t>3100-Other Operating Revenues</t>
  </si>
  <si>
    <t>3800-Administrative and General Expenses Total</t>
  </si>
  <si>
    <t>3850-Amortization Expense</t>
  </si>
  <si>
    <t>3850-Amortization Expense Total</t>
  </si>
  <si>
    <t>3900-Interest Expense</t>
  </si>
  <si>
    <t>1450-Distribution Plant Total</t>
  </si>
  <si>
    <t>1500-General Plant</t>
  </si>
  <si>
    <t>WORKING CAPITAL ALLOWANCE FOR 2006</t>
  </si>
  <si>
    <t>3150-Other Income &amp; Deductions Total</t>
  </si>
  <si>
    <t>3200-Investment Income</t>
  </si>
  <si>
    <t>3200-Investment Income Total</t>
  </si>
  <si>
    <t>3350-Power Supply Expenses</t>
  </si>
  <si>
    <t>3100-Other Operating Revenues Total</t>
  </si>
  <si>
    <t>3150-Other Income &amp; Deductions</t>
  </si>
  <si>
    <t>3550-Distribution Expenses - Maintenance Total</t>
  </si>
  <si>
    <t>3650-Billing and Collecting</t>
  </si>
  <si>
    <t>Utility Only Opening Balance</t>
  </si>
  <si>
    <t xml:space="preserve"> Balance for Bridge Year </t>
  </si>
  <si>
    <t xml:space="preserve"> Balance for Test Year </t>
  </si>
  <si>
    <t>Y</t>
  </si>
  <si>
    <t xml:space="preserve">Amount to be used in Year </t>
  </si>
  <si>
    <t>Application of  Loss Carry Forward to reduce taxable income in Year</t>
  </si>
  <si>
    <t>Balance available  in Year</t>
  </si>
  <si>
    <t>Balance available for use next Year</t>
  </si>
  <si>
    <t>3650-Billing and Collecting Total</t>
  </si>
  <si>
    <t>3700-Community Relations</t>
  </si>
  <si>
    <t>3700-Community Relations Total</t>
  </si>
  <si>
    <t>3800-Administrative and General Expenses</t>
  </si>
  <si>
    <t>1100-Inventory Total</t>
  </si>
  <si>
    <t>1150-Non-Current Assets</t>
  </si>
  <si>
    <t>1150-Non-Current Assets Total</t>
  </si>
  <si>
    <t>1200-Other Assets and Deferred Charges</t>
  </si>
  <si>
    <t>Current Assets</t>
  </si>
  <si>
    <t>Inventory</t>
  </si>
  <si>
    <t>Other Assets and Deferred Charges</t>
  </si>
  <si>
    <t>Non-Current Assets</t>
  </si>
  <si>
    <t>Fixed Assets</t>
  </si>
  <si>
    <t>Other Capital Assets</t>
  </si>
  <si>
    <t>Accumulated Amortization</t>
  </si>
  <si>
    <t>Current Liabilities</t>
  </si>
  <si>
    <t>Non-Current Liabilities</t>
  </si>
  <si>
    <t>Other Liabilities and Deferred Credits</t>
  </si>
  <si>
    <t>Shareholders' Equity</t>
  </si>
  <si>
    <t>Sales of Electricity</t>
  </si>
  <si>
    <t>Revenues From Services - Distribution</t>
  </si>
  <si>
    <t>Other Operating Revenues</t>
  </si>
  <si>
    <t>Other Income/ Deductions</t>
  </si>
  <si>
    <t>Investment Income</t>
  </si>
  <si>
    <t>Other Power Supply Expenses</t>
  </si>
  <si>
    <t>Other Expenses</t>
  </si>
  <si>
    <t>Sales Expenses</t>
  </si>
  <si>
    <t>Interest Expense</t>
  </si>
  <si>
    <t>Amortization Expense</t>
  </si>
  <si>
    <t>Taxes</t>
  </si>
  <si>
    <t>Extraordinary Items</t>
  </si>
  <si>
    <t>Other Accounts</t>
  </si>
  <si>
    <t>Cost of Power Adjustments</t>
  </si>
  <si>
    <t>System Control and Load Dispatching</t>
  </si>
  <si>
    <t>Competition Transition Expense</t>
  </si>
  <si>
    <t>Rural Rate Assistance Expense</t>
  </si>
  <si>
    <t>PILs and Tax Variance for 2006 &amp; Subsequent Years</t>
  </si>
  <si>
    <t>Billed WMS-One Time</t>
  </si>
  <si>
    <t>Maintenance of Transformer Station Equipment</t>
  </si>
  <si>
    <t>OM&amp;A Contra Account</t>
  </si>
  <si>
    <t>Fixed Assets Opening Balance 2006</t>
  </si>
  <si>
    <t>Fixed Assets Closing Balance 2006</t>
  </si>
  <si>
    <t>4080</t>
  </si>
  <si>
    <t>3000-Sales of Electricity</t>
  </si>
  <si>
    <t>3000-Sales of Electricity Total</t>
  </si>
  <si>
    <t>3050-Revenues From Services - Distirbution</t>
  </si>
  <si>
    <t>1500-General Plant Total</t>
  </si>
  <si>
    <t>1550-Other Capital Assets</t>
  </si>
  <si>
    <t>1550-Other Capital Assets Total</t>
  </si>
  <si>
    <t>1600-Accumulated Amortization</t>
  </si>
  <si>
    <t>1050-Current Assets</t>
  </si>
  <si>
    <t>1050-Current Assets Total</t>
  </si>
  <si>
    <t>1100-Inventory</t>
  </si>
  <si>
    <t>1600-Accumulated Amortization Total</t>
  </si>
  <si>
    <t>1650-Current Liabilities</t>
  </si>
  <si>
    <t>Total</t>
  </si>
  <si>
    <t>1200-Other Assets and Deferred Charges Total</t>
  </si>
  <si>
    <t>1450-Distribution Plant</t>
  </si>
  <si>
    <t>1700-Non-Current Liabilities Total</t>
  </si>
  <si>
    <t>1800-Long-Term Debt</t>
  </si>
  <si>
    <t>1800-Long-Term Debt Total</t>
  </si>
  <si>
    <t>1850-Shareholders' Equity</t>
  </si>
  <si>
    <t>Distribution Expenses - Operation</t>
  </si>
  <si>
    <t>2007 BALANCE SHEET</t>
  </si>
  <si>
    <t>2007 STATEMENT OF INCOME AND RETAINED EARNINGS</t>
  </si>
  <si>
    <t>2007</t>
  </si>
  <si>
    <t>2008</t>
  </si>
  <si>
    <t>2008 STATEMENT OF INCOME AND RETAINED EARNINGS</t>
  </si>
  <si>
    <t>2008 BALANCE SHEET</t>
  </si>
  <si>
    <t>Total Interest Cost for 2009</t>
  </si>
  <si>
    <t>Weighted Debt Cost Rate for 2009</t>
  </si>
  <si>
    <t>RATE BASE CALCULATION FOR 2006</t>
  </si>
  <si>
    <t>Return</t>
  </si>
  <si>
    <t>Rate of Return</t>
  </si>
  <si>
    <t>2006 BALANCE SHEET</t>
  </si>
  <si>
    <t>2006 STATEMENT OF INCOME AND RETAINED EARNINGS</t>
  </si>
  <si>
    <t>Rate%</t>
  </si>
  <si>
    <t>Year Applied to</t>
  </si>
  <si>
    <t>Return On Equity</t>
  </si>
  <si>
    <t>Rate</t>
  </si>
  <si>
    <t>Long-Term Debt</t>
  </si>
  <si>
    <t>Short-Tern Debt</t>
  </si>
  <si>
    <t>Regulated Rate of Return</t>
  </si>
  <si>
    <t>Deemed Portion</t>
  </si>
  <si>
    <t>Effective Rate</t>
  </si>
  <si>
    <t>Description</t>
  </si>
  <si>
    <t>WORKING CAPITAL ALLOWANCE FOR 2007</t>
  </si>
  <si>
    <t>Distribution Expenses</t>
  </si>
  <si>
    <t>$</t>
  </si>
  <si>
    <t>Total Eligible Distribution Expenses</t>
  </si>
  <si>
    <t>Working Capital Allowance</t>
  </si>
  <si>
    <t>Total Rate Base</t>
  </si>
  <si>
    <t>Regulated Return On Capital</t>
  </si>
  <si>
    <t>Deemed Interest Expense</t>
  </si>
  <si>
    <t>Deemed Return on Equity</t>
  </si>
  <si>
    <t>Distribution Expenses - Maintenance</t>
  </si>
  <si>
    <t>Billing and Collecting</t>
  </si>
  <si>
    <t>Community Relations</t>
  </si>
  <si>
    <t>Administrative and General Expenses</t>
  </si>
  <si>
    <t>Taxes Other than Income Taxes</t>
  </si>
  <si>
    <t>Power Supply Expenses</t>
  </si>
  <si>
    <t>As at December 31, 2007</t>
  </si>
  <si>
    <t>2009</t>
  </si>
  <si>
    <t>2009 BALANCE SHEET</t>
  </si>
  <si>
    <t>2009 STATEMENT OF INCOME AND RETAINED EARNINGS</t>
  </si>
  <si>
    <t>WORKING CAPITAL ALLOWANCE FOR 2009</t>
  </si>
  <si>
    <t>RATE BASE CALCULATION FOR 2009</t>
  </si>
  <si>
    <t>Fixed Assets Opening Balance 2009</t>
  </si>
  <si>
    <t>Fixed Assets Closing Balance 2009</t>
  </si>
  <si>
    <t>Total Working Capital Expenses</t>
  </si>
  <si>
    <t>Working Capital Allowance rate of 15%</t>
  </si>
  <si>
    <t>RATE BASE CALCULATION FOR 2007</t>
  </si>
  <si>
    <t>Fixed Assets Opening Balance 2007</t>
  </si>
  <si>
    <t>Fixed Assets Opening Balance 2008</t>
  </si>
  <si>
    <t>Fixed Assets Closing Balance 2007</t>
  </si>
  <si>
    <t>Average Fixed Asset Balance for 2007</t>
  </si>
  <si>
    <t xml:space="preserve">Rate Base  </t>
  </si>
  <si>
    <t>Regulated Return on Capital</t>
  </si>
  <si>
    <t>WORKING CAPITAL ALLOWANCE FOR 2008</t>
  </si>
  <si>
    <t>CCA Class</t>
  </si>
  <si>
    <t>N/A</t>
  </si>
  <si>
    <t>Storage Battery Equipment</t>
  </si>
  <si>
    <t>Other Deductions</t>
  </si>
  <si>
    <t>Name of Applicant:</t>
  </si>
  <si>
    <t>File Number</t>
  </si>
  <si>
    <t>Fixed Asset Continuity Schedule (Distribution &amp; Operations)</t>
  </si>
  <si>
    <t>Contact:</t>
  </si>
  <si>
    <t>License Number</t>
  </si>
  <si>
    <t>Date of Application:</t>
  </si>
  <si>
    <t>Total Interest Cost for 2006</t>
  </si>
  <si>
    <t>Weighted Debt Cost Rate for 2006</t>
  </si>
  <si>
    <t>Debt &amp; Capital Cost Structure</t>
  </si>
  <si>
    <t>Average Fixed Asset Balance for 2006</t>
  </si>
  <si>
    <t>Opening Balance</t>
  </si>
  <si>
    <t>Closing Balance</t>
  </si>
  <si>
    <t>Net Book Value</t>
  </si>
  <si>
    <t>Total before Work in Process</t>
  </si>
  <si>
    <t>Total after Work in Process</t>
  </si>
  <si>
    <t>Rates of Return, Working Capital Allowance &amp; Rate Base Calculations</t>
  </si>
  <si>
    <t>Corporate Tax Rates</t>
  </si>
  <si>
    <t xml:space="preserve">    Revenue Deficiency</t>
  </si>
  <si>
    <t xml:space="preserve">    Distribution Revenue </t>
  </si>
  <si>
    <t xml:space="preserve">    Other Operating Revenue (Net) </t>
  </si>
  <si>
    <t xml:space="preserve">    Operation &amp; Maintenance  </t>
  </si>
  <si>
    <t xml:space="preserve">    Depreciation &amp; Amortization  </t>
  </si>
  <si>
    <t xml:space="preserve">    Property Taxes</t>
  </si>
  <si>
    <t xml:space="preserve">    Capital Taxes  </t>
  </si>
  <si>
    <t xml:space="preserve">    Deemed Interest</t>
  </si>
  <si>
    <t xml:space="preserve">    Corporate Income Taxes</t>
  </si>
  <si>
    <t xml:space="preserve">    Total Rate Base</t>
  </si>
  <si>
    <t xml:space="preserve">    Exemption</t>
  </si>
  <si>
    <t xml:space="preserve">    Deemed Taxable Capital</t>
  </si>
  <si>
    <t xml:space="preserve">    Ontario Capital Tax</t>
  </si>
  <si>
    <t xml:space="preserve">    Accounting Income</t>
  </si>
  <si>
    <t xml:space="preserve">    Tax Adjustments to Accounting Income</t>
  </si>
  <si>
    <t xml:space="preserve">    Rate Base</t>
  </si>
  <si>
    <t xml:space="preserve">    Interest Expense</t>
  </si>
  <si>
    <t xml:space="preserve">    Net Income</t>
  </si>
  <si>
    <t xml:space="preserve">    Return on Debt (Weighted)</t>
  </si>
  <si>
    <t xml:space="preserve">    Return on Equity</t>
  </si>
  <si>
    <t xml:space="preserve">    Deemed Interest Expense</t>
  </si>
  <si>
    <t xml:space="preserve">    Return On Equity</t>
  </si>
  <si>
    <t xml:space="preserve">    Less OCT Included Above</t>
  </si>
  <si>
    <t>RATE BASE CALCULATION FOR 2008</t>
  </si>
  <si>
    <t>Fixed Assets Closing Balance 2008</t>
  </si>
  <si>
    <t>Average Fixed Asset Balance for 2008</t>
  </si>
  <si>
    <t>Total Assets</t>
  </si>
  <si>
    <t>As at December 31, 2006</t>
  </si>
  <si>
    <t>Accumulated Depreciation</t>
  </si>
  <si>
    <t>Balance</t>
  </si>
  <si>
    <t>Work in Process</t>
  </si>
  <si>
    <t>Less:  Fully Allocated Depreciation</t>
  </si>
  <si>
    <t>Transportation</t>
  </si>
  <si>
    <t>Net Depreciation</t>
  </si>
  <si>
    <t>Balance Sheet Total</t>
  </si>
  <si>
    <t>Total Liabilities &amp; Shareholder's Equity</t>
  </si>
  <si>
    <t>Total Interest Cost for 2007</t>
  </si>
  <si>
    <t>Weighted Debt Cost Rate for 2007</t>
  </si>
  <si>
    <t>Weighted Debt Cost Rate for 2008</t>
  </si>
  <si>
    <t>Tax Exhibit</t>
  </si>
  <si>
    <t>Tax Rate</t>
  </si>
  <si>
    <t>Deemed Utility Income</t>
  </si>
  <si>
    <t>Taxable Income prior to adjusting revenue to PILs</t>
  </si>
  <si>
    <t>Grossed up PILs</t>
  </si>
  <si>
    <t>Total PILs before gross up</t>
  </si>
  <si>
    <t>Total Interest Cost for 2008</t>
  </si>
  <si>
    <t>Non-deductible life insurance premiums</t>
  </si>
  <si>
    <t>Non-deductible company pension plans</t>
  </si>
  <si>
    <t>Reserves from financial statements- balance at end of year</t>
  </si>
  <si>
    <t>Soft costs on construction and renovation of buildings</t>
  </si>
  <si>
    <t>Buildings (No footings below ground)</t>
  </si>
  <si>
    <t>Computers &amp; Systems Hardware acq'd post Mar 19/07</t>
  </si>
  <si>
    <t>Computers &amp; Systems Hardware acq'd post Mar 22/04</t>
  </si>
  <si>
    <t>Book loss on joint ventures or partnerships</t>
  </si>
  <si>
    <t>Capital items expensed</t>
  </si>
  <si>
    <t>Debt issue expense</t>
  </si>
  <si>
    <t>Development expenses claimed in current year</t>
  </si>
  <si>
    <t>Financing fees deducted in books</t>
  </si>
  <si>
    <t>Gain on settlement of debt</t>
  </si>
  <si>
    <t>Non-deductible advertising</t>
  </si>
  <si>
    <t>Non-deductible interest</t>
  </si>
  <si>
    <t>Non-deductible legal and accounting fees</t>
  </si>
  <si>
    <t>Recapture of SR&amp;ED expenditures</t>
  </si>
  <si>
    <t>Share issue expense</t>
  </si>
  <si>
    <t>Write down of capital property</t>
  </si>
  <si>
    <t>Amounts received in respect of qualifying environment trust per paragraphs 12(1)(z.1) and 12(1)(z.2)</t>
  </si>
  <si>
    <t>Interest Expensed on Capital Leases</t>
  </si>
  <si>
    <t>Reveneue Requirement Rebasing Model</t>
  </si>
  <si>
    <t>Realized Income from Deferred Credit Accounts</t>
  </si>
  <si>
    <t>Pensions</t>
  </si>
  <si>
    <t>Non-deductible penalties</t>
  </si>
  <si>
    <t>Debt Financing Expenses for Book Purposes</t>
  </si>
  <si>
    <t>Total Additions</t>
  </si>
  <si>
    <t>Deductions:</t>
  </si>
  <si>
    <t>Gain on disposal of assets per financial statements</t>
  </si>
  <si>
    <t>Dividends not taxable under section 83</t>
  </si>
  <si>
    <t>Capital cost allowance from Schedule 8</t>
  </si>
  <si>
    <t>Terminal loss from Schedule 8</t>
  </si>
  <si>
    <t>Cumulative eligible capital deduction from Schedule 10</t>
  </si>
  <si>
    <t>Allowable business investment loss</t>
  </si>
  <si>
    <t>Scientific research expenses claimed in year</t>
  </si>
  <si>
    <t>Reserves from financial statements - balance at beginning of year</t>
  </si>
  <si>
    <t>Contributions to deferred income plans</t>
  </si>
  <si>
    <t>Book income of joint venture or partnership</t>
  </si>
  <si>
    <t>Equity in income from subsidiary or affiliates</t>
  </si>
  <si>
    <t>Interest capitalized for accounting deducted for tax</t>
  </si>
  <si>
    <t>Capital Lease Payments</t>
  </si>
  <si>
    <t xml:space="preserve">Non-taxable imputed interest income on deferral and variance accounts </t>
  </si>
  <si>
    <t>Financing Fees for Tax Under S.20(1)(e)</t>
  </si>
  <si>
    <t>Total Deductions</t>
  </si>
  <si>
    <t>Charitable donations from Schedule 2</t>
  </si>
  <si>
    <t>Limited partnership losses of preceding taxation years from Schedule 4</t>
  </si>
  <si>
    <t>Line Item</t>
  </si>
  <si>
    <t>Additions</t>
  </si>
  <si>
    <t>Disposals</t>
  </si>
  <si>
    <t>Cumulative Eligible Capital</t>
  </si>
  <si>
    <t>Other Adjustments</t>
  </si>
  <si>
    <t>Subtotal</t>
  </si>
  <si>
    <t>x 3/4 =</t>
  </si>
  <si>
    <t>x 1/2 =</t>
  </si>
  <si>
    <t>Amount transferred on amalgamation or wind-up of subsidiary</t>
  </si>
  <si>
    <t>Cumulative Eligible Capital Balance</t>
  </si>
  <si>
    <t>CEC Deduction</t>
  </si>
  <si>
    <t>Eliminate Amounts Not Relevant for Test Year
Sign Convention:
Increase (+) Decrease (-)</t>
  </si>
  <si>
    <t>Disallowed Expenses</t>
  </si>
  <si>
    <t>Capital Gains Reserves ss.40(1)</t>
  </si>
  <si>
    <t>Tax Reserves Not Deducted for accounting purposes</t>
  </si>
  <si>
    <t>Reserve for doubtful accounts ss. 20(1)(l)</t>
  </si>
  <si>
    <t>Reserve for goods and services not delivered ss. 20(1)(m)</t>
  </si>
  <si>
    <t>Reserve for unpaid amounts ss. 20(1)(n)</t>
  </si>
  <si>
    <t>Debt &amp; Share Issue Expenses ss. 20(1)(e)</t>
  </si>
  <si>
    <t>Other tax reserves</t>
  </si>
  <si>
    <t>General Reserve for Inventory Obsolescence (non-specific)</t>
  </si>
  <si>
    <t>General reserve for bad debts</t>
  </si>
  <si>
    <t>Accrued Employee Future Benefits:</t>
  </si>
  <si>
    <t>- Medical and Life Insurance</t>
  </si>
  <si>
    <t>-Short &amp; Long-term Disability</t>
  </si>
  <si>
    <t>- Termination Cost</t>
  </si>
  <si>
    <t>- Other Post-Employment Benefits</t>
  </si>
  <si>
    <t>Provision for Environmental Costs</t>
  </si>
  <si>
    <t>Restructuring Costs</t>
  </si>
  <si>
    <t>Accrued Contingent Litigation Costs</t>
  </si>
  <si>
    <t>Accrued Self-Insurance Costs</t>
  </si>
  <si>
    <t>Other Contingent Liabilities</t>
  </si>
  <si>
    <t>Bonuses Accrued and Not Paid Within 180 Days of Year-End ss. 78(4)</t>
  </si>
  <si>
    <t>Unpaid Amounts to Related Person and Not Paid Within 3 Taxation Years ss. 78(1)</t>
  </si>
  <si>
    <t>Tax reserves beginning of year</t>
  </si>
  <si>
    <t>Tax reserves end of year</t>
  </si>
  <si>
    <t>Non-Capital Loss Carry Forward Deduction</t>
  </si>
  <si>
    <t>Non-capital losses of preceding taxation years from Schedule 7-1</t>
  </si>
  <si>
    <t>Net-capital losses of preceding taxation years from Schedule 7-1</t>
  </si>
  <si>
    <t>OCT</t>
  </si>
  <si>
    <t>LCT</t>
  </si>
  <si>
    <t>Exemption</t>
  </si>
  <si>
    <t>Deemed Taxable Capital</t>
  </si>
  <si>
    <t>Gross Tax Payable</t>
  </si>
  <si>
    <t>Surtax</t>
  </si>
  <si>
    <t>Total Income Taxes</t>
  </si>
  <si>
    <t>Investment Tax Credits</t>
  </si>
  <si>
    <t>Combined Income Tax Rate</t>
  </si>
  <si>
    <t>Tax
Payable</t>
  </si>
  <si>
    <t>Total PILs</t>
  </si>
  <si>
    <t>Source
or Input</t>
  </si>
  <si>
    <t>Cumulative Eligible Capital - Closing Balance</t>
  </si>
  <si>
    <t>Cost of Eligible Capital Property Acquired during the year</t>
  </si>
  <si>
    <t>Utility
Amount</t>
  </si>
  <si>
    <t>Non-taxable portion of a non-arm's length transferor's gain realized on the transfer of an ECP to the Corporation after Friday December 31, 2002</t>
  </si>
  <si>
    <t>Cumulative Eligible Capital Calculation</t>
  </si>
  <si>
    <t>Projected proceeds of sale (less outlays and expenses not otherwise deductible) from the disposition of all ECP during the year</t>
  </si>
  <si>
    <t>Balance at December 31, Acutal Year as per tax returns</t>
  </si>
  <si>
    <t>Non-Distribution Eliminations</t>
  </si>
  <si>
    <t>Adjusted Utility Balance</t>
  </si>
  <si>
    <t>Change During the Year</t>
  </si>
  <si>
    <t>Financial Statement Reserves (not deductible for Tax Purposes)</t>
  </si>
  <si>
    <t xml:space="preserve"> -Accmulated Sick Leave</t>
  </si>
  <si>
    <t xml:space="preserve">Total </t>
  </si>
  <si>
    <r>
      <t xml:space="preserve">Non-Distribution Portion </t>
    </r>
    <r>
      <rPr>
        <b/>
        <vertAlign val="superscript"/>
        <sz val="9"/>
        <color indexed="10"/>
        <rFont val="Arial"/>
        <family val="2"/>
      </rPr>
      <t>1</t>
    </r>
  </si>
  <si>
    <t>Utility Balance</t>
  </si>
  <si>
    <t xml:space="preserve">Actual/Estimated </t>
  </si>
  <si>
    <t>Other Adjustments Add (+) Deduct (-)</t>
  </si>
  <si>
    <t>CORPORATION LOSS CONTINUITY</t>
  </si>
  <si>
    <r>
      <t xml:space="preserve">Taxable dividends deductible under section 112 or 113, from Schedule 3 </t>
    </r>
    <r>
      <rPr>
        <sz val="10"/>
        <color indexed="10"/>
        <rFont val="Arial"/>
        <family val="2"/>
      </rPr>
      <t>(item 82)</t>
    </r>
  </si>
  <si>
    <t>Taxable Income</t>
  </si>
  <si>
    <t>OM&amp;A Expenses</t>
  </si>
  <si>
    <t>Amortization Expenses</t>
  </si>
  <si>
    <t>Total Distribution Expenses</t>
  </si>
  <si>
    <t>ProjAmt</t>
  </si>
  <si>
    <t>OffsetPct</t>
  </si>
  <si>
    <t>OffsetAmt</t>
  </si>
  <si>
    <t>Revenue Offset Schedule</t>
  </si>
  <si>
    <t>Total Revenue Offsets</t>
  </si>
  <si>
    <r>
      <t>Less:</t>
    </r>
    <r>
      <rPr>
        <sz val="10"/>
        <rFont val="Arial"/>
        <family val="2"/>
      </rPr>
      <t xml:space="preserve"> Revenue Offsets</t>
    </r>
  </si>
  <si>
    <r>
      <t>Less:</t>
    </r>
    <r>
      <rPr>
        <sz val="10"/>
        <rFont val="Arial"/>
        <family val="2"/>
      </rPr>
      <t xml:space="preserve"> Capital Taxes within 6105</t>
    </r>
  </si>
  <si>
    <t>Revenue Deficiency Determination</t>
  </si>
  <si>
    <t>Revenue</t>
  </si>
  <si>
    <t xml:space="preserve">Total Revenue </t>
  </si>
  <si>
    <t>Costs and Expenses</t>
  </si>
  <si>
    <t xml:space="preserve">Total Costs and Expenses  </t>
  </si>
  <si>
    <t>Total Costs and Expenses Net of OCT</t>
  </si>
  <si>
    <t xml:space="preserve">Utility Income Before Income Taxes  </t>
  </si>
  <si>
    <t>Income Taxes:</t>
  </si>
  <si>
    <t xml:space="preserve">Utility Net Income  </t>
  </si>
  <si>
    <t>Capital Tax Expense Calculation:</t>
  </si>
  <si>
    <t>Income Tax Expense Calculation:</t>
  </si>
  <si>
    <t>Accounting Income</t>
  </si>
  <si>
    <t>Tax Adjustments to Accounting Income</t>
  </si>
  <si>
    <t>Income Tax Expense</t>
  </si>
  <si>
    <t>Actual Return on Rate Base:</t>
  </si>
  <si>
    <t>Total Actual Return on Rate Base</t>
  </si>
  <si>
    <t>Actual Return on Rate Base</t>
  </si>
  <si>
    <t>Required Return on Rate Base:</t>
  </si>
  <si>
    <t>Return Rates:</t>
  </si>
  <si>
    <t>Total Return</t>
  </si>
  <si>
    <t>Expected Return on Rate Base</t>
  </si>
  <si>
    <t xml:space="preserve">Revenue Deficiency After Tax </t>
  </si>
  <si>
    <t xml:space="preserve">Revenue Deficiency Before Tax </t>
  </si>
  <si>
    <t>Weighted Debt Rate</t>
  </si>
  <si>
    <t>Other Adjustments to Taxable Income</t>
  </si>
  <si>
    <t>Tax Adj to Accounting Income</t>
  </si>
  <si>
    <t>PILs Rates</t>
  </si>
  <si>
    <t>Tax Payable</t>
  </si>
  <si>
    <t>Net Capital Tax Payable</t>
  </si>
  <si>
    <t>PILs</t>
  </si>
  <si>
    <t>PILs including Capital Taxes</t>
  </si>
  <si>
    <t>Common Share Equity</t>
  </si>
  <si>
    <t>Long Term Debt</t>
  </si>
  <si>
    <t>Unfunded Short Term Debt</t>
  </si>
  <si>
    <t>Base Revenue Requirement</t>
  </si>
  <si>
    <t>Service Revenue Requirement</t>
  </si>
  <si>
    <t>Total Adjustments</t>
  </si>
  <si>
    <t>Weighted Debt Cost</t>
  </si>
  <si>
    <t>Debt Holder</t>
  </si>
  <si>
    <t>Affliated with LDC?</t>
  </si>
  <si>
    <t>Date of Issuance</t>
  </si>
  <si>
    <t>Principal</t>
  </si>
  <si>
    <t>Term (Years)</t>
  </si>
  <si>
    <t>Interest Cost</t>
  </si>
  <si>
    <t>% of Rate Base</t>
  </si>
  <si>
    <t>Total equity</t>
  </si>
  <si>
    <t>Federal Income Tax</t>
  </si>
  <si>
    <t>Ontario Income Tax</t>
  </si>
  <si>
    <t>Combined Income Tax</t>
  </si>
  <si>
    <t>Bridge</t>
  </si>
  <si>
    <t>Test</t>
  </si>
  <si>
    <t>Corporate Tax Rates for Tax Year:</t>
  </si>
  <si>
    <t>OCT Exemption</t>
  </si>
  <si>
    <t xml:space="preserve">    Administrative &amp; General, Billing &amp; Collecting</t>
  </si>
  <si>
    <t>Ontario Capital Tax Rate</t>
  </si>
  <si>
    <t>Large Corporation Tax Rate</t>
  </si>
  <si>
    <t>Large Corporation Tax Exemption</t>
  </si>
  <si>
    <t>Class</t>
  </si>
  <si>
    <t>Class Description</t>
  </si>
  <si>
    <t>UCC Prior Year Ending Balance</t>
  </si>
  <si>
    <t>Less: Non-Distribution Portion</t>
  </si>
  <si>
    <t>Less: Disallowed FMV Increment</t>
  </si>
  <si>
    <t>UCC Bridge Year Opening Balance</t>
  </si>
  <si>
    <t>Distribution System - 1988 to 22-Feb-2005</t>
  </si>
  <si>
    <t>Distribution System - pre 1988</t>
  </si>
  <si>
    <t>General Office/Stores Equip</t>
  </si>
  <si>
    <t>Computer Hardware/  Vehicles</t>
  </si>
  <si>
    <t>Certain Automobiles</t>
  </si>
  <si>
    <t>13 3</t>
  </si>
  <si>
    <t>Lease # 3</t>
  </si>
  <si>
    <t>13 4</t>
  </si>
  <si>
    <t>Lease # 4</t>
  </si>
  <si>
    <t>Franchise</t>
  </si>
  <si>
    <t>New Electrical Generating Equipment Acq'd after Feb 27/00 Other Than Bldgs</t>
  </si>
  <si>
    <t>Certain Energy-Efficient Electrical Generating Equipment</t>
  </si>
  <si>
    <t>Data Network Infrastructure Equipment (acq'd post Mar 22/04)</t>
  </si>
  <si>
    <t>Distribution System - post 22-Feb-2005</t>
  </si>
  <si>
    <t>SUB-TOTAL - UCC</t>
  </si>
  <si>
    <t>CEC</t>
  </si>
  <si>
    <t>Goodwill</t>
  </si>
  <si>
    <t>FMV Bump-up</t>
  </si>
  <si>
    <t>SUB-TOTAL - CEC</t>
  </si>
  <si>
    <t xml:space="preserve"> Additions</t>
  </si>
  <si>
    <t>Dispositions</t>
  </si>
  <si>
    <t>UCC Before 1/2 Yr Adjustment</t>
  </si>
  <si>
    <t>1/2 Year Rule {1/2 Additions Less Disposals}</t>
  </si>
  <si>
    <t>Reduced UCC</t>
  </si>
  <si>
    <t>Rate %</t>
  </si>
  <si>
    <t>CCA</t>
  </si>
  <si>
    <t>UCC Ending Balance</t>
  </si>
  <si>
    <t>OEB</t>
  </si>
  <si>
    <t>T2S1 line #</t>
  </si>
  <si>
    <t>Total for Legal Entity</t>
  </si>
  <si>
    <t xml:space="preserve">Non-Distribution Eliminations   </t>
  </si>
  <si>
    <t>Additions:</t>
  </si>
  <si>
    <t>Interest and penalties on taxes</t>
  </si>
  <si>
    <t>Amortization of tangible assets</t>
  </si>
  <si>
    <t>Amortization of intangible assets</t>
  </si>
  <si>
    <t>Recapture of capital cost allowance from Schedule 8</t>
  </si>
  <si>
    <t>Gain on sale of eligible capital property from Schedule 10</t>
  </si>
  <si>
    <t>Income or loss for tax purposes- joint ventures or partnerships</t>
  </si>
  <si>
    <t>Loss in equity of subsidiaries and affiliates</t>
  </si>
  <si>
    <t xml:space="preserve">Loss on disposal of assets </t>
  </si>
  <si>
    <t>Charitable donations</t>
  </si>
  <si>
    <t>Taxable Capital Gains</t>
  </si>
  <si>
    <t>Political Donations</t>
  </si>
  <si>
    <t>Deferred and prepaid expenses</t>
  </si>
  <si>
    <t>Scientific research expenditures deducted on financial statements</t>
  </si>
  <si>
    <t>Capitalized interest</t>
  </si>
  <si>
    <t>Non-deductible club dues and fees</t>
  </si>
  <si>
    <t>Non-deductible meals and entertainment expense</t>
  </si>
  <si>
    <t>Non-deductible automobile expenses</t>
  </si>
  <si>
    <t>Total Debt</t>
  </si>
  <si>
    <t>Computer Software</t>
  </si>
  <si>
    <t>1650-Current Liabilities Total</t>
  </si>
  <si>
    <t>1700-Non-Current Liabilities</t>
  </si>
  <si>
    <t>4100-Extraordinary &amp; Other Items</t>
  </si>
  <si>
    <t>4100-Extraordinary &amp; Other Items Total</t>
  </si>
  <si>
    <t>Account Description</t>
  </si>
  <si>
    <t>Leasehold Improvements</t>
  </si>
  <si>
    <t>Line Transformers</t>
  </si>
  <si>
    <t>Land</t>
  </si>
  <si>
    <t>Land Rights</t>
  </si>
  <si>
    <t>Transportation Equipment</t>
  </si>
  <si>
    <t>Stores Equipment</t>
  </si>
  <si>
    <t>Miscellaneous Equipment</t>
  </si>
  <si>
    <t>System Supervisory Equipment</t>
  </si>
  <si>
    <t>3350-Power Supply Expenses Total</t>
  </si>
  <si>
    <t>3500-Distribution Expenses - Operation</t>
  </si>
  <si>
    <t>3900-Interest Expense Total</t>
  </si>
  <si>
    <t>3950-Taxes Other Than Income Taxes</t>
  </si>
  <si>
    <t>3500-Distribution Expenses - Operation Total</t>
  </si>
  <si>
    <t>3550-Distribution Expenses - Maintenance</t>
  </si>
  <si>
    <t>3950-Taxes Other Than Income Taxes Total</t>
  </si>
  <si>
    <t>4000-Income Taxes</t>
  </si>
  <si>
    <t>4000-Income Taxes Total</t>
  </si>
  <si>
    <t>3046-Balance Transferred From Income</t>
  </si>
  <si>
    <t>1850-Shareholders' Equity Total</t>
  </si>
  <si>
    <t>Summary OEB Adjusted Trial Balance</t>
  </si>
  <si>
    <t>2006</t>
  </si>
  <si>
    <t>OEB No</t>
  </si>
  <si>
    <t>OEB Account Name</t>
  </si>
  <si>
    <t>Actual</t>
  </si>
  <si>
    <t>Cash</t>
  </si>
  <si>
    <t>Prepayments</t>
  </si>
  <si>
    <t>Accounts Receivable from Associated Companies</t>
  </si>
  <si>
    <t>Deferred PILs</t>
  </si>
  <si>
    <t>Services</t>
  </si>
  <si>
    <t>Meters</t>
  </si>
  <si>
    <t>Other Miscellaneous Non-Current Liabilities</t>
  </si>
  <si>
    <t>Other Regulatory Liabilities</t>
  </si>
  <si>
    <t>Common Shares Issued</t>
  </si>
  <si>
    <t>Commercial Energy Sales</t>
  </si>
  <si>
    <t>Industrial Energy Sales</t>
  </si>
  <si>
    <t>Energy Sales to Large Users</t>
  </si>
  <si>
    <t>Energy Sales for Resale</t>
  </si>
  <si>
    <t>Power Purchased</t>
  </si>
  <si>
    <t>Supervision</t>
  </si>
  <si>
    <t>Collecting</t>
  </si>
  <si>
    <t>Donations</t>
  </si>
  <si>
    <t>Cash Advances and Working Funds</t>
  </si>
  <si>
    <t>Interest Special Deposits</t>
  </si>
  <si>
    <t>Dividend Special Deposits</t>
  </si>
  <si>
    <t>Other Special Deposits</t>
  </si>
  <si>
    <t>Term Deposits</t>
  </si>
  <si>
    <t>Current Investments</t>
  </si>
  <si>
    <t>Customer Accounts Receivable</t>
  </si>
  <si>
    <t>Accounts Receivable - Services</t>
  </si>
  <si>
    <t>Accounts Receivable - Recoverable Work</t>
  </si>
  <si>
    <t>Accounts Receivable - Merchandise, Jobbing, etc.</t>
  </si>
  <si>
    <t>Other Accounts Receivable</t>
  </si>
  <si>
    <t>Accrued Utility Revenues</t>
  </si>
  <si>
    <t>Accumulated Provision for Uncollectable Accounts -- Credit</t>
  </si>
  <si>
    <t>Interest and Dividends Receivable</t>
  </si>
  <si>
    <t>Rents Receivable</t>
  </si>
  <si>
    <t>Notes Receivable</t>
  </si>
  <si>
    <t>Miscellaneous Current and Accrued Assets</t>
  </si>
  <si>
    <t>Notes  Receivable from Associated Companies</t>
  </si>
  <si>
    <t>Fuel Stock</t>
  </si>
  <si>
    <t>Plant Materials and Operating Supplies</t>
  </si>
  <si>
    <t>Merchandise</t>
  </si>
  <si>
    <t>Other Material and Supplies</t>
  </si>
  <si>
    <t>Long Term Investments in Non-Associated Companies</t>
  </si>
  <si>
    <t>Long Term Receivable - Street Lighting Transfer</t>
  </si>
  <si>
    <t>Other Special or Collateral Funds</t>
  </si>
  <si>
    <t>Sinking Funds</t>
  </si>
  <si>
    <t>Unamortized Debt Expense</t>
  </si>
  <si>
    <t>Unamortized Discount on Long-Term Debt--Debit</t>
  </si>
  <si>
    <t>Unamortized Deferred Foreign Currency Translation Gains and Losses</t>
  </si>
  <si>
    <t>Other Non-Current Assets</t>
  </si>
  <si>
    <t>O.M.E.R.S. Past Service Costs</t>
  </si>
  <si>
    <t>Past Service Costs - Employee Future Benefits</t>
  </si>
  <si>
    <t>Past Service Costs -Other Pension Plans</t>
  </si>
  <si>
    <t>Portfolio Investments - Associated Companies</t>
  </si>
  <si>
    <t>Investment In Subsidiary Companies - Significant Influence</t>
  </si>
  <si>
    <t>Investment in Subsidiary Companies</t>
  </si>
  <si>
    <t>Unrecovered Plant and Regulatory Study Costs</t>
  </si>
  <si>
    <t>Other Regulatory Assets</t>
  </si>
  <si>
    <t>Preliminary Survey and Investigation Charges</t>
  </si>
  <si>
    <t>Emission Allowance Inventory</t>
  </si>
  <si>
    <t>Emission Allowance Withheld</t>
  </si>
  <si>
    <t>Miscellaneous Deferred Debits</t>
  </si>
  <si>
    <t>Deferred Losses from Disposition of Utility Plant</t>
  </si>
  <si>
    <t>Development Charge Deposits/ Receivables</t>
  </si>
  <si>
    <t>RCVA - Service Transaction Request (STR)</t>
  </si>
  <si>
    <t>LV Charges - Variance</t>
  </si>
  <si>
    <t>Smart Meters Recovery</t>
  </si>
  <si>
    <t>Smart Meters OM &amp; A</t>
  </si>
  <si>
    <t>Deferred PILs - Contra</t>
  </si>
  <si>
    <t>C &amp; DM Costs</t>
  </si>
  <si>
    <t>C &amp; DM Costs Contra</t>
  </si>
  <si>
    <t>Qualifying Transition Costs</t>
  </si>
  <si>
    <t>Pre Market CofP Variance</t>
  </si>
  <si>
    <t>Deferred Rate Impact Amounts</t>
  </si>
  <si>
    <t>RSVA - Wholesale Market Services</t>
  </si>
  <si>
    <t>RSVA - One-Time</t>
  </si>
  <si>
    <t>RSVA - Network Charges</t>
  </si>
  <si>
    <t>RSVA - Connection Charges</t>
  </si>
  <si>
    <t>RSVA - Commodity (Power)</t>
  </si>
  <si>
    <t>Buildings and Fixtures</t>
  </si>
  <si>
    <t>Transformer Station Equipment - Normally Primary above 50 kV</t>
  </si>
  <si>
    <t>Distribution Station Equipment - Normally Primary below 50 kV</t>
  </si>
  <si>
    <t>Poles, Towers and Fixtures</t>
  </si>
  <si>
    <t>Overhead Conductors and Devices</t>
  </si>
  <si>
    <t>Underground Conduit</t>
  </si>
  <si>
    <t>Underground Conductors and Devices</t>
  </si>
  <si>
    <t>Other Installations on Customer's Premises</t>
  </si>
  <si>
    <t>Office Furniture and Equipment</t>
  </si>
  <si>
    <t>Computer Equipment - Hardware</t>
  </si>
  <si>
    <t>Tools, Shop and Garage Equipment</t>
  </si>
  <si>
    <t>Measurement and Testing Equipment</t>
  </si>
  <si>
    <t>Power Operated Equipment</t>
  </si>
  <si>
    <t>Communication Equipment</t>
  </si>
  <si>
    <t xml:space="preserve">Load Management Controls - Customer Premises </t>
  </si>
  <si>
    <t>Load Management Controls - Utility Premises</t>
  </si>
  <si>
    <t>Sentinel Lighting Rentals</t>
  </si>
  <si>
    <t>Other Tangible Property</t>
  </si>
  <si>
    <t>Contributions and Grants</t>
  </si>
  <si>
    <t>Property Under Capital Leases</t>
  </si>
  <si>
    <t>Electric Plant Purchased or Sold</t>
  </si>
  <si>
    <t>Experimental Electric Plant Unclassified</t>
  </si>
  <si>
    <t>Electric Plant and Equipment Leased to Others</t>
  </si>
  <si>
    <t>Electric Plant Held for Future Use</t>
  </si>
  <si>
    <t>Completed Construction Not Classified--Electric</t>
  </si>
  <si>
    <t>Construction Work in Progress--Electric</t>
  </si>
  <si>
    <t>Electric Plant Acquisition Adjustment</t>
  </si>
  <si>
    <t>Other Electric Plant Adjustment</t>
  </si>
  <si>
    <t>Other Utility Plant</t>
  </si>
  <si>
    <t>Non-Utility Property Owned or Under Capital Lease</t>
  </si>
  <si>
    <t>Accumulated Amortization of Electric Utility Plant - Property, Plant and Equipment</t>
  </si>
  <si>
    <t>Accumulated Amortization of Electric Utility Plant - Intangibles</t>
  </si>
  <si>
    <t>Accumulated Amortization of Electric Plant Acquisition Adjustment</t>
  </si>
  <si>
    <t>Accumulated Amortization of Other Utility Plant</t>
  </si>
  <si>
    <t>Accumulated Amortization of Non-Utility Property</t>
  </si>
  <si>
    <t>Accounts Payable</t>
  </si>
  <si>
    <t>Customer Credit Balances</t>
  </si>
  <si>
    <t xml:space="preserve">Current Portion of Customer Deposits </t>
  </si>
  <si>
    <t>Dividends Declared</t>
  </si>
  <si>
    <t>Miscellaneous Current and Accrued Liabilities</t>
  </si>
  <si>
    <t>Notes and Loans Payable</t>
  </si>
  <si>
    <t>Accounts Payable to Associated Companies</t>
  </si>
  <si>
    <t>Notes Payable to Associated Companies</t>
  </si>
  <si>
    <t>Transmission Charges Payable</t>
  </si>
  <si>
    <t>Electric Safety Authority Fees Payable</t>
  </si>
  <si>
    <t>Independent Market Operator Fees and Penalties Payable</t>
  </si>
  <si>
    <t>Current Portion of Long Term Debt</t>
  </si>
  <si>
    <t>Ontario Hydro Debt - Current Portion</t>
  </si>
  <si>
    <t>Pensions and Employee Benefits - Current Portion</t>
  </si>
  <si>
    <t>Accrued Interest on Long Term Debt</t>
  </si>
  <si>
    <t>Matured Long Term Debt</t>
  </si>
  <si>
    <t>Matured Interest on Long Term Debt</t>
  </si>
  <si>
    <t>Obligations Under Capital Leases--Current</t>
  </si>
  <si>
    <t>Commodity Taxes</t>
  </si>
  <si>
    <t>Payroll Deductions / Expenses Payable</t>
  </si>
  <si>
    <t>Accrual for Taxes, "Payments in Lieu" of Taxes, Etc.</t>
  </si>
  <si>
    <t>Future Income Taxes - Current</t>
  </si>
  <si>
    <t>Accumulated Provision for Injuries and Damages</t>
  </si>
  <si>
    <t>Employee Future Benefits</t>
  </si>
  <si>
    <t>Other Pensions - Past Service Liability</t>
  </si>
  <si>
    <t>Vested Sick Leave Liability</t>
  </si>
  <si>
    <t>Accumulated Provision for Rate Refunds</t>
  </si>
  <si>
    <t>Obligations Under Capital Lease--Non-Current</t>
  </si>
  <si>
    <t>Devolpment Charge Fund</t>
  </si>
  <si>
    <t>Long Term Customer Deposits</t>
  </si>
  <si>
    <t>Collateral Funds Liability</t>
  </si>
  <si>
    <t>Unamortized Premium on Long Term Debt</t>
  </si>
  <si>
    <t>O.M.E.R.S. - Past Service Liability - Long Term Portion</t>
  </si>
  <si>
    <t>Future Income Tax - Non-Current</t>
  </si>
  <si>
    <t>Deferred Gains From Disposition of Utility Plant</t>
  </si>
  <si>
    <t>Unamortized Gain on Reacquired Debt</t>
  </si>
  <si>
    <t>Other Deferred Credits</t>
  </si>
  <si>
    <t>Accrued Rate-Payer Benefit</t>
  </si>
  <si>
    <t>Debentures Outstanding - Long Term Portion</t>
  </si>
  <si>
    <t>Debenture Advances</t>
  </si>
  <si>
    <t>Required Bonds</t>
  </si>
  <si>
    <t>Other Long Term Debt</t>
  </si>
  <si>
    <t>Term Bank Loans - Long Term Portion</t>
  </si>
  <si>
    <t>Ontario Hydro Debt Outstanding - Long Term Portion</t>
  </si>
  <si>
    <t>Advances from Associated Companies</t>
  </si>
  <si>
    <t>Preference Shares Issued</t>
  </si>
  <si>
    <t>Contributed Surplus</t>
  </si>
  <si>
    <t>Donations Received</t>
  </si>
  <si>
    <t>Devolpment Charges Transferred to Equity</t>
  </si>
  <si>
    <t>Capital Stock Held in Treasury</t>
  </si>
  <si>
    <t>Miscellaneous Paid-In Capital</t>
  </si>
  <si>
    <t>Installments Received on Capital Stock</t>
  </si>
  <si>
    <t>Appropriated Retained Earnings</t>
  </si>
  <si>
    <t>Unappropriated Retained Earnings</t>
  </si>
  <si>
    <t>Balance Transferred From Income</t>
  </si>
  <si>
    <t>Appropriations of Retained Earnings - Current Period</t>
  </si>
  <si>
    <t>Dividends Payable-Preference Shares</t>
  </si>
  <si>
    <t>Dividends Payable-Common Shares</t>
  </si>
  <si>
    <t xml:space="preserve">Adjustment to Retained Earnings                 </t>
  </si>
  <si>
    <t>Unappropriated Undistributed Subsidiary Earnings</t>
  </si>
  <si>
    <t>Residential Energy Sales</t>
  </si>
  <si>
    <t>Street Lighting Energy Sales</t>
  </si>
  <si>
    <t>Sentinel Energy Sales</t>
  </si>
  <si>
    <t>General Energy Sales</t>
  </si>
  <si>
    <t>Other Energy Sales to Public Authorities</t>
  </si>
  <si>
    <t>Energy Sales to Railroads and Railways</t>
  </si>
  <si>
    <t>Revenue Adjustment</t>
  </si>
  <si>
    <t>Interdepartmental Energy Sales</t>
  </si>
  <si>
    <t>WMS</t>
  </si>
  <si>
    <t>LV Charges</t>
  </si>
  <si>
    <t>Distribution Services Revenue</t>
  </si>
  <si>
    <t>RS Rev</t>
  </si>
  <si>
    <t>Serv Tx Requests</t>
  </si>
  <si>
    <t>Electric Services Incidental to Energy Sales</t>
  </si>
  <si>
    <t>Interdepartmental Rents</t>
  </si>
  <si>
    <t>Rent from Electric Property</t>
  </si>
  <si>
    <t>Other Utility Operating Income</t>
  </si>
  <si>
    <t>Other Electric Revenues</t>
  </si>
  <si>
    <t>Late Payment Charges</t>
  </si>
  <si>
    <t>Sales of Water and Water Power</t>
  </si>
  <si>
    <t>Miscellaneous Service Revenues</t>
  </si>
  <si>
    <t>Provision for Rate Refunds</t>
  </si>
  <si>
    <t>Government Assistance Directly Credited to Income</t>
  </si>
  <si>
    <t>Regulatory Debits</t>
  </si>
  <si>
    <t>Regulatory Credits</t>
  </si>
  <si>
    <t>Revenues from Electric Plant Leased to Others</t>
  </si>
  <si>
    <t>Expenses of Electric Plant Leased to Others</t>
  </si>
  <si>
    <t>Revenues from Merchandise, Jobbing, Etc.</t>
  </si>
  <si>
    <t>Costs and Expenses of Merchandising, Jobbing, Etc</t>
  </si>
  <si>
    <t>Profits and Losses from Financial Instrument Hedges</t>
  </si>
  <si>
    <t>Profits and Losses from Financial Instrument Investments</t>
  </si>
  <si>
    <t>Gains from Disposition of Future Use Utility Plant</t>
  </si>
  <si>
    <t>Losses from Disposition of Future Use Utility Plant</t>
  </si>
  <si>
    <t>Gain on Disposition of Utility and Other Property</t>
  </si>
  <si>
    <t>Loss on Disposition of Utility and Other Property</t>
  </si>
  <si>
    <t>Gains from Disposition of Allowances for Emission</t>
  </si>
  <si>
    <t>Losses from Disposition of Allowances for Emission</t>
  </si>
  <si>
    <t>Revenues from Non-Utility Operations</t>
  </si>
  <si>
    <t>Expenses of Non-Utility Operations</t>
  </si>
  <si>
    <t>Miscellaneous Non-Operating Income</t>
  </si>
  <si>
    <t>Rate-Payer Benefit Including Interest</t>
  </si>
  <si>
    <t>Foreign Exchange Gains and Losses, Including Amortization</t>
  </si>
  <si>
    <t>Interest and Dividend Income</t>
  </si>
  <si>
    <t>Equity in Earnings of Subsidiary Companies</t>
  </si>
  <si>
    <t>NW</t>
  </si>
  <si>
    <t>NCN</t>
  </si>
  <si>
    <t>Operation Supervision and Engineering</t>
  </si>
  <si>
    <t>Load Dispatching</t>
  </si>
  <si>
    <t>Station Buildings and Fixtures Expense</t>
  </si>
  <si>
    <t>Transformer Station Equipment - Operation Labour</t>
  </si>
  <si>
    <t>Transformer Station Equipment - Operation Supplies and Expenses</t>
  </si>
  <si>
    <t>Distribution Station Equipment - Operation Labour</t>
  </si>
  <si>
    <t>Distribution Station Equipment - Operation Supplies and Expenses</t>
  </si>
  <si>
    <t>Overhead Distribution Lines and Feeders - Operation Labour</t>
  </si>
  <si>
    <t>Overhead Distribution Lines and Feeders - Operation Supplies and Expenses</t>
  </si>
  <si>
    <t>Overhead Subtransmission Feeders - Operation</t>
  </si>
  <si>
    <t>Overhead Distribution Transformers - Operation</t>
  </si>
  <si>
    <t>Underground Distribution Lines and Feeders - Operation Labour</t>
  </si>
  <si>
    <t>Underground Distribution Lines and Feeders - Operation Supplies and Expenses</t>
  </si>
  <si>
    <t>Underground Subtransmission Feeders - Operation</t>
  </si>
  <si>
    <t>Underground Distribution Transformers - Operation</t>
  </si>
  <si>
    <t>Street Lighting and Signal System Expense</t>
  </si>
  <si>
    <t>Meter Expense</t>
  </si>
  <si>
    <t>Customer Premises - Operation Labour</t>
  </si>
  <si>
    <t>Customer Premises - Materials and Expenses</t>
  </si>
  <si>
    <t>Miscellaneous Distribution Expense</t>
  </si>
  <si>
    <t>Underground Distribution Lines and Feeders - Rental Paid</t>
  </si>
  <si>
    <t>Overhead Distribution Lines and Feeders - Rental Paid</t>
  </si>
  <si>
    <t>Other Rent</t>
  </si>
  <si>
    <t>Maintenance Supervision and Engineering</t>
  </si>
  <si>
    <t>Maintenance of Structures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</si>
  <si>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</si>
  <si>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</si>
  <si>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</si>
  <si>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</si>
  <si>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Net Income - (Gain)/Loss</t>
  </si>
  <si>
    <t>Extraordinary Event Losses</t>
  </si>
  <si>
    <t>Recovery of Regulatory Assets (25% of 2002 bal.)</t>
  </si>
  <si>
    <t>2010</t>
  </si>
  <si>
    <t>As at December 31, 2008</t>
  </si>
  <si>
    <t>As at December 31, 2009</t>
  </si>
  <si>
    <t>As at December 31, 2010</t>
  </si>
  <si>
    <t>2010 BALANCE SHEET</t>
  </si>
  <si>
    <t>2010 STATEMENT OF INCOME AND RETAINED EARNINGS</t>
  </si>
  <si>
    <t>CCA Continuity Schedule (2010)</t>
  </si>
  <si>
    <t>CONTINUITY OF RESERVES FOR 2010</t>
  </si>
  <si>
    <t>Determination of Tax Adjustments to Accounting Income for 2010</t>
  </si>
  <si>
    <t>2010 Capital Taxes</t>
  </si>
  <si>
    <t>2010 PILs Schedule</t>
  </si>
  <si>
    <t>2010 Total Taxes</t>
  </si>
  <si>
    <t>10' Rev Def</t>
  </si>
  <si>
    <t>Average Fixed Asset Balance for 2009</t>
  </si>
  <si>
    <t>Average Fixed Asset Balance for 2010</t>
  </si>
  <si>
    <t>WORKING CAPITAL ALLOWANCE FOR 2010</t>
  </si>
  <si>
    <t>RATE BASE CALCULATION FOR 2010</t>
  </si>
  <si>
    <t>Fixed Assets Opening Balance 2010</t>
  </si>
  <si>
    <t>Fixed Assets Closing Balance 2010</t>
  </si>
  <si>
    <t xml:space="preserve">2006 Total Long Term Debt      </t>
  </si>
  <si>
    <t xml:space="preserve">2007 Total Long Term Debt      </t>
  </si>
  <si>
    <t xml:space="preserve">2008 Total Long Term Debt      </t>
  </si>
  <si>
    <t xml:space="preserve">2009 Total Long Term Debt      </t>
  </si>
  <si>
    <t xml:space="preserve">2010 Total Long Term Debt      </t>
  </si>
  <si>
    <t>Total Interest Cost for 2010</t>
  </si>
  <si>
    <t>Weighted Debt Cost Rate for 2010</t>
  </si>
  <si>
    <t>Deemed Capital Structure for 2006</t>
  </si>
  <si>
    <t>Deemed Capital Structure for 2007</t>
  </si>
  <si>
    <t>Deemed Capital Structure for 2008</t>
  </si>
  <si>
    <t>Deemed Capital Structure for 2009</t>
  </si>
  <si>
    <t>Deemed Capital Structure for 2010</t>
  </si>
  <si>
    <t>RCVA Retail</t>
  </si>
  <si>
    <t>Source of Info:</t>
  </si>
  <si>
    <t>2007- OEB Mapping</t>
  </si>
  <si>
    <t>MU - 2007 Fixed Assets Schedule</t>
  </si>
  <si>
    <t>N</t>
  </si>
  <si>
    <t>Debt Retirement  Charges (DRC) Payable</t>
  </si>
  <si>
    <t>As at December 31, 2011</t>
  </si>
  <si>
    <t>Gross Costs</t>
  </si>
  <si>
    <t>2011</t>
  </si>
  <si>
    <t>WORKING CAPITAL ALLOWANCE FOR 2011</t>
  </si>
  <si>
    <t>Fixed Assets Opening Balance 2011</t>
  </si>
  <si>
    <t>Fixed Assets Closing Balance 2011</t>
  </si>
  <si>
    <t>RATE BASE CALCULATION FOR 2011</t>
  </si>
  <si>
    <t>Total Interest Cost for 2011</t>
  </si>
  <si>
    <t>Weighted Debt Cost Rate for 2011</t>
  </si>
  <si>
    <t>Deemed Capital Structure for 2011</t>
  </si>
  <si>
    <t>CCA Continuity Schedule (2011)</t>
  </si>
  <si>
    <t>2011 PILs Schedule</t>
  </si>
  <si>
    <t>Apprentice Tax Credits</t>
  </si>
  <si>
    <t>CONTINUITY OF RESERVES FOR 2011</t>
  </si>
  <si>
    <t>2010 Bridge</t>
  </si>
  <si>
    <t>2011 Test</t>
  </si>
  <si>
    <t>2011 Test     Existing Rates</t>
  </si>
  <si>
    <t>2011 Test - Required Revenue</t>
  </si>
  <si>
    <t>2010 Bridge Actual</t>
  </si>
  <si>
    <t>Tax Rate Refecting Tax Credits</t>
  </si>
  <si>
    <t>Other Tax Credits</t>
  </si>
  <si>
    <t>Hydro One Substation Contribution</t>
  </si>
  <si>
    <t>Disposition and Recovery of Regulatory Balances</t>
  </si>
  <si>
    <t>Smart Grid Capital</t>
  </si>
  <si>
    <t>Smart Grid OM&amp;A</t>
  </si>
  <si>
    <t>Renewable Connection OM&amp;A</t>
  </si>
  <si>
    <t xml:space="preserve">Renewable Connection Capital </t>
  </si>
  <si>
    <t>Stores</t>
  </si>
  <si>
    <t>Woodstock Hydro Services Inc.</t>
  </si>
  <si>
    <t>E-mail: peitel@woodstockhydro.com</t>
  </si>
  <si>
    <r>
      <t>Telephone:</t>
    </r>
    <r>
      <rPr>
        <sz val="10"/>
        <rFont val="Arial"/>
        <family val="2"/>
      </rPr>
      <t xml:space="preserve">   519-537-7172 ext 240</t>
    </r>
  </si>
  <si>
    <t>Hydro One Substation Contribution*</t>
  </si>
  <si>
    <t>Work in Process*</t>
  </si>
  <si>
    <t xml:space="preserve"> Special Purpose Charge Assessment</t>
  </si>
  <si>
    <t xml:space="preserve">  Late Payment  Settlement Recovery?</t>
  </si>
  <si>
    <t>Organization Costs</t>
  </si>
  <si>
    <t>Accumulated Amortization - Organization Costs</t>
  </si>
  <si>
    <t xml:space="preserve">   Total</t>
  </si>
  <si>
    <t xml:space="preserve">  Depreciation expense</t>
  </si>
  <si>
    <t xml:space="preserve"> Special Purpose Charge Expense</t>
  </si>
  <si>
    <t>Special Purpose Charge Recovery - Billed</t>
  </si>
  <si>
    <t>Smart meter financing</t>
  </si>
  <si>
    <t>Infrastucture Ontario</t>
  </si>
  <si>
    <t>City of Woodstock</t>
  </si>
  <si>
    <t>Initial debt issue</t>
  </si>
  <si>
    <t>CIBC</t>
  </si>
  <si>
    <t>Oct 1 2008</t>
  </si>
  <si>
    <t>May 1 2010</t>
  </si>
  <si>
    <t>May 1 2011</t>
  </si>
  <si>
    <t>HONI TS Cap Cont # 1</t>
  </si>
  <si>
    <t>HONI TS Cap Cont # 2</t>
  </si>
  <si>
    <t>HONI TS Cap Cont # 3</t>
  </si>
  <si>
    <t>CWIP</t>
  </si>
  <si>
    <t>OEB Number</t>
  </si>
  <si>
    <t>Cost Avg</t>
  </si>
  <si>
    <t>Dep Avg</t>
  </si>
  <si>
    <t>Contributions - Commerce Way TS</t>
  </si>
  <si>
    <t>links to CA Model</t>
  </si>
  <si>
    <t>11' Rev Def</t>
  </si>
  <si>
    <t>NUP Owned - Generation Facility Assets</t>
  </si>
  <si>
    <t>Computers &amp; Systems Hardware acq'd after Jan 27/09 and before Feb 2011</t>
  </si>
  <si>
    <t>2011 Capital Taxes</t>
  </si>
  <si>
    <t>2011 Total Taxes</t>
  </si>
  <si>
    <t>Dec 1 2011</t>
  </si>
  <si>
    <t>Reconciliation to Audited Financial Statements</t>
  </si>
  <si>
    <t>Net Income for Rate Application Purposes</t>
  </si>
  <si>
    <t>Net Income  per Audited Financial Statements</t>
  </si>
  <si>
    <t>5705 - Amortization Expense - Property, Plant and Equipment</t>
  </si>
  <si>
    <t>6310 - Extraordinary Deductions (GS&gt;50 write off)</t>
  </si>
  <si>
    <t>1606 - Organization Costs</t>
  </si>
  <si>
    <t>2105 - Accumulated Amortization - Organization Costs</t>
  </si>
  <si>
    <t>Balance Sheet Total for Rate Application Purposes</t>
  </si>
  <si>
    <t xml:space="preserve">   Less: Net Income per Audited Financial  Statements</t>
  </si>
  <si>
    <t>5705 - Amortization Expense - Organization Costs</t>
  </si>
  <si>
    <t>Reconciliation to Projected Financial Statements</t>
  </si>
  <si>
    <t>Reconcilation to Audited/Forecast Trial Balance (adjusted in account 3045)</t>
  </si>
  <si>
    <t xml:space="preserve">Change in settlement sales variance deferred asset &amp; smart meter recovery charges &amp; sick leave
</t>
  </si>
  <si>
    <t>outside services, regulatory, salaries</t>
  </si>
  <si>
    <t>salaries, succession planning</t>
  </si>
  <si>
    <t>capital programs</t>
  </si>
  <si>
    <t>adj for inflation</t>
  </si>
  <si>
    <t>TS Debt, IO Debt @ higher locked in rate</t>
  </si>
  <si>
    <t>Ont Small Business Tax Exemption</t>
  </si>
  <si>
    <t>Sept 1 2010</t>
  </si>
  <si>
    <t>FA Additions</t>
  </si>
  <si>
    <t xml:space="preserve">2011 Total Long Term Debt (Weighted)*      </t>
  </si>
  <si>
    <t>ED-2003-0011</t>
  </si>
  <si>
    <t>EB-2010-0145</t>
  </si>
  <si>
    <r>
      <t>Name:</t>
    </r>
    <r>
      <rPr>
        <sz val="10"/>
        <rFont val="Arial"/>
        <family val="2"/>
      </rPr>
      <t xml:space="preserve">  Patricia Eitel</t>
    </r>
  </si>
  <si>
    <t xml:space="preserve">                                                                                                                   *Actual Debt as at Dec 31, 2011 will be $16,841,862</t>
  </si>
  <si>
    <t>City of Woodstock (6.75% Jan 1- Sep 30) / CIBC (4.975% Oct 1-Dec 31)</t>
  </si>
  <si>
    <t>Deemed Capital Structure for 2006  Board Approved</t>
  </si>
  <si>
    <t>GL 1920 smart meter hw</t>
  </si>
  <si>
    <t>GL 1925 smart meter sw</t>
  </si>
  <si>
    <t>GL 1960 smart meters</t>
  </si>
  <si>
    <t>Reconciliation of  FA Continuity to 2010 Bridge year Capital Expenditures</t>
  </si>
  <si>
    <t>2010 Bridge Year Capital Expenditures Per Table X</t>
  </si>
  <si>
    <t xml:space="preserve">Smart Meter assets are included in  the 2010 FA continuity schedule to </t>
  </si>
  <si>
    <t>allow for a full year depreciation in 2011.Assets in service as at Dec 31 2009.</t>
  </si>
  <si>
    <t>Reconciliation of  FA Continuity to 2011 Test year Capital Expenditures</t>
  </si>
  <si>
    <t>Average Fixed Asset Balance for 2011</t>
  </si>
  <si>
    <t>2010 Bridge Year Capital Expenditures Per Table 2-20</t>
  </si>
  <si>
    <t>Net FA Additions &amp; CWIP Adj</t>
  </si>
  <si>
    <t>October 28, 2010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</si>
</sst>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* #,##0_);_(* \(#,##0\);_(* &quot;-&quot;_);_(@_)"/>
    <numFmt numFmtId="166" formatCode="_(* #,##0.00_);_(* \(#,##0.00\);_(* &quot;-&quot;??_);_(@_)"/>
    <numFmt numFmtId="167" formatCode="_(* #,##0.00_);_(* \(#,##0.00\);_(* &quot;-&quot;_);_(@_)"/>
    <numFmt numFmtId="168" formatCode="#,##0_ ;\-#,##0\ "/>
    <numFmt numFmtId="169" formatCode="0.0000%"/>
    <numFmt numFmtId="170" formatCode="0.000%"/>
    <numFmt numFmtId="171" formatCode="_-* #,##0_-;\-* #,##0_-;_-* &quot;-&quot;??_-;_-@_-"/>
    <numFmt numFmtId="172" formatCode="_(* #,##0_);_(* \(#,##0\);_(* &quot;-&quot;??_);_(@_)"/>
    <numFmt numFmtId="173" formatCode="#,##0.00;[Red]\(#,##0.00\)"/>
    <numFmt numFmtId="174" formatCode="mmmm\ d\,\ yyyy"/>
    <numFmt numFmtId="175" formatCode="_-* #,##0.0000_-;\-* #,##0.0000_-;_-* &quot;-&quot;??_-;_-@_-"/>
    <numFmt numFmtId="176" formatCode="_-* #,##0.00000_-;\-* #,##0.00000_-;_-* &quot;-&quot;??_-;_-@_-"/>
    <numFmt numFmtId="177" formatCode="#,##0;\(#,##0\)"/>
    <numFmt numFmtId="178" formatCode="#,##0;[Red]\(#,##0\)"/>
    <numFmt numFmtId="179" formatCode="0.0%"/>
    <numFmt numFmtId="180" formatCode="#,##0.00;\(#,##0.00\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4"/>
      <color indexed="63"/>
      <name val="Times New Roman"/>
      <family val="1"/>
    </font>
    <font>
      <sz val="9"/>
      <color indexed="9"/>
      <name val="Arial"/>
      <family val="2"/>
    </font>
    <font>
      <b/>
      <sz val="11"/>
      <color indexed="63"/>
      <name val="Arial"/>
      <family val="2"/>
    </font>
    <font>
      <b/>
      <sz val="9"/>
      <name val="Arial"/>
      <family val="2"/>
    </font>
    <font>
      <b/>
      <vertAlign val="superscript"/>
      <sz val="9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double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double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double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/>
      <top/>
      <bottom style="thin">
        <color indexed="8"/>
      </bottom>
    </border>
    <border>
      <left/>
      <right/>
      <top style="medium"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12" fillId="0" borderId="0" applyNumberFormat="0" applyFont="0" applyFill="0" applyAlignment="0" applyProtection="0"/>
    <xf numFmtId="0" fontId="61" fillId="0" borderId="3" applyNumberFormat="0" applyFill="0" applyAlignment="0" applyProtection="0"/>
    <xf numFmtId="0" fontId="8" fillId="0" borderId="0" applyNumberFormat="0" applyFon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top"/>
      <protection locked="0"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9" applyNumberFormat="0" applyFont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</cellStyleXfs>
  <cellXfs count="768">
    <xf numFmtId="0" fontId="0" fillId="0" borderId="0" xfId="0" applyAlignment="1">
      <alignment/>
    </xf>
    <xf numFmtId="0" fontId="0" fillId="0" borderId="0" xfId="68" applyNumberFormat="1" applyAlignment="1">
      <alignment horizontal="center" vertical="center"/>
      <protection/>
    </xf>
    <xf numFmtId="167" fontId="2" fillId="0" borderId="0" xfId="68" applyNumberFormat="1" applyFont="1" applyAlignment="1">
      <alignment vertical="center"/>
      <protection/>
    </xf>
    <xf numFmtId="167" fontId="0" fillId="0" borderId="0" xfId="68" applyNumberFormat="1" applyAlignment="1">
      <alignment vertical="center"/>
      <protection/>
    </xf>
    <xf numFmtId="167" fontId="3" fillId="0" borderId="0" xfId="68" applyNumberFormat="1" applyFont="1" applyAlignment="1">
      <alignment vertical="center"/>
      <protection/>
    </xf>
    <xf numFmtId="0" fontId="0" fillId="0" borderId="11" xfId="68" applyNumberFormat="1" applyBorder="1" applyAlignment="1">
      <alignment horizontal="center" vertical="center"/>
      <protection/>
    </xf>
    <xf numFmtId="167" fontId="2" fillId="0" borderId="11" xfId="68" applyNumberFormat="1" applyFont="1" applyBorder="1" applyAlignment="1">
      <alignment vertical="center"/>
      <protection/>
    </xf>
    <xf numFmtId="167" fontId="3" fillId="0" borderId="12" xfId="68" applyNumberFormat="1" applyFont="1" applyBorder="1" applyAlignment="1">
      <alignment vertical="center"/>
      <protection/>
    </xf>
    <xf numFmtId="167" fontId="5" fillId="0" borderId="13" xfId="68" applyNumberFormat="1" applyFont="1" applyBorder="1" applyAlignment="1">
      <alignment vertical="center"/>
      <protection/>
    </xf>
    <xf numFmtId="0" fontId="6" fillId="0" borderId="0" xfId="66">
      <alignment/>
      <protection/>
    </xf>
    <xf numFmtId="0" fontId="0" fillId="0" borderId="0" xfId="0" applyFill="1" applyBorder="1" applyAlignment="1">
      <alignment/>
    </xf>
    <xf numFmtId="0" fontId="0" fillId="0" borderId="0" xfId="68" applyNumberFormat="1" applyBorder="1" applyAlignment="1">
      <alignment horizontal="center" vertical="center"/>
      <protection/>
    </xf>
    <xf numFmtId="167" fontId="2" fillId="0" borderId="0" xfId="68" applyNumberFormat="1" applyFont="1" applyFill="1" applyBorder="1" applyAlignment="1">
      <alignment vertical="center"/>
      <protection/>
    </xf>
    <xf numFmtId="167" fontId="0" fillId="0" borderId="0" xfId="68" applyNumberFormat="1" applyBorder="1" applyAlignment="1">
      <alignment vertical="center"/>
      <protection/>
    </xf>
    <xf numFmtId="167" fontId="2" fillId="0" borderId="0" xfId="68" applyNumberFormat="1" applyFont="1" applyBorder="1" applyAlignment="1">
      <alignment vertical="center"/>
      <protection/>
    </xf>
    <xf numFmtId="167" fontId="0" fillId="0" borderId="0" xfId="68" applyNumberFormat="1" applyFill="1" applyBorder="1" applyAlignment="1">
      <alignment vertical="center"/>
      <protection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68" applyNumberForma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4" xfId="70" applyFont="1" applyFill="1" applyBorder="1" applyAlignment="1">
      <alignment horizontal="left"/>
      <protection/>
    </xf>
    <xf numFmtId="0" fontId="0" fillId="0" borderId="0" xfId="70" applyFont="1" applyFill="1" applyBorder="1" applyAlignment="1">
      <alignment horizontal="left"/>
      <protection/>
    </xf>
    <xf numFmtId="0" fontId="6" fillId="0" borderId="0" xfId="70" applyAlignment="1">
      <alignment horizontal="left"/>
      <protection/>
    </xf>
    <xf numFmtId="0" fontId="0" fillId="0" borderId="0" xfId="0" applyAlignment="1">
      <alignment horizontal="left"/>
    </xf>
    <xf numFmtId="0" fontId="0" fillId="0" borderId="15" xfId="70" applyFont="1" applyFill="1" applyBorder="1" applyAlignment="1">
      <alignment horizontal="left"/>
      <protection/>
    </xf>
    <xf numFmtId="0" fontId="10" fillId="33" borderId="16" xfId="70" applyFont="1" applyFill="1" applyBorder="1" applyAlignment="1">
      <alignment horizontal="center"/>
      <protection/>
    </xf>
    <xf numFmtId="0" fontId="10" fillId="33" borderId="17" xfId="70" applyFont="1" applyFill="1" applyBorder="1" applyAlignment="1">
      <alignment horizontal="center"/>
      <protection/>
    </xf>
    <xf numFmtId="0" fontId="10" fillId="33" borderId="18" xfId="70" applyFont="1" applyFill="1" applyBorder="1" applyAlignment="1">
      <alignment horizontal="center"/>
      <protection/>
    </xf>
    <xf numFmtId="0" fontId="10" fillId="34" borderId="17" xfId="70" applyFont="1" applyFill="1" applyBorder="1" applyAlignment="1">
      <alignment horizontal="center"/>
      <protection/>
    </xf>
    <xf numFmtId="0" fontId="10" fillId="33" borderId="17" xfId="66" applyFont="1" applyFill="1" applyBorder="1" applyAlignment="1">
      <alignment horizontal="center"/>
      <protection/>
    </xf>
    <xf numFmtId="0" fontId="8" fillId="34" borderId="17" xfId="66" applyFont="1" applyFill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10" fontId="3" fillId="0" borderId="23" xfId="75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Font="1" applyFill="1" applyBorder="1" applyAlignment="1">
      <alignment/>
    </xf>
    <xf numFmtId="10" fontId="0" fillId="0" borderId="15" xfId="75" applyNumberFormat="1" applyFont="1" applyFill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28" xfId="0" applyBorder="1" applyAlignment="1">
      <alignment/>
    </xf>
    <xf numFmtId="10" fontId="0" fillId="0" borderId="0" xfId="75" applyNumberFormat="1" applyFont="1" applyAlignment="1">
      <alignment horizontal="center"/>
    </xf>
    <xf numFmtId="0" fontId="8" fillId="34" borderId="15" xfId="70" applyFont="1" applyFill="1" applyBorder="1" applyAlignment="1">
      <alignment horizontal="center"/>
      <protection/>
    </xf>
    <xf numFmtId="0" fontId="8" fillId="34" borderId="29" xfId="70" applyFont="1" applyFill="1" applyBorder="1" applyAlignment="1">
      <alignment horizontal="center"/>
      <protection/>
    </xf>
    <xf numFmtId="0" fontId="3" fillId="34" borderId="15" xfId="0" applyFont="1" applyFill="1" applyBorder="1" applyAlignment="1">
      <alignment horizontal="center"/>
    </xf>
    <xf numFmtId="43" fontId="3" fillId="34" borderId="15" xfId="42" applyFont="1" applyFill="1" applyBorder="1" applyAlignment="1">
      <alignment horizontal="center"/>
    </xf>
    <xf numFmtId="10" fontId="0" fillId="35" borderId="15" xfId="75" applyNumberFormat="1" applyFont="1" applyFill="1" applyBorder="1" applyAlignment="1">
      <alignment horizontal="center"/>
    </xf>
    <xf numFmtId="9" fontId="0" fillId="0" borderId="0" xfId="75" applyFont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3" fontId="3" fillId="34" borderId="30" xfId="0" applyNumberFormat="1" applyFont="1" applyFill="1" applyBorder="1" applyAlignment="1">
      <alignment horizontal="center"/>
    </xf>
    <xf numFmtId="3" fontId="0" fillId="35" borderId="0" xfId="0" applyNumberFormat="1" applyFill="1" applyAlignment="1">
      <alignment horizontal="center"/>
    </xf>
    <xf numFmtId="10" fontId="0" fillId="35" borderId="0" xfId="0" applyNumberFormat="1" applyFill="1" applyAlignment="1">
      <alignment horizontal="center"/>
    </xf>
    <xf numFmtId="10" fontId="0" fillId="35" borderId="0" xfId="75" applyNumberFormat="1" applyFont="1" applyFill="1" applyAlignment="1">
      <alignment horizontal="center"/>
    </xf>
    <xf numFmtId="170" fontId="0" fillId="35" borderId="0" xfId="75" applyNumberFormat="1" applyFont="1" applyFill="1" applyAlignment="1">
      <alignment horizontal="center"/>
    </xf>
    <xf numFmtId="0" fontId="0" fillId="35" borderId="0" xfId="0" applyFill="1" applyAlignment="1">
      <alignment horizontal="center"/>
    </xf>
    <xf numFmtId="0" fontId="3" fillId="0" borderId="0" xfId="0" applyFont="1" applyAlignment="1">
      <alignment wrapText="1"/>
    </xf>
    <xf numFmtId="0" fontId="3" fillId="34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left"/>
    </xf>
    <xf numFmtId="0" fontId="3" fillId="0" borderId="15" xfId="0" applyFont="1" applyBorder="1" applyAlignment="1">
      <alignment wrapText="1"/>
    </xf>
    <xf numFmtId="0" fontId="3" fillId="36" borderId="15" xfId="0" applyFont="1" applyFill="1" applyBorder="1" applyAlignment="1">
      <alignment horizontal="center" wrapText="1"/>
    </xf>
    <xf numFmtId="9" fontId="0" fillId="0" borderId="15" xfId="0" applyNumberFormat="1" applyBorder="1" applyAlignment="1">
      <alignment horizontal="center"/>
    </xf>
    <xf numFmtId="3" fontId="0" fillId="35" borderId="15" xfId="0" applyNumberForma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3" fontId="0" fillId="0" borderId="28" xfId="0" applyNumberFormat="1" applyBorder="1" applyAlignment="1">
      <alignment/>
    </xf>
    <xf numFmtId="9" fontId="0" fillId="35" borderId="0" xfId="0" applyNumberFormat="1" applyFill="1" applyBorder="1" applyAlignment="1">
      <alignment/>
    </xf>
    <xf numFmtId="0" fontId="18" fillId="37" borderId="31" xfId="71" applyFont="1" applyFill="1" applyBorder="1" applyAlignment="1" applyProtection="1">
      <alignment horizontal="center" vertical="center" wrapText="1"/>
      <protection/>
    </xf>
    <xf numFmtId="0" fontId="19" fillId="37" borderId="15" xfId="71" applyFont="1" applyFill="1" applyBorder="1" applyAlignment="1" applyProtection="1">
      <alignment vertical="center" wrapText="1"/>
      <protection/>
    </xf>
    <xf numFmtId="0" fontId="19" fillId="37" borderId="15" xfId="71" applyFont="1" applyFill="1" applyBorder="1" applyAlignment="1" applyProtection="1">
      <alignment horizontal="left" vertical="center" wrapText="1"/>
      <protection/>
    </xf>
    <xf numFmtId="0" fontId="20" fillId="37" borderId="32" xfId="71" applyFont="1" applyFill="1" applyBorder="1" applyAlignment="1" applyProtection="1">
      <alignment vertical="center"/>
      <protection/>
    </xf>
    <xf numFmtId="0" fontId="19" fillId="37" borderId="30" xfId="71" applyFont="1" applyFill="1" applyBorder="1" applyAlignment="1" applyProtection="1">
      <alignment vertical="center" wrapText="1"/>
      <protection/>
    </xf>
    <xf numFmtId="3" fontId="21" fillId="37" borderId="30" xfId="71" applyNumberFormat="1" applyFont="1" applyFill="1" applyBorder="1" applyAlignment="1" applyProtection="1">
      <alignment horizontal="right" vertical="center"/>
      <protection/>
    </xf>
    <xf numFmtId="3" fontId="19" fillId="37" borderId="30" xfId="71" applyNumberFormat="1" applyFont="1" applyFill="1" applyBorder="1" applyAlignment="1" applyProtection="1">
      <alignment horizontal="right" vertical="center"/>
      <protection/>
    </xf>
    <xf numFmtId="3" fontId="19" fillId="37" borderId="30" xfId="71" applyNumberFormat="1" applyFont="1" applyFill="1" applyBorder="1" applyAlignment="1" applyProtection="1">
      <alignment horizontal="center" vertical="center"/>
      <protection/>
    </xf>
    <xf numFmtId="3" fontId="19" fillId="37" borderId="30" xfId="71" applyNumberFormat="1" applyFont="1" applyFill="1" applyBorder="1" applyAlignment="1" applyProtection="1">
      <alignment vertical="center"/>
      <protection/>
    </xf>
    <xf numFmtId="0" fontId="19" fillId="37" borderId="15" xfId="71" applyFont="1" applyFill="1" applyBorder="1" applyAlignment="1" applyProtection="1" quotePrefix="1">
      <alignment horizontal="left" vertical="center" wrapText="1"/>
      <protection/>
    </xf>
    <xf numFmtId="0" fontId="20" fillId="37" borderId="15" xfId="71" applyFont="1" applyFill="1" applyBorder="1" applyAlignment="1" applyProtection="1">
      <alignment vertical="center"/>
      <protection/>
    </xf>
    <xf numFmtId="3" fontId="19" fillId="38" borderId="15" xfId="71" applyNumberFormat="1" applyFont="1" applyFill="1" applyBorder="1" applyAlignment="1" applyProtection="1">
      <alignment horizontal="center" vertical="center"/>
      <protection locked="0"/>
    </xf>
    <xf numFmtId="3" fontId="19" fillId="35" borderId="15" xfId="71" applyNumberFormat="1" applyFont="1" applyFill="1" applyBorder="1" applyAlignment="1" applyProtection="1">
      <alignment horizontal="center" vertical="center"/>
      <protection locked="0"/>
    </xf>
    <xf numFmtId="0" fontId="23" fillId="39" borderId="15" xfId="0" applyFont="1" applyFill="1" applyBorder="1" applyAlignment="1" applyProtection="1">
      <alignment horizontal="center" vertical="center" wrapText="1"/>
      <protection/>
    </xf>
    <xf numFmtId="3" fontId="25" fillId="39" borderId="15" xfId="42" applyNumberFormat="1" applyFont="1" applyFill="1" applyBorder="1" applyAlignment="1" applyProtection="1">
      <alignment/>
      <protection/>
    </xf>
    <xf numFmtId="3" fontId="25" fillId="35" borderId="15" xfId="42" applyNumberFormat="1" applyFont="1" applyFill="1" applyBorder="1" applyAlignment="1" applyProtection="1">
      <alignment vertical="center"/>
      <protection locked="0"/>
    </xf>
    <xf numFmtId="3" fontId="25" fillId="35" borderId="15" xfId="42" applyNumberFormat="1" applyFont="1" applyFill="1" applyBorder="1" applyAlignment="1" applyProtection="1">
      <alignment/>
      <protection locked="0"/>
    </xf>
    <xf numFmtId="0" fontId="3" fillId="40" borderId="15" xfId="71" applyFont="1" applyFill="1" applyBorder="1" applyAlignment="1" applyProtection="1">
      <alignment horizontal="center" vertical="center" wrapText="1"/>
      <protection/>
    </xf>
    <xf numFmtId="0" fontId="3" fillId="0" borderId="15" xfId="71" applyFont="1" applyFill="1" applyBorder="1" applyAlignment="1" applyProtection="1">
      <alignment vertical="center" wrapText="1"/>
      <protection/>
    </xf>
    <xf numFmtId="0" fontId="26" fillId="0" borderId="15" xfId="71" applyFont="1" applyFill="1" applyBorder="1" applyAlignment="1" applyProtection="1">
      <alignment vertical="center" wrapText="1"/>
      <protection/>
    </xf>
    <xf numFmtId="0" fontId="3" fillId="0" borderId="33" xfId="71" applyFont="1" applyFill="1" applyBorder="1" applyAlignment="1" applyProtection="1">
      <alignment horizontal="center" vertical="center" wrapText="1"/>
      <protection/>
    </xf>
    <xf numFmtId="0" fontId="3" fillId="0" borderId="0" xfId="71" applyFont="1" applyFill="1" applyBorder="1" applyAlignment="1" applyProtection="1">
      <alignment horizontal="center" vertical="center" wrapText="1"/>
      <protection/>
    </xf>
    <xf numFmtId="0" fontId="3" fillId="0" borderId="16" xfId="71" applyFont="1" applyFill="1" applyBorder="1" applyAlignment="1" applyProtection="1">
      <alignment vertical="center" wrapText="1"/>
      <protection/>
    </xf>
    <xf numFmtId="0" fontId="27" fillId="0" borderId="34" xfId="71" applyFont="1" applyFill="1" applyBorder="1" applyAlignment="1" applyProtection="1">
      <alignment horizontal="center" vertical="center" wrapText="1"/>
      <protection/>
    </xf>
    <xf numFmtId="0" fontId="0" fillId="0" borderId="15" xfId="71" applyFont="1" applyFill="1" applyBorder="1" applyAlignment="1" applyProtection="1">
      <alignment vertical="center" wrapText="1"/>
      <protection/>
    </xf>
    <xf numFmtId="0" fontId="27" fillId="0" borderId="15" xfId="71" applyFont="1" applyFill="1" applyBorder="1" applyAlignment="1" applyProtection="1">
      <alignment vertical="center" wrapText="1"/>
      <protection/>
    </xf>
    <xf numFmtId="0" fontId="15" fillId="0" borderId="35" xfId="71" applyFont="1" applyFill="1" applyBorder="1" applyAlignment="1" applyProtection="1">
      <alignment horizontal="center" vertical="center" wrapText="1"/>
      <protection/>
    </xf>
    <xf numFmtId="0" fontId="15" fillId="0" borderId="36" xfId="71" applyFont="1" applyFill="1" applyBorder="1" applyAlignment="1" applyProtection="1">
      <alignment horizontal="center" vertical="center" wrapText="1"/>
      <protection/>
    </xf>
    <xf numFmtId="0" fontId="15" fillId="0" borderId="16" xfId="71" applyFont="1" applyFill="1" applyBorder="1" applyAlignment="1" applyProtection="1">
      <alignment horizontal="center" vertical="center" wrapText="1"/>
      <protection/>
    </xf>
    <xf numFmtId="0" fontId="15" fillId="0" borderId="34" xfId="71" applyFont="1" applyFill="1" applyBorder="1" applyAlignment="1" applyProtection="1">
      <alignment horizontal="center" vertical="center" wrapText="1"/>
      <protection/>
    </xf>
    <xf numFmtId="0" fontId="3" fillId="36" borderId="15" xfId="71" applyFont="1" applyFill="1" applyBorder="1" applyAlignment="1" applyProtection="1">
      <alignment horizontal="center" vertical="center"/>
      <protection/>
    </xf>
    <xf numFmtId="0" fontId="0" fillId="0" borderId="15" xfId="71" applyFont="1" applyFill="1" applyBorder="1" applyAlignment="1" applyProtection="1">
      <alignment horizontal="left" vertical="center" wrapText="1" indent="1"/>
      <protection/>
    </xf>
    <xf numFmtId="0" fontId="27" fillId="0" borderId="17" xfId="71" applyFont="1" applyFill="1" applyBorder="1" applyAlignment="1" applyProtection="1">
      <alignment vertical="center" wrapText="1"/>
      <protection/>
    </xf>
    <xf numFmtId="3" fontId="0" fillId="0" borderId="15" xfId="71" applyNumberFormat="1" applyFont="1" applyFill="1" applyBorder="1" applyAlignment="1" applyProtection="1">
      <alignment vertical="center" wrapText="1"/>
      <protection locked="0"/>
    </xf>
    <xf numFmtId="0" fontId="27" fillId="0" borderId="29" xfId="71" applyFont="1" applyFill="1" applyBorder="1" applyAlignment="1" applyProtection="1">
      <alignment vertical="center" wrapText="1"/>
      <protection/>
    </xf>
    <xf numFmtId="0" fontId="3" fillId="0" borderId="32" xfId="71" applyFont="1" applyFill="1" applyBorder="1" applyAlignment="1" applyProtection="1">
      <alignment horizontal="left" vertical="center" wrapText="1"/>
      <protection/>
    </xf>
    <xf numFmtId="0" fontId="27" fillId="0" borderId="31" xfId="71" applyFont="1" applyFill="1" applyBorder="1" applyAlignment="1" applyProtection="1">
      <alignment vertical="center" wrapText="1"/>
      <protection/>
    </xf>
    <xf numFmtId="3" fontId="0" fillId="0" borderId="15" xfId="71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5" xfId="71" applyFont="1" applyFill="1" applyBorder="1" applyAlignment="1" applyProtection="1">
      <alignment horizontal="left" vertical="center" wrapText="1"/>
      <protection/>
    </xf>
    <xf numFmtId="0" fontId="26" fillId="36" borderId="15" xfId="71" applyFont="1" applyFill="1" applyBorder="1" applyAlignment="1" applyProtection="1">
      <alignment horizontal="center" vertical="center" wrapText="1"/>
      <protection/>
    </xf>
    <xf numFmtId="165" fontId="28" fillId="35" borderId="37" xfId="71" applyNumberFormat="1" applyFont="1" applyFill="1" applyBorder="1" applyProtection="1">
      <alignment vertical="top"/>
      <protection/>
    </xf>
    <xf numFmtId="0" fontId="3" fillId="36" borderId="15" xfId="71" applyFont="1" applyFill="1" applyBorder="1" applyAlignment="1" applyProtection="1">
      <alignment horizontal="center" vertical="top" wrapText="1"/>
      <protection/>
    </xf>
    <xf numFmtId="43" fontId="3" fillId="36" borderId="29" xfId="42" applyFont="1" applyFill="1" applyBorder="1" applyAlignment="1">
      <alignment horizontal="center"/>
    </xf>
    <xf numFmtId="43" fontId="3" fillId="36" borderId="38" xfId="42" applyFont="1" applyFill="1" applyBorder="1" applyAlignment="1">
      <alignment horizontal="center"/>
    </xf>
    <xf numFmtId="0" fontId="0" fillId="0" borderId="35" xfId="67" applyFont="1" applyFill="1" applyBorder="1">
      <alignment/>
      <protection/>
    </xf>
    <xf numFmtId="37" fontId="0" fillId="0" borderId="29" xfId="67" applyNumberFormat="1" applyFont="1" applyFill="1" applyBorder="1">
      <alignment/>
      <protection/>
    </xf>
    <xf numFmtId="37" fontId="0" fillId="0" borderId="38" xfId="67" applyNumberFormat="1" applyFont="1" applyFill="1" applyBorder="1">
      <alignment/>
      <protection/>
    </xf>
    <xf numFmtId="0" fontId="0" fillId="0" borderId="33" xfId="67" applyFont="1" applyFill="1" applyBorder="1">
      <alignment/>
      <protection/>
    </xf>
    <xf numFmtId="37" fontId="28" fillId="0" borderId="39" xfId="67" applyNumberFormat="1" applyFont="1" applyFill="1" applyBorder="1">
      <alignment/>
      <protection/>
    </xf>
    <xf numFmtId="37" fontId="28" fillId="0" borderId="37" xfId="67" applyNumberFormat="1" applyFont="1" applyFill="1" applyBorder="1">
      <alignment/>
      <protection/>
    </xf>
    <xf numFmtId="0" fontId="0" fillId="0" borderId="33" xfId="67" applyFont="1" applyFill="1" applyBorder="1" applyAlignment="1">
      <alignment horizontal="left" indent="1"/>
      <protection/>
    </xf>
    <xf numFmtId="37" fontId="0" fillId="0" borderId="39" xfId="67" applyNumberFormat="1" applyFont="1" applyFill="1" applyBorder="1">
      <alignment/>
      <protection/>
    </xf>
    <xf numFmtId="170" fontId="28" fillId="0" borderId="39" xfId="75" applyNumberFormat="1" applyFont="1" applyFill="1" applyBorder="1" applyAlignment="1">
      <alignment/>
    </xf>
    <xf numFmtId="170" fontId="28" fillId="0" borderId="37" xfId="75" applyNumberFormat="1" applyFont="1" applyFill="1" applyBorder="1" applyAlignment="1">
      <alignment/>
    </xf>
    <xf numFmtId="37" fontId="0" fillId="0" borderId="37" xfId="75" applyNumberFormat="1" applyFont="1" applyFill="1" applyBorder="1" applyAlignment="1">
      <alignment/>
    </xf>
    <xf numFmtId="0" fontId="3" fillId="0" borderId="17" xfId="67" applyFont="1" applyFill="1" applyBorder="1" applyAlignment="1">
      <alignment horizontal="left" indent="1"/>
      <protection/>
    </xf>
    <xf numFmtId="37" fontId="3" fillId="0" borderId="15" xfId="67" applyNumberFormat="1" applyFont="1" applyFill="1" applyBorder="1">
      <alignment/>
      <protection/>
    </xf>
    <xf numFmtId="0" fontId="0" fillId="0" borderId="29" xfId="71" applyFont="1" applyFill="1" applyBorder="1" applyAlignment="1" applyProtection="1">
      <alignment vertical="center"/>
      <protection/>
    </xf>
    <xf numFmtId="165" fontId="0" fillId="0" borderId="29" xfId="71" applyNumberFormat="1" applyFont="1" applyFill="1" applyBorder="1" applyAlignment="1" applyProtection="1">
      <alignment vertical="center"/>
      <protection/>
    </xf>
    <xf numFmtId="165" fontId="0" fillId="0" borderId="38" xfId="71" applyNumberFormat="1" applyFont="1" applyFill="1" applyBorder="1" applyProtection="1">
      <alignment vertical="top"/>
      <protection/>
    </xf>
    <xf numFmtId="0" fontId="0" fillId="0" borderId="39" xfId="71" applyFont="1" applyFill="1" applyBorder="1" applyAlignment="1" applyProtection="1">
      <alignment horizontal="left" vertical="top"/>
      <protection/>
    </xf>
    <xf numFmtId="165" fontId="0" fillId="0" borderId="39" xfId="71" applyNumberFormat="1" applyFont="1" applyFill="1" applyBorder="1" applyAlignment="1" applyProtection="1">
      <alignment horizontal="left" vertical="top"/>
      <protection/>
    </xf>
    <xf numFmtId="165" fontId="0" fillId="0" borderId="37" xfId="71" applyNumberFormat="1" applyFont="1" applyFill="1" applyBorder="1" applyProtection="1">
      <alignment vertical="top"/>
      <protection/>
    </xf>
    <xf numFmtId="165" fontId="0" fillId="0" borderId="39" xfId="71" applyNumberFormat="1" applyFont="1" applyFill="1" applyBorder="1" applyAlignment="1" applyProtection="1">
      <alignment horizontal="left" vertical="top" indent="2"/>
      <protection/>
    </xf>
    <xf numFmtId="165" fontId="0" fillId="0" borderId="39" xfId="71" applyNumberFormat="1" applyFont="1" applyFill="1" applyBorder="1" applyProtection="1">
      <alignment vertical="top"/>
      <protection/>
    </xf>
    <xf numFmtId="165" fontId="28" fillId="0" borderId="39" xfId="71" applyNumberFormat="1" applyFont="1" applyFill="1" applyBorder="1" applyProtection="1">
      <alignment vertical="top"/>
      <protection/>
    </xf>
    <xf numFmtId="165" fontId="3" fillId="0" borderId="15" xfId="71" applyNumberFormat="1" applyFont="1" applyFill="1" applyBorder="1" applyProtection="1">
      <alignment vertical="top"/>
      <protection/>
    </xf>
    <xf numFmtId="0" fontId="3" fillId="36" borderId="15" xfId="71" applyFont="1" applyFill="1" applyBorder="1" applyAlignment="1" applyProtection="1">
      <alignment horizontal="center" vertical="center" wrapText="1"/>
      <protection/>
    </xf>
    <xf numFmtId="43" fontId="3" fillId="36" borderId="15" xfId="42" applyFont="1" applyFill="1" applyBorder="1" applyAlignment="1">
      <alignment horizontal="center"/>
    </xf>
    <xf numFmtId="165" fontId="0" fillId="35" borderId="37" xfId="71" applyNumberFormat="1" applyFont="1" applyFill="1" applyBorder="1" applyProtection="1">
      <alignment vertical="top"/>
      <protection/>
    </xf>
    <xf numFmtId="3" fontId="0" fillId="0" borderId="40" xfId="0" applyNumberFormat="1" applyBorder="1" applyAlignment="1">
      <alignment/>
    </xf>
    <xf numFmtId="0" fontId="0" fillId="0" borderId="19" xfId="69" applyFont="1" applyFill="1" applyBorder="1">
      <alignment/>
      <protection/>
    </xf>
    <xf numFmtId="168" fontId="0" fillId="0" borderId="21" xfId="69" applyNumberFormat="1" applyFont="1" applyFill="1" applyBorder="1">
      <alignment/>
      <protection/>
    </xf>
    <xf numFmtId="0" fontId="0" fillId="0" borderId="22" xfId="69" applyFont="1" applyFill="1" applyBorder="1">
      <alignment/>
      <protection/>
    </xf>
    <xf numFmtId="168" fontId="0" fillId="0" borderId="23" xfId="69" applyNumberFormat="1" applyFont="1" applyFill="1" applyBorder="1">
      <alignment/>
      <protection/>
    </xf>
    <xf numFmtId="0" fontId="0" fillId="0" borderId="41" xfId="69" applyFont="1" applyFill="1" applyBorder="1" applyAlignment="1">
      <alignment horizontal="left" indent="1"/>
      <protection/>
    </xf>
    <xf numFmtId="0" fontId="3" fillId="0" borderId="42" xfId="69" applyFont="1" applyFill="1" applyBorder="1" applyAlignment="1">
      <alignment horizontal="left" indent="1"/>
      <protection/>
    </xf>
    <xf numFmtId="168" fontId="3" fillId="0" borderId="43" xfId="69" applyNumberFormat="1" applyFont="1" applyFill="1" applyBorder="1">
      <alignment/>
      <protection/>
    </xf>
    <xf numFmtId="168" fontId="3" fillId="36" borderId="15" xfId="69" applyNumberFormat="1" applyFont="1" applyFill="1" applyBorder="1" applyAlignment="1">
      <alignment horizontal="center"/>
      <protection/>
    </xf>
    <xf numFmtId="9" fontId="3" fillId="36" borderId="15" xfId="75" applyNumberFormat="1" applyFont="1" applyFill="1" applyBorder="1" applyAlignment="1">
      <alignment horizontal="center"/>
    </xf>
    <xf numFmtId="0" fontId="3" fillId="36" borderId="15" xfId="69" applyFont="1" applyFill="1" applyBorder="1" applyAlignment="1">
      <alignment horizontal="center"/>
      <protection/>
    </xf>
    <xf numFmtId="49" fontId="0" fillId="0" borderId="15" xfId="69" applyNumberFormat="1" applyFont="1" applyFill="1" applyBorder="1" applyAlignment="1" applyProtection="1">
      <alignment horizontal="left"/>
      <protection/>
    </xf>
    <xf numFmtId="0" fontId="0" fillId="0" borderId="15" xfId="69" applyFont="1" applyFill="1" applyBorder="1">
      <alignment/>
      <protection/>
    </xf>
    <xf numFmtId="168" fontId="0" fillId="0" borderId="15" xfId="69" applyNumberFormat="1" applyFont="1" applyFill="1" applyBorder="1">
      <alignment/>
      <protection/>
    </xf>
    <xf numFmtId="9" fontId="0" fillId="0" borderId="15" xfId="75" applyNumberFormat="1" applyFont="1" applyFill="1" applyBorder="1" applyAlignment="1">
      <alignment/>
    </xf>
    <xf numFmtId="0" fontId="15" fillId="0" borderId="44" xfId="69" applyFont="1" applyFill="1" applyBorder="1">
      <alignment/>
      <protection/>
    </xf>
    <xf numFmtId="0" fontId="3" fillId="0" borderId="42" xfId="69" applyFont="1" applyFill="1" applyBorder="1" applyAlignment="1">
      <alignment horizontal="center"/>
      <protection/>
    </xf>
    <xf numFmtId="0" fontId="3" fillId="0" borderId="25" xfId="0" applyFont="1" applyBorder="1" applyAlignment="1">
      <alignment horizontal="center"/>
    </xf>
    <xf numFmtId="168" fontId="0" fillId="0" borderId="25" xfId="0" applyNumberFormat="1" applyBorder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0" fontId="3" fillId="34" borderId="15" xfId="71" applyFont="1" applyFill="1" applyBorder="1" applyAlignment="1" applyProtection="1">
      <alignment vertical="center" wrapText="1"/>
      <protection/>
    </xf>
    <xf numFmtId="0" fontId="3" fillId="34" borderId="16" xfId="71" applyFont="1" applyFill="1" applyBorder="1" applyAlignment="1" applyProtection="1">
      <alignment vertical="center" wrapText="1"/>
      <protection/>
    </xf>
    <xf numFmtId="0" fontId="3" fillId="34" borderId="16" xfId="71" applyFont="1" applyFill="1" applyBorder="1" applyAlignment="1" applyProtection="1">
      <alignment horizontal="left" vertical="center" wrapText="1"/>
      <protection/>
    </xf>
    <xf numFmtId="0" fontId="3" fillId="0" borderId="15" xfId="71" applyFont="1" applyFill="1" applyBorder="1" applyAlignment="1" applyProtection="1">
      <alignment horizontal="center" vertical="center" wrapText="1"/>
      <protection/>
    </xf>
    <xf numFmtId="0" fontId="3" fillId="0" borderId="32" xfId="71" applyFont="1" applyFill="1" applyBorder="1" applyAlignment="1" applyProtection="1">
      <alignment horizontal="center" vertical="center" wrapText="1"/>
      <protection/>
    </xf>
    <xf numFmtId="0" fontId="3" fillId="33" borderId="15" xfId="71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>
      <alignment/>
    </xf>
    <xf numFmtId="0" fontId="0" fillId="0" borderId="39" xfId="71" applyFont="1" applyFill="1" applyBorder="1" applyAlignment="1" applyProtection="1">
      <alignment vertical="center"/>
      <protection/>
    </xf>
    <xf numFmtId="165" fontId="0" fillId="0" borderId="39" xfId="71" applyNumberFormat="1" applyFont="1" applyFill="1" applyBorder="1" applyAlignment="1" applyProtection="1">
      <alignment vertical="center"/>
      <protection/>
    </xf>
    <xf numFmtId="0" fontId="3" fillId="0" borderId="15" xfId="71" applyFont="1" applyFill="1" applyBorder="1" applyAlignment="1" applyProtection="1">
      <alignment horizontal="center" vertical="top"/>
      <protection/>
    </xf>
    <xf numFmtId="165" fontId="0" fillId="0" borderId="15" xfId="71" applyNumberFormat="1" applyFont="1" applyFill="1" applyBorder="1" applyProtection="1">
      <alignment vertical="top"/>
      <protection/>
    </xf>
    <xf numFmtId="170" fontId="0" fillId="0" borderId="37" xfId="75" applyNumberFormat="1" applyFont="1" applyFill="1" applyBorder="1" applyAlignment="1" applyProtection="1">
      <alignment/>
      <protection/>
    </xf>
    <xf numFmtId="37" fontId="3" fillId="0" borderId="39" xfId="67" applyNumberFormat="1" applyFont="1" applyFill="1" applyBorder="1">
      <alignment/>
      <protection/>
    </xf>
    <xf numFmtId="165" fontId="0" fillId="0" borderId="15" xfId="0" applyNumberForma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165" fontId="0" fillId="0" borderId="29" xfId="0" applyNumberFormat="1" applyBorder="1" applyAlignment="1">
      <alignment/>
    </xf>
    <xf numFmtId="165" fontId="0" fillId="33" borderId="27" xfId="0" applyNumberFormat="1" applyFill="1" applyBorder="1" applyAlignment="1">
      <alignment/>
    </xf>
    <xf numFmtId="10" fontId="0" fillId="0" borderId="27" xfId="75" applyNumberFormat="1" applyFont="1" applyFill="1" applyBorder="1" applyAlignment="1">
      <alignment horizontal="center"/>
    </xf>
    <xf numFmtId="4" fontId="0" fillId="35" borderId="15" xfId="0" applyNumberFormat="1" applyFill="1" applyBorder="1" applyAlignment="1">
      <alignment horizontal="center"/>
    </xf>
    <xf numFmtId="0" fontId="10" fillId="0" borderId="0" xfId="70" applyFont="1" applyFill="1" applyBorder="1" applyAlignment="1">
      <alignment horizontal="center"/>
      <protection/>
    </xf>
    <xf numFmtId="0" fontId="10" fillId="36" borderId="17" xfId="70" applyFont="1" applyFill="1" applyBorder="1" applyAlignment="1">
      <alignment horizontal="left"/>
      <protection/>
    </xf>
    <xf numFmtId="0" fontId="10" fillId="36" borderId="15" xfId="70" applyFont="1" applyFill="1" applyBorder="1" applyAlignment="1">
      <alignment horizontal="left"/>
      <protection/>
    </xf>
    <xf numFmtId="0" fontId="10" fillId="33" borderId="15" xfId="70" applyFont="1" applyFill="1" applyBorder="1" applyAlignment="1">
      <alignment horizontal="center"/>
      <protection/>
    </xf>
    <xf numFmtId="10" fontId="0" fillId="0" borderId="15" xfId="0" applyNumberFormat="1" applyBorder="1" applyAlignment="1">
      <alignment horizontal="center"/>
    </xf>
    <xf numFmtId="172" fontId="3" fillId="0" borderId="0" xfId="0" applyNumberFormat="1" applyFont="1" applyAlignment="1">
      <alignment/>
    </xf>
    <xf numFmtId="172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Border="1" applyAlignment="1">
      <alignment horizontal="right"/>
    </xf>
    <xf numFmtId="10" fontId="3" fillId="0" borderId="0" xfId="75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172" fontId="0" fillId="0" borderId="15" xfId="0" applyNumberFormat="1" applyFont="1" applyBorder="1" applyAlignment="1">
      <alignment/>
    </xf>
    <xf numFmtId="172" fontId="0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Alignment="1">
      <alignment/>
    </xf>
    <xf numFmtId="172" fontId="3" fillId="0" borderId="15" xfId="0" applyNumberFormat="1" applyFont="1" applyBorder="1" applyAlignment="1">
      <alignment horizontal="center"/>
    </xf>
    <xf numFmtId="3" fontId="19" fillId="37" borderId="15" xfId="71" applyNumberFormat="1" applyFont="1" applyFill="1" applyBorder="1" applyAlignment="1" applyProtection="1">
      <alignment horizontal="center" vertical="center"/>
      <protection/>
    </xf>
    <xf numFmtId="3" fontId="19" fillId="39" borderId="15" xfId="71" applyNumberFormat="1" applyFont="1" applyFill="1" applyBorder="1" applyAlignment="1" applyProtection="1">
      <alignment horizontal="center" vertical="center"/>
      <protection/>
    </xf>
    <xf numFmtId="3" fontId="19" fillId="38" borderId="15" xfId="71" applyNumberFormat="1" applyFont="1" applyFill="1" applyBorder="1" applyAlignment="1" applyProtection="1">
      <alignment horizontal="center" vertical="center"/>
      <protection/>
    </xf>
    <xf numFmtId="3" fontId="18" fillId="37" borderId="15" xfId="71" applyNumberFormat="1" applyFont="1" applyFill="1" applyBorder="1" applyAlignment="1" applyProtection="1">
      <alignment horizontal="center" vertical="center"/>
      <protection/>
    </xf>
    <xf numFmtId="3" fontId="18" fillId="37" borderId="31" xfId="71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Border="1" applyAlignment="1">
      <alignment horizontal="center"/>
    </xf>
    <xf numFmtId="168" fontId="3" fillId="0" borderId="45" xfId="69" applyNumberFormat="1" applyFont="1" applyFill="1" applyBorder="1">
      <alignment/>
      <protection/>
    </xf>
    <xf numFmtId="168" fontId="3" fillId="0" borderId="46" xfId="0" applyNumberFormat="1" applyFont="1" applyBorder="1" applyAlignment="1">
      <alignment/>
    </xf>
    <xf numFmtId="0" fontId="8" fillId="0" borderId="0" xfId="0" applyFont="1" applyAlignment="1">
      <alignment/>
    </xf>
    <xf numFmtId="10" fontId="0" fillId="35" borderId="29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3" fontId="3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18" fillId="37" borderId="47" xfId="7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166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 horizontal="left"/>
    </xf>
    <xf numFmtId="166" fontId="0" fillId="0" borderId="0" xfId="0" applyNumberFormat="1" applyAlignment="1">
      <alignment/>
    </xf>
    <xf numFmtId="167" fontId="5" fillId="0" borderId="0" xfId="68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5" fillId="41" borderId="0" xfId="0" applyNumberFormat="1" applyFont="1" applyFill="1" applyAlignment="1">
      <alignment horizontal="left"/>
    </xf>
    <xf numFmtId="1" fontId="0" fillId="0" borderId="0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0" xfId="0" applyNumberFormat="1" applyAlignment="1">
      <alignment/>
    </xf>
    <xf numFmtId="167" fontId="2" fillId="0" borderId="11" xfId="68" applyNumberFormat="1" applyFont="1" applyBorder="1" applyAlignment="1" quotePrefix="1">
      <alignment horizontal="left" vertical="center"/>
      <protection/>
    </xf>
    <xf numFmtId="171" fontId="0" fillId="0" borderId="0" xfId="42" applyNumberFormat="1" applyFont="1" applyAlignment="1">
      <alignment/>
    </xf>
    <xf numFmtId="0" fontId="0" fillId="0" borderId="24" xfId="0" applyBorder="1" applyAlignment="1">
      <alignment horizontal="center"/>
    </xf>
    <xf numFmtId="172" fontId="0" fillId="0" borderId="25" xfId="0" applyNumberFormat="1" applyFont="1" applyBorder="1" applyAlignment="1">
      <alignment horizontal="center"/>
    </xf>
    <xf numFmtId="172" fontId="3" fillId="0" borderId="25" xfId="0" applyNumberFormat="1" applyFont="1" applyBorder="1" applyAlignment="1">
      <alignment/>
    </xf>
    <xf numFmtId="172" fontId="3" fillId="0" borderId="25" xfId="0" applyNumberFormat="1" applyFont="1" applyBorder="1" applyAlignment="1">
      <alignment horizontal="right"/>
    </xf>
    <xf numFmtId="172" fontId="0" fillId="0" borderId="25" xfId="0" applyNumberFormat="1" applyFont="1" applyBorder="1" applyAlignment="1">
      <alignment/>
    </xf>
    <xf numFmtId="172" fontId="0" fillId="0" borderId="26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167" fontId="0" fillId="0" borderId="15" xfId="70" applyNumberFormat="1" applyFont="1" applyFill="1" applyBorder="1" applyAlignment="1">
      <alignment horizontal="left"/>
      <protection/>
    </xf>
    <xf numFmtId="167" fontId="10" fillId="33" borderId="16" xfId="70" applyNumberFormat="1" applyFont="1" applyFill="1" applyBorder="1" applyAlignment="1">
      <alignment horizontal="center"/>
      <protection/>
    </xf>
    <xf numFmtId="167" fontId="10" fillId="33" borderId="17" xfId="70" applyNumberFormat="1" applyFont="1" applyFill="1" applyBorder="1" applyAlignment="1">
      <alignment horizontal="center"/>
      <protection/>
    </xf>
    <xf numFmtId="167" fontId="0" fillId="0" borderId="0" xfId="70" applyNumberFormat="1" applyFont="1" applyFill="1" applyBorder="1" applyAlignment="1">
      <alignment horizontal="left"/>
      <protection/>
    </xf>
    <xf numFmtId="167" fontId="10" fillId="33" borderId="18" xfId="70" applyNumberFormat="1" applyFont="1" applyFill="1" applyBorder="1" applyAlignment="1">
      <alignment horizontal="center"/>
      <protection/>
    </xf>
    <xf numFmtId="167" fontId="0" fillId="0" borderId="14" xfId="70" applyNumberFormat="1" applyFont="1" applyFill="1" applyBorder="1" applyAlignment="1">
      <alignment horizontal="left"/>
      <protection/>
    </xf>
    <xf numFmtId="167" fontId="10" fillId="33" borderId="15" xfId="70" applyNumberFormat="1" applyFont="1" applyFill="1" applyBorder="1" applyAlignment="1">
      <alignment horizontal="center"/>
      <protection/>
    </xf>
    <xf numFmtId="167" fontId="10" fillId="0" borderId="0" xfId="70" applyNumberFormat="1" applyFont="1" applyFill="1" applyBorder="1" applyAlignment="1">
      <alignment horizontal="center"/>
      <protection/>
    </xf>
    <xf numFmtId="167" fontId="10" fillId="36" borderId="17" xfId="70" applyNumberFormat="1" applyFont="1" applyFill="1" applyBorder="1" applyAlignment="1">
      <alignment horizontal="left"/>
      <protection/>
    </xf>
    <xf numFmtId="167" fontId="10" fillId="36" borderId="15" xfId="70" applyNumberFormat="1" applyFont="1" applyFill="1" applyBorder="1" applyAlignment="1">
      <alignment horizontal="left"/>
      <protection/>
    </xf>
    <xf numFmtId="167" fontId="10" fillId="34" borderId="17" xfId="70" applyNumberFormat="1" applyFont="1" applyFill="1" applyBorder="1" applyAlignment="1">
      <alignment horizontal="center"/>
      <protection/>
    </xf>
    <xf numFmtId="0" fontId="0" fillId="0" borderId="0" xfId="0" applyAlignment="1" quotePrefix="1">
      <alignment horizontal="left"/>
    </xf>
    <xf numFmtId="171" fontId="0" fillId="0" borderId="15" xfId="42" applyNumberFormat="1" applyFont="1" applyBorder="1" applyAlignment="1">
      <alignment horizontal="center"/>
    </xf>
    <xf numFmtId="171" fontId="0" fillId="35" borderId="15" xfId="42" applyNumberFormat="1" applyFont="1" applyFill="1" applyBorder="1" applyAlignment="1">
      <alignment horizontal="center"/>
    </xf>
    <xf numFmtId="171" fontId="3" fillId="0" borderId="15" xfId="42" applyNumberFormat="1" applyFont="1" applyBorder="1" applyAlignment="1">
      <alignment horizontal="center"/>
    </xf>
    <xf numFmtId="171" fontId="0" fillId="0" borderId="27" xfId="42" applyNumberFormat="1" applyFont="1" applyBorder="1" applyAlignment="1">
      <alignment horizontal="center"/>
    </xf>
    <xf numFmtId="171" fontId="0" fillId="0" borderId="0" xfId="42" applyNumberFormat="1" applyFont="1" applyFill="1" applyBorder="1" applyAlignment="1">
      <alignment/>
    </xf>
    <xf numFmtId="171" fontId="0" fillId="0" borderId="0" xfId="42" applyNumberFormat="1" applyFont="1" applyBorder="1" applyAlignment="1">
      <alignment/>
    </xf>
    <xf numFmtId="171" fontId="0" fillId="0" borderId="28" xfId="42" applyNumberFormat="1" applyFont="1" applyBorder="1" applyAlignment="1">
      <alignment/>
    </xf>
    <xf numFmtId="171" fontId="0" fillId="0" borderId="46" xfId="42" applyNumberFormat="1" applyFont="1" applyBorder="1" applyAlignment="1">
      <alignment/>
    </xf>
    <xf numFmtId="171" fontId="0" fillId="0" borderId="15" xfId="42" applyNumberFormat="1" applyFont="1" applyBorder="1" applyAlignment="1">
      <alignment horizontal="right"/>
    </xf>
    <xf numFmtId="3" fontId="0" fillId="0" borderId="0" xfId="0" applyNumberFormat="1" applyAlignment="1">
      <alignment/>
    </xf>
    <xf numFmtId="171" fontId="0" fillId="0" borderId="15" xfId="42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175" fontId="0" fillId="0" borderId="0" xfId="42" applyNumberFormat="1" applyFont="1" applyAlignment="1">
      <alignment/>
    </xf>
    <xf numFmtId="176" fontId="0" fillId="0" borderId="0" xfId="42" applyNumberFormat="1" applyFont="1" applyAlignment="1">
      <alignment/>
    </xf>
    <xf numFmtId="39" fontId="0" fillId="0" borderId="0" xfId="0" applyNumberForma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8" fontId="0" fillId="0" borderId="15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0" fillId="0" borderId="15" xfId="0" applyNumberFormat="1" applyFont="1" applyBorder="1" applyAlignment="1">
      <alignment horizontal="center"/>
    </xf>
    <xf numFmtId="178" fontId="0" fillId="0" borderId="15" xfId="0" applyNumberFormat="1" applyFont="1" applyFill="1" applyBorder="1" applyAlignment="1">
      <alignment horizontal="right"/>
    </xf>
    <xf numFmtId="178" fontId="0" fillId="0" borderId="0" xfId="0" applyNumberFormat="1" applyAlignment="1">
      <alignment/>
    </xf>
    <xf numFmtId="178" fontId="0" fillId="42" borderId="0" xfId="0" applyNumberFormat="1" applyFill="1" applyAlignment="1">
      <alignment/>
    </xf>
    <xf numFmtId="178" fontId="0" fillId="0" borderId="0" xfId="68" applyNumberFormat="1" applyAlignment="1">
      <alignment vertical="center"/>
      <protection/>
    </xf>
    <xf numFmtId="178" fontId="4" fillId="43" borderId="29" xfId="68" applyNumberFormat="1" applyFont="1" applyFill="1" applyBorder="1" applyAlignment="1" applyProtection="1" quotePrefix="1">
      <alignment horizontal="center" vertical="center"/>
      <protection/>
    </xf>
    <xf numFmtId="178" fontId="4" fillId="43" borderId="30" xfId="68" applyNumberFormat="1" applyFont="1" applyFill="1" applyBorder="1" applyAlignment="1" applyProtection="1">
      <alignment horizontal="center" vertical="center"/>
      <protection/>
    </xf>
    <xf numFmtId="178" fontId="0" fillId="0" borderId="11" xfId="68" applyNumberFormat="1" applyBorder="1" applyAlignment="1">
      <alignment horizontal="center" vertical="center"/>
      <protection/>
    </xf>
    <xf numFmtId="178" fontId="0" fillId="35" borderId="11" xfId="68" applyNumberFormat="1" applyFill="1" applyBorder="1" applyAlignment="1">
      <alignment vertical="center"/>
      <protection/>
    </xf>
    <xf numFmtId="178" fontId="0" fillId="0" borderId="0" xfId="68" applyNumberFormat="1" applyFill="1" applyAlignment="1">
      <alignment vertical="center"/>
      <protection/>
    </xf>
    <xf numFmtId="178" fontId="0" fillId="0" borderId="11" xfId="68" applyNumberFormat="1" applyFill="1" applyBorder="1" applyAlignment="1">
      <alignment horizontal="center" vertical="center"/>
      <protection/>
    </xf>
    <xf numFmtId="178" fontId="0" fillId="33" borderId="11" xfId="68" applyNumberFormat="1" applyFill="1" applyBorder="1" applyAlignment="1">
      <alignment vertical="center"/>
      <protection/>
    </xf>
    <xf numFmtId="178" fontId="3" fillId="0" borderId="0" xfId="68" applyNumberFormat="1" applyFont="1" applyAlignment="1">
      <alignment vertical="center"/>
      <protection/>
    </xf>
    <xf numFmtId="178" fontId="0" fillId="0" borderId="0" xfId="68" applyNumberFormat="1" applyFill="1" applyBorder="1" applyAlignment="1">
      <alignment vertical="center"/>
      <protection/>
    </xf>
    <xf numFmtId="178" fontId="0" fillId="0" borderId="11" xfId="68" applyNumberFormat="1" applyFill="1" applyBorder="1" applyAlignment="1">
      <alignment vertical="center"/>
      <protection/>
    </xf>
    <xf numFmtId="177" fontId="8" fillId="34" borderId="15" xfId="70" applyNumberFormat="1" applyFont="1" applyFill="1" applyBorder="1" applyAlignment="1">
      <alignment horizontal="center"/>
      <protection/>
    </xf>
    <xf numFmtId="177" fontId="0" fillId="0" borderId="15" xfId="68" applyNumberFormat="1" applyFill="1" applyBorder="1" applyAlignment="1">
      <alignment vertical="center"/>
      <protection/>
    </xf>
    <xf numFmtId="177" fontId="3" fillId="33" borderId="27" xfId="70" applyNumberFormat="1" applyFont="1" applyFill="1" applyBorder="1">
      <alignment/>
      <protection/>
    </xf>
    <xf numFmtId="177" fontId="3" fillId="0" borderId="0" xfId="70" applyNumberFormat="1" applyFont="1" applyFill="1" applyBorder="1">
      <alignment/>
      <protection/>
    </xf>
    <xf numFmtId="177" fontId="3" fillId="33" borderId="48" xfId="70" applyNumberFormat="1" applyFont="1" applyFill="1" applyBorder="1">
      <alignment/>
      <protection/>
    </xf>
    <xf numFmtId="177" fontId="3" fillId="36" borderId="27" xfId="70" applyNumberFormat="1" applyFont="1" applyFill="1" applyBorder="1">
      <alignment/>
      <protection/>
    </xf>
    <xf numFmtId="177" fontId="0" fillId="34" borderId="15" xfId="68" applyNumberFormat="1" applyFill="1" applyBorder="1" applyAlignment="1">
      <alignment vertical="center"/>
      <protection/>
    </xf>
    <xf numFmtId="177" fontId="0" fillId="34" borderId="27" xfId="70" applyNumberFormat="1" applyFont="1" applyFill="1" applyBorder="1">
      <alignment/>
      <protection/>
    </xf>
    <xf numFmtId="177" fontId="6" fillId="0" borderId="0" xfId="70" applyNumberFormat="1">
      <alignment/>
      <protection/>
    </xf>
    <xf numFmtId="177" fontId="8" fillId="34" borderId="29" xfId="70" applyNumberFormat="1" applyFont="1" applyFill="1" applyBorder="1" applyAlignment="1">
      <alignment horizontal="center"/>
      <protection/>
    </xf>
    <xf numFmtId="177" fontId="3" fillId="33" borderId="27" xfId="68" applyNumberFormat="1" applyFont="1" applyFill="1" applyBorder="1" applyAlignment="1">
      <alignment vertical="center"/>
      <protection/>
    </xf>
    <xf numFmtId="177" fontId="3" fillId="34" borderId="27" xfId="68" applyNumberFormat="1" applyFont="1" applyFill="1" applyBorder="1" applyAlignment="1">
      <alignment vertical="center"/>
      <protection/>
    </xf>
    <xf numFmtId="177" fontId="6" fillId="0" borderId="0" xfId="66" applyNumberFormat="1">
      <alignment/>
      <protection/>
    </xf>
    <xf numFmtId="177" fontId="8" fillId="34" borderId="15" xfId="70" applyNumberFormat="1" applyFont="1" applyFill="1" applyBorder="1" applyAlignment="1">
      <alignment horizontal="right"/>
      <protection/>
    </xf>
    <xf numFmtId="177" fontId="0" fillId="0" borderId="15" xfId="68" applyNumberFormat="1" applyFill="1" applyBorder="1" applyAlignment="1">
      <alignment horizontal="right" vertical="center"/>
      <protection/>
    </xf>
    <xf numFmtId="177" fontId="3" fillId="33" borderId="27" xfId="70" applyNumberFormat="1" applyFont="1" applyFill="1" applyBorder="1" applyAlignment="1">
      <alignment horizontal="right"/>
      <protection/>
    </xf>
    <xf numFmtId="177" fontId="3" fillId="0" borderId="0" xfId="70" applyNumberFormat="1" applyFont="1" applyFill="1" applyBorder="1" applyAlignment="1">
      <alignment horizontal="right"/>
      <protection/>
    </xf>
    <xf numFmtId="177" fontId="3" fillId="33" borderId="48" xfId="70" applyNumberFormat="1" applyFont="1" applyFill="1" applyBorder="1" applyAlignment="1">
      <alignment horizontal="right"/>
      <protection/>
    </xf>
    <xf numFmtId="177" fontId="3" fillId="36" borderId="27" xfId="70" applyNumberFormat="1" applyFont="1" applyFill="1" applyBorder="1" applyAlignment="1">
      <alignment horizontal="right"/>
      <protection/>
    </xf>
    <xf numFmtId="177" fontId="0" fillId="34" borderId="15" xfId="68" applyNumberFormat="1" applyFill="1" applyBorder="1" applyAlignment="1">
      <alignment horizontal="right" vertical="center"/>
      <protection/>
    </xf>
    <xf numFmtId="177" fontId="10" fillId="36" borderId="15" xfId="70" applyNumberFormat="1" applyFont="1" applyFill="1" applyBorder="1" applyAlignment="1">
      <alignment horizontal="right"/>
      <protection/>
    </xf>
    <xf numFmtId="177" fontId="0" fillId="34" borderId="27" xfId="70" applyNumberFormat="1" applyFont="1" applyFill="1" applyBorder="1" applyAlignment="1">
      <alignment horizontal="right"/>
      <protection/>
    </xf>
    <xf numFmtId="177" fontId="6" fillId="0" borderId="0" xfId="70" applyNumberFormat="1" applyAlignment="1">
      <alignment horizontal="right"/>
      <protection/>
    </xf>
    <xf numFmtId="177" fontId="0" fillId="0" borderId="0" xfId="0" applyNumberFormat="1" applyAlignment="1">
      <alignment horizontal="right"/>
    </xf>
    <xf numFmtId="0" fontId="8" fillId="34" borderId="29" xfId="70" applyNumberFormat="1" applyFont="1" applyFill="1" applyBorder="1" applyAlignment="1">
      <alignment horizontal="center"/>
      <protection/>
    </xf>
    <xf numFmtId="0" fontId="0" fillId="0" borderId="15" xfId="68" applyNumberFormat="1" applyFill="1" applyBorder="1" applyAlignment="1">
      <alignment vertical="center"/>
      <protection/>
    </xf>
    <xf numFmtId="0" fontId="3" fillId="33" borderId="27" xfId="68" applyNumberFormat="1" applyFont="1" applyFill="1" applyBorder="1" applyAlignment="1">
      <alignment vertical="center"/>
      <protection/>
    </xf>
    <xf numFmtId="0" fontId="6" fillId="0" borderId="0" xfId="66" applyNumberFormat="1">
      <alignment/>
      <protection/>
    </xf>
    <xf numFmtId="0" fontId="0" fillId="0" borderId="15" xfId="0" applyFill="1" applyBorder="1" applyAlignment="1">
      <alignment horizontal="left"/>
    </xf>
    <xf numFmtId="0" fontId="3" fillId="0" borderId="15" xfId="0" applyFont="1" applyFill="1" applyBorder="1" applyAlignment="1">
      <alignment wrapText="1"/>
    </xf>
    <xf numFmtId="178" fontId="0" fillId="35" borderId="15" xfId="42" applyNumberFormat="1" applyFont="1" applyFill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178" fontId="0" fillId="0" borderId="15" xfId="0" applyNumberFormat="1" applyFill="1" applyBorder="1" applyAlignment="1">
      <alignment horizontal="center"/>
    </xf>
    <xf numFmtId="3" fontId="0" fillId="35" borderId="0" xfId="0" applyNumberFormat="1" applyFill="1" applyBorder="1" applyAlignment="1">
      <alignment/>
    </xf>
    <xf numFmtId="178" fontId="3" fillId="40" borderId="15" xfId="71" applyNumberFormat="1" applyFont="1" applyFill="1" applyBorder="1" applyAlignment="1" applyProtection="1">
      <alignment horizontal="center" vertical="center" wrapText="1"/>
      <protection/>
    </xf>
    <xf numFmtId="178" fontId="0" fillId="0" borderId="17" xfId="71" applyNumberFormat="1" applyFont="1" applyFill="1" applyBorder="1" applyAlignment="1" applyProtection="1">
      <alignment horizontal="center" vertical="center" wrapText="1"/>
      <protection/>
    </xf>
    <xf numFmtId="178" fontId="0" fillId="0" borderId="28" xfId="71" applyNumberFormat="1" applyFont="1" applyFill="1" applyBorder="1" applyAlignment="1" applyProtection="1">
      <alignment horizontal="center" vertical="center" wrapText="1"/>
      <protection/>
    </xf>
    <xf numFmtId="178" fontId="0" fillId="35" borderId="15" xfId="71" applyNumberFormat="1" applyFont="1" applyFill="1" applyBorder="1" applyAlignment="1" applyProtection="1">
      <alignment horizontal="center" vertical="center" wrapText="1"/>
      <protection locked="0"/>
    </xf>
    <xf numFmtId="178" fontId="0" fillId="35" borderId="15" xfId="71" applyNumberFormat="1" applyFont="1" applyFill="1" applyBorder="1" applyAlignment="1" applyProtection="1">
      <alignment horizontal="center" vertical="center"/>
      <protection locked="0"/>
    </xf>
    <xf numFmtId="178" fontId="0" fillId="0" borderId="15" xfId="71" applyNumberFormat="1" applyFont="1" applyFill="1" applyBorder="1" applyAlignment="1" applyProtection="1">
      <alignment horizontal="center" vertical="center"/>
      <protection/>
    </xf>
    <xf numFmtId="178" fontId="0" fillId="0" borderId="15" xfId="71" applyNumberFormat="1" applyFont="1" applyFill="1" applyBorder="1" applyAlignment="1" applyProtection="1">
      <alignment horizontal="center" vertical="center" wrapText="1"/>
      <protection locked="0"/>
    </xf>
    <xf numFmtId="178" fontId="0" fillId="35" borderId="49" xfId="71" applyNumberFormat="1" applyFont="1" applyFill="1" applyBorder="1" applyAlignment="1" applyProtection="1">
      <alignment horizontal="center" vertical="center"/>
      <protection locked="0"/>
    </xf>
    <xf numFmtId="178" fontId="0" fillId="35" borderId="29" xfId="71" applyNumberFormat="1" applyFont="1" applyFill="1" applyBorder="1" applyAlignment="1" applyProtection="1">
      <alignment horizontal="center" vertical="center" wrapText="1"/>
      <protection locked="0"/>
    </xf>
    <xf numFmtId="178" fontId="3" fillId="0" borderId="31" xfId="71" applyNumberFormat="1" applyFont="1" applyFill="1" applyBorder="1" applyAlignment="1" applyProtection="1">
      <alignment horizontal="center" vertical="center" wrapText="1"/>
      <protection/>
    </xf>
    <xf numFmtId="178" fontId="3" fillId="0" borderId="0" xfId="71" applyNumberFormat="1" applyFont="1" applyFill="1" applyBorder="1" applyAlignment="1" applyProtection="1">
      <alignment horizontal="center" vertical="center" wrapText="1"/>
      <protection/>
    </xf>
    <xf numFmtId="178" fontId="27" fillId="0" borderId="34" xfId="71" applyNumberFormat="1" applyFont="1" applyFill="1" applyBorder="1" applyAlignment="1" applyProtection="1">
      <alignment horizontal="center" vertical="center" wrapText="1"/>
      <protection/>
    </xf>
    <xf numFmtId="178" fontId="3" fillId="0" borderId="15" xfId="71" applyNumberFormat="1" applyFont="1" applyFill="1" applyBorder="1" applyAlignment="1" applyProtection="1">
      <alignment horizontal="center" vertical="center" wrapText="1"/>
      <protection/>
    </xf>
    <xf numFmtId="178" fontId="15" fillId="0" borderId="36" xfId="71" applyNumberFormat="1" applyFont="1" applyFill="1" applyBorder="1" applyAlignment="1" applyProtection="1">
      <alignment horizontal="center" vertical="center" wrapText="1"/>
      <protection/>
    </xf>
    <xf numFmtId="178" fontId="15" fillId="0" borderId="34" xfId="71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 horizontal="center"/>
    </xf>
    <xf numFmtId="178" fontId="3" fillId="33" borderId="15" xfId="0" applyNumberFormat="1" applyFont="1" applyFill="1" applyBorder="1" applyAlignment="1">
      <alignment horizontal="center"/>
    </xf>
    <xf numFmtId="178" fontId="0" fillId="35" borderId="30" xfId="59" applyNumberFormat="1" applyFont="1" applyFill="1" applyBorder="1" applyAlignment="1" applyProtection="1">
      <alignment horizontal="center" vertical="center" wrapText="1"/>
      <protection locked="0"/>
    </xf>
    <xf numFmtId="178" fontId="0" fillId="0" borderId="20" xfId="69" applyNumberFormat="1" applyFont="1" applyFill="1" applyBorder="1" applyAlignment="1">
      <alignment horizontal="right"/>
      <protection/>
    </xf>
    <xf numFmtId="178" fontId="0" fillId="0" borderId="21" xfId="69" applyNumberFormat="1" applyFont="1" applyFill="1" applyBorder="1">
      <alignment/>
      <protection/>
    </xf>
    <xf numFmtId="178" fontId="0" fillId="0" borderId="34" xfId="69" applyNumberFormat="1" applyFont="1" applyFill="1" applyBorder="1" applyAlignment="1">
      <alignment horizontal="right"/>
      <protection/>
    </xf>
    <xf numFmtId="178" fontId="0" fillId="0" borderId="50" xfId="69" applyNumberFormat="1" applyFont="1" applyFill="1" applyBorder="1">
      <alignment/>
      <protection/>
    </xf>
    <xf numFmtId="178" fontId="3" fillId="0" borderId="51" xfId="69" applyNumberFormat="1" applyFont="1" applyFill="1" applyBorder="1" applyAlignment="1">
      <alignment horizontal="right"/>
      <protection/>
    </xf>
    <xf numFmtId="178" fontId="3" fillId="0" borderId="43" xfId="69" applyNumberFormat="1" applyFont="1" applyFill="1" applyBorder="1">
      <alignment/>
      <protection/>
    </xf>
    <xf numFmtId="178" fontId="0" fillId="35" borderId="15" xfId="69" applyNumberFormat="1" applyFont="1" applyFill="1" applyBorder="1">
      <alignment/>
      <protection/>
    </xf>
    <xf numFmtId="0" fontId="0" fillId="0" borderId="11" xfId="68" applyNumberFormat="1" applyFill="1" applyBorder="1" applyAlignment="1">
      <alignment horizontal="center" vertical="center"/>
      <protection/>
    </xf>
    <xf numFmtId="178" fontId="0" fillId="35" borderId="11" xfId="68" applyNumberFormat="1" applyFont="1" applyFill="1" applyBorder="1" applyAlignment="1">
      <alignment vertical="center"/>
      <protection/>
    </xf>
    <xf numFmtId="9" fontId="3" fillId="0" borderId="0" xfId="75" applyFont="1" applyBorder="1" applyAlignment="1">
      <alignment horizontal="right"/>
    </xf>
    <xf numFmtId="178" fontId="0" fillId="44" borderId="11" xfId="68" applyNumberFormat="1" applyFill="1" applyBorder="1" applyAlignment="1">
      <alignment vertical="center"/>
      <protection/>
    </xf>
    <xf numFmtId="178" fontId="0" fillId="44" borderId="11" xfId="68" applyNumberFormat="1" applyFont="1" applyFill="1" applyBorder="1" applyAlignment="1">
      <alignment vertical="center"/>
      <protection/>
    </xf>
    <xf numFmtId="167" fontId="2" fillId="0" borderId="11" xfId="68" applyNumberFormat="1" applyFont="1" applyBorder="1" applyAlignment="1">
      <alignment horizontal="left" vertical="center"/>
      <protection/>
    </xf>
    <xf numFmtId="178" fontId="2" fillId="0" borderId="0" xfId="68" applyNumberFormat="1" applyFont="1" applyAlignment="1">
      <alignment vertical="center"/>
      <protection/>
    </xf>
    <xf numFmtId="178" fontId="2" fillId="0" borderId="28" xfId="68" applyNumberFormat="1" applyFont="1" applyBorder="1" applyAlignment="1">
      <alignment vertical="center"/>
      <protection/>
    </xf>
    <xf numFmtId="9" fontId="3" fillId="0" borderId="15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29" xfId="71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79" fontId="0" fillId="0" borderId="15" xfId="7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3" xfId="70" applyFont="1" applyBorder="1" applyAlignment="1">
      <alignment horizontal="left"/>
      <protection/>
    </xf>
    <xf numFmtId="177" fontId="0" fillId="0" borderId="37" xfId="70" applyNumberFormat="1" applyFont="1" applyBorder="1">
      <alignment/>
      <protection/>
    </xf>
    <xf numFmtId="167" fontId="0" fillId="0" borderId="33" xfId="68" applyNumberFormat="1" applyFont="1" applyBorder="1" applyAlignment="1">
      <alignment vertical="center"/>
      <protection/>
    </xf>
    <xf numFmtId="178" fontId="0" fillId="0" borderId="37" xfId="68" applyNumberFormat="1" applyFont="1" applyBorder="1" applyAlignment="1">
      <alignment vertical="center"/>
      <protection/>
    </xf>
    <xf numFmtId="0" fontId="0" fillId="0" borderId="17" xfId="70" applyFont="1" applyBorder="1" applyAlignment="1">
      <alignment horizontal="left"/>
      <protection/>
    </xf>
    <xf numFmtId="177" fontId="0" fillId="0" borderId="49" xfId="70" applyNumberFormat="1" applyFont="1" applyBorder="1">
      <alignment/>
      <protection/>
    </xf>
    <xf numFmtId="0" fontId="0" fillId="0" borderId="33" xfId="66" applyFont="1" applyBorder="1">
      <alignment/>
      <protection/>
    </xf>
    <xf numFmtId="177" fontId="0" fillId="0" borderId="37" xfId="66" applyNumberFormat="1" applyFont="1" applyBorder="1">
      <alignment/>
      <protection/>
    </xf>
    <xf numFmtId="0" fontId="0" fillId="0" borderId="33" xfId="70" applyFont="1" applyFill="1" applyBorder="1" applyAlignment="1">
      <alignment horizontal="left"/>
      <protection/>
    </xf>
    <xf numFmtId="0" fontId="0" fillId="0" borderId="17" xfId="66" applyFont="1" applyBorder="1">
      <alignment/>
      <protection/>
    </xf>
    <xf numFmtId="177" fontId="3" fillId="0" borderId="49" xfId="66" applyNumberFormat="1" applyFont="1" applyFill="1" applyBorder="1">
      <alignment/>
      <protection/>
    </xf>
    <xf numFmtId="180" fontId="0" fillId="0" borderId="49" xfId="70" applyNumberFormat="1" applyFont="1" applyBorder="1">
      <alignment/>
      <protection/>
    </xf>
    <xf numFmtId="0" fontId="25" fillId="0" borderId="35" xfId="68" applyNumberFormat="1" applyFont="1" applyBorder="1" applyAlignment="1">
      <alignment horizontal="center" vertical="center"/>
      <protection/>
    </xf>
    <xf numFmtId="178" fontId="25" fillId="0" borderId="36" xfId="68" applyNumberFormat="1" applyFont="1" applyBorder="1" applyAlignment="1">
      <alignment vertical="center"/>
      <protection/>
    </xf>
    <xf numFmtId="167" fontId="0" fillId="0" borderId="36" xfId="68" applyNumberFormat="1" applyBorder="1" applyAlignment="1">
      <alignment vertical="center"/>
      <protection/>
    </xf>
    <xf numFmtId="178" fontId="0" fillId="0" borderId="36" xfId="68" applyNumberFormat="1" applyBorder="1" applyAlignment="1">
      <alignment vertical="center"/>
      <protection/>
    </xf>
    <xf numFmtId="178" fontId="0" fillId="0" borderId="36" xfId="0" applyNumberFormat="1" applyBorder="1" applyAlignment="1">
      <alignment/>
    </xf>
    <xf numFmtId="178" fontId="0" fillId="0" borderId="38" xfId="0" applyNumberFormat="1" applyBorder="1" applyAlignment="1">
      <alignment/>
    </xf>
    <xf numFmtId="0" fontId="25" fillId="0" borderId="33" xfId="68" applyNumberFormat="1" applyFont="1" applyBorder="1" applyAlignment="1">
      <alignment horizontal="center" vertical="center"/>
      <protection/>
    </xf>
    <xf numFmtId="178" fontId="2" fillId="0" borderId="0" xfId="68" applyNumberFormat="1" applyFont="1" applyBorder="1" applyAlignment="1">
      <alignment vertical="center"/>
      <protection/>
    </xf>
    <xf numFmtId="178" fontId="0" fillId="0" borderId="0" xfId="68" applyNumberFormat="1" applyBorder="1" applyAlignment="1">
      <alignment vertical="center"/>
      <protection/>
    </xf>
    <xf numFmtId="178" fontId="2" fillId="0" borderId="37" xfId="68" applyNumberFormat="1" applyFont="1" applyBorder="1" applyAlignment="1">
      <alignment vertical="center"/>
      <protection/>
    </xf>
    <xf numFmtId="0" fontId="0" fillId="0" borderId="16" xfId="68" applyNumberFormat="1" applyBorder="1" applyAlignment="1">
      <alignment horizontal="center" vertical="center"/>
      <protection/>
    </xf>
    <xf numFmtId="167" fontId="2" fillId="0" borderId="34" xfId="68" applyNumberFormat="1" applyFont="1" applyBorder="1" applyAlignment="1">
      <alignment vertical="center"/>
      <protection/>
    </xf>
    <xf numFmtId="167" fontId="0" fillId="0" borderId="34" xfId="68" applyNumberFormat="1" applyBorder="1" applyAlignment="1">
      <alignment vertical="center"/>
      <protection/>
    </xf>
    <xf numFmtId="178" fontId="0" fillId="0" borderId="34" xfId="68" applyNumberFormat="1" applyBorder="1" applyAlignment="1">
      <alignment vertical="center"/>
      <protection/>
    </xf>
    <xf numFmtId="178" fontId="2" fillId="0" borderId="49" xfId="68" applyNumberFormat="1" applyFont="1" applyBorder="1" applyAlignment="1">
      <alignment vertical="center"/>
      <protection/>
    </xf>
    <xf numFmtId="3" fontId="0" fillId="0" borderId="15" xfId="7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44" fontId="0" fillId="0" borderId="0" xfId="45" applyFont="1" applyAlignment="1">
      <alignment/>
    </xf>
    <xf numFmtId="179" fontId="0" fillId="0" borderId="0" xfId="75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9" fontId="0" fillId="0" borderId="0" xfId="75" applyNumberFormat="1" applyFont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47" fillId="0" borderId="19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22" xfId="0" applyFont="1" applyBorder="1" applyAlignment="1">
      <alignment wrapText="1"/>
    </xf>
    <xf numFmtId="0" fontId="49" fillId="32" borderId="17" xfId="0" applyFont="1" applyFill="1" applyBorder="1" applyAlignment="1">
      <alignment horizontal="center" wrapText="1"/>
    </xf>
    <xf numFmtId="0" fontId="49" fillId="32" borderId="15" xfId="0" applyFont="1" applyFill="1" applyBorder="1" applyAlignment="1">
      <alignment horizontal="center" wrapText="1"/>
    </xf>
    <xf numFmtId="0" fontId="47" fillId="0" borderId="23" xfId="0" applyFont="1" applyBorder="1" applyAlignment="1">
      <alignment wrapText="1"/>
    </xf>
    <xf numFmtId="0" fontId="47" fillId="0" borderId="15" xfId="0" applyFont="1" applyFill="1" applyBorder="1" applyAlignment="1">
      <alignment/>
    </xf>
    <xf numFmtId="0" fontId="47" fillId="0" borderId="15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center"/>
    </xf>
    <xf numFmtId="3" fontId="47" fillId="0" borderId="15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horizontal="center"/>
    </xf>
    <xf numFmtId="1" fontId="47" fillId="0" borderId="15" xfId="0" applyNumberFormat="1" applyFont="1" applyFill="1" applyBorder="1" applyAlignment="1">
      <alignment horizontal="center"/>
    </xf>
    <xf numFmtId="3" fontId="47" fillId="0" borderId="15" xfId="0" applyNumberFormat="1" applyFont="1" applyFill="1" applyBorder="1" applyAlignment="1">
      <alignment horizontal="center"/>
    </xf>
    <xf numFmtId="174" fontId="47" fillId="0" borderId="17" xfId="0" applyNumberFormat="1" applyFont="1" applyFill="1" applyBorder="1" applyAlignment="1">
      <alignment horizontal="center"/>
    </xf>
    <xf numFmtId="174" fontId="47" fillId="0" borderId="28" xfId="0" applyNumberFormat="1" applyFont="1" applyFill="1" applyBorder="1" applyAlignment="1">
      <alignment horizontal="center"/>
    </xf>
    <xf numFmtId="0" fontId="47" fillId="0" borderId="36" xfId="0" applyFont="1" applyBorder="1" applyAlignment="1">
      <alignment/>
    </xf>
    <xf numFmtId="3" fontId="47" fillId="0" borderId="27" xfId="0" applyNumberFormat="1" applyFont="1" applyFill="1" applyBorder="1" applyAlignment="1">
      <alignment horizontal="center"/>
    </xf>
    <xf numFmtId="10" fontId="47" fillId="0" borderId="27" xfId="75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15" xfId="0" applyFont="1" applyFill="1" applyBorder="1" applyAlignment="1">
      <alignment horizontal="left" wrapText="1"/>
    </xf>
    <xf numFmtId="0" fontId="49" fillId="45" borderId="49" xfId="0" applyFont="1" applyFill="1" applyBorder="1" applyAlignment="1">
      <alignment horizontal="center" wrapText="1"/>
    </xf>
    <xf numFmtId="0" fontId="49" fillId="45" borderId="15" xfId="0" applyFont="1" applyFill="1" applyBorder="1" applyAlignment="1">
      <alignment horizontal="center" wrapText="1"/>
    </xf>
    <xf numFmtId="3" fontId="47" fillId="0" borderId="0" xfId="0" applyNumberFormat="1" applyFont="1" applyFill="1" applyBorder="1" applyAlignment="1">
      <alignment horizontal="center"/>
    </xf>
    <xf numFmtId="10" fontId="47" fillId="0" borderId="0" xfId="75" applyNumberFormat="1" applyFont="1" applyBorder="1" applyAlignment="1">
      <alignment horizontal="center"/>
    </xf>
    <xf numFmtId="0" fontId="47" fillId="0" borderId="28" xfId="0" applyFont="1" applyBorder="1" applyAlignment="1">
      <alignment/>
    </xf>
    <xf numFmtId="3" fontId="47" fillId="0" borderId="28" xfId="0" applyNumberFormat="1" applyFont="1" applyFill="1" applyBorder="1" applyAlignment="1">
      <alignment horizontal="center"/>
    </xf>
    <xf numFmtId="10" fontId="47" fillId="0" borderId="28" xfId="75" applyNumberFormat="1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3" fontId="47" fillId="0" borderId="28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3" fontId="47" fillId="0" borderId="36" xfId="0" applyNumberFormat="1" applyFont="1" applyBorder="1" applyAlignment="1">
      <alignment horizontal="center"/>
    </xf>
    <xf numFmtId="10" fontId="47" fillId="0" borderId="36" xfId="75" applyNumberFormat="1" applyFont="1" applyBorder="1" applyAlignment="1">
      <alignment horizontal="center"/>
    </xf>
    <xf numFmtId="3" fontId="47" fillId="0" borderId="25" xfId="0" applyNumberFormat="1" applyFont="1" applyBorder="1" applyAlignment="1">
      <alignment horizontal="center"/>
    </xf>
    <xf numFmtId="10" fontId="47" fillId="0" borderId="25" xfId="75" applyNumberFormat="1" applyFont="1" applyBorder="1" applyAlignment="1">
      <alignment horizontal="center"/>
    </xf>
    <xf numFmtId="10" fontId="47" fillId="0" borderId="25" xfId="0" applyNumberFormat="1" applyFont="1" applyBorder="1" applyAlignment="1">
      <alignment horizontal="center"/>
    </xf>
    <xf numFmtId="0" fontId="47" fillId="0" borderId="0" xfId="0" applyFont="1" applyAlignment="1">
      <alignment wrapText="1"/>
    </xf>
    <xf numFmtId="3" fontId="47" fillId="0" borderId="0" xfId="0" applyNumberFormat="1" applyFont="1" applyAlignment="1">
      <alignment/>
    </xf>
    <xf numFmtId="0" fontId="47" fillId="0" borderId="22" xfId="0" applyFont="1" applyFill="1" applyBorder="1" applyAlignment="1">
      <alignment/>
    </xf>
    <xf numFmtId="0" fontId="47" fillId="0" borderId="0" xfId="0" applyFont="1" applyFill="1" applyAlignment="1">
      <alignment/>
    </xf>
    <xf numFmtId="178" fontId="3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78" fontId="0" fillId="0" borderId="15" xfId="0" applyNumberFormat="1" applyFont="1" applyFill="1" applyBorder="1" applyAlignment="1">
      <alignment horizontal="center"/>
    </xf>
    <xf numFmtId="178" fontId="0" fillId="0" borderId="15" xfId="0" applyNumberFormat="1" applyFont="1" applyFill="1" applyBorder="1" applyAlignment="1">
      <alignment/>
    </xf>
    <xf numFmtId="178" fontId="0" fillId="0" borderId="52" xfId="0" applyNumberFormat="1" applyFont="1" applyBorder="1" applyAlignment="1">
      <alignment/>
    </xf>
    <xf numFmtId="172" fontId="3" fillId="0" borderId="49" xfId="0" applyNumberFormat="1" applyFont="1" applyBorder="1" applyAlignment="1">
      <alignment horizontal="centerContinuous"/>
    </xf>
    <xf numFmtId="172" fontId="3" fillId="0" borderId="17" xfId="0" applyNumberFormat="1" applyFont="1" applyBorder="1" applyAlignment="1">
      <alignment horizontal="centerContinuous"/>
    </xf>
    <xf numFmtId="172" fontId="3" fillId="0" borderId="28" xfId="0" applyNumberFormat="1" applyFont="1" applyBorder="1" applyAlignment="1">
      <alignment horizontal="centerContinuous"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25" fillId="0" borderId="0" xfId="0" applyNumberFormat="1" applyFont="1" applyFill="1" applyBorder="1" applyAlignment="1">
      <alignment/>
    </xf>
    <xf numFmtId="178" fontId="0" fillId="0" borderId="52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173" fontId="0" fillId="0" borderId="0" xfId="0" applyNumberFormat="1" applyFill="1" applyAlignment="1">
      <alignment/>
    </xf>
    <xf numFmtId="178" fontId="2" fillId="0" borderId="15" xfId="0" applyNumberFormat="1" applyFont="1" applyFill="1" applyBorder="1" applyAlignment="1">
      <alignment horizontal="right"/>
    </xf>
    <xf numFmtId="178" fontId="2" fillId="0" borderId="52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178" fontId="0" fillId="0" borderId="0" xfId="0" applyNumberFormat="1" applyFont="1" applyFill="1" applyBorder="1" applyAlignment="1">
      <alignment horizontal="center"/>
    </xf>
    <xf numFmtId="178" fontId="0" fillId="0" borderId="15" xfId="0" applyNumberFormat="1" applyFont="1" applyFill="1" applyBorder="1" applyAlignment="1">
      <alignment/>
    </xf>
    <xf numFmtId="178" fontId="25" fillId="0" borderId="15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166" fontId="0" fillId="0" borderId="0" xfId="0" applyNumberFormat="1" applyFill="1" applyAlignment="1">
      <alignment/>
    </xf>
    <xf numFmtId="172" fontId="25" fillId="0" borderId="36" xfId="0" applyNumberFormat="1" applyFont="1" applyFill="1" applyBorder="1" applyAlignment="1">
      <alignment horizontal="centerContinuous"/>
    </xf>
    <xf numFmtId="172" fontId="0" fillId="0" borderId="38" xfId="0" applyNumberFormat="1" applyFont="1" applyFill="1" applyBorder="1" applyAlignment="1">
      <alignment horizontal="centerContinuous"/>
    </xf>
    <xf numFmtId="172" fontId="0" fillId="0" borderId="0" xfId="0" applyNumberFormat="1" applyFont="1" applyFill="1" applyBorder="1" applyAlignment="1">
      <alignment horizontal="centerContinuous"/>
    </xf>
    <xf numFmtId="172" fontId="0" fillId="0" borderId="37" xfId="0" applyNumberFormat="1" applyFont="1" applyFill="1" applyBorder="1" applyAlignment="1">
      <alignment horizontal="centerContinuous"/>
    </xf>
    <xf numFmtId="178" fontId="0" fillId="0" borderId="0" xfId="0" applyNumberFormat="1" applyFill="1" applyBorder="1" applyAlignment="1">
      <alignment/>
    </xf>
    <xf numFmtId="0" fontId="0" fillId="0" borderId="33" xfId="0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37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28" xfId="0" applyNumberFormat="1" applyFont="1" applyFill="1" applyBorder="1" applyAlignment="1">
      <alignment horizontal="right"/>
    </xf>
    <xf numFmtId="172" fontId="0" fillId="0" borderId="4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72" fontId="25" fillId="0" borderId="35" xfId="0" applyNumberFormat="1" applyFont="1" applyFill="1" applyBorder="1" applyAlignment="1">
      <alignment horizontal="centerContinuous"/>
    </xf>
    <xf numFmtId="1" fontId="0" fillId="0" borderId="0" xfId="0" applyNumberFormat="1" applyFont="1" applyFill="1" applyBorder="1" applyAlignment="1">
      <alignment/>
    </xf>
    <xf numFmtId="172" fontId="0" fillId="0" borderId="33" xfId="0" applyNumberFormat="1" applyFont="1" applyFill="1" applyBorder="1" applyAlignment="1">
      <alignment horizontal="centerContinuous"/>
    </xf>
    <xf numFmtId="172" fontId="0" fillId="0" borderId="33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172" fontId="0" fillId="0" borderId="36" xfId="0" applyNumberFormat="1" applyFont="1" applyFill="1" applyBorder="1" applyAlignment="1">
      <alignment horizontal="right"/>
    </xf>
    <xf numFmtId="172" fontId="0" fillId="0" borderId="38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2" fontId="0" fillId="0" borderId="34" xfId="0" applyNumberFormat="1" applyFont="1" applyFill="1" applyBorder="1" applyAlignment="1">
      <alignment horizontal="right"/>
    </xf>
    <xf numFmtId="172" fontId="0" fillId="0" borderId="53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171" fontId="0" fillId="0" borderId="0" xfId="42" applyNumberFormat="1" applyFont="1" applyFill="1" applyAlignment="1">
      <alignment wrapText="1"/>
    </xf>
    <xf numFmtId="0" fontId="0" fillId="0" borderId="17" xfId="0" applyFill="1" applyBorder="1" applyAlignment="1">
      <alignment wrapText="1"/>
    </xf>
    <xf numFmtId="171" fontId="0" fillId="0" borderId="28" xfId="42" applyNumberFormat="1" applyFont="1" applyFill="1" applyBorder="1" applyAlignment="1">
      <alignment wrapText="1"/>
    </xf>
    <xf numFmtId="171" fontId="0" fillId="0" borderId="49" xfId="42" applyNumberFormat="1" applyFont="1" applyFill="1" applyBorder="1" applyAlignment="1">
      <alignment wrapText="1"/>
    </xf>
    <xf numFmtId="0" fontId="0" fillId="0" borderId="35" xfId="0" applyFill="1" applyBorder="1" applyAlignment="1">
      <alignment/>
    </xf>
    <xf numFmtId="171" fontId="0" fillId="0" borderId="36" xfId="42" applyNumberFormat="1" applyFont="1" applyFill="1" applyBorder="1" applyAlignment="1">
      <alignment/>
    </xf>
    <xf numFmtId="171" fontId="0" fillId="0" borderId="38" xfId="42" applyNumberFormat="1" applyFont="1" applyFill="1" applyBorder="1" applyAlignment="1">
      <alignment/>
    </xf>
    <xf numFmtId="171" fontId="0" fillId="0" borderId="37" xfId="42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3" fontId="0" fillId="0" borderId="0" xfId="42" applyFill="1" applyAlignment="1">
      <alignment/>
    </xf>
    <xf numFmtId="0" fontId="0" fillId="0" borderId="16" xfId="0" applyFill="1" applyBorder="1" applyAlignment="1">
      <alignment/>
    </xf>
    <xf numFmtId="171" fontId="0" fillId="0" borderId="34" xfId="42" applyNumberFormat="1" applyFont="1" applyFill="1" applyBorder="1" applyAlignment="1">
      <alignment/>
    </xf>
    <xf numFmtId="171" fontId="0" fillId="0" borderId="53" xfId="42" applyNumberFormat="1" applyFont="1" applyFill="1" applyBorder="1" applyAlignment="1">
      <alignment/>
    </xf>
    <xf numFmtId="171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45" borderId="15" xfId="0" applyFont="1" applyFill="1" applyBorder="1" applyAlignment="1">
      <alignment horizontal="center"/>
    </xf>
    <xf numFmtId="171" fontId="0" fillId="0" borderId="15" xfId="42" applyNumberFormat="1" applyFont="1" applyFill="1" applyBorder="1" applyAlignment="1">
      <alignment horizontal="center"/>
    </xf>
    <xf numFmtId="43" fontId="3" fillId="0" borderId="15" xfId="42" applyFont="1" applyFill="1" applyBorder="1" applyAlignment="1">
      <alignment horizontal="center"/>
    </xf>
    <xf numFmtId="0" fontId="47" fillId="0" borderId="20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22" xfId="0" applyFont="1" applyBorder="1" applyAlignment="1">
      <alignment horizontal="center"/>
    </xf>
    <xf numFmtId="0" fontId="47" fillId="0" borderId="25" xfId="0" applyFont="1" applyBorder="1" applyAlignment="1">
      <alignment/>
    </xf>
    <xf numFmtId="172" fontId="0" fillId="0" borderId="0" xfId="0" applyNumberFormat="1" applyFill="1" applyAlignment="1">
      <alignment/>
    </xf>
    <xf numFmtId="0" fontId="52" fillId="45" borderId="54" xfId="0" applyFont="1" applyFill="1" applyBorder="1" applyAlignment="1">
      <alignment horizontal="center" wrapText="1"/>
    </xf>
    <xf numFmtId="0" fontId="52" fillId="45" borderId="55" xfId="0" applyFont="1" applyFill="1" applyBorder="1" applyAlignment="1">
      <alignment horizontal="center" wrapText="1"/>
    </xf>
    <xf numFmtId="0" fontId="52" fillId="45" borderId="56" xfId="0" applyFont="1" applyFill="1" applyBorder="1" applyAlignment="1">
      <alignment horizontal="center" wrapText="1"/>
    </xf>
    <xf numFmtId="0" fontId="49" fillId="32" borderId="22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23" xfId="0" applyFont="1" applyBorder="1" applyAlignment="1">
      <alignment/>
    </xf>
    <xf numFmtId="38" fontId="53" fillId="0" borderId="0" xfId="0" applyNumberFormat="1" applyFont="1" applyBorder="1" applyAlignment="1">
      <alignment horizontal="center"/>
    </xf>
    <xf numFmtId="38" fontId="47" fillId="0" borderId="0" xfId="42" applyNumberFormat="1" applyFont="1" applyFill="1" applyBorder="1" applyAlignment="1">
      <alignment horizontal="center"/>
    </xf>
    <xf numFmtId="38" fontId="49" fillId="12" borderId="23" xfId="42" applyNumberFormat="1" applyFont="1" applyFill="1" applyBorder="1" applyAlignment="1">
      <alignment horizontal="center"/>
    </xf>
    <xf numFmtId="38" fontId="47" fillId="0" borderId="0" xfId="0" applyNumberFormat="1" applyFont="1" applyAlignment="1">
      <alignment/>
    </xf>
    <xf numFmtId="38" fontId="47" fillId="0" borderId="23" xfId="42" applyNumberFormat="1" applyFont="1" applyFill="1" applyBorder="1" applyAlignment="1">
      <alignment horizontal="center"/>
    </xf>
    <xf numFmtId="0" fontId="49" fillId="0" borderId="22" xfId="0" applyFont="1" applyFill="1" applyBorder="1" applyAlignment="1">
      <alignment/>
    </xf>
    <xf numFmtId="38" fontId="49" fillId="0" borderId="28" xfId="42" applyNumberFormat="1" applyFont="1" applyFill="1" applyBorder="1" applyAlignment="1">
      <alignment horizontal="center"/>
    </xf>
    <xf numFmtId="38" fontId="49" fillId="0" borderId="45" xfId="42" applyNumberFormat="1" applyFont="1" applyFill="1" applyBorder="1" applyAlignment="1">
      <alignment horizontal="center"/>
    </xf>
    <xf numFmtId="38" fontId="47" fillId="0" borderId="0" xfId="42" applyNumberFormat="1" applyFont="1" applyFill="1" applyBorder="1" applyAlignment="1">
      <alignment/>
    </xf>
    <xf numFmtId="38" fontId="47" fillId="0" borderId="23" xfId="42" applyNumberFormat="1" applyFont="1" applyFill="1" applyBorder="1" applyAlignment="1">
      <alignment/>
    </xf>
    <xf numFmtId="179" fontId="47" fillId="0" borderId="0" xfId="75" applyNumberFormat="1" applyFont="1" applyAlignment="1">
      <alignment/>
    </xf>
    <xf numFmtId="0" fontId="49" fillId="0" borderId="22" xfId="0" applyFont="1" applyBorder="1" applyAlignment="1">
      <alignment/>
    </xf>
    <xf numFmtId="38" fontId="47" fillId="0" borderId="28" xfId="42" applyNumberFormat="1" applyFont="1" applyFill="1" applyBorder="1" applyAlignment="1">
      <alignment horizontal="center"/>
    </xf>
    <xf numFmtId="38" fontId="47" fillId="0" borderId="45" xfId="42" applyNumberFormat="1" applyFont="1" applyFill="1" applyBorder="1" applyAlignment="1">
      <alignment horizontal="center"/>
    </xf>
    <xf numFmtId="38" fontId="49" fillId="32" borderId="45" xfId="42" applyNumberFormat="1" applyFont="1" applyFill="1" applyBorder="1" applyAlignment="1">
      <alignment horizontal="center"/>
    </xf>
    <xf numFmtId="44" fontId="47" fillId="0" borderId="0" xfId="45" applyFont="1" applyAlignment="1">
      <alignment/>
    </xf>
    <xf numFmtId="38" fontId="49" fillId="0" borderId="46" xfId="42" applyNumberFormat="1" applyFont="1" applyFill="1" applyBorder="1" applyAlignment="1">
      <alignment horizontal="center"/>
    </xf>
    <xf numFmtId="38" fontId="49" fillId="0" borderId="57" xfId="42" applyNumberFormat="1" applyFont="1" applyFill="1" applyBorder="1" applyAlignment="1">
      <alignment horizontal="center"/>
    </xf>
    <xf numFmtId="37" fontId="47" fillId="0" borderId="0" xfId="0" applyNumberFormat="1" applyFont="1" applyAlignment="1">
      <alignment/>
    </xf>
    <xf numFmtId="10" fontId="47" fillId="0" borderId="0" xfId="75" applyNumberFormat="1" applyFont="1" applyFill="1" applyBorder="1" applyAlignment="1">
      <alignment horizontal="center"/>
    </xf>
    <xf numFmtId="10" fontId="47" fillId="0" borderId="23" xfId="75" applyNumberFormat="1" applyFont="1" applyFill="1" applyBorder="1" applyAlignment="1">
      <alignment horizontal="center"/>
    </xf>
    <xf numFmtId="37" fontId="47" fillId="0" borderId="0" xfId="42" applyNumberFormat="1" applyFont="1" applyFill="1" applyBorder="1" applyAlignment="1">
      <alignment/>
    </xf>
    <xf numFmtId="37" fontId="47" fillId="0" borderId="23" xfId="42" applyNumberFormat="1" applyFont="1" applyFill="1" applyBorder="1" applyAlignment="1">
      <alignment/>
    </xf>
    <xf numFmtId="37" fontId="47" fillId="0" borderId="0" xfId="42" applyNumberFormat="1" applyFont="1" applyFill="1" applyBorder="1" applyAlignment="1">
      <alignment horizontal="center"/>
    </xf>
    <xf numFmtId="37" fontId="47" fillId="0" borderId="23" xfId="42" applyNumberFormat="1" applyFont="1" applyFill="1" applyBorder="1" applyAlignment="1">
      <alignment horizontal="center"/>
    </xf>
    <xf numFmtId="37" fontId="49" fillId="0" borderId="46" xfId="42" applyNumberFormat="1" applyFont="1" applyFill="1" applyBorder="1" applyAlignment="1">
      <alignment horizontal="center"/>
    </xf>
    <xf numFmtId="37" fontId="49" fillId="0" borderId="57" xfId="42" applyNumberFormat="1" applyFont="1" applyFill="1" applyBorder="1" applyAlignment="1">
      <alignment horizontal="center"/>
    </xf>
    <xf numFmtId="10" fontId="47" fillId="0" borderId="0" xfId="75" applyNumberFormat="1" applyFont="1" applyAlignment="1">
      <alignment/>
    </xf>
    <xf numFmtId="0" fontId="49" fillId="32" borderId="22" xfId="0" applyFont="1" applyFill="1" applyBorder="1" applyAlignment="1">
      <alignment vertical="center" wrapText="1"/>
    </xf>
    <xf numFmtId="37" fontId="49" fillId="0" borderId="28" xfId="42" applyNumberFormat="1" applyFont="1" applyFill="1" applyBorder="1" applyAlignment="1">
      <alignment horizontal="center"/>
    </xf>
    <xf numFmtId="37" fontId="49" fillId="0" borderId="45" xfId="42" applyNumberFormat="1" applyFont="1" applyFill="1" applyBorder="1" applyAlignment="1">
      <alignment horizontal="center"/>
    </xf>
    <xf numFmtId="0" fontId="49" fillId="32" borderId="24" xfId="0" applyFont="1" applyFill="1" applyBorder="1" applyAlignment="1">
      <alignment vertical="center" wrapText="1"/>
    </xf>
    <xf numFmtId="37" fontId="49" fillId="0" borderId="51" xfId="42" applyNumberFormat="1" applyFont="1" applyFill="1" applyBorder="1" applyAlignment="1">
      <alignment horizontal="center"/>
    </xf>
    <xf numFmtId="37" fontId="49" fillId="12" borderId="51" xfId="42" applyNumberFormat="1" applyFont="1" applyFill="1" applyBorder="1" applyAlignment="1">
      <alignment horizontal="center"/>
    </xf>
    <xf numFmtId="37" fontId="49" fillId="0" borderId="43" xfId="42" applyNumberFormat="1" applyFont="1" applyFill="1" applyBorder="1" applyAlignment="1">
      <alignment horizontal="center"/>
    </xf>
    <xf numFmtId="171" fontId="47" fillId="0" borderId="0" xfId="0" applyNumberFormat="1" applyFont="1" applyAlignment="1">
      <alignment/>
    </xf>
    <xf numFmtId="0" fontId="46" fillId="32" borderId="22" xfId="0" applyFont="1" applyFill="1" applyBorder="1" applyAlignment="1">
      <alignment/>
    </xf>
    <xf numFmtId="0" fontId="49" fillId="32" borderId="58" xfId="0" applyFont="1" applyFill="1" applyBorder="1" applyAlignment="1">
      <alignment horizontal="center"/>
    </xf>
    <xf numFmtId="177" fontId="47" fillId="0" borderId="23" xfId="42" applyNumberFormat="1" applyFont="1" applyFill="1" applyBorder="1" applyAlignment="1">
      <alignment horizontal="center"/>
    </xf>
    <xf numFmtId="10" fontId="47" fillId="0" borderId="23" xfId="0" applyNumberFormat="1" applyFont="1" applyBorder="1" applyAlignment="1">
      <alignment horizontal="center"/>
    </xf>
    <xf numFmtId="37" fontId="49" fillId="0" borderId="59" xfId="42" applyNumberFormat="1" applyFont="1" applyFill="1" applyBorder="1" applyAlignment="1">
      <alignment horizontal="center"/>
    </xf>
    <xf numFmtId="37" fontId="49" fillId="32" borderId="57" xfId="42" applyNumberFormat="1" applyFont="1" applyFill="1" applyBorder="1" applyAlignment="1">
      <alignment horizontal="center"/>
    </xf>
    <xf numFmtId="10" fontId="47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3" fillId="45" borderId="29" xfId="0" applyFont="1" applyFill="1" applyBorder="1" applyAlignment="1">
      <alignment horizontal="center" wrapText="1"/>
    </xf>
    <xf numFmtId="0" fontId="3" fillId="45" borderId="30" xfId="0" applyFont="1" applyFill="1" applyBorder="1" applyAlignment="1">
      <alignment horizontal="center" wrapText="1"/>
    </xf>
    <xf numFmtId="178" fontId="3" fillId="45" borderId="29" xfId="0" applyNumberFormat="1" applyFont="1" applyFill="1" applyBorder="1" applyAlignment="1">
      <alignment horizontal="center" wrapText="1"/>
    </xf>
    <xf numFmtId="178" fontId="3" fillId="45" borderId="30" xfId="0" applyNumberFormat="1" applyFont="1" applyFill="1" applyBorder="1" applyAlignment="1">
      <alignment horizontal="center" wrapText="1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center"/>
    </xf>
    <xf numFmtId="178" fontId="0" fillId="0" borderId="40" xfId="0" applyNumberFormat="1" applyFont="1" applyBorder="1" applyAlignment="1">
      <alignment horizontal="center"/>
    </xf>
    <xf numFmtId="178" fontId="25" fillId="0" borderId="0" xfId="0" applyNumberFormat="1" applyFont="1" applyBorder="1" applyAlignment="1">
      <alignment/>
    </xf>
    <xf numFmtId="0" fontId="5" fillId="41" borderId="0" xfId="0" applyFont="1" applyFill="1" applyAlignment="1">
      <alignment horizontal="left"/>
    </xf>
    <xf numFmtId="172" fontId="3" fillId="0" borderId="17" xfId="0" applyNumberFormat="1" applyFont="1" applyBorder="1" applyAlignment="1">
      <alignment horizontal="center"/>
    </xf>
    <xf numFmtId="172" fontId="3" fillId="0" borderId="28" xfId="0" applyNumberFormat="1" applyFont="1" applyBorder="1" applyAlignment="1">
      <alignment horizontal="center"/>
    </xf>
    <xf numFmtId="172" fontId="3" fillId="0" borderId="49" xfId="0" applyNumberFormat="1" applyFont="1" applyBorder="1" applyAlignment="1">
      <alignment horizontal="center"/>
    </xf>
    <xf numFmtId="172" fontId="0" fillId="0" borderId="34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8" fontId="25" fillId="0" borderId="0" xfId="0" applyNumberFormat="1" applyFont="1" applyFill="1" applyBorder="1" applyAlignment="1">
      <alignment horizontal="right"/>
    </xf>
    <xf numFmtId="178" fontId="3" fillId="45" borderId="29" xfId="0" applyNumberFormat="1" applyFont="1" applyFill="1" applyBorder="1" applyAlignment="1">
      <alignment horizontal="right" wrapText="1"/>
    </xf>
    <xf numFmtId="178" fontId="3" fillId="45" borderId="30" xfId="0" applyNumberFormat="1" applyFont="1" applyFill="1" applyBorder="1" applyAlignment="1">
      <alignment horizontal="right" wrapText="1"/>
    </xf>
    <xf numFmtId="178" fontId="0" fillId="0" borderId="0" xfId="0" applyNumberFormat="1" applyFont="1" applyFill="1" applyBorder="1" applyAlignment="1">
      <alignment horizontal="right"/>
    </xf>
    <xf numFmtId="178" fontId="25" fillId="0" borderId="0" xfId="0" applyNumberFormat="1" applyFont="1" applyFill="1" applyBorder="1" applyAlignment="1">
      <alignment horizontal="left"/>
    </xf>
    <xf numFmtId="178" fontId="0" fillId="0" borderId="39" xfId="0" applyNumberFormat="1" applyFont="1" applyFill="1" applyBorder="1" applyAlignment="1">
      <alignment horizontal="center" wrapText="1"/>
    </xf>
    <xf numFmtId="178" fontId="2" fillId="0" borderId="0" xfId="0" applyNumberFormat="1" applyFont="1" applyFill="1" applyBorder="1" applyAlignment="1">
      <alignment/>
    </xf>
    <xf numFmtId="178" fontId="25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5" fillId="41" borderId="0" xfId="68" applyNumberFormat="1" applyFont="1" applyFill="1" applyAlignment="1">
      <alignment horizontal="left" vertical="center"/>
      <protection/>
    </xf>
    <xf numFmtId="0" fontId="29" fillId="43" borderId="15" xfId="68" applyNumberFormat="1" applyFont="1" applyFill="1" applyBorder="1" applyAlignment="1" applyProtection="1">
      <alignment horizontal="center" vertical="center"/>
      <protection/>
    </xf>
    <xf numFmtId="167" fontId="29" fillId="43" borderId="15" xfId="68" applyNumberFormat="1" applyFont="1" applyFill="1" applyBorder="1" applyAlignment="1" applyProtection="1">
      <alignment horizontal="center" vertical="center"/>
      <protection/>
    </xf>
    <xf numFmtId="167" fontId="9" fillId="0" borderId="0" xfId="68" applyNumberFormat="1" applyFont="1" applyAlignment="1">
      <alignment horizontal="center" vertical="center"/>
      <protection/>
    </xf>
    <xf numFmtId="167" fontId="8" fillId="33" borderId="15" xfId="70" applyNumberFormat="1" applyFont="1" applyFill="1" applyBorder="1" applyAlignment="1">
      <alignment horizontal="left"/>
      <protection/>
    </xf>
    <xf numFmtId="167" fontId="0" fillId="0" borderId="34" xfId="70" applyNumberFormat="1" applyFont="1" applyFill="1" applyBorder="1" applyAlignment="1">
      <alignment horizontal="left"/>
      <protection/>
    </xf>
    <xf numFmtId="0" fontId="10" fillId="46" borderId="17" xfId="66" applyFont="1" applyFill="1" applyBorder="1">
      <alignment/>
      <protection/>
    </xf>
    <xf numFmtId="0" fontId="10" fillId="46" borderId="49" xfId="66" applyFont="1" applyFill="1" applyBorder="1">
      <alignment/>
      <protection/>
    </xf>
    <xf numFmtId="0" fontId="8" fillId="0" borderId="0" xfId="66" applyFont="1" applyFill="1" applyBorder="1" applyAlignment="1">
      <alignment horizontal="center"/>
      <protection/>
    </xf>
    <xf numFmtId="0" fontId="8" fillId="33" borderId="29" xfId="70" applyFont="1" applyFill="1" applyBorder="1" applyAlignment="1">
      <alignment horizontal="left"/>
      <protection/>
    </xf>
    <xf numFmtId="0" fontId="10" fillId="33" borderId="15" xfId="66" applyFont="1" applyFill="1" applyBorder="1">
      <alignment/>
      <protection/>
    </xf>
    <xf numFmtId="0" fontId="8" fillId="0" borderId="60" xfId="66" applyFont="1" applyFill="1" applyBorder="1" applyAlignment="1">
      <alignment horizontal="center"/>
      <protection/>
    </xf>
    <xf numFmtId="0" fontId="10" fillId="33" borderId="17" xfId="66" applyFont="1" applyFill="1" applyBorder="1">
      <alignment/>
      <protection/>
    </xf>
    <xf numFmtId="0" fontId="10" fillId="33" borderId="49" xfId="66" applyFont="1" applyFill="1" applyBorder="1">
      <alignment/>
      <protection/>
    </xf>
    <xf numFmtId="0" fontId="3" fillId="0" borderId="18" xfId="66" applyFont="1" applyFill="1" applyBorder="1">
      <alignment/>
      <protection/>
    </xf>
    <xf numFmtId="0" fontId="3" fillId="0" borderId="0" xfId="66" applyFont="1" applyFill="1" applyBorder="1">
      <alignment/>
      <protection/>
    </xf>
    <xf numFmtId="0" fontId="8" fillId="33" borderId="15" xfId="70" applyFont="1" applyFill="1" applyBorder="1" applyAlignment="1">
      <alignment horizontal="left"/>
      <protection/>
    </xf>
    <xf numFmtId="0" fontId="0" fillId="0" borderId="34" xfId="70" applyFont="1" applyFill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5" fillId="41" borderId="0" xfId="0" applyNumberFormat="1" applyFont="1" applyFill="1" applyAlignment="1">
      <alignment horizontal="left"/>
    </xf>
    <xf numFmtId="1" fontId="0" fillId="0" borderId="0" xfId="0" applyNumberForma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8" fillId="34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1" fontId="0" fillId="0" borderId="49" xfId="0" applyNumberFormat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4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8" fillId="0" borderId="34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1" fontId="3" fillId="0" borderId="49" xfId="0" applyNumberFormat="1" applyFont="1" applyBorder="1" applyAlignment="1">
      <alignment horizontal="center"/>
    </xf>
    <xf numFmtId="1" fontId="0" fillId="0" borderId="15" xfId="0" applyNumberFormat="1" applyFill="1" applyBorder="1" applyAlignment="1">
      <alignment/>
    </xf>
    <xf numFmtId="0" fontId="15" fillId="0" borderId="17" xfId="0" applyFont="1" applyFill="1" applyBorder="1" applyAlignment="1">
      <alignment/>
    </xf>
    <xf numFmtId="0" fontId="0" fillId="0" borderId="49" xfId="0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1" fontId="3" fillId="0" borderId="49" xfId="0" applyNumberFormat="1" applyFont="1" applyFill="1" applyBorder="1" applyAlignment="1">
      <alignment horizontal="center"/>
    </xf>
    <xf numFmtId="0" fontId="3" fillId="45" borderId="17" xfId="0" applyFont="1" applyFill="1" applyBorder="1" applyAlignment="1">
      <alignment horizontal="center"/>
    </xf>
    <xf numFmtId="0" fontId="3" fillId="45" borderId="4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0" fillId="0" borderId="17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0" fontId="3" fillId="0" borderId="36" xfId="0" applyFont="1" applyFill="1" applyBorder="1" applyAlignment="1">
      <alignment horizontal="left" indent="1"/>
    </xf>
    <xf numFmtId="0" fontId="3" fillId="0" borderId="59" xfId="0" applyFont="1" applyFill="1" applyBorder="1" applyAlignment="1">
      <alignment horizontal="left" indent="1"/>
    </xf>
    <xf numFmtId="0" fontId="3" fillId="0" borderId="23" xfId="0" applyFont="1" applyFill="1" applyBorder="1" applyAlignment="1">
      <alignment horizontal="left" indent="1"/>
    </xf>
    <xf numFmtId="1" fontId="0" fillId="0" borderId="45" xfId="0" applyNumberFormat="1" applyBorder="1" applyAlignment="1">
      <alignment/>
    </xf>
    <xf numFmtId="1" fontId="8" fillId="45" borderId="0" xfId="0" applyNumberFormat="1" applyFont="1" applyFill="1" applyBorder="1" applyAlignment="1">
      <alignment horizontal="center"/>
    </xf>
    <xf numFmtId="0" fontId="15" fillId="0" borderId="49" xfId="0" applyFont="1" applyFill="1" applyBorder="1" applyAlignment="1">
      <alignment/>
    </xf>
    <xf numFmtId="1" fontId="3" fillId="0" borderId="35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9" fontId="47" fillId="0" borderId="28" xfId="0" applyNumberFormat="1" applyFont="1" applyBorder="1" applyAlignment="1">
      <alignment horizontal="center"/>
    </xf>
    <xf numFmtId="3" fontId="47" fillId="0" borderId="28" xfId="0" applyNumberFormat="1" applyFont="1" applyBorder="1" applyAlignment="1">
      <alignment horizontal="center"/>
    </xf>
    <xf numFmtId="0" fontId="47" fillId="0" borderId="51" xfId="0" applyFont="1" applyBorder="1" applyAlignment="1">
      <alignment/>
    </xf>
    <xf numFmtId="0" fontId="47" fillId="0" borderId="28" xfId="0" applyFont="1" applyBorder="1" applyAlignment="1">
      <alignment/>
    </xf>
    <xf numFmtId="3" fontId="47" fillId="0" borderId="0" xfId="0" applyNumberFormat="1" applyFont="1" applyBorder="1" applyAlignment="1">
      <alignment horizontal="center"/>
    </xf>
    <xf numFmtId="10" fontId="47" fillId="0" borderId="28" xfId="0" applyNumberFormat="1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20" xfId="0" applyFont="1" applyBorder="1" applyAlignment="1">
      <alignment/>
    </xf>
    <xf numFmtId="10" fontId="47" fillId="0" borderId="34" xfId="0" applyNumberFormat="1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9" fillId="45" borderId="17" xfId="0" applyFont="1" applyFill="1" applyBorder="1" applyAlignment="1">
      <alignment horizontal="center" wrapText="1"/>
    </xf>
    <xf numFmtId="0" fontId="49" fillId="45" borderId="49" xfId="0" applyFont="1" applyFill="1" applyBorder="1" applyAlignment="1">
      <alignment horizontal="center" wrapText="1"/>
    </xf>
    <xf numFmtId="0" fontId="49" fillId="45" borderId="15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10" fontId="47" fillId="0" borderId="36" xfId="0" applyNumberFormat="1" applyFont="1" applyBorder="1" applyAlignment="1">
      <alignment horizontal="center"/>
    </xf>
    <xf numFmtId="3" fontId="47" fillId="0" borderId="36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3" fontId="47" fillId="0" borderId="34" xfId="0" applyNumberFormat="1" applyFont="1" applyBorder="1" applyAlignment="1">
      <alignment horizontal="center"/>
    </xf>
    <xf numFmtId="9" fontId="47" fillId="0" borderId="34" xfId="75" applyFont="1" applyBorder="1" applyAlignment="1">
      <alignment horizontal="center"/>
    </xf>
    <xf numFmtId="10" fontId="47" fillId="0" borderId="36" xfId="75" applyNumberFormat="1" applyFont="1" applyBorder="1" applyAlignment="1">
      <alignment horizontal="center"/>
    </xf>
    <xf numFmtId="15" fontId="49" fillId="0" borderId="0" xfId="0" applyNumberFormat="1" applyFont="1" applyBorder="1" applyAlignment="1">
      <alignment horizontal="right"/>
    </xf>
    <xf numFmtId="0" fontId="51" fillId="41" borderId="0" xfId="0" applyFont="1" applyFill="1" applyAlignment="1">
      <alignment horizontal="left"/>
    </xf>
    <xf numFmtId="15" fontId="47" fillId="0" borderId="17" xfId="0" applyNumberFormat="1" applyFont="1" applyFill="1" applyBorder="1" applyAlignment="1">
      <alignment horizontal="center"/>
    </xf>
    <xf numFmtId="15" fontId="47" fillId="0" borderId="49" xfId="0" applyNumberFormat="1" applyFont="1" applyFill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32" borderId="15" xfId="0" applyFont="1" applyFill="1" applyBorder="1" applyAlignment="1">
      <alignment horizontal="center" wrapText="1"/>
    </xf>
    <xf numFmtId="174" fontId="47" fillId="0" borderId="17" xfId="0" applyNumberFormat="1" applyFont="1" applyFill="1" applyBorder="1" applyAlignment="1">
      <alignment horizontal="right"/>
    </xf>
    <xf numFmtId="174" fontId="47" fillId="0" borderId="49" xfId="0" applyNumberFormat="1" applyFont="1" applyFill="1" applyBorder="1" applyAlignment="1">
      <alignment horizontal="right"/>
    </xf>
    <xf numFmtId="0" fontId="46" fillId="0" borderId="25" xfId="0" applyFont="1" applyBorder="1" applyAlignment="1">
      <alignment horizontal="center"/>
    </xf>
    <xf numFmtId="10" fontId="47" fillId="0" borderId="15" xfId="0" applyNumberFormat="1" applyFont="1" applyFill="1" applyBorder="1" applyAlignment="1">
      <alignment horizontal="center"/>
    </xf>
    <xf numFmtId="0" fontId="49" fillId="32" borderId="17" xfId="0" applyFont="1" applyFill="1" applyBorder="1" applyAlignment="1">
      <alignment horizontal="center" wrapText="1"/>
    </xf>
    <xf numFmtId="0" fontId="49" fillId="32" borderId="28" xfId="0" applyFont="1" applyFill="1" applyBorder="1" applyAlignment="1">
      <alignment horizontal="center" wrapText="1"/>
    </xf>
    <xf numFmtId="10" fontId="50" fillId="0" borderId="17" xfId="0" applyNumberFormat="1" applyFont="1" applyFill="1" applyBorder="1" applyAlignment="1">
      <alignment horizontal="center"/>
    </xf>
    <xf numFmtId="10" fontId="50" fillId="0" borderId="49" xfId="0" applyNumberFormat="1" applyFont="1" applyFill="1" applyBorder="1" applyAlignment="1">
      <alignment horizontal="center"/>
    </xf>
    <xf numFmtId="0" fontId="47" fillId="0" borderId="25" xfId="0" applyFont="1" applyBorder="1" applyAlignment="1">
      <alignment/>
    </xf>
    <xf numFmtId="0" fontId="47" fillId="0" borderId="36" xfId="0" applyFont="1" applyBorder="1" applyAlignment="1">
      <alignment/>
    </xf>
    <xf numFmtId="10" fontId="47" fillId="0" borderId="34" xfId="75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34" borderId="29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41" borderId="25" xfId="0" applyFont="1" applyFill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22" fillId="47" borderId="17" xfId="71" applyFont="1" applyFill="1" applyBorder="1" applyAlignment="1" applyProtection="1">
      <alignment horizontal="left" vertical="center" wrapText="1"/>
      <protection/>
    </xf>
    <xf numFmtId="0" fontId="22" fillId="47" borderId="28" xfId="71" applyFont="1" applyFill="1" applyBorder="1" applyAlignment="1" applyProtection="1">
      <alignment horizontal="left" vertical="center" wrapText="1"/>
      <protection/>
    </xf>
    <xf numFmtId="0" fontId="22" fillId="47" borderId="49" xfId="71" applyFont="1" applyFill="1" applyBorder="1" applyAlignment="1" applyProtection="1">
      <alignment horizontal="left" vertical="center" wrapText="1"/>
      <protection/>
    </xf>
    <xf numFmtId="0" fontId="10" fillId="33" borderId="28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61" xfId="0" applyBorder="1" applyAlignment="1">
      <alignment/>
    </xf>
    <xf numFmtId="0" fontId="25" fillId="39" borderId="17" xfId="0" applyFont="1" applyFill="1" applyBorder="1" applyAlignment="1" applyProtection="1">
      <alignment/>
      <protection/>
    </xf>
    <xf numFmtId="0" fontId="25" fillId="39" borderId="28" xfId="0" applyFont="1" applyFill="1" applyBorder="1" applyAlignment="1" applyProtection="1">
      <alignment/>
      <protection/>
    </xf>
    <xf numFmtId="0" fontId="25" fillId="39" borderId="49" xfId="0" applyFont="1" applyFill="1" applyBorder="1" applyAlignment="1" applyProtection="1">
      <alignment/>
      <protection/>
    </xf>
    <xf numFmtId="0" fontId="23" fillId="39" borderId="17" xfId="0" applyFont="1" applyFill="1" applyBorder="1" applyAlignment="1" applyProtection="1">
      <alignment/>
      <protection/>
    </xf>
    <xf numFmtId="0" fontId="23" fillId="39" borderId="28" xfId="0" applyFont="1" applyFill="1" applyBorder="1" applyAlignment="1" applyProtection="1">
      <alignment/>
      <protection/>
    </xf>
    <xf numFmtId="0" fontId="23" fillId="39" borderId="49" xfId="0" applyFont="1" applyFill="1" applyBorder="1" applyAlignment="1" applyProtection="1">
      <alignment/>
      <protection/>
    </xf>
    <xf numFmtId="0" fontId="23" fillId="39" borderId="17" xfId="0" applyFont="1" applyFill="1" applyBorder="1" applyAlignment="1" applyProtection="1">
      <alignment horizontal="left"/>
      <protection/>
    </xf>
    <xf numFmtId="0" fontId="23" fillId="39" borderId="28" xfId="0" applyFont="1" applyFill="1" applyBorder="1" applyAlignment="1" applyProtection="1">
      <alignment horizontal="left"/>
      <protection/>
    </xf>
    <xf numFmtId="0" fontId="23" fillId="39" borderId="49" xfId="0" applyFont="1" applyFill="1" applyBorder="1" applyAlignment="1" applyProtection="1">
      <alignment horizontal="left"/>
      <protection/>
    </xf>
    <xf numFmtId="0" fontId="25" fillId="39" borderId="15" xfId="0" applyFont="1" applyFill="1" applyBorder="1" applyAlignment="1" applyProtection="1">
      <alignment horizontal="left"/>
      <protection/>
    </xf>
    <xf numFmtId="0" fontId="25" fillId="39" borderId="15" xfId="0" applyFont="1" applyFill="1" applyBorder="1" applyAlignment="1" applyProtection="1">
      <alignment horizontal="left" vertical="center" wrapText="1"/>
      <protection/>
    </xf>
    <xf numFmtId="0" fontId="25" fillId="39" borderId="17" xfId="0" applyFont="1" applyFill="1" applyBorder="1" applyAlignment="1" applyProtection="1">
      <alignment horizontal="left"/>
      <protection/>
    </xf>
    <xf numFmtId="0" fontId="25" fillId="39" borderId="28" xfId="0" applyFont="1" applyFill="1" applyBorder="1" applyAlignment="1" applyProtection="1">
      <alignment horizontal="left"/>
      <protection/>
    </xf>
    <xf numFmtId="0" fontId="25" fillId="39" borderId="49" xfId="0" applyFont="1" applyFill="1" applyBorder="1" applyAlignment="1" applyProtection="1">
      <alignment horizontal="left"/>
      <protection/>
    </xf>
    <xf numFmtId="0" fontId="9" fillId="0" borderId="20" xfId="0" applyFont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5" xfId="69" applyFont="1" applyFill="1" applyBorder="1" applyAlignment="1">
      <alignment horizontal="center"/>
      <protection/>
    </xf>
    <xf numFmtId="0" fontId="3" fillId="0" borderId="36" xfId="0" applyFont="1" applyBorder="1" applyAlignment="1">
      <alignment horizont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_Sheet6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_2006 Income Statement" xfId="66"/>
    <cellStyle name="Normal_Capital Tax Schedule" xfId="67"/>
    <cellStyle name="Normal_OEB Trial Balance - Regulatory-July24-07" xfId="68"/>
    <cellStyle name="Normal_Service Revenue Requirement" xfId="69"/>
    <cellStyle name="Normal_Sheet2" xfId="70"/>
    <cellStyle name="Normal_SIMPIL_MODEL_2004_ver2.6 (for rates application)" xfId="71"/>
    <cellStyle name="Note" xfId="72"/>
    <cellStyle name="Note 2" xfId="73"/>
    <cellStyle name="Output" xfId="74"/>
    <cellStyle name="Percent" xfId="75"/>
    <cellStyle name="Percent 2" xfId="76"/>
    <cellStyle name="Title" xfId="77"/>
    <cellStyle name="Total" xfId="78"/>
    <cellStyle name="Total 2" xfId="79"/>
    <cellStyle name="Warning Text" xfId="80"/>
  </cellStyles>
  <dxfs count="4"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maw\Local%20Settings\Temporary%20Internet%20Files\OLKBC\Exhibit%203%20Distribution%20Revenue%20Throughputs%20-%20Bla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18.7109375" style="0" customWidth="1"/>
    <col min="2" max="2" width="20.421875" style="0" customWidth="1"/>
    <col min="3" max="3" width="3.8515625" style="0" customWidth="1"/>
    <col min="4" max="4" width="17.8515625" style="0" customWidth="1"/>
  </cols>
  <sheetData>
    <row r="1" spans="1:4" ht="15">
      <c r="A1" s="601" t="s">
        <v>306</v>
      </c>
      <c r="B1" s="601"/>
      <c r="C1" s="601"/>
      <c r="D1" s="601"/>
    </row>
    <row r="2" spans="1:2" ht="15">
      <c r="A2" s="174"/>
      <c r="B2" s="223"/>
    </row>
    <row r="3" spans="2:4" ht="12.75">
      <c r="B3" s="602"/>
      <c r="C3" s="602"/>
      <c r="D3" s="602"/>
    </row>
    <row r="4" spans="1:4" ht="12.75">
      <c r="A4" s="213" t="s">
        <v>222</v>
      </c>
      <c r="B4" s="600" t="s">
        <v>869</v>
      </c>
      <c r="C4" s="600"/>
      <c r="D4" s="600"/>
    </row>
    <row r="5" spans="2:4" ht="12.75">
      <c r="B5" s="602"/>
      <c r="C5" s="602"/>
      <c r="D5" s="602"/>
    </row>
    <row r="6" spans="1:4" ht="12.75">
      <c r="A6" s="213" t="s">
        <v>226</v>
      </c>
      <c r="B6" s="605" t="s">
        <v>927</v>
      </c>
      <c r="C6" s="602"/>
      <c r="D6" s="602"/>
    </row>
    <row r="7" spans="2:4" ht="12.75">
      <c r="B7" s="602"/>
      <c r="C7" s="602"/>
      <c r="D7" s="602"/>
    </row>
    <row r="8" spans="1:4" ht="12.75">
      <c r="A8" s="213" t="s">
        <v>223</v>
      </c>
      <c r="B8" s="605" t="s">
        <v>928</v>
      </c>
      <c r="C8" s="602"/>
      <c r="D8" s="602"/>
    </row>
    <row r="9" spans="1:4" ht="12.75">
      <c r="A9" s="53"/>
      <c r="B9" s="602"/>
      <c r="C9" s="602"/>
      <c r="D9" s="602"/>
    </row>
    <row r="10" spans="1:4" ht="12.75">
      <c r="A10" s="213" t="s">
        <v>225</v>
      </c>
      <c r="B10" s="600" t="s">
        <v>929</v>
      </c>
      <c r="C10" s="600"/>
      <c r="D10" s="600"/>
    </row>
    <row r="11" spans="2:4" ht="12.75">
      <c r="B11" s="600" t="s">
        <v>870</v>
      </c>
      <c r="C11" s="600"/>
      <c r="D11" s="600"/>
    </row>
    <row r="12" spans="2:4" ht="12.75">
      <c r="B12" s="600" t="s">
        <v>871</v>
      </c>
      <c r="C12" s="600"/>
      <c r="D12" s="600"/>
    </row>
    <row r="13" spans="2:4" ht="12.75">
      <c r="B13" s="599"/>
      <c r="C13" s="599"/>
      <c r="D13" s="599"/>
    </row>
    <row r="14" spans="1:4" ht="12.75">
      <c r="A14" s="213" t="s">
        <v>227</v>
      </c>
      <c r="B14" s="603" t="s">
        <v>944</v>
      </c>
      <c r="C14" s="604"/>
      <c r="D14" s="604"/>
    </row>
    <row r="15" spans="2:4" ht="12.75">
      <c r="B15" s="599"/>
      <c r="C15" s="599"/>
      <c r="D15" s="599"/>
    </row>
  </sheetData>
  <sheetProtection/>
  <mergeCells count="14">
    <mergeCell ref="B15:D15"/>
    <mergeCell ref="B10:D10"/>
    <mergeCell ref="B11:D11"/>
    <mergeCell ref="B12:D12"/>
    <mergeCell ref="A1:D1"/>
    <mergeCell ref="B9:D9"/>
    <mergeCell ref="B14:D14"/>
    <mergeCell ref="B13:D13"/>
    <mergeCell ref="B3:D3"/>
    <mergeCell ref="B4:D4"/>
    <mergeCell ref="B5:D5"/>
    <mergeCell ref="B6:D6"/>
    <mergeCell ref="B7:D7"/>
    <mergeCell ref="B8:D8"/>
  </mergeCells>
  <printOptions/>
  <pageMargins left="0.75" right="0.75" top="1" bottom="1" header="0.5" footer="0.5"/>
  <pageSetup horizontalDpi="355" verticalDpi="3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0"/>
  <sheetViews>
    <sheetView zoomScalePageLayoutView="0" workbookViewId="0" topLeftCell="A133">
      <selection activeCell="B146" sqref="B146"/>
    </sheetView>
  </sheetViews>
  <sheetFormatPr defaultColWidth="9.140625" defaultRowHeight="12.75"/>
  <cols>
    <col min="1" max="1" width="72.28125" style="0" customWidth="1"/>
    <col min="2" max="2" width="21.8515625" style="284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>
      <c r="A1" s="614" t="str">
        <f>'Trial Balance'!A1:J1</f>
        <v>Woodstock Hydro Services Inc.</v>
      </c>
      <c r="B1" s="614"/>
    </row>
    <row r="2" spans="1:2" ht="12.75">
      <c r="A2" s="614" t="str">
        <f>'Trial Balance'!A2:J2</f>
        <v>, License Number ED-2003-0011, File Number EB-2010-0145</v>
      </c>
      <c r="B2" s="614"/>
    </row>
    <row r="3" spans="1:2" s="20" customFormat="1" ht="15">
      <c r="A3" s="637" t="str">
        <f>Notes!B4</f>
        <v>Woodstock Hydro Services Inc.</v>
      </c>
      <c r="B3" s="637"/>
    </row>
    <row r="4" spans="1:2" s="20" customFormat="1" ht="15">
      <c r="A4" s="640" t="s">
        <v>174</v>
      </c>
      <c r="B4" s="640"/>
    </row>
    <row r="5" spans="1:2" ht="15" customHeight="1">
      <c r="A5" s="60" t="s">
        <v>530</v>
      </c>
      <c r="B5" s="312" t="s">
        <v>154</v>
      </c>
    </row>
    <row r="6" spans="1:2" ht="15" customHeight="1">
      <c r="A6" s="639" t="s">
        <v>142</v>
      </c>
      <c r="B6" s="639"/>
    </row>
    <row r="7" spans="1:7" ht="15" customHeight="1">
      <c r="A7" s="25" t="str">
        <f>'Trial Balance'!A211&amp;"-"&amp;'Trial Balance'!B211</f>
        <v>4006-Residential Energy Sales</v>
      </c>
      <c r="B7" s="304">
        <f>'Trial Balance'!D211</f>
        <v>-5001673.18</v>
      </c>
      <c r="D7" s="11"/>
      <c r="E7" s="12"/>
      <c r="F7" s="13"/>
      <c r="G7" s="15"/>
    </row>
    <row r="8" spans="1:7" ht="15" customHeight="1">
      <c r="A8" s="25" t="str">
        <f>'Trial Balance'!A212&amp;"-"&amp;'Trial Balance'!B212</f>
        <v>4010-Commercial Energy Sales</v>
      </c>
      <c r="B8" s="304">
        <f>'Trial Balance'!D212</f>
        <v>0</v>
      </c>
      <c r="D8" s="11"/>
      <c r="E8" s="12"/>
      <c r="F8" s="13"/>
      <c r="G8" s="15"/>
    </row>
    <row r="9" spans="1:7" ht="15" customHeight="1">
      <c r="A9" s="25" t="str">
        <f>'Trial Balance'!A213&amp;"-"&amp;'Trial Balance'!B213</f>
        <v>4015-Industrial Energy Sales</v>
      </c>
      <c r="B9" s="304">
        <f>'Trial Balance'!D213</f>
        <v>0</v>
      </c>
      <c r="D9" s="11"/>
      <c r="E9" s="12"/>
      <c r="F9" s="13"/>
      <c r="G9" s="15"/>
    </row>
    <row r="10" spans="1:7" ht="15" customHeight="1">
      <c r="A10" s="25" t="str">
        <f>'Trial Balance'!A214&amp;"-"&amp;'Trial Balance'!B214</f>
        <v>4020-Energy Sales to Large Users</v>
      </c>
      <c r="B10" s="304">
        <f>'Trial Balance'!D214</f>
        <v>-1208508.83</v>
      </c>
      <c r="D10" s="11"/>
      <c r="E10" s="12"/>
      <c r="F10" s="13"/>
      <c r="G10" s="15"/>
    </row>
    <row r="11" spans="1:7" ht="15" customHeight="1">
      <c r="A11" s="25" t="str">
        <f>'Trial Balance'!A215&amp;"-"&amp;'Trial Balance'!B215</f>
        <v>4025-Street Lighting Energy Sales</v>
      </c>
      <c r="B11" s="304">
        <f>'Trial Balance'!D215</f>
        <v>-159449.86</v>
      </c>
      <c r="D11" s="11"/>
      <c r="E11" s="12"/>
      <c r="F11" s="13"/>
      <c r="G11" s="15"/>
    </row>
    <row r="12" spans="1:7" ht="15" customHeight="1">
      <c r="A12" s="25" t="str">
        <f>'Trial Balance'!A216&amp;"-"&amp;'Trial Balance'!B216</f>
        <v>4030-Sentinel Energy Sales</v>
      </c>
      <c r="B12" s="304">
        <f>'Trial Balance'!D216</f>
        <v>0</v>
      </c>
      <c r="D12" s="11"/>
      <c r="E12" s="12"/>
      <c r="F12" s="13"/>
      <c r="G12" s="15"/>
    </row>
    <row r="13" spans="1:7" ht="15" customHeight="1">
      <c r="A13" s="25" t="str">
        <f>'Trial Balance'!A217&amp;"-"&amp;'Trial Balance'!B217</f>
        <v>4035-General Energy Sales</v>
      </c>
      <c r="B13" s="304">
        <f>'Trial Balance'!D217</f>
        <v>-11130363.73</v>
      </c>
      <c r="D13" s="11"/>
      <c r="E13" s="12"/>
      <c r="F13" s="13"/>
      <c r="G13" s="15"/>
    </row>
    <row r="14" spans="1:7" ht="15" customHeight="1">
      <c r="A14" s="25" t="str">
        <f>'Trial Balance'!A218&amp;"-"&amp;'Trial Balance'!B218</f>
        <v>4040-Other Energy Sales to Public Authorities</v>
      </c>
      <c r="B14" s="304">
        <f>'Trial Balance'!D218</f>
        <v>0</v>
      </c>
      <c r="D14" s="11"/>
      <c r="E14" s="12"/>
      <c r="F14" s="13"/>
      <c r="G14" s="15"/>
    </row>
    <row r="15" spans="1:7" ht="15" customHeight="1">
      <c r="A15" s="25" t="str">
        <f>'Trial Balance'!A219&amp;"-"&amp;'Trial Balance'!B219</f>
        <v>4045-Energy Sales to Railroads and Railways</v>
      </c>
      <c r="B15" s="304">
        <f>'Trial Balance'!D219</f>
        <v>0</v>
      </c>
      <c r="D15" s="11"/>
      <c r="E15" s="12"/>
      <c r="F15" s="13"/>
      <c r="G15" s="15"/>
    </row>
    <row r="16" spans="1:7" ht="15" customHeight="1">
      <c r="A16" s="25" t="str">
        <f>'Trial Balance'!A220&amp;"-"&amp;'Trial Balance'!B220</f>
        <v>4050-Revenue Adjustment</v>
      </c>
      <c r="B16" s="304">
        <f>'Trial Balance'!D220</f>
        <v>0</v>
      </c>
      <c r="D16" s="11"/>
      <c r="E16" s="12"/>
      <c r="F16" s="13"/>
      <c r="G16" s="15"/>
    </row>
    <row r="17" spans="1:7" ht="15" customHeight="1">
      <c r="A17" s="25" t="str">
        <f>'Trial Balance'!A221&amp;"-"&amp;'Trial Balance'!B221</f>
        <v>4055-Energy Sales for Resale</v>
      </c>
      <c r="B17" s="304">
        <f>'Trial Balance'!D221</f>
        <v>-5430654.18</v>
      </c>
      <c r="D17" s="11"/>
      <c r="E17" s="14"/>
      <c r="F17" s="13"/>
      <c r="G17" s="15"/>
    </row>
    <row r="18" spans="1:7" ht="15" customHeight="1">
      <c r="A18" s="25" t="str">
        <f>'Trial Balance'!A222&amp;"-"&amp;'Trial Balance'!B222</f>
        <v>4060-Interdepartmental Energy Sales</v>
      </c>
      <c r="B18" s="304">
        <f>'Trial Balance'!D222</f>
        <v>0</v>
      </c>
      <c r="D18" s="11"/>
      <c r="E18" s="12"/>
      <c r="F18" s="13"/>
      <c r="G18" s="15"/>
    </row>
    <row r="19" spans="1:7" ht="15" customHeight="1">
      <c r="A19" s="25" t="str">
        <f>'Trial Balance'!A223&amp;"-"&amp;'Trial Balance'!B223</f>
        <v>4062-WMS</v>
      </c>
      <c r="B19" s="304">
        <f>'Trial Balance'!D223</f>
        <v>-2114180.06</v>
      </c>
      <c r="D19" s="11"/>
      <c r="E19" s="12"/>
      <c r="F19" s="13"/>
      <c r="G19" s="15"/>
    </row>
    <row r="20" spans="1:7" ht="15" customHeight="1">
      <c r="A20" s="25" t="str">
        <f>'Trial Balance'!A224&amp;"-"&amp;'Trial Balance'!B224</f>
        <v>4064-Billed WMS-One Time</v>
      </c>
      <c r="B20" s="304">
        <f>'Trial Balance'!D224</f>
        <v>0</v>
      </c>
      <c r="D20" s="11"/>
      <c r="E20" s="12"/>
      <c r="F20" s="13"/>
      <c r="G20" s="15"/>
    </row>
    <row r="21" spans="1:7" ht="15" customHeight="1">
      <c r="A21" s="25" t="str">
        <f>'Trial Balance'!A225&amp;"-"&amp;'Trial Balance'!B225</f>
        <v>4066-NS</v>
      </c>
      <c r="B21" s="304">
        <f>'Trial Balance'!D225</f>
        <v>-2248812.38</v>
      </c>
      <c r="D21" s="11"/>
      <c r="E21" s="12"/>
      <c r="F21" s="13"/>
      <c r="G21" s="15"/>
    </row>
    <row r="22" spans="1:7" ht="15" customHeight="1">
      <c r="A22" s="25" t="str">
        <f>'Trial Balance'!A226&amp;"-"&amp;'Trial Balance'!B226</f>
        <v>4068-CS</v>
      </c>
      <c r="B22" s="304">
        <f>'Trial Balance'!D226</f>
        <v>-1845394.92</v>
      </c>
      <c r="D22" s="11"/>
      <c r="E22" s="12"/>
      <c r="F22" s="13"/>
      <c r="G22" s="15"/>
    </row>
    <row r="23" spans="1:7" ht="15" customHeight="1" thickBot="1">
      <c r="A23" s="25" t="str">
        <f>'Trial Balance'!A227&amp;"-"&amp;'Trial Balance'!B227</f>
        <v>4075-LV Charges</v>
      </c>
      <c r="B23" s="304">
        <f>'Trial Balance'!D227</f>
        <v>0</v>
      </c>
      <c r="D23" s="11"/>
      <c r="E23" s="12"/>
      <c r="F23" s="13"/>
      <c r="G23" s="15"/>
    </row>
    <row r="24" spans="1:7" ht="15" customHeight="1" thickBot="1">
      <c r="A24" s="30" t="s">
        <v>143</v>
      </c>
      <c r="B24" s="313">
        <f>SUM(B7:B23)</f>
        <v>-29139037.14</v>
      </c>
      <c r="D24" s="11"/>
      <c r="E24" s="14"/>
      <c r="F24" s="13"/>
      <c r="G24" s="15"/>
    </row>
    <row r="25" spans="1:7" s="18" customFormat="1" ht="15" customHeight="1">
      <c r="A25" s="643"/>
      <c r="B25" s="644"/>
      <c r="D25" s="19"/>
      <c r="E25" s="12"/>
      <c r="F25" s="15"/>
      <c r="G25" s="15"/>
    </row>
    <row r="26" spans="1:7" s="18" customFormat="1" ht="15" customHeight="1">
      <c r="A26" s="639" t="s">
        <v>144</v>
      </c>
      <c r="B26" s="639"/>
      <c r="D26" s="19"/>
      <c r="E26" s="12"/>
      <c r="F26" s="15"/>
      <c r="G26" s="15"/>
    </row>
    <row r="27" spans="1:7" ht="15" customHeight="1">
      <c r="A27" s="25" t="str">
        <f>'Trial Balance'!A229&amp;"-"&amp;'Trial Balance'!B229</f>
        <v>4080-Distribution Services Revenue</v>
      </c>
      <c r="B27" s="304">
        <f>'Trial Balance'!D229</f>
        <v>-6122158.93</v>
      </c>
      <c r="D27" s="11"/>
      <c r="E27" s="14"/>
      <c r="F27" s="13"/>
      <c r="G27" s="15"/>
    </row>
    <row r="28" spans="1:7" ht="15" customHeight="1">
      <c r="A28" s="25" t="str">
        <f>'Trial Balance'!A230&amp;"-"&amp;'Trial Balance'!B230</f>
        <v>4082-RS Rev</v>
      </c>
      <c r="B28" s="304">
        <f>'Trial Balance'!D230</f>
        <v>-28482.8</v>
      </c>
      <c r="D28" s="11"/>
      <c r="E28" s="14"/>
      <c r="F28" s="13"/>
      <c r="G28" s="15"/>
    </row>
    <row r="29" spans="1:7" ht="15" customHeight="1">
      <c r="A29" s="25" t="str">
        <f>'Trial Balance'!A231&amp;"-"&amp;'Trial Balance'!B231</f>
        <v>4084-Serv Tx Requests</v>
      </c>
      <c r="B29" s="304">
        <f>'Trial Balance'!D231</f>
        <v>-1277.75</v>
      </c>
      <c r="D29" s="11"/>
      <c r="E29" s="14"/>
      <c r="F29" s="13"/>
      <c r="G29" s="15"/>
    </row>
    <row r="30" spans="1:7" ht="15" customHeight="1" thickBot="1">
      <c r="A30" s="25" t="str">
        <f>'Trial Balance'!A232&amp;"-"&amp;'Trial Balance'!B232</f>
        <v>4090-Electric Services Incidental to Energy Sales</v>
      </c>
      <c r="B30" s="304">
        <f>'Trial Balance'!D232</f>
        <v>0</v>
      </c>
      <c r="D30" s="11"/>
      <c r="E30" s="14"/>
      <c r="F30" s="13"/>
      <c r="G30" s="15"/>
    </row>
    <row r="31" spans="1:7" ht="15" customHeight="1" thickBot="1">
      <c r="A31" s="30" t="s">
        <v>74</v>
      </c>
      <c r="B31" s="313">
        <f>SUM(B27:B30)</f>
        <v>-6151919.4799999995</v>
      </c>
      <c r="D31" s="11"/>
      <c r="E31" s="12"/>
      <c r="F31" s="13"/>
      <c r="G31" s="15"/>
    </row>
    <row r="32" spans="1:7" s="18" customFormat="1" ht="15" customHeight="1">
      <c r="A32" s="643"/>
      <c r="B32" s="644"/>
      <c r="D32" s="19"/>
      <c r="E32" s="12"/>
      <c r="F32" s="15"/>
      <c r="G32" s="15"/>
    </row>
    <row r="33" spans="1:7" s="18" customFormat="1" ht="15" customHeight="1">
      <c r="A33" s="639" t="s">
        <v>75</v>
      </c>
      <c r="B33" s="639"/>
      <c r="D33" s="19"/>
      <c r="E33" s="12"/>
      <c r="F33" s="15"/>
      <c r="G33" s="15"/>
    </row>
    <row r="34" spans="1:7" ht="15" customHeight="1">
      <c r="A34" s="25" t="str">
        <f>'Trial Balance'!A234&amp;"-"&amp;'Trial Balance'!B234</f>
        <v>4205-Interdepartmental Rents</v>
      </c>
      <c r="B34" s="304">
        <f>'Trial Balance'!D234</f>
        <v>0</v>
      </c>
      <c r="D34" s="11"/>
      <c r="E34" s="14"/>
      <c r="F34" s="13"/>
      <c r="G34" s="15"/>
    </row>
    <row r="35" spans="1:2" ht="15" customHeight="1">
      <c r="A35" s="25" t="str">
        <f>'Trial Balance'!A235&amp;"-"&amp;'Trial Balance'!B235</f>
        <v>4210-Rent from Electric Property</v>
      </c>
      <c r="B35" s="304">
        <f>'Trial Balance'!D235</f>
        <v>-270821.24</v>
      </c>
    </row>
    <row r="36" spans="1:2" ht="15" customHeight="1">
      <c r="A36" s="25" t="str">
        <f>'Trial Balance'!A236&amp;"-"&amp;'Trial Balance'!B236</f>
        <v>4215-Other Utility Operating Income</v>
      </c>
      <c r="B36" s="304">
        <f>'Trial Balance'!D236</f>
        <v>0</v>
      </c>
    </row>
    <row r="37" spans="1:2" ht="15" customHeight="1">
      <c r="A37" s="25" t="str">
        <f>'Trial Balance'!A237&amp;"-"&amp;'Trial Balance'!B237</f>
        <v>4220-Other Electric Revenues</v>
      </c>
      <c r="B37" s="304">
        <f>'Trial Balance'!D237</f>
        <v>-291187.5</v>
      </c>
    </row>
    <row r="38" spans="1:2" ht="15" customHeight="1">
      <c r="A38" s="25" t="str">
        <f>'Trial Balance'!A238&amp;"-"&amp;'Trial Balance'!B238</f>
        <v>4225-Late Payment Charges</v>
      </c>
      <c r="B38" s="304">
        <f>'Trial Balance'!D238</f>
        <v>-50782.53</v>
      </c>
    </row>
    <row r="39" spans="1:2" ht="15" customHeight="1">
      <c r="A39" s="25" t="str">
        <f>'Trial Balance'!A239&amp;"-"&amp;'Trial Balance'!B239</f>
        <v>4230-Sales of Water and Water Power</v>
      </c>
      <c r="B39" s="304">
        <f>'Trial Balance'!D239</f>
        <v>0</v>
      </c>
    </row>
    <row r="40" spans="1:2" ht="15" customHeight="1">
      <c r="A40" s="25" t="str">
        <f>'Trial Balance'!A240&amp;"-"&amp;'Trial Balance'!B240</f>
        <v>4235-Miscellaneous Service Revenues</v>
      </c>
      <c r="B40" s="304">
        <f>'Trial Balance'!D240</f>
        <v>-64605.85</v>
      </c>
    </row>
    <row r="41" spans="1:2" ht="15" customHeight="1">
      <c r="A41" s="25" t="str">
        <f>'Trial Balance'!A241&amp;"-"&amp;'Trial Balance'!B241</f>
        <v>4240-Provision for Rate Refunds</v>
      </c>
      <c r="B41" s="304">
        <f>'Trial Balance'!D241</f>
        <v>0</v>
      </c>
    </row>
    <row r="42" spans="1:2" ht="15" customHeight="1" thickBot="1">
      <c r="A42" s="25" t="str">
        <f>'Trial Balance'!A242&amp;"-"&amp;'Trial Balance'!B242</f>
        <v>4245-Government Assistance Directly Credited to Income</v>
      </c>
      <c r="B42" s="304">
        <f>'Trial Balance'!D242</f>
        <v>0</v>
      </c>
    </row>
    <row r="43" spans="1:2" ht="15" customHeight="1" thickBot="1">
      <c r="A43" s="30" t="s">
        <v>87</v>
      </c>
      <c r="B43" s="313">
        <f>SUM(B34:B42)</f>
        <v>-677397.12</v>
      </c>
    </row>
    <row r="44" spans="1:2" s="18" customFormat="1" ht="15" customHeight="1">
      <c r="A44" s="643"/>
      <c r="B44" s="644"/>
    </row>
    <row r="45" spans="1:2" s="18" customFormat="1" ht="15" customHeight="1">
      <c r="A45" s="639" t="s">
        <v>88</v>
      </c>
      <c r="B45" s="639"/>
    </row>
    <row r="46" spans="1:2" ht="15" customHeight="1">
      <c r="A46" s="25" t="str">
        <f>'Trial Balance'!A244&amp;"-"&amp;'Trial Balance'!B244</f>
        <v>4305-Regulatory Debits</v>
      </c>
      <c r="B46" s="304">
        <f>'Trial Balance'!D244</f>
        <v>0</v>
      </c>
    </row>
    <row r="47" spans="1:2" ht="15" customHeight="1">
      <c r="A47" s="25" t="str">
        <f>'Trial Balance'!A245&amp;"-"&amp;'Trial Balance'!B245</f>
        <v>4310-Regulatory Credits</v>
      </c>
      <c r="B47" s="304">
        <f>'Trial Balance'!D245</f>
        <v>0</v>
      </c>
    </row>
    <row r="48" spans="1:2" ht="15" customHeight="1">
      <c r="A48" s="25" t="str">
        <f>'Trial Balance'!A246&amp;"-"&amp;'Trial Balance'!B246</f>
        <v>4315-Revenues from Electric Plant Leased to Others</v>
      </c>
      <c r="B48" s="304">
        <f>'Trial Balance'!D246</f>
        <v>0</v>
      </c>
    </row>
    <row r="49" spans="1:2" ht="15" customHeight="1">
      <c r="A49" s="25" t="str">
        <f>'Trial Balance'!A247&amp;"-"&amp;'Trial Balance'!B247</f>
        <v>4320-Expenses of Electric Plant Leased to Others</v>
      </c>
      <c r="B49" s="304">
        <f>'Trial Balance'!D247</f>
        <v>0</v>
      </c>
    </row>
    <row r="50" spans="1:2" ht="15" customHeight="1">
      <c r="A50" s="25" t="str">
        <f>'Trial Balance'!A249&amp;"-"&amp;'Trial Balance'!B249</f>
        <v>4325-Revenues from Merchandise, Jobbing, Etc.</v>
      </c>
      <c r="B50" s="304">
        <f>'Trial Balance'!D249</f>
        <v>0</v>
      </c>
    </row>
    <row r="51" spans="1:2" ht="15" customHeight="1">
      <c r="A51" s="25" t="str">
        <f>'Trial Balance'!A250&amp;"-"&amp;'Trial Balance'!B250</f>
        <v>4330-Costs and Expenses of Merchandising, Jobbing, Etc</v>
      </c>
      <c r="B51" s="304">
        <f>'Trial Balance'!D250</f>
        <v>0</v>
      </c>
    </row>
    <row r="52" spans="1:2" ht="15" customHeight="1">
      <c r="A52" s="25" t="str">
        <f>'Trial Balance'!A251&amp;"-"&amp;'Trial Balance'!B251</f>
        <v>4335-Profits and Losses from Financial Instrument Hedges</v>
      </c>
      <c r="B52" s="304">
        <f>'Trial Balance'!D251</f>
        <v>0</v>
      </c>
    </row>
    <row r="53" spans="1:2" ht="15" customHeight="1">
      <c r="A53" s="25" t="str">
        <f>'Trial Balance'!A252&amp;"-"&amp;'Trial Balance'!B252</f>
        <v>4340-Profits and Losses from Financial Instrument Investments</v>
      </c>
      <c r="B53" s="304">
        <f>'Trial Balance'!D252</f>
        <v>0</v>
      </c>
    </row>
    <row r="54" spans="1:2" ht="15" customHeight="1">
      <c r="A54" s="25" t="str">
        <f>'Trial Balance'!A253&amp;"-"&amp;'Trial Balance'!B253</f>
        <v>4345-Gains from Disposition of Future Use Utility Plant</v>
      </c>
      <c r="B54" s="304">
        <f>'Trial Balance'!D253</f>
        <v>0</v>
      </c>
    </row>
    <row r="55" spans="1:2" ht="15" customHeight="1">
      <c r="A55" s="25" t="str">
        <f>'Trial Balance'!A254&amp;"-"&amp;'Trial Balance'!B254</f>
        <v>4350-Losses from Disposition of Future Use Utility Plant</v>
      </c>
      <c r="B55" s="304">
        <f>'Trial Balance'!D254</f>
        <v>0</v>
      </c>
    </row>
    <row r="56" spans="1:2" ht="15" customHeight="1">
      <c r="A56" s="25" t="str">
        <f>'Trial Balance'!A255&amp;"-"&amp;'Trial Balance'!B255</f>
        <v>4355-Gain on Disposition of Utility and Other Property</v>
      </c>
      <c r="B56" s="304">
        <f>'Trial Balance'!D255</f>
        <v>-35620.75</v>
      </c>
    </row>
    <row r="57" spans="1:2" ht="15" customHeight="1">
      <c r="A57" s="25" t="str">
        <f>'Trial Balance'!A256&amp;"-"&amp;'Trial Balance'!B256</f>
        <v>4360-Loss on Disposition of Utility and Other Property</v>
      </c>
      <c r="B57" s="304">
        <f>'Trial Balance'!D256</f>
        <v>0</v>
      </c>
    </row>
    <row r="58" spans="1:2" ht="15" customHeight="1">
      <c r="A58" s="25" t="str">
        <f>'Trial Balance'!A257&amp;"-"&amp;'Trial Balance'!B257</f>
        <v>4365-Gains from Disposition of Allowances for Emission</v>
      </c>
      <c r="B58" s="304">
        <f>'Trial Balance'!D257</f>
        <v>0</v>
      </c>
    </row>
    <row r="59" spans="1:2" ht="15" customHeight="1">
      <c r="A59" s="25" t="str">
        <f>'Trial Balance'!A258&amp;"-"&amp;'Trial Balance'!B258</f>
        <v>4370-Losses from Disposition of Allowances for Emission</v>
      </c>
      <c r="B59" s="304">
        <f>'Trial Balance'!D258</f>
        <v>0</v>
      </c>
    </row>
    <row r="60" spans="1:2" ht="15" customHeight="1">
      <c r="A60" s="25" t="str">
        <f>'Trial Balance'!A259&amp;"-"&amp;'Trial Balance'!B259</f>
        <v>4375-Revenues from Non-Utility Operations</v>
      </c>
      <c r="B60" s="304">
        <f>'Trial Balance'!D259</f>
        <v>0</v>
      </c>
    </row>
    <row r="61" spans="1:2" ht="15" customHeight="1">
      <c r="A61" s="25" t="str">
        <f>'Trial Balance'!A260&amp;"-"&amp;'Trial Balance'!B260</f>
        <v>4380-Expenses of Non-Utility Operations</v>
      </c>
      <c r="B61" s="304">
        <f>'Trial Balance'!D260</f>
        <v>0</v>
      </c>
    </row>
    <row r="62" spans="1:2" ht="15" customHeight="1">
      <c r="A62" s="25" t="str">
        <f>'Trial Balance'!A261&amp;"-"&amp;'Trial Balance'!B261</f>
        <v>4385-Expenses of Non-Utility Operations</v>
      </c>
      <c r="B62" s="304">
        <f>'Trial Balance'!D261</f>
        <v>0</v>
      </c>
    </row>
    <row r="63" spans="1:2" ht="15" customHeight="1">
      <c r="A63" s="25" t="str">
        <f>'Trial Balance'!A262&amp;"-"&amp;'Trial Balance'!B262</f>
        <v>4390-Miscellaneous Non-Operating Income</v>
      </c>
      <c r="B63" s="304">
        <f>'Trial Balance'!D262</f>
        <v>-8931.69</v>
      </c>
    </row>
    <row r="64" spans="1:2" ht="15" customHeight="1">
      <c r="A64" s="25" t="str">
        <f>'Trial Balance'!A263&amp;"-"&amp;'Trial Balance'!B263</f>
        <v>4395-Rate-Payer Benefit Including Interest</v>
      </c>
      <c r="B64" s="304">
        <f>'Trial Balance'!D263</f>
        <v>0</v>
      </c>
    </row>
    <row r="65" spans="1:2" ht="15" customHeight="1" thickBot="1">
      <c r="A65" s="25" t="str">
        <f>'Trial Balance'!A264&amp;"-"&amp;'Trial Balance'!B264</f>
        <v>4398-Foreign Exchange Gains and Losses, Including Amortization</v>
      </c>
      <c r="B65" s="304">
        <f>'Trial Balance'!D264</f>
        <v>0</v>
      </c>
    </row>
    <row r="66" spans="1:2" ht="15" customHeight="1" thickBot="1">
      <c r="A66" s="30" t="s">
        <v>83</v>
      </c>
      <c r="B66" s="313">
        <f>SUM(B46:B65)</f>
        <v>-44552.44</v>
      </c>
    </row>
    <row r="67" spans="1:2" s="18" customFormat="1" ht="15" customHeight="1">
      <c r="A67" s="643"/>
      <c r="B67" s="644"/>
    </row>
    <row r="68" spans="1:2" s="18" customFormat="1" ht="15" customHeight="1">
      <c r="A68" s="639" t="s">
        <v>84</v>
      </c>
      <c r="B68" s="639"/>
    </row>
    <row r="69" spans="1:2" s="18" customFormat="1" ht="15" customHeight="1">
      <c r="A69" s="25" t="str">
        <f>'Trial Balance'!A266&amp;"-"&amp;'Trial Balance'!B266</f>
        <v>4405-Interest and Dividend Income</v>
      </c>
      <c r="B69" s="304">
        <f>'Trial Balance'!D266</f>
        <v>-164649.14</v>
      </c>
    </row>
    <row r="70" spans="1:2" ht="15" customHeight="1" thickBot="1">
      <c r="A70" s="25" t="str">
        <f>'Trial Balance'!A267&amp;"-"&amp;'Trial Balance'!B267</f>
        <v>4415-Equity in Earnings of Subsidiary Companies</v>
      </c>
      <c r="B70" s="304">
        <f>'Trial Balance'!D267</f>
        <v>0</v>
      </c>
    </row>
    <row r="71" spans="1:2" ht="15" customHeight="1" thickBot="1">
      <c r="A71" s="30" t="s">
        <v>85</v>
      </c>
      <c r="B71" s="313">
        <f>SUM(B69:B70)</f>
        <v>-164649.14</v>
      </c>
    </row>
    <row r="72" spans="1:2" s="18" customFormat="1" ht="15" customHeight="1">
      <c r="A72" s="643"/>
      <c r="B72" s="644"/>
    </row>
    <row r="73" spans="1:2" s="18" customFormat="1" ht="15" customHeight="1">
      <c r="A73" s="639" t="s">
        <v>86</v>
      </c>
      <c r="B73" s="639"/>
    </row>
    <row r="74" spans="1:2" ht="15" customHeight="1">
      <c r="A74" s="25" t="str">
        <f>'Trial Balance'!A269&amp;"-"&amp;'Trial Balance'!B269</f>
        <v>4705-Power Purchased</v>
      </c>
      <c r="B74" s="304">
        <f>'Trial Balance'!D269</f>
        <v>22930649.78</v>
      </c>
    </row>
    <row r="75" spans="1:2" ht="15" customHeight="1">
      <c r="A75" s="25" t="str">
        <f>'Trial Balance'!A270&amp;"-"&amp;'Trial Balance'!B270</f>
        <v>4708-WMS</v>
      </c>
      <c r="B75" s="304">
        <f>'Trial Balance'!D270</f>
        <v>2114180.06</v>
      </c>
    </row>
    <row r="76" spans="1:2" ht="15" customHeight="1">
      <c r="A76" s="25" t="str">
        <f>'Trial Balance'!A271&amp;"-"&amp;'Trial Balance'!B271</f>
        <v>4710-Cost of Power Adjustments</v>
      </c>
      <c r="B76" s="304">
        <f>'Trial Balance'!D271</f>
        <v>0</v>
      </c>
    </row>
    <row r="77" spans="1:2" ht="15" customHeight="1">
      <c r="A77" s="25" t="str">
        <f>'Trial Balance'!A272&amp;"-"&amp;'Trial Balance'!B272</f>
        <v>4712-0</v>
      </c>
      <c r="B77" s="304">
        <f>'Trial Balance'!D272</f>
        <v>0</v>
      </c>
    </row>
    <row r="78" spans="1:2" ht="15" customHeight="1">
      <c r="A78" s="25" t="str">
        <f>'Trial Balance'!A273&amp;"-"&amp;'Trial Balance'!B273</f>
        <v>4714-NW</v>
      </c>
      <c r="B78" s="304">
        <f>'Trial Balance'!D273</f>
        <v>2248812.38</v>
      </c>
    </row>
    <row r="79" spans="1:2" ht="15" customHeight="1">
      <c r="A79" s="25" t="str">
        <f>'Trial Balance'!A274&amp;"-"&amp;'Trial Balance'!B274</f>
        <v>4715-System Control and Load Dispatching</v>
      </c>
      <c r="B79" s="304">
        <f>'Trial Balance'!D274</f>
        <v>0</v>
      </c>
    </row>
    <row r="80" spans="1:2" ht="15" customHeight="1">
      <c r="A80" s="25" t="str">
        <f>'Trial Balance'!A275&amp;"-"&amp;'Trial Balance'!B275</f>
        <v>4716-NCN</v>
      </c>
      <c r="B80" s="304">
        <f>'Trial Balance'!D275</f>
        <v>1845394.92</v>
      </c>
    </row>
    <row r="81" spans="1:2" ht="15" customHeight="1">
      <c r="A81" s="25" t="str">
        <f>'Trial Balance'!A276&amp;"-"&amp;'Trial Balance'!B276</f>
        <v>4720-Other Expenses</v>
      </c>
      <c r="B81" s="304">
        <f>'Trial Balance'!D276</f>
        <v>0</v>
      </c>
    </row>
    <row r="82" spans="1:2" ht="15" customHeight="1">
      <c r="A82" s="25" t="str">
        <f>'Trial Balance'!A277&amp;"-"&amp;'Trial Balance'!B277</f>
        <v>4725-Competition Transition Expense</v>
      </c>
      <c r="B82" s="304">
        <f>'Trial Balance'!D277</f>
        <v>0</v>
      </c>
    </row>
    <row r="83" spans="1:2" ht="15" customHeight="1">
      <c r="A83" s="25" t="str">
        <f>'Trial Balance'!A278&amp;"-"&amp;'Trial Balance'!B278</f>
        <v>4730-Rural Rate Assistance Expense</v>
      </c>
      <c r="B83" s="304">
        <f>'Trial Balance'!D278</f>
        <v>0</v>
      </c>
    </row>
    <row r="84" spans="1:2" ht="15" customHeight="1" thickBot="1">
      <c r="A84" s="25" t="str">
        <f>'Trial Balance'!A279&amp;"-"&amp;'Trial Balance'!B279</f>
        <v>4750-LV Charges</v>
      </c>
      <c r="B84" s="304">
        <f>'Trial Balance'!D279</f>
        <v>0</v>
      </c>
    </row>
    <row r="85" spans="1:2" ht="15" customHeight="1" thickBot="1">
      <c r="A85" s="30" t="s">
        <v>539</v>
      </c>
      <c r="B85" s="313">
        <f>SUM(B74:B84)</f>
        <v>29139037.14</v>
      </c>
    </row>
    <row r="86" spans="1:2" s="18" customFormat="1" ht="15" customHeight="1">
      <c r="A86" s="643"/>
      <c r="B86" s="644"/>
    </row>
    <row r="87" spans="1:2" s="18" customFormat="1" ht="15" customHeight="1">
      <c r="A87" s="639" t="s">
        <v>540</v>
      </c>
      <c r="B87" s="639"/>
    </row>
    <row r="88" spans="1:2" ht="15" customHeight="1">
      <c r="A88" s="25" t="str">
        <f>'Trial Balance'!A281&amp;"-"&amp;'Trial Balance'!B281</f>
        <v>5005-Operation Supervision and Engineering</v>
      </c>
      <c r="B88" s="304">
        <f>'Trial Balance'!D281</f>
        <v>202383.04</v>
      </c>
    </row>
    <row r="89" spans="1:2" ht="15" customHeight="1">
      <c r="A89" s="25" t="str">
        <f>'Trial Balance'!A282&amp;"-"&amp;'Trial Balance'!B282</f>
        <v>5010-Load Dispatching</v>
      </c>
      <c r="B89" s="304">
        <f>'Trial Balance'!D282</f>
        <v>83054.93</v>
      </c>
    </row>
    <row r="90" spans="1:2" ht="15" customHeight="1">
      <c r="A90" s="25" t="str">
        <f>'Trial Balance'!A283&amp;"-"&amp;'Trial Balance'!B283</f>
        <v>5012-Station Buildings and Fixtures Expense</v>
      </c>
      <c r="B90" s="304">
        <f>'Trial Balance'!D283</f>
        <v>4690.92</v>
      </c>
    </row>
    <row r="91" spans="1:2" ht="15" customHeight="1">
      <c r="A91" s="25" t="str">
        <f>'Trial Balance'!A284&amp;"-"&amp;'Trial Balance'!B284</f>
        <v>5014-Transformer Station Equipment - Operation Labour</v>
      </c>
      <c r="B91" s="304">
        <f>'Trial Balance'!D284</f>
        <v>0</v>
      </c>
    </row>
    <row r="92" spans="1:2" ht="15" customHeight="1">
      <c r="A92" s="25" t="str">
        <f>'Trial Balance'!A285&amp;"-"&amp;'Trial Balance'!B285</f>
        <v>5015-Transformer Station Equipment - Operation Supplies and Expenses</v>
      </c>
      <c r="B92" s="304">
        <f>'Trial Balance'!D285</f>
        <v>0</v>
      </c>
    </row>
    <row r="93" spans="1:2" ht="15" customHeight="1">
      <c r="A93" s="25" t="str">
        <f>'Trial Balance'!A286&amp;"-"&amp;'Trial Balance'!B286</f>
        <v>5016-Distribution Station Equipment - Operation Labour</v>
      </c>
      <c r="B93" s="304">
        <f>'Trial Balance'!D286</f>
        <v>32249.64</v>
      </c>
    </row>
    <row r="94" spans="1:2" ht="15" customHeight="1">
      <c r="A94" s="25" t="str">
        <f>'Trial Balance'!A287&amp;"-"&amp;'Trial Balance'!B287</f>
        <v>5017-Distribution Station Equipment - Operation Supplies and Expenses</v>
      </c>
      <c r="B94" s="304">
        <f>'Trial Balance'!D287</f>
        <v>21920.23</v>
      </c>
    </row>
    <row r="95" spans="1:2" ht="15" customHeight="1">
      <c r="A95" s="25" t="str">
        <f>'Trial Balance'!A288&amp;"-"&amp;'Trial Balance'!B288</f>
        <v>5020-Overhead Distribution Lines and Feeders - Operation Labour</v>
      </c>
      <c r="B95" s="304">
        <f>'Trial Balance'!D288</f>
        <v>19027.68</v>
      </c>
    </row>
    <row r="96" spans="1:2" ht="15" customHeight="1">
      <c r="A96" s="25" t="str">
        <f>'Trial Balance'!A289&amp;"-"&amp;'Trial Balance'!B289</f>
        <v>5025-Overhead Distribution Lines and Feeders - Operation Supplies and Expenses</v>
      </c>
      <c r="B96" s="304">
        <f>'Trial Balance'!D289</f>
        <v>11384.82</v>
      </c>
    </row>
    <row r="97" spans="1:2" ht="15" customHeight="1">
      <c r="A97" s="25" t="str">
        <f>'Trial Balance'!A290&amp;"-"&amp;'Trial Balance'!B290</f>
        <v>5030-Overhead Subtransmission Feeders - Operation</v>
      </c>
      <c r="B97" s="304">
        <f>'Trial Balance'!D290</f>
        <v>0</v>
      </c>
    </row>
    <row r="98" spans="1:2" ht="15" customHeight="1">
      <c r="A98" s="25" t="str">
        <f>'Trial Balance'!A291&amp;"-"&amp;'Trial Balance'!B291</f>
        <v>5035-Overhead Distribution Transformers - Operation</v>
      </c>
      <c r="B98" s="304">
        <f>'Trial Balance'!D291</f>
        <v>0</v>
      </c>
    </row>
    <row r="99" spans="1:2" ht="15" customHeight="1">
      <c r="A99" s="25" t="str">
        <f>'Trial Balance'!A292&amp;"-"&amp;'Trial Balance'!B292</f>
        <v>5040-Underground Distribution Lines and Feeders - Operation Labour</v>
      </c>
      <c r="B99" s="304">
        <f>'Trial Balance'!D292</f>
        <v>52995.46</v>
      </c>
    </row>
    <row r="100" spans="1:2" ht="15" customHeight="1">
      <c r="A100" s="25" t="str">
        <f>'Trial Balance'!A293&amp;"-"&amp;'Trial Balance'!B293</f>
        <v>5045-Underground Distribution Lines and Feeders - Operation Supplies and Expenses</v>
      </c>
      <c r="B100" s="304">
        <f>'Trial Balance'!D293</f>
        <v>19972.82</v>
      </c>
    </row>
    <row r="101" spans="1:2" ht="15" customHeight="1">
      <c r="A101" s="25" t="str">
        <f>'Trial Balance'!A294&amp;"-"&amp;'Trial Balance'!B294</f>
        <v>5050-Underground Subtransmission Feeders - Operation</v>
      </c>
      <c r="B101" s="304">
        <f>'Trial Balance'!D294</f>
        <v>0</v>
      </c>
    </row>
    <row r="102" spans="1:2" ht="15" customHeight="1">
      <c r="A102" s="25" t="str">
        <f>'Trial Balance'!A295&amp;"-"&amp;'Trial Balance'!B295</f>
        <v>5055-Underground Distribution Transformers - Operation</v>
      </c>
      <c r="B102" s="304">
        <f>'Trial Balance'!D295</f>
        <v>0</v>
      </c>
    </row>
    <row r="103" spans="1:2" ht="15" customHeight="1">
      <c r="A103" s="25" t="str">
        <f>'Trial Balance'!A296&amp;"-"&amp;'Trial Balance'!B296</f>
        <v>5060-Street Lighting and Signal System Expense</v>
      </c>
      <c r="B103" s="304">
        <f>'Trial Balance'!D296</f>
        <v>0</v>
      </c>
    </row>
    <row r="104" spans="1:2" ht="15" customHeight="1">
      <c r="A104" s="25" t="str">
        <f>'Trial Balance'!A297&amp;"-"&amp;'Trial Balance'!B297</f>
        <v>5065-Meter Expense</v>
      </c>
      <c r="B104" s="304">
        <f>'Trial Balance'!D297</f>
        <v>154697.75</v>
      </c>
    </row>
    <row r="105" spans="1:2" ht="15" customHeight="1">
      <c r="A105" s="25" t="str">
        <f>'Trial Balance'!A298&amp;"-"&amp;'Trial Balance'!B298</f>
        <v>5070-Customer Premises - Operation Labour</v>
      </c>
      <c r="B105" s="304">
        <f>'Trial Balance'!D298</f>
        <v>0</v>
      </c>
    </row>
    <row r="106" spans="1:2" ht="15" customHeight="1">
      <c r="A106" s="25" t="str">
        <f>'Trial Balance'!A299&amp;"-"&amp;'Trial Balance'!B299</f>
        <v>5075-Customer Premises - Materials and Expenses</v>
      </c>
      <c r="B106" s="304">
        <f>'Trial Balance'!D299</f>
        <v>0</v>
      </c>
    </row>
    <row r="107" spans="1:2" ht="15" customHeight="1">
      <c r="A107" s="25" t="str">
        <f>'Trial Balance'!A300&amp;"-"&amp;'Trial Balance'!B300</f>
        <v>5085-Miscellaneous Distribution Expense</v>
      </c>
      <c r="B107" s="304">
        <f>'Trial Balance'!D300</f>
        <v>22242.51</v>
      </c>
    </row>
    <row r="108" spans="1:2" ht="15" customHeight="1">
      <c r="A108" s="25" t="str">
        <f>'Trial Balance'!A301&amp;"-"&amp;'Trial Balance'!B301</f>
        <v>5090-Underground Distribution Lines and Feeders - Rental Paid</v>
      </c>
      <c r="B108" s="304">
        <f>'Trial Balance'!D301</f>
        <v>0</v>
      </c>
    </row>
    <row r="109" spans="1:2" ht="15" customHeight="1">
      <c r="A109" s="25" t="str">
        <f>'Trial Balance'!A302&amp;"-"&amp;'Trial Balance'!B302</f>
        <v>5095-Overhead Distribution Lines and Feeders - Rental Paid</v>
      </c>
      <c r="B109" s="304">
        <f>'Trial Balance'!D302</f>
        <v>165</v>
      </c>
    </row>
    <row r="110" spans="1:2" ht="15" customHeight="1" thickBot="1">
      <c r="A110" s="25" t="str">
        <f>'Trial Balance'!A303&amp;"-"&amp;'Trial Balance'!B303</f>
        <v>5096-Other Rent</v>
      </c>
      <c r="B110" s="304">
        <f>'Trial Balance'!D303</f>
        <v>0</v>
      </c>
    </row>
    <row r="111" spans="1:2" ht="15" customHeight="1" thickBot="1">
      <c r="A111" s="30" t="s">
        <v>543</v>
      </c>
      <c r="B111" s="313">
        <f>SUM(B88:B110)</f>
        <v>624784.8</v>
      </c>
    </row>
    <row r="112" spans="1:2" s="18" customFormat="1" ht="15" customHeight="1">
      <c r="A112" s="643"/>
      <c r="B112" s="644"/>
    </row>
    <row r="113" spans="1:2" s="18" customFormat="1" ht="15" customHeight="1">
      <c r="A113" s="639" t="s">
        <v>544</v>
      </c>
      <c r="B113" s="639"/>
    </row>
    <row r="114" spans="1:2" ht="15" customHeight="1">
      <c r="A114" s="25" t="str">
        <f>'Trial Balance'!A305&amp;"-"&amp;'Trial Balance'!B305</f>
        <v>5105-Maintenance Supervision and Engineering</v>
      </c>
      <c r="B114" s="304">
        <f>'Trial Balance'!D305</f>
        <v>57053.05</v>
      </c>
    </row>
    <row r="115" spans="1:2" ht="15" customHeight="1">
      <c r="A115" s="25" t="str">
        <f>'Trial Balance'!A306&amp;"-"&amp;'Trial Balance'!B306</f>
        <v>5110-Maintenance of Structures</v>
      </c>
      <c r="B115" s="304">
        <f>'Trial Balance'!D306</f>
        <v>885.05</v>
      </c>
    </row>
    <row r="116" spans="1:2" ht="15" customHeight="1">
      <c r="A116" s="25" t="str">
        <f>'Trial Balance'!A307&amp;"-"&amp;'Trial Balance'!B307</f>
        <v>5112-Maintenance of Transformer Station Equipment</v>
      </c>
      <c r="B116" s="304">
        <f>'Trial Balance'!D307</f>
        <v>0</v>
      </c>
    </row>
    <row r="117" spans="1:2" ht="15" customHeight="1">
      <c r="A117" s="25" t="str">
        <f>'Trial Balance'!A308&amp;"-"&amp;'Trial Balance'!B308</f>
        <v>5114-Mtaint Dist Stn Equip</v>
      </c>
      <c r="B117" s="304">
        <f>'Trial Balance'!D308</f>
        <v>0</v>
      </c>
    </row>
    <row r="118" spans="1:2" ht="15" customHeight="1">
      <c r="A118" s="25" t="str">
        <f>'Trial Balance'!A309&amp;"-"&amp;'Trial Balance'!B309</f>
        <v>5120-Maintenance of Poles, Towers and Fixtures</v>
      </c>
      <c r="B118" s="304">
        <f>'Trial Balance'!D309</f>
        <v>22572.3</v>
      </c>
    </row>
    <row r="119" spans="1:2" ht="15" customHeight="1">
      <c r="A119" s="25" t="str">
        <f>'Trial Balance'!A310&amp;"-"&amp;'Trial Balance'!B310</f>
        <v>5125-Maintenance of Overhead Conductors and Devices</v>
      </c>
      <c r="B119" s="304">
        <f>'Trial Balance'!D310</f>
        <v>132919.45</v>
      </c>
    </row>
    <row r="120" spans="1:2" ht="15" customHeight="1">
      <c r="A120" s="25" t="str">
        <f>'Trial Balance'!A311&amp;"-"&amp;'Trial Balance'!B311</f>
        <v>5130-Maintenance of Overhead Services</v>
      </c>
      <c r="B120" s="304">
        <f>'Trial Balance'!D311</f>
        <v>73880.23</v>
      </c>
    </row>
    <row r="121" spans="1:2" ht="15" customHeight="1">
      <c r="A121" s="25" t="str">
        <f>'Trial Balance'!A312&amp;"-"&amp;'Trial Balance'!B312</f>
        <v>5135-Overhead Distribution Lines and Feeders - Right of Way</v>
      </c>
      <c r="B121" s="304">
        <f>'Trial Balance'!D312</f>
        <v>57852.28</v>
      </c>
    </row>
    <row r="122" spans="1:2" ht="15" customHeight="1">
      <c r="A122" s="25" t="str">
        <f>'Trial Balance'!A313&amp;"-"&amp;'Trial Balance'!B313</f>
        <v>5145-Maintenance of Underground Conduit</v>
      </c>
      <c r="B122" s="304">
        <f>'Trial Balance'!D313</f>
        <v>5271.74</v>
      </c>
    </row>
    <row r="123" spans="1:2" ht="15" customHeight="1">
      <c r="A123" s="25" t="str">
        <f>'Trial Balance'!A314&amp;"-"&amp;'Trial Balance'!B314</f>
        <v>5150-Maintenance of Underground Conductors and Devices</v>
      </c>
      <c r="B123" s="304">
        <f>'Trial Balance'!D314</f>
        <v>18364.97</v>
      </c>
    </row>
    <row r="124" spans="1:2" ht="15" customHeight="1">
      <c r="A124" s="25" t="str">
        <f>'Trial Balance'!A315&amp;"-"&amp;'Trial Balance'!B315</f>
        <v>5155-Maintenance of Underground Services</v>
      </c>
      <c r="B124" s="304">
        <f>'Trial Balance'!D315</f>
        <v>55992.39</v>
      </c>
    </row>
    <row r="125" spans="1:2" ht="15" customHeight="1">
      <c r="A125" s="25" t="str">
        <f>'Trial Balance'!A316&amp;"-"&amp;'Trial Balance'!B316</f>
        <v>5160-Maintenance of Line Transformers</v>
      </c>
      <c r="B125" s="304">
        <f>'Trial Balance'!D316</f>
        <v>61755.69</v>
      </c>
    </row>
    <row r="126" spans="1:2" ht="15" customHeight="1">
      <c r="A126" s="25" t="str">
        <f>'Trial Balance'!A317&amp;"-"&amp;'Trial Balance'!B317</f>
        <v>5165-Maintenance of Street Lighting and Signal Systems</v>
      </c>
      <c r="B126" s="304">
        <f>'Trial Balance'!D317</f>
        <v>0</v>
      </c>
    </row>
    <row r="127" spans="1:2" ht="15" customHeight="1">
      <c r="A127" s="25" t="str">
        <f>'Trial Balance'!A318&amp;"-"&amp;'Trial Balance'!B318</f>
        <v>5170-Sentinel Lights - Labour</v>
      </c>
      <c r="B127" s="304">
        <f>'Trial Balance'!D318</f>
        <v>0</v>
      </c>
    </row>
    <row r="128" spans="1:2" ht="15" customHeight="1">
      <c r="A128" s="25" t="str">
        <f>'Trial Balance'!A319&amp;"-"&amp;'Trial Balance'!B319</f>
        <v>5172-Sentinel Lights - Materials and Expenses</v>
      </c>
      <c r="B128" s="304">
        <f>'Trial Balance'!D319</f>
        <v>0</v>
      </c>
    </row>
    <row r="129" spans="1:2" ht="15" customHeight="1">
      <c r="A129" s="25" t="str">
        <f>'Trial Balance'!A320&amp;"-"&amp;'Trial Balance'!B320</f>
        <v>5175-Maintenance of Meters</v>
      </c>
      <c r="B129" s="304">
        <f>'Trial Balance'!D320</f>
        <v>2755.11</v>
      </c>
    </row>
    <row r="130" spans="1:2" ht="15" customHeight="1">
      <c r="A130" s="25" t="str">
        <f>'Trial Balance'!A321&amp;"-"&amp;'Trial Balance'!B321</f>
        <v>5178-Customer Installations Expenses - Leased Property</v>
      </c>
      <c r="B130" s="304">
        <f>'Trial Balance'!D321</f>
        <v>0</v>
      </c>
    </row>
    <row r="131" spans="1:2" ht="15" customHeight="1" thickBot="1">
      <c r="A131" s="25" t="str">
        <f>'Trial Balance'!A322&amp;"-"&amp;'Trial Balance'!B322</f>
        <v>5195-Maintenance of Other Installations on Customer Premises</v>
      </c>
      <c r="B131" s="304">
        <f>'Trial Balance'!D322</f>
        <v>0</v>
      </c>
    </row>
    <row r="132" spans="1:2" ht="15" customHeight="1" thickBot="1">
      <c r="A132" s="30" t="s">
        <v>89</v>
      </c>
      <c r="B132" s="313">
        <f>SUM(B114:B131)</f>
        <v>489302.25999999995</v>
      </c>
    </row>
    <row r="133" spans="1:2" s="18" customFormat="1" ht="15" customHeight="1">
      <c r="A133" s="643"/>
      <c r="B133" s="644"/>
    </row>
    <row r="134" spans="1:2" s="18" customFormat="1" ht="15" customHeight="1">
      <c r="A134" s="641" t="s">
        <v>90</v>
      </c>
      <c r="B134" s="642"/>
    </row>
    <row r="135" spans="1:2" ht="15" customHeight="1">
      <c r="A135" s="25" t="str">
        <f>'Trial Balance'!A328&amp;"-"&amp;'Trial Balance'!B328</f>
        <v>5305-Supervision</v>
      </c>
      <c r="B135" s="304">
        <f>'Trial Balance'!D328</f>
        <v>85612.22</v>
      </c>
    </row>
    <row r="136" spans="1:2" ht="15" customHeight="1">
      <c r="A136" s="25" t="str">
        <f>'Trial Balance'!A329&amp;"-"&amp;'Trial Balance'!B329</f>
        <v>5310-Meter Reading Expense</v>
      </c>
      <c r="B136" s="304">
        <f>'Trial Balance'!D329</f>
        <v>123238.76</v>
      </c>
    </row>
    <row r="137" spans="1:2" ht="15" customHeight="1">
      <c r="A137" s="25" t="str">
        <f>'Trial Balance'!A330&amp;"-"&amp;'Trial Balance'!B330</f>
        <v>5315-Customer Billing</v>
      </c>
      <c r="B137" s="304">
        <f>'Trial Balance'!D330</f>
        <v>298263.86</v>
      </c>
    </row>
    <row r="138" spans="1:2" ht="15" customHeight="1">
      <c r="A138" s="25" t="str">
        <f>'Trial Balance'!A331&amp;"-"&amp;'Trial Balance'!B331</f>
        <v>5320-Collecting</v>
      </c>
      <c r="B138" s="304">
        <f>'Trial Balance'!D331</f>
        <v>154115.65</v>
      </c>
    </row>
    <row r="139" spans="1:2" ht="15" customHeight="1">
      <c r="A139" s="25" t="str">
        <f>'Trial Balance'!A332&amp;"-"&amp;'Trial Balance'!B332</f>
        <v>5325-Collecting - Cash Over and Short</v>
      </c>
      <c r="B139" s="304">
        <f>'Trial Balance'!D332</f>
        <v>148.86</v>
      </c>
    </row>
    <row r="140" spans="1:2" ht="15" customHeight="1">
      <c r="A140" s="25" t="str">
        <f>'Trial Balance'!A333&amp;"-"&amp;'Trial Balance'!B333</f>
        <v>5330-Collection Charges</v>
      </c>
      <c r="B140" s="304">
        <f>'Trial Balance'!D333</f>
        <v>0</v>
      </c>
    </row>
    <row r="141" spans="1:2" ht="15" customHeight="1">
      <c r="A141" s="25" t="str">
        <f>'Trial Balance'!A334&amp;"-"&amp;'Trial Balance'!B334</f>
        <v>5335-Bad Debt Expense</v>
      </c>
      <c r="B141" s="304">
        <f>'Trial Balance'!D334</f>
        <v>12800.76</v>
      </c>
    </row>
    <row r="142" spans="1:2" ht="15" customHeight="1" thickBot="1">
      <c r="A142" s="25" t="str">
        <f>'Trial Balance'!A335&amp;"-"&amp;'Trial Balance'!B335</f>
        <v>5340-Miscellaneous Customer Accounts Expenses</v>
      </c>
      <c r="B142" s="304">
        <f>'Trial Balance'!D335</f>
        <v>2148.75</v>
      </c>
    </row>
    <row r="143" spans="1:2" ht="15" customHeight="1" thickBot="1">
      <c r="A143" s="30" t="s">
        <v>99</v>
      </c>
      <c r="B143" s="313">
        <f>SUM(B135:B142)</f>
        <v>676328.86</v>
      </c>
    </row>
    <row r="144" spans="1:2" s="18" customFormat="1" ht="15" customHeight="1">
      <c r="A144" s="643"/>
      <c r="B144" s="644"/>
    </row>
    <row r="145" spans="1:2" s="18" customFormat="1" ht="15" customHeight="1">
      <c r="A145" s="641" t="s">
        <v>100</v>
      </c>
      <c r="B145" s="642"/>
    </row>
    <row r="146" spans="1:2" ht="15" customHeight="1">
      <c r="A146" s="25" t="str">
        <f>'Trial Balance'!A337&amp;"-"&amp;'Trial Balance'!B337</f>
        <v>5405-Supervision</v>
      </c>
      <c r="B146" s="304">
        <f>'Trial Balance'!D337</f>
        <v>11944.03</v>
      </c>
    </row>
    <row r="147" spans="1:2" ht="15" customHeight="1">
      <c r="A147" s="25" t="str">
        <f>'Trial Balance'!A338&amp;"-"&amp;'Trial Balance'!B338</f>
        <v>5410-Community Relations - Sundry</v>
      </c>
      <c r="B147" s="304">
        <f>'Trial Balance'!D338</f>
        <v>10372.83</v>
      </c>
    </row>
    <row r="148" spans="1:2" ht="15" customHeight="1">
      <c r="A148" s="25" t="str">
        <f>'Trial Balance'!A339&amp;"-"&amp;'Trial Balance'!B339</f>
        <v>5415-Energy Conservation</v>
      </c>
      <c r="B148" s="304">
        <f>'Trial Balance'!D339</f>
        <v>256044.19</v>
      </c>
    </row>
    <row r="149" spans="1:2" ht="15" customHeight="1">
      <c r="A149" s="25" t="str">
        <f>'Trial Balance'!A340&amp;"-"&amp;'Trial Balance'!B340</f>
        <v>5420-Community Safety Program</v>
      </c>
      <c r="B149" s="304">
        <f>'Trial Balance'!D340</f>
        <v>7387.83</v>
      </c>
    </row>
    <row r="150" spans="1:2" ht="15" customHeight="1" thickBot="1">
      <c r="A150" s="25" t="str">
        <f>'Trial Balance'!A341&amp;"-"&amp;'Trial Balance'!B341</f>
        <v>5425-Miscellaneous Customer Service and Informational Expenses</v>
      </c>
      <c r="B150" s="304">
        <f>'Trial Balance'!D341</f>
        <v>661.69</v>
      </c>
    </row>
    <row r="151" spans="1:2" ht="15" customHeight="1" thickBot="1">
      <c r="A151" s="30" t="s">
        <v>101</v>
      </c>
      <c r="B151" s="313">
        <f>SUM(B146:B150)</f>
        <v>286410.57</v>
      </c>
    </row>
    <row r="152" spans="1:2" s="18" customFormat="1" ht="15" customHeight="1">
      <c r="A152" s="643"/>
      <c r="B152" s="644"/>
    </row>
    <row r="153" spans="1:2" s="18" customFormat="1" ht="15" customHeight="1">
      <c r="A153" s="641" t="s">
        <v>102</v>
      </c>
      <c r="B153" s="642"/>
    </row>
    <row r="154" spans="1:2" ht="15" customHeight="1">
      <c r="A154" s="25" t="str">
        <f>'Trial Balance'!A348&amp;"-"&amp;'Trial Balance'!B348</f>
        <v>5605-Executive Salaries and Expenses</v>
      </c>
      <c r="B154" s="304">
        <f>'Trial Balance'!D348</f>
        <v>219129.3</v>
      </c>
    </row>
    <row r="155" spans="1:2" ht="15" customHeight="1">
      <c r="A155" s="25" t="str">
        <f>'Trial Balance'!A349&amp;"-"&amp;'Trial Balance'!B349</f>
        <v>5610-Management Salaries and Expenses</v>
      </c>
      <c r="B155" s="304">
        <f>'Trial Balance'!D349</f>
        <v>145529.61</v>
      </c>
    </row>
    <row r="156" spans="1:2" ht="15" customHeight="1">
      <c r="A156" s="25" t="str">
        <f>'Trial Balance'!A350&amp;"-"&amp;'Trial Balance'!B350</f>
        <v>5615-General Administrative Salaries and Expenses</v>
      </c>
      <c r="B156" s="304">
        <f>'Trial Balance'!D350</f>
        <v>366648.05</v>
      </c>
    </row>
    <row r="157" spans="1:2" ht="15" customHeight="1">
      <c r="A157" s="25" t="str">
        <f>'Trial Balance'!A351&amp;"-"&amp;'Trial Balance'!B351</f>
        <v>5620-Office Supplies and Expenses</v>
      </c>
      <c r="B157" s="304">
        <f>'Trial Balance'!D351</f>
        <v>74698.59</v>
      </c>
    </row>
    <row r="158" spans="1:2" ht="15" customHeight="1">
      <c r="A158" s="25" t="str">
        <f>'Trial Balance'!A352&amp;"-"&amp;'Trial Balance'!B352</f>
        <v>5625-Administrative Expense Transferred-Credit</v>
      </c>
      <c r="B158" s="304">
        <f>'Trial Balance'!D352</f>
        <v>0</v>
      </c>
    </row>
    <row r="159" spans="1:2" ht="15" customHeight="1">
      <c r="A159" s="25" t="str">
        <f>'Trial Balance'!A353&amp;"-"&amp;'Trial Balance'!B353</f>
        <v>5630-Outside Services Employed</v>
      </c>
      <c r="B159" s="304">
        <f>'Trial Balance'!D353</f>
        <v>109948.63</v>
      </c>
    </row>
    <row r="160" spans="1:2" ht="15" customHeight="1">
      <c r="A160" s="25" t="str">
        <f>'Trial Balance'!A354&amp;"-"&amp;'Trial Balance'!B354</f>
        <v>5635-Property Insurance</v>
      </c>
      <c r="B160" s="304">
        <f>'Trial Balance'!D354</f>
        <v>34624.57</v>
      </c>
    </row>
    <row r="161" spans="1:2" ht="15" customHeight="1">
      <c r="A161" s="25" t="str">
        <f>'Trial Balance'!A355&amp;"-"&amp;'Trial Balance'!B355</f>
        <v>5640-Injuries and Damages</v>
      </c>
      <c r="B161" s="304">
        <f>'Trial Balance'!D355</f>
        <v>44837.11</v>
      </c>
    </row>
    <row r="162" spans="1:2" ht="15" customHeight="1">
      <c r="A162" s="25" t="str">
        <f>'Trial Balance'!A356&amp;"-"&amp;'Trial Balance'!B356</f>
        <v>5645-Employee Pensions and Benefits</v>
      </c>
      <c r="B162" s="304">
        <f>'Trial Balance'!D356</f>
        <v>1081.1</v>
      </c>
    </row>
    <row r="163" spans="1:2" ht="15" customHeight="1">
      <c r="A163" s="25" t="str">
        <f>'Trial Balance'!A357&amp;"-"&amp;'Trial Balance'!B357</f>
        <v>5650-Franchise Requirements</v>
      </c>
      <c r="B163" s="304">
        <f>'Trial Balance'!D357</f>
        <v>0</v>
      </c>
    </row>
    <row r="164" spans="1:2" ht="15" customHeight="1">
      <c r="A164" s="25" t="str">
        <f>'Trial Balance'!A358&amp;"-"&amp;'Trial Balance'!B358</f>
        <v>5655-Regulatory Expenses</v>
      </c>
      <c r="B164" s="304">
        <f>'Trial Balance'!D358</f>
        <v>36141.48</v>
      </c>
    </row>
    <row r="165" spans="1:2" ht="15" customHeight="1">
      <c r="A165" s="25" t="str">
        <f>'Trial Balance'!A359&amp;"-"&amp;'Trial Balance'!B359</f>
        <v>5660-General Advertising Expenses</v>
      </c>
      <c r="B165" s="304">
        <f>'Trial Balance'!D359</f>
        <v>1992.61</v>
      </c>
    </row>
    <row r="166" spans="1:2" ht="15" customHeight="1">
      <c r="A166" s="25" t="str">
        <f>'Trial Balance'!A360&amp;"-"&amp;'Trial Balance'!B360</f>
        <v>5665-Miscellaneous Expenses</v>
      </c>
      <c r="B166" s="304">
        <f>'Trial Balance'!D360</f>
        <v>102214.11</v>
      </c>
    </row>
    <row r="167" spans="1:2" ht="15" customHeight="1">
      <c r="A167" s="25" t="str">
        <f>'Trial Balance'!A361&amp;"-"&amp;'Trial Balance'!B361</f>
        <v>5670-Rent  </v>
      </c>
      <c r="B167" s="304">
        <f>'Trial Balance'!D361</f>
        <v>0</v>
      </c>
    </row>
    <row r="168" spans="1:2" ht="15" customHeight="1">
      <c r="A168" s="25" t="str">
        <f>'Trial Balance'!A362&amp;"-"&amp;'Trial Balance'!B362</f>
        <v>5675-Maintenance of General Plant</v>
      </c>
      <c r="B168" s="304">
        <f>'Trial Balance'!D362</f>
        <v>106862.73</v>
      </c>
    </row>
    <row r="169" spans="1:2" ht="15" customHeight="1">
      <c r="A169" s="25" t="str">
        <f>'Trial Balance'!A363&amp;"-"&amp;'Trial Balance'!B363</f>
        <v>5680-Electrical Safety Authority Fees</v>
      </c>
      <c r="B169" s="304">
        <f>'Trial Balance'!D363</f>
        <v>2979.02</v>
      </c>
    </row>
    <row r="170" spans="1:2" ht="15" customHeight="1">
      <c r="A170" s="25" t="str">
        <f>'Trial Balance'!A364&amp;"-"&amp;'Trial Balance'!B364</f>
        <v>5681- Special Purpose Charge Expense</v>
      </c>
      <c r="B170" s="304">
        <f>'Trial Balance'!D364</f>
        <v>0</v>
      </c>
    </row>
    <row r="171" spans="1:2" ht="15" customHeight="1">
      <c r="A171" s="25" t="str">
        <f>'Trial Balance'!A365&amp;"-"&amp;'Trial Balance'!B365</f>
        <v>5685-Independent Market Operator Fees and Penalties</v>
      </c>
      <c r="B171" s="304">
        <f>'Trial Balance'!D365</f>
        <v>0</v>
      </c>
    </row>
    <row r="172" spans="1:2" ht="15" customHeight="1" thickBot="1">
      <c r="A172" s="25" t="str">
        <f>'Trial Balance'!A366&amp;"-"&amp;'Trial Balance'!B366</f>
        <v>5695-OM&amp;A Contra Account</v>
      </c>
      <c r="B172" s="304">
        <f>'Trial Balance'!D366</f>
        <v>0</v>
      </c>
    </row>
    <row r="173" spans="1:2" ht="15" customHeight="1" thickBot="1">
      <c r="A173" s="30" t="s">
        <v>76</v>
      </c>
      <c r="B173" s="313">
        <f>SUM(B154:B172)</f>
        <v>1246686.91</v>
      </c>
    </row>
    <row r="174" spans="1:2" s="18" customFormat="1" ht="15" customHeight="1">
      <c r="A174" s="643"/>
      <c r="B174" s="644"/>
    </row>
    <row r="175" spans="1:2" s="18" customFormat="1" ht="15" customHeight="1">
      <c r="A175" s="641" t="s">
        <v>77</v>
      </c>
      <c r="B175" s="642"/>
    </row>
    <row r="176" spans="1:2" s="18" customFormat="1" ht="15" customHeight="1">
      <c r="A176" s="25" t="str">
        <f>'Trial Balance'!A368&amp;"-"&amp;'Trial Balance'!B368</f>
        <v>5705-Amortization Expense - Property, Plant and Equipment</v>
      </c>
      <c r="B176" s="304">
        <f>'Trial Balance'!D368</f>
        <v>1581407.2400000002</v>
      </c>
    </row>
    <row r="177" spans="1:2" s="18" customFormat="1" ht="15" customHeight="1">
      <c r="A177" s="25" t="str">
        <f>'Trial Balance'!A369&amp;"-"&amp;'Trial Balance'!B369</f>
        <v>5710-Amortization of Limited Term Electric Plant</v>
      </c>
      <c r="B177" s="304">
        <f>'Trial Balance'!D369</f>
        <v>0</v>
      </c>
    </row>
    <row r="178" spans="1:2" s="18" customFormat="1" ht="15" customHeight="1">
      <c r="A178" s="25" t="str">
        <f>'Trial Balance'!A370&amp;"-"&amp;'Trial Balance'!B370</f>
        <v>5715-Amortization of Intangibles and Other Electric Plant</v>
      </c>
      <c r="B178" s="304">
        <f>'Trial Balance'!D370</f>
        <v>0</v>
      </c>
    </row>
    <row r="179" spans="1:2" s="18" customFormat="1" ht="15" customHeight="1">
      <c r="A179" s="25" t="str">
        <f>'Trial Balance'!A371&amp;"-"&amp;'Trial Balance'!B371</f>
        <v>5720-Amortization of Electric Plant Acquisition Adjustments</v>
      </c>
      <c r="B179" s="304">
        <f>'Trial Balance'!D371</f>
        <v>0</v>
      </c>
    </row>
    <row r="180" spans="1:2" s="18" customFormat="1" ht="15" customHeight="1">
      <c r="A180" s="25" t="str">
        <f>'Trial Balance'!A372&amp;"-"&amp;'Trial Balance'!B372</f>
        <v>5725-Miscellaneous Amortization</v>
      </c>
      <c r="B180" s="304">
        <f>'Trial Balance'!D372</f>
        <v>0</v>
      </c>
    </row>
    <row r="181" spans="1:2" s="18" customFormat="1" ht="15" customHeight="1">
      <c r="A181" s="25" t="str">
        <f>'Trial Balance'!A373&amp;"-"&amp;'Trial Balance'!B373</f>
        <v>5730-Amortization of Unrecovered Plant and Regulatory Study Costs</v>
      </c>
      <c r="B181" s="304">
        <f>'Trial Balance'!D373</f>
        <v>0</v>
      </c>
    </row>
    <row r="182" spans="1:2" s="18" customFormat="1" ht="15" customHeight="1">
      <c r="A182" s="25" t="str">
        <f>'Trial Balance'!A374&amp;"-"&amp;'Trial Balance'!B374</f>
        <v>5735-Amortization of Deferred Development Costs</v>
      </c>
      <c r="B182" s="304">
        <f>'Trial Balance'!D374</f>
        <v>0</v>
      </c>
    </row>
    <row r="183" spans="1:2" ht="15" customHeight="1" thickBot="1">
      <c r="A183" s="25" t="str">
        <f>'Trial Balance'!A375&amp;"-"&amp;'Trial Balance'!B375</f>
        <v>5740-Amortization of Deferred Charges</v>
      </c>
      <c r="B183" s="304">
        <f>'Trial Balance'!D375</f>
        <v>0</v>
      </c>
    </row>
    <row r="184" spans="1:2" ht="15" customHeight="1" thickBot="1">
      <c r="A184" s="30" t="s">
        <v>78</v>
      </c>
      <c r="B184" s="313">
        <f>SUM(B176:B183)</f>
        <v>1581407.2400000002</v>
      </c>
    </row>
    <row r="185" spans="1:2" s="18" customFormat="1" ht="15" customHeight="1">
      <c r="A185" s="643"/>
      <c r="B185" s="644"/>
    </row>
    <row r="186" spans="1:2" s="18" customFormat="1" ht="15" customHeight="1">
      <c r="A186" s="641" t="s">
        <v>79</v>
      </c>
      <c r="B186" s="642"/>
    </row>
    <row r="187" spans="1:2" ht="15" customHeight="1">
      <c r="A187" s="25" t="str">
        <f>'Trial Balance'!A377&amp;"-"&amp;'Trial Balance'!B377</f>
        <v>6005-Interest on Long Term Debt</v>
      </c>
      <c r="B187" s="304">
        <f>'Trial Balance'!D377</f>
        <v>739230.24</v>
      </c>
    </row>
    <row r="188" spans="1:2" ht="15" customHeight="1">
      <c r="A188" s="25" t="str">
        <f>'Trial Balance'!A378&amp;"-"&amp;'Trial Balance'!B378</f>
        <v>6010-Amortization of Debt Discount and Expense</v>
      </c>
      <c r="B188" s="304">
        <f>'Trial Balance'!D378</f>
        <v>0</v>
      </c>
    </row>
    <row r="189" spans="1:2" ht="15" customHeight="1">
      <c r="A189" s="25" t="str">
        <f>'Trial Balance'!A379&amp;"-"&amp;'Trial Balance'!B379</f>
        <v>6015-Amortization of Premium on Debt-Credit</v>
      </c>
      <c r="B189" s="304">
        <f>'Trial Balance'!D379</f>
        <v>0</v>
      </c>
    </row>
    <row r="190" spans="1:2" ht="15" customHeight="1">
      <c r="A190" s="25" t="str">
        <f>'Trial Balance'!A380&amp;"-"&amp;'Trial Balance'!B380</f>
        <v>6020-Amortization of Loss on Reacquired Debt</v>
      </c>
      <c r="B190" s="304">
        <f>'Trial Balance'!D380</f>
        <v>0</v>
      </c>
    </row>
    <row r="191" spans="1:2" ht="15" customHeight="1">
      <c r="A191" s="25" t="str">
        <f>'Trial Balance'!A381&amp;"-"&amp;'Trial Balance'!B381</f>
        <v>6025-Amortization of Gain on Reacquired Debt-Credit</v>
      </c>
      <c r="B191" s="304">
        <f>'Trial Balance'!D381</f>
        <v>0</v>
      </c>
    </row>
    <row r="192" spans="1:2" ht="15" customHeight="1">
      <c r="A192" s="25" t="str">
        <f>'Trial Balance'!A382&amp;"-"&amp;'Trial Balance'!B382</f>
        <v>6030-Interest on Debt to Associated Companies</v>
      </c>
      <c r="B192" s="304">
        <f>'Trial Balance'!D382</f>
        <v>0</v>
      </c>
    </row>
    <row r="193" spans="1:2" ht="15" customHeight="1">
      <c r="A193" s="25" t="str">
        <f>'Trial Balance'!A383&amp;"-"&amp;'Trial Balance'!B383</f>
        <v>6035-Other Interest Expense</v>
      </c>
      <c r="B193" s="304">
        <f>'Trial Balance'!D383</f>
        <v>70902.69</v>
      </c>
    </row>
    <row r="194" spans="1:2" ht="15" customHeight="1">
      <c r="A194" s="25" t="str">
        <f>'Trial Balance'!A384&amp;"-"&amp;'Trial Balance'!B384</f>
        <v>6040-Allowance for Borrowed Funds Used During Construction-Credit</v>
      </c>
      <c r="B194" s="304">
        <f>'Trial Balance'!D384</f>
        <v>0</v>
      </c>
    </row>
    <row r="195" spans="1:2" ht="15" customHeight="1">
      <c r="A195" s="25" t="str">
        <f>'Trial Balance'!A385&amp;"-"&amp;'Trial Balance'!B385</f>
        <v>6042-Allowance for Other Funds Used During Construction</v>
      </c>
      <c r="B195" s="304">
        <f>'Trial Balance'!D385</f>
        <v>0</v>
      </c>
    </row>
    <row r="196" spans="1:2" ht="15" customHeight="1" thickBot="1">
      <c r="A196" s="25" t="str">
        <f>'Trial Balance'!A386&amp;"-"&amp;'Trial Balance'!B386</f>
        <v>6045-Interest Expense on Capital Lease Obligations</v>
      </c>
      <c r="B196" s="304">
        <f>'Trial Balance'!D386</f>
        <v>0</v>
      </c>
    </row>
    <row r="197" spans="1:2" ht="15" customHeight="1" thickBot="1">
      <c r="A197" s="30" t="s">
        <v>541</v>
      </c>
      <c r="B197" s="313">
        <f>SUM(B187:B196)</f>
        <v>810132.9299999999</v>
      </c>
    </row>
    <row r="198" spans="1:2" s="18" customFormat="1" ht="15" customHeight="1">
      <c r="A198" s="643"/>
      <c r="B198" s="644"/>
    </row>
    <row r="199" spans="1:2" s="18" customFormat="1" ht="15" customHeight="1">
      <c r="A199" s="641" t="s">
        <v>542</v>
      </c>
      <c r="B199" s="642"/>
    </row>
    <row r="200" spans="1:2" ht="15" customHeight="1" thickBot="1">
      <c r="A200" s="25" t="str">
        <f>'Trial Balance'!A388&amp;"-"&amp;'Trial Balance'!B388</f>
        <v>6105-Taxes Other Than Income Taxes</v>
      </c>
      <c r="B200" s="304">
        <f>'Trial Balance'!D388</f>
        <v>126191.14</v>
      </c>
    </row>
    <row r="201" spans="1:2" ht="15" customHeight="1" thickBot="1">
      <c r="A201" s="30" t="s">
        <v>545</v>
      </c>
      <c r="B201" s="313">
        <f>SUM(B200)</f>
        <v>126191.14</v>
      </c>
    </row>
    <row r="202" spans="1:2" s="18" customFormat="1" ht="15" customHeight="1">
      <c r="A202" s="643"/>
      <c r="B202" s="644"/>
    </row>
    <row r="203" spans="1:2" s="18" customFormat="1" ht="15" customHeight="1">
      <c r="A203" s="641" t="s">
        <v>546</v>
      </c>
      <c r="B203" s="642"/>
    </row>
    <row r="204" spans="1:2" ht="15" customHeight="1">
      <c r="A204" s="25" t="str">
        <f>'Trial Balance'!A389&amp;"-"&amp;'Trial Balance'!B389</f>
        <v>6110-Income Taxes</v>
      </c>
      <c r="B204" s="304">
        <f>'Trial Balance'!D389</f>
        <v>632734</v>
      </c>
    </row>
    <row r="205" spans="1:2" ht="15" customHeight="1" thickBot="1">
      <c r="A205" s="25" t="str">
        <f>'Trial Balance'!A390&amp;"-"&amp;'Trial Balance'!B390</f>
        <v>6115-Provision for Future Income Taxes</v>
      </c>
      <c r="B205" s="304">
        <f>'Trial Balance'!D390</f>
        <v>-248442.05</v>
      </c>
    </row>
    <row r="206" spans="1:2" ht="15" customHeight="1" thickBot="1">
      <c r="A206" s="30" t="s">
        <v>547</v>
      </c>
      <c r="B206" s="313">
        <f>SUM(B204:B205)</f>
        <v>384291.95</v>
      </c>
    </row>
    <row r="207" spans="1:2" s="18" customFormat="1" ht="15" customHeight="1">
      <c r="A207" s="643"/>
      <c r="B207" s="644"/>
    </row>
    <row r="208" spans="1:2" s="18" customFormat="1" ht="15" customHeight="1">
      <c r="A208" s="641" t="s">
        <v>528</v>
      </c>
      <c r="B208" s="642"/>
    </row>
    <row r="209" spans="1:2" ht="15" customHeight="1">
      <c r="A209" s="25" t="str">
        <f>'Trial Balance'!A392&amp;"-"&amp;'Trial Balance'!B392</f>
        <v>6205-Donations</v>
      </c>
      <c r="B209" s="304">
        <f>'Trial Balance'!D392</f>
        <v>575</v>
      </c>
    </row>
    <row r="210" spans="1:2" ht="15" customHeight="1">
      <c r="A210" s="25" t="str">
        <f>'Trial Balance'!A393&amp;"-"&amp;'Trial Balance'!B393</f>
        <v>6210-Life Insurance</v>
      </c>
      <c r="B210" s="304">
        <f>'Trial Balance'!D393</f>
        <v>0</v>
      </c>
    </row>
    <row r="211" spans="1:2" ht="15" customHeight="1">
      <c r="A211" s="25" t="str">
        <f>'Trial Balance'!A394&amp;"-"&amp;'Trial Balance'!B394</f>
        <v>6215-Penalties</v>
      </c>
      <c r="B211" s="304">
        <f>'Trial Balance'!D394</f>
        <v>0</v>
      </c>
    </row>
    <row r="212" spans="1:7" ht="15" customHeight="1" thickBot="1">
      <c r="A212" s="25" t="str">
        <f>'Trial Balance'!A395&amp;"-"&amp;'Trial Balance'!B395</f>
        <v>6225-Other Deductions</v>
      </c>
      <c r="B212" s="304">
        <f>'Trial Balance'!D395</f>
        <v>0</v>
      </c>
      <c r="D212" s="10"/>
      <c r="E212" s="10"/>
      <c r="F212" s="10"/>
      <c r="G212" s="10"/>
    </row>
    <row r="213" spans="1:2" ht="15" customHeight="1" thickBot="1">
      <c r="A213" s="30" t="s">
        <v>529</v>
      </c>
      <c r="B213" s="313">
        <f>SUM(B209:B212)</f>
        <v>575</v>
      </c>
    </row>
    <row r="214" spans="1:7" s="10" customFormat="1" ht="15" customHeight="1" thickBot="1">
      <c r="A214" s="643"/>
      <c r="B214" s="644"/>
      <c r="D214"/>
      <c r="E214"/>
      <c r="F214"/>
      <c r="G214"/>
    </row>
    <row r="215" spans="1:2" ht="18.75" customHeight="1" thickBot="1">
      <c r="A215" s="31" t="s">
        <v>801</v>
      </c>
      <c r="B215" s="314">
        <f>(B24+B31+B43+B66+B71+B85+B111+B132+B143+B151+B173+B184+B197+B201+B206+B213)</f>
        <v>-812406.5199999919</v>
      </c>
    </row>
    <row r="216" spans="1:2" ht="15">
      <c r="A216" s="9"/>
      <c r="B216" s="315"/>
    </row>
    <row r="217" spans="1:2" ht="13.5">
      <c r="A217" s="635" t="s">
        <v>905</v>
      </c>
      <c r="B217" s="636"/>
    </row>
    <row r="218" spans="1:2" ht="12.75">
      <c r="A218" s="387" t="s">
        <v>906</v>
      </c>
      <c r="B218" s="388">
        <f>B215</f>
        <v>-812406.5199999919</v>
      </c>
    </row>
    <row r="219" spans="1:2" ht="12.75">
      <c r="A219" s="389" t="s">
        <v>914</v>
      </c>
      <c r="B219" s="388">
        <v>416</v>
      </c>
    </row>
    <row r="220" spans="1:2" ht="12.75">
      <c r="A220" s="387" t="s">
        <v>909</v>
      </c>
      <c r="B220" s="388">
        <v>296694.18</v>
      </c>
    </row>
    <row r="221" spans="1:2" ht="12.75">
      <c r="A221" s="390" t="s">
        <v>907</v>
      </c>
      <c r="B221" s="391">
        <f>SUM(B218:B220)</f>
        <v>-515296.3399999919</v>
      </c>
    </row>
    <row r="222" spans="1:2" ht="15">
      <c r="A222" s="9"/>
      <c r="B222" s="315"/>
    </row>
    <row r="223" spans="1:2" ht="15">
      <c r="A223" s="9"/>
      <c r="B223" s="315"/>
    </row>
    <row r="224" spans="1:2" ht="15">
      <c r="A224" s="9"/>
      <c r="B224" s="315"/>
    </row>
    <row r="225" spans="1:2" ht="15">
      <c r="A225" s="9"/>
      <c r="B225" s="315"/>
    </row>
    <row r="226" spans="1:2" ht="15">
      <c r="A226" s="9"/>
      <c r="B226" s="315"/>
    </row>
    <row r="227" spans="1:2" ht="15">
      <c r="A227" s="9"/>
      <c r="B227" s="315"/>
    </row>
    <row r="228" spans="1:2" ht="15">
      <c r="A228" s="9"/>
      <c r="B228" s="315"/>
    </row>
    <row r="229" spans="1:2" ht="15">
      <c r="A229" s="9"/>
      <c r="B229" s="315"/>
    </row>
    <row r="230" spans="1:2" ht="15">
      <c r="A230" s="9"/>
      <c r="B230" s="315"/>
    </row>
    <row r="231" spans="1:2" ht="15">
      <c r="A231" s="9"/>
      <c r="B231" s="315"/>
    </row>
    <row r="232" spans="1:2" ht="15">
      <c r="A232" s="9"/>
      <c r="B232" s="315"/>
    </row>
    <row r="233" spans="1:2" ht="15">
      <c r="A233" s="9"/>
      <c r="B233" s="315"/>
    </row>
    <row r="234" spans="1:2" ht="15">
      <c r="A234" s="9"/>
      <c r="B234" s="315"/>
    </row>
    <row r="235" spans="1:2" ht="15">
      <c r="A235" s="9"/>
      <c r="B235" s="315"/>
    </row>
    <row r="236" spans="1:2" ht="15">
      <c r="A236" s="9"/>
      <c r="B236" s="315"/>
    </row>
    <row r="237" spans="1:2" ht="15">
      <c r="A237" s="9"/>
      <c r="B237" s="315"/>
    </row>
    <row r="238" spans="1:2" ht="15">
      <c r="A238" s="9"/>
      <c r="B238" s="315"/>
    </row>
    <row r="239" spans="1:2" ht="15">
      <c r="A239" s="9"/>
      <c r="B239" s="315"/>
    </row>
    <row r="240" spans="1:2" ht="15">
      <c r="A240" s="9"/>
      <c r="B240" s="315"/>
    </row>
    <row r="241" spans="1:2" ht="15">
      <c r="A241" s="9"/>
      <c r="B241" s="315"/>
    </row>
    <row r="242" spans="1:2" ht="15">
      <c r="A242" s="9"/>
      <c r="B242" s="315"/>
    </row>
    <row r="243" spans="1:2" ht="15">
      <c r="A243" s="9"/>
      <c r="B243" s="315"/>
    </row>
    <row r="244" spans="1:2" ht="15">
      <c r="A244" s="9"/>
      <c r="B244" s="315"/>
    </row>
    <row r="245" spans="1:2" ht="15">
      <c r="A245" s="9"/>
      <c r="B245" s="315"/>
    </row>
    <row r="246" spans="1:2" ht="15">
      <c r="A246" s="9"/>
      <c r="B246" s="315"/>
    </row>
    <row r="247" spans="1:2" ht="15">
      <c r="A247" s="9"/>
      <c r="B247" s="315"/>
    </row>
    <row r="248" spans="1:2" ht="15">
      <c r="A248" s="9"/>
      <c r="B248" s="315"/>
    </row>
    <row r="249" spans="1:2" ht="15">
      <c r="A249" s="9"/>
      <c r="B249" s="315"/>
    </row>
    <row r="250" spans="1:2" ht="15">
      <c r="A250" s="9"/>
      <c r="B250" s="315"/>
    </row>
    <row r="251" spans="1:2" ht="15">
      <c r="A251" s="9"/>
      <c r="B251" s="315"/>
    </row>
    <row r="252" spans="1:2" ht="15">
      <c r="A252" s="9"/>
      <c r="B252" s="315"/>
    </row>
    <row r="253" spans="1:2" ht="15">
      <c r="A253" s="9"/>
      <c r="B253" s="315"/>
    </row>
    <row r="254" spans="1:2" ht="15">
      <c r="A254" s="9"/>
      <c r="B254" s="315"/>
    </row>
    <row r="255" spans="1:2" ht="15">
      <c r="A255" s="9"/>
      <c r="B255" s="315"/>
    </row>
    <row r="256" spans="1:2" ht="15">
      <c r="A256" s="9"/>
      <c r="B256" s="315"/>
    </row>
    <row r="257" spans="1:2" ht="15">
      <c r="A257" s="9"/>
      <c r="B257" s="315"/>
    </row>
    <row r="258" spans="1:2" ht="15">
      <c r="A258" s="9"/>
      <c r="B258" s="315"/>
    </row>
    <row r="259" spans="1:2" ht="15">
      <c r="A259" s="9"/>
      <c r="B259" s="315"/>
    </row>
    <row r="260" spans="1:2" ht="15">
      <c r="A260" s="9"/>
      <c r="B260" s="315"/>
    </row>
    <row r="261" spans="1:2" ht="15">
      <c r="A261" s="9"/>
      <c r="B261" s="315"/>
    </row>
    <row r="262" spans="1:2" ht="15">
      <c r="A262" s="9"/>
      <c r="B262" s="315"/>
    </row>
    <row r="263" spans="1:2" ht="15">
      <c r="A263" s="9"/>
      <c r="B263" s="315"/>
    </row>
    <row r="264" spans="1:2" ht="15">
      <c r="A264" s="9"/>
      <c r="B264" s="315"/>
    </row>
    <row r="265" spans="1:2" ht="15">
      <c r="A265" s="9"/>
      <c r="B265" s="315"/>
    </row>
    <row r="266" spans="1:2" ht="15">
      <c r="A266" s="9"/>
      <c r="B266" s="315"/>
    </row>
    <row r="267" spans="1:2" ht="15">
      <c r="A267" s="9"/>
      <c r="B267" s="315"/>
    </row>
    <row r="268" spans="1:2" ht="15">
      <c r="A268" s="9"/>
      <c r="B268" s="315"/>
    </row>
    <row r="269" spans="1:2" ht="15">
      <c r="A269" s="9"/>
      <c r="B269" s="315"/>
    </row>
    <row r="270" spans="1:2" ht="15">
      <c r="A270" s="9"/>
      <c r="B270" s="315"/>
    </row>
    <row r="271" spans="1:2" ht="15">
      <c r="A271" s="9"/>
      <c r="B271" s="315"/>
    </row>
    <row r="272" spans="1:2" ht="15">
      <c r="A272" s="9"/>
      <c r="B272" s="315"/>
    </row>
    <row r="273" spans="1:2" ht="15">
      <c r="A273" s="9"/>
      <c r="B273" s="315"/>
    </row>
    <row r="274" spans="1:2" ht="15">
      <c r="A274" s="9"/>
      <c r="B274" s="315"/>
    </row>
    <row r="275" spans="1:2" ht="15">
      <c r="A275" s="9"/>
      <c r="B275" s="315"/>
    </row>
    <row r="276" spans="1:2" ht="15">
      <c r="A276" s="9"/>
      <c r="B276" s="315"/>
    </row>
    <row r="277" spans="1:2" ht="15">
      <c r="A277" s="9"/>
      <c r="B277" s="315"/>
    </row>
    <row r="278" spans="1:2" ht="15">
      <c r="A278" s="9"/>
      <c r="B278" s="315"/>
    </row>
    <row r="279" spans="1:2" ht="15">
      <c r="A279" s="9"/>
      <c r="B279" s="315"/>
    </row>
    <row r="280" spans="1:2" ht="15">
      <c r="A280" s="9"/>
      <c r="B280" s="315"/>
    </row>
    <row r="281" spans="1:2" ht="15">
      <c r="A281" s="9"/>
      <c r="B281" s="315"/>
    </row>
    <row r="282" spans="1:2" ht="15">
      <c r="A282" s="9"/>
      <c r="B282" s="315"/>
    </row>
    <row r="283" spans="1:2" ht="15">
      <c r="A283" s="9"/>
      <c r="B283" s="315"/>
    </row>
    <row r="284" spans="1:2" ht="15">
      <c r="A284" s="9"/>
      <c r="B284" s="315"/>
    </row>
    <row r="285" spans="1:2" ht="15">
      <c r="A285" s="9"/>
      <c r="B285" s="315"/>
    </row>
    <row r="286" spans="1:2" ht="15">
      <c r="A286" s="9"/>
      <c r="B286" s="315"/>
    </row>
    <row r="287" spans="1:2" ht="15">
      <c r="A287" s="9"/>
      <c r="B287" s="315"/>
    </row>
    <row r="288" spans="1:2" ht="15">
      <c r="A288" s="9"/>
      <c r="B288" s="315"/>
    </row>
    <row r="289" spans="1:2" ht="15">
      <c r="A289" s="9"/>
      <c r="B289" s="315"/>
    </row>
    <row r="290" spans="1:2" ht="15">
      <c r="A290" s="9"/>
      <c r="B290" s="315"/>
    </row>
    <row r="291" spans="1:2" ht="15">
      <c r="A291" s="9"/>
      <c r="B291" s="315"/>
    </row>
    <row r="292" spans="1:2" ht="15">
      <c r="A292" s="9"/>
      <c r="B292" s="315"/>
    </row>
    <row r="293" spans="1:2" ht="15">
      <c r="A293" s="9"/>
      <c r="B293" s="315"/>
    </row>
    <row r="294" spans="1:2" ht="15">
      <c r="A294" s="9"/>
      <c r="B294" s="315"/>
    </row>
    <row r="295" spans="1:2" ht="15">
      <c r="A295" s="9"/>
      <c r="B295" s="315"/>
    </row>
    <row r="296" spans="1:2" ht="15">
      <c r="A296" s="9"/>
      <c r="B296" s="315"/>
    </row>
    <row r="297" spans="1:2" ht="15">
      <c r="A297" s="9"/>
      <c r="B297" s="315"/>
    </row>
    <row r="298" spans="1:2" ht="15">
      <c r="A298" s="9"/>
      <c r="B298" s="315"/>
    </row>
    <row r="299" spans="1:2" ht="15">
      <c r="A299" s="9"/>
      <c r="B299" s="315"/>
    </row>
    <row r="300" spans="1:2" ht="15">
      <c r="A300" s="9"/>
      <c r="B300" s="315"/>
    </row>
    <row r="301" spans="1:2" ht="15">
      <c r="A301" s="9"/>
      <c r="B301" s="315"/>
    </row>
    <row r="302" spans="1:2" ht="15">
      <c r="A302" s="9"/>
      <c r="B302" s="315"/>
    </row>
    <row r="303" spans="1:2" ht="15">
      <c r="A303" s="9"/>
      <c r="B303" s="315"/>
    </row>
    <row r="304" spans="1:2" ht="15">
      <c r="A304" s="9"/>
      <c r="B304" s="315"/>
    </row>
    <row r="305" spans="1:2" ht="15">
      <c r="A305" s="9"/>
      <c r="B305" s="315"/>
    </row>
    <row r="306" spans="1:2" ht="15">
      <c r="A306" s="9"/>
      <c r="B306" s="315"/>
    </row>
    <row r="307" spans="1:2" ht="15">
      <c r="A307" s="9"/>
      <c r="B307" s="315"/>
    </row>
    <row r="308" spans="1:2" ht="15">
      <c r="A308" s="9"/>
      <c r="B308" s="315"/>
    </row>
    <row r="309" spans="1:2" ht="15">
      <c r="A309" s="9"/>
      <c r="B309" s="315"/>
    </row>
    <row r="310" spans="1:2" ht="15">
      <c r="A310" s="9"/>
      <c r="B310" s="315"/>
    </row>
    <row r="311" spans="1:2" ht="15">
      <c r="A311" s="9"/>
      <c r="B311" s="315"/>
    </row>
    <row r="312" spans="1:2" ht="15">
      <c r="A312" s="9"/>
      <c r="B312" s="315"/>
    </row>
    <row r="313" spans="1:2" ht="15">
      <c r="A313" s="9"/>
      <c r="B313" s="315"/>
    </row>
    <row r="314" spans="1:2" ht="15">
      <c r="A314" s="9"/>
      <c r="B314" s="315"/>
    </row>
    <row r="315" spans="1:2" ht="15">
      <c r="A315" s="9"/>
      <c r="B315" s="315"/>
    </row>
    <row r="316" spans="1:2" ht="15">
      <c r="A316" s="9"/>
      <c r="B316" s="315"/>
    </row>
    <row r="317" spans="1:2" ht="15">
      <c r="A317" s="9"/>
      <c r="B317" s="315"/>
    </row>
    <row r="318" spans="1:2" ht="15">
      <c r="A318" s="9"/>
      <c r="B318" s="315"/>
    </row>
    <row r="319" spans="1:2" ht="15">
      <c r="A319" s="9"/>
      <c r="B319" s="315"/>
    </row>
    <row r="320" spans="1:2" ht="15">
      <c r="A320" s="9"/>
      <c r="B320" s="315"/>
    </row>
    <row r="321" spans="1:2" ht="15">
      <c r="A321" s="9"/>
      <c r="B321" s="315"/>
    </row>
    <row r="322" spans="1:2" ht="15">
      <c r="A322" s="9"/>
      <c r="B322" s="315"/>
    </row>
    <row r="323" spans="1:2" ht="15">
      <c r="A323" s="9"/>
      <c r="B323" s="315"/>
    </row>
    <row r="324" spans="1:2" ht="15">
      <c r="A324" s="9"/>
      <c r="B324" s="315"/>
    </row>
    <row r="325" spans="1:2" ht="15">
      <c r="A325" s="9"/>
      <c r="B325" s="315"/>
    </row>
    <row r="326" spans="1:2" ht="15">
      <c r="A326" s="9"/>
      <c r="B326" s="315"/>
    </row>
    <row r="327" spans="1:2" ht="15">
      <c r="A327" s="9"/>
      <c r="B327" s="315"/>
    </row>
    <row r="328" spans="1:2" ht="15">
      <c r="A328" s="9"/>
      <c r="B328" s="315"/>
    </row>
    <row r="329" spans="1:2" ht="15">
      <c r="A329" s="9"/>
      <c r="B329" s="315"/>
    </row>
    <row r="330" spans="1:2" ht="15">
      <c r="A330" s="9"/>
      <c r="B330" s="315"/>
    </row>
  </sheetData>
  <sheetProtection/>
  <mergeCells count="37">
    <mergeCell ref="A1:B1"/>
    <mergeCell ref="A2:B2"/>
    <mergeCell ref="A207:B207"/>
    <mergeCell ref="A214:B214"/>
    <mergeCell ref="A174:B174"/>
    <mergeCell ref="A185:B185"/>
    <mergeCell ref="A198:B198"/>
    <mergeCell ref="A202:B202"/>
    <mergeCell ref="A208:B208"/>
    <mergeCell ref="A203:B203"/>
    <mergeCell ref="A175:B175"/>
    <mergeCell ref="A186:B186"/>
    <mergeCell ref="A3:B3"/>
    <mergeCell ref="A25:B25"/>
    <mergeCell ref="A32:B32"/>
    <mergeCell ref="A44:B44"/>
    <mergeCell ref="A4:B4"/>
    <mergeCell ref="A6:B6"/>
    <mergeCell ref="A26:B26"/>
    <mergeCell ref="A33:B33"/>
    <mergeCell ref="A199:B199"/>
    <mergeCell ref="A67:B67"/>
    <mergeCell ref="A72:B72"/>
    <mergeCell ref="A86:B86"/>
    <mergeCell ref="A112:B112"/>
    <mergeCell ref="A113:B113"/>
    <mergeCell ref="A134:B134"/>
    <mergeCell ref="A145:B145"/>
    <mergeCell ref="A153:B153"/>
    <mergeCell ref="A144:B144"/>
    <mergeCell ref="A152:B152"/>
    <mergeCell ref="A133:B133"/>
    <mergeCell ref="A217:B217"/>
    <mergeCell ref="A45:B45"/>
    <mergeCell ref="A68:B68"/>
    <mergeCell ref="A73:B73"/>
    <mergeCell ref="A87:B87"/>
  </mergeCells>
  <printOptions/>
  <pageMargins left="0.7480314960629921" right="0.7480314960629921" top="0.984251968503937" bottom="0.7874015748031497" header="0.5118110236220472" footer="0.5118110236220472"/>
  <pageSetup fitToHeight="4" horizontalDpi="355" verticalDpi="355" orientation="portrait" scale="59" r:id="rId1"/>
  <headerFooter alignWithMargins="0">
    <oddFooter>&amp;L&amp;A</oddFooter>
  </headerFooter>
  <rowBreaks count="3" manualBreakCount="3">
    <brk id="66" max="255" man="1"/>
    <brk id="132" max="255" man="1"/>
    <brk id="17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6"/>
  <sheetViews>
    <sheetView showGridLines="0" zoomScalePageLayoutView="0" workbookViewId="0" topLeftCell="A1">
      <selection activeCell="A241" sqref="A241:B242"/>
    </sheetView>
  </sheetViews>
  <sheetFormatPr defaultColWidth="9.140625" defaultRowHeight="12.75"/>
  <cols>
    <col min="1" max="1" width="73.28125" style="24" customWidth="1"/>
    <col min="2" max="2" width="20.8515625" style="326" customWidth="1"/>
  </cols>
  <sheetData>
    <row r="1" spans="1:2" ht="12.75">
      <c r="A1" s="614" t="str">
        <f>'Trial Balance'!A1:J1</f>
        <v>Woodstock Hydro Services Inc.</v>
      </c>
      <c r="B1" s="614"/>
    </row>
    <row r="2" spans="1:2" ht="12.75">
      <c r="A2" s="614" t="str">
        <f>'Trial Balance'!A2:J2</f>
        <v>, License Number ED-2003-0011, File Number EB-2010-0145</v>
      </c>
      <c r="B2" s="614"/>
    </row>
    <row r="3" spans="1:2" ht="15">
      <c r="A3" s="637" t="str">
        <f>Notes!B4</f>
        <v>Woodstock Hydro Services Inc.</v>
      </c>
      <c r="B3" s="637"/>
    </row>
    <row r="4" spans="1:2" ht="15">
      <c r="A4" s="637" t="s">
        <v>162</v>
      </c>
      <c r="B4" s="637"/>
    </row>
    <row r="5" spans="1:2" ht="15" customHeight="1">
      <c r="A5" s="59" t="s">
        <v>530</v>
      </c>
      <c r="B5" s="316" t="s">
        <v>154</v>
      </c>
    </row>
    <row r="6" spans="1:2" s="18" customFormat="1" ht="15" customHeight="1">
      <c r="A6" s="638" t="s">
        <v>149</v>
      </c>
      <c r="B6" s="638"/>
    </row>
    <row r="7" spans="1:2" ht="15" customHeight="1">
      <c r="A7" s="25" t="str">
        <f>'Trial Balance'!A8&amp;"-"&amp;'Trial Balance'!B8</f>
        <v>1005-Cash</v>
      </c>
      <c r="B7" s="317">
        <f>'Trial Balance'!F8</f>
        <v>4651564.13</v>
      </c>
    </row>
    <row r="8" spans="1:2" ht="15" customHeight="1">
      <c r="A8" s="25" t="str">
        <f>'Trial Balance'!A9&amp;"-"&amp;'Trial Balance'!B9</f>
        <v>1010-Cash Advances and Working Funds</v>
      </c>
      <c r="B8" s="317">
        <f>'Trial Balance'!F9</f>
        <v>450</v>
      </c>
    </row>
    <row r="9" spans="1:2" ht="15" customHeight="1">
      <c r="A9" s="25" t="str">
        <f>'Trial Balance'!A10&amp;"-"&amp;'Trial Balance'!B10</f>
        <v>1020-Interest Special Deposits</v>
      </c>
      <c r="B9" s="317">
        <f>'Trial Balance'!F10</f>
        <v>0</v>
      </c>
    </row>
    <row r="10" spans="1:2" ht="15" customHeight="1">
      <c r="A10" s="25" t="str">
        <f>'Trial Balance'!A11&amp;"-"&amp;'Trial Balance'!B11</f>
        <v>1030-Dividend Special Deposits</v>
      </c>
      <c r="B10" s="317">
        <f>'Trial Balance'!F11</f>
        <v>0</v>
      </c>
    </row>
    <row r="11" spans="1:2" ht="15" customHeight="1">
      <c r="A11" s="25" t="str">
        <f>'Trial Balance'!A12&amp;"-"&amp;'Trial Balance'!B12</f>
        <v>1040-Other Special Deposits</v>
      </c>
      <c r="B11" s="317">
        <f>'Trial Balance'!F12</f>
        <v>0</v>
      </c>
    </row>
    <row r="12" spans="1:2" ht="15" customHeight="1">
      <c r="A12" s="25" t="str">
        <f>'Trial Balance'!A13&amp;"-"&amp;'Trial Balance'!B13</f>
        <v>1060-Term Deposits</v>
      </c>
      <c r="B12" s="317">
        <f>'Trial Balance'!F13</f>
        <v>0</v>
      </c>
    </row>
    <row r="13" spans="1:2" ht="15" customHeight="1">
      <c r="A13" s="25" t="str">
        <f>'Trial Balance'!A14&amp;"-"&amp;'Trial Balance'!B14</f>
        <v>1070-Current Investments</v>
      </c>
      <c r="B13" s="317">
        <f>'Trial Balance'!F14</f>
        <v>50451.51</v>
      </c>
    </row>
    <row r="14" spans="1:2" ht="15" customHeight="1">
      <c r="A14" s="25" t="str">
        <f>'Trial Balance'!A15&amp;"-"&amp;'Trial Balance'!B15</f>
        <v>1100-Customer Accounts Receivable</v>
      </c>
      <c r="B14" s="317">
        <f>'Trial Balance'!F15</f>
        <v>3023615.07</v>
      </c>
    </row>
    <row r="15" spans="1:2" ht="15" customHeight="1">
      <c r="A15" s="25" t="str">
        <f>'Trial Balance'!A16&amp;"-"&amp;'Trial Balance'!B16</f>
        <v>1102-Accounts Receivable - Services</v>
      </c>
      <c r="B15" s="317">
        <f>'Trial Balance'!F16</f>
        <v>889.11</v>
      </c>
    </row>
    <row r="16" spans="1:2" ht="15" customHeight="1">
      <c r="A16" s="25" t="str">
        <f>'Trial Balance'!A17&amp;"-"&amp;'Trial Balance'!B17</f>
        <v>1104-Accounts Receivable - Recoverable Work</v>
      </c>
      <c r="B16" s="317">
        <f>'Trial Balance'!F17</f>
        <v>178678.56</v>
      </c>
    </row>
    <row r="17" spans="1:2" ht="15" customHeight="1">
      <c r="A17" s="25" t="str">
        <f>'Trial Balance'!A18&amp;"-"&amp;'Trial Balance'!B18</f>
        <v>1105-Accounts Receivable - Merchandise, Jobbing, etc.</v>
      </c>
      <c r="B17" s="317">
        <f>'Trial Balance'!F18</f>
        <v>0</v>
      </c>
    </row>
    <row r="18" spans="1:2" ht="15" customHeight="1">
      <c r="A18" s="25" t="str">
        <f>'Trial Balance'!A19&amp;"-"&amp;'Trial Balance'!B19</f>
        <v>1110-Other Accounts Receivable</v>
      </c>
      <c r="B18" s="317">
        <f>'Trial Balance'!F19</f>
        <v>74234.91</v>
      </c>
    </row>
    <row r="19" spans="1:2" ht="15" customHeight="1">
      <c r="A19" s="25" t="str">
        <f>'Trial Balance'!A20&amp;"-"&amp;'Trial Balance'!B20</f>
        <v>1120-Accrued Utility Revenues</v>
      </c>
      <c r="B19" s="317">
        <f>'Trial Balance'!F20</f>
        <v>2900261.73</v>
      </c>
    </row>
    <row r="20" spans="1:2" ht="15" customHeight="1">
      <c r="A20" s="25" t="str">
        <f>'Trial Balance'!A21&amp;"-"&amp;'Trial Balance'!B21</f>
        <v>1130-Accumulated Provision for Uncollectable Accounts -- Credit</v>
      </c>
      <c r="B20" s="317">
        <f>'Trial Balance'!F21</f>
        <v>-19825.62</v>
      </c>
    </row>
    <row r="21" spans="1:2" ht="15" customHeight="1">
      <c r="A21" s="25" t="str">
        <f>'Trial Balance'!A22&amp;"-"&amp;'Trial Balance'!B22</f>
        <v>1140-Interest and Dividends Receivable</v>
      </c>
      <c r="B21" s="317">
        <f>'Trial Balance'!F22</f>
        <v>0</v>
      </c>
    </row>
    <row r="22" spans="1:2" ht="15" customHeight="1">
      <c r="A22" s="25" t="str">
        <f>'Trial Balance'!A23&amp;"-"&amp;'Trial Balance'!B23</f>
        <v>1150-Rents Receivable</v>
      </c>
      <c r="B22" s="317">
        <f>'Trial Balance'!F23</f>
        <v>10325.7</v>
      </c>
    </row>
    <row r="23" spans="1:2" ht="15" customHeight="1">
      <c r="A23" s="25" t="str">
        <f>'Trial Balance'!A24&amp;"-"&amp;'Trial Balance'!B24</f>
        <v>1170-Notes Receivable</v>
      </c>
      <c r="B23" s="317">
        <f>'Trial Balance'!F24</f>
        <v>0</v>
      </c>
    </row>
    <row r="24" spans="1:2" ht="15" customHeight="1">
      <c r="A24" s="25" t="str">
        <f>'Trial Balance'!A25&amp;"-"&amp;'Trial Balance'!B25</f>
        <v>1180-Prepayments</v>
      </c>
      <c r="B24" s="317">
        <f>'Trial Balance'!F25</f>
        <v>129066.47</v>
      </c>
    </row>
    <row r="25" spans="1:2" ht="15" customHeight="1">
      <c r="A25" s="25" t="str">
        <f>'Trial Balance'!A26&amp;"-"&amp;'Trial Balance'!B26</f>
        <v>1190-Miscellaneous Current and Accrued Assets</v>
      </c>
      <c r="B25" s="317">
        <f>'Trial Balance'!F26</f>
        <v>0</v>
      </c>
    </row>
    <row r="26" spans="1:2" ht="15" customHeight="1">
      <c r="A26" s="25" t="str">
        <f>'Trial Balance'!A27&amp;"-"&amp;'Trial Balance'!B27</f>
        <v>1200-Accounts Receivable from Associated Companies</v>
      </c>
      <c r="B26" s="317">
        <f>'Trial Balance'!F27</f>
        <v>188.73</v>
      </c>
    </row>
    <row r="27" spans="1:2" ht="15" customHeight="1" thickBot="1">
      <c r="A27" s="25" t="str">
        <f>'Trial Balance'!A28&amp;"-"&amp;'Trial Balance'!B28</f>
        <v>1210-Notes  Receivable from Associated Companies</v>
      </c>
      <c r="B27" s="317">
        <f>'Trial Balance'!F28</f>
        <v>0</v>
      </c>
    </row>
    <row r="28" spans="1:2" ht="15" customHeight="1" thickBot="1">
      <c r="A28" s="26" t="s">
        <v>150</v>
      </c>
      <c r="B28" s="318">
        <f>SUM(B7:B27)</f>
        <v>10999900.3</v>
      </c>
    </row>
    <row r="29" spans="1:2" s="18" customFormat="1" ht="8.25" customHeight="1">
      <c r="A29" s="646"/>
      <c r="B29" s="646"/>
    </row>
    <row r="30" spans="1:2" s="18" customFormat="1" ht="15" customHeight="1">
      <c r="A30" s="645" t="s">
        <v>151</v>
      </c>
      <c r="B30" s="645"/>
    </row>
    <row r="31" spans="1:2" ht="15" customHeight="1">
      <c r="A31" s="25" t="str">
        <f>'Trial Balance'!A30&amp;"-"&amp;'Trial Balance'!B30</f>
        <v>1305-Fuel Stock</v>
      </c>
      <c r="B31" s="317">
        <f>'Trial Balance'!F30</f>
        <v>0</v>
      </c>
    </row>
    <row r="32" spans="1:2" ht="15" customHeight="1">
      <c r="A32" s="25" t="str">
        <f>'Trial Balance'!A31&amp;"-"&amp;'Trial Balance'!B31</f>
        <v>1330-Plant Materials and Operating Supplies</v>
      </c>
      <c r="B32" s="317">
        <f>'Trial Balance'!F31</f>
        <v>1322646.5</v>
      </c>
    </row>
    <row r="33" spans="1:2" ht="15" customHeight="1">
      <c r="A33" s="25" t="str">
        <f>'Trial Balance'!A32&amp;"-"&amp;'Trial Balance'!B32</f>
        <v>1340-Merchandise</v>
      </c>
      <c r="B33" s="317">
        <f>'Trial Balance'!F32</f>
        <v>0</v>
      </c>
    </row>
    <row r="34" spans="1:2" ht="15" customHeight="1" thickBot="1">
      <c r="A34" s="25" t="str">
        <f>'Trial Balance'!A33&amp;"-"&amp;'Trial Balance'!B33</f>
        <v>1350-Other Material and Supplies</v>
      </c>
      <c r="B34" s="317">
        <f>'Trial Balance'!F33</f>
        <v>0</v>
      </c>
    </row>
    <row r="35" spans="1:2" ht="15" customHeight="1" thickBot="1">
      <c r="A35" s="27" t="s">
        <v>103</v>
      </c>
      <c r="B35" s="318">
        <f>SUM(B31:B34)</f>
        <v>1322646.5</v>
      </c>
    </row>
    <row r="36" spans="1:2" s="18" customFormat="1" ht="15" customHeight="1">
      <c r="A36" s="22"/>
      <c r="B36" s="319"/>
    </row>
    <row r="37" spans="1:2" s="18" customFormat="1" ht="15" customHeight="1">
      <c r="A37" s="645" t="s">
        <v>104</v>
      </c>
      <c r="B37" s="645"/>
    </row>
    <row r="38" spans="1:2" ht="15" customHeight="1">
      <c r="A38" s="25" t="str">
        <f>'Trial Balance'!A35&amp;"-"&amp;'Trial Balance'!B35</f>
        <v>1405-Long Term Investments in Non-Associated Companies</v>
      </c>
      <c r="B38" s="317">
        <f>'Trial Balance'!F35</f>
        <v>0</v>
      </c>
    </row>
    <row r="39" spans="1:2" ht="15" customHeight="1">
      <c r="A39" s="25" t="str">
        <f>'Trial Balance'!A36&amp;"-"&amp;'Trial Balance'!B36</f>
        <v>1408-Long Term Receivable - Street Lighting Transfer</v>
      </c>
      <c r="B39" s="317">
        <f>'Trial Balance'!F36</f>
        <v>0</v>
      </c>
    </row>
    <row r="40" spans="1:2" ht="15" customHeight="1">
      <c r="A40" s="25" t="str">
        <f>'Trial Balance'!A37&amp;"-"&amp;'Trial Balance'!B37</f>
        <v>1410-Other Special or Collateral Funds</v>
      </c>
      <c r="B40" s="317">
        <f>'Trial Balance'!F37</f>
        <v>0</v>
      </c>
    </row>
    <row r="41" spans="1:2" ht="15" customHeight="1">
      <c r="A41" s="25" t="str">
        <f>'Trial Balance'!A38&amp;"-"&amp;'Trial Balance'!B38</f>
        <v>1415-Sinking Funds</v>
      </c>
      <c r="B41" s="317">
        <f>'Trial Balance'!F38</f>
        <v>0</v>
      </c>
    </row>
    <row r="42" spans="1:2" ht="15" customHeight="1">
      <c r="A42" s="25" t="str">
        <f>'Trial Balance'!A39&amp;"-"&amp;'Trial Balance'!B39</f>
        <v>1425-Unamortized Debt Expense</v>
      </c>
      <c r="B42" s="317">
        <f>'Trial Balance'!F39</f>
        <v>0</v>
      </c>
    </row>
    <row r="43" spans="1:2" ht="15" customHeight="1">
      <c r="A43" s="25" t="str">
        <f>'Trial Balance'!A40&amp;"-"&amp;'Trial Balance'!B40</f>
        <v>1445-Unamortized Discount on Long-Term Debt--Debit</v>
      </c>
      <c r="B43" s="317">
        <f>'Trial Balance'!F40</f>
        <v>0</v>
      </c>
    </row>
    <row r="44" spans="1:2" ht="15" customHeight="1">
      <c r="A44" s="25" t="str">
        <f>'Trial Balance'!A41&amp;"-"&amp;'Trial Balance'!B41</f>
        <v>1455-Unamortized Deferred Foreign Currency Translation Gains and Losses</v>
      </c>
      <c r="B44" s="317">
        <f>'Trial Balance'!F41</f>
        <v>0</v>
      </c>
    </row>
    <row r="45" spans="1:2" ht="15" customHeight="1">
      <c r="A45" s="25" t="str">
        <f>'Trial Balance'!A42&amp;"-"&amp;'Trial Balance'!B42</f>
        <v>1460-Other Non-Current Assets</v>
      </c>
      <c r="B45" s="317">
        <f>'Trial Balance'!F42</f>
        <v>0</v>
      </c>
    </row>
    <row r="46" spans="1:2" ht="15" customHeight="1">
      <c r="A46" s="25" t="str">
        <f>'Trial Balance'!A43&amp;"-"&amp;'Trial Balance'!B43</f>
        <v>1465-O.M.E.R.S. Past Service Costs</v>
      </c>
      <c r="B46" s="317">
        <f>'Trial Balance'!F43</f>
        <v>0</v>
      </c>
    </row>
    <row r="47" spans="1:2" ht="15" customHeight="1">
      <c r="A47" s="25" t="str">
        <f>'Trial Balance'!A44&amp;"-"&amp;'Trial Balance'!B44</f>
        <v>1470-Past Service Costs - Employee Future Benefits</v>
      </c>
      <c r="B47" s="317">
        <f>'Trial Balance'!F44</f>
        <v>0</v>
      </c>
    </row>
    <row r="48" spans="1:2" ht="15" customHeight="1">
      <c r="A48" s="25" t="str">
        <f>'Trial Balance'!A45&amp;"-"&amp;'Trial Balance'!B45</f>
        <v>1475-Past Service Costs -Other Pension Plans</v>
      </c>
      <c r="B48" s="317">
        <f>'Trial Balance'!F45</f>
        <v>0</v>
      </c>
    </row>
    <row r="49" spans="1:2" ht="15" customHeight="1">
      <c r="A49" s="25" t="str">
        <f>'Trial Balance'!A46&amp;"-"&amp;'Trial Balance'!B46</f>
        <v>1480-Portfolio Investments - Associated Companies</v>
      </c>
      <c r="B49" s="317">
        <f>'Trial Balance'!F46</f>
        <v>0</v>
      </c>
    </row>
    <row r="50" spans="1:2" ht="15" customHeight="1">
      <c r="A50" s="25" t="str">
        <f>'Trial Balance'!A47&amp;"-"&amp;'Trial Balance'!B47</f>
        <v>1485-Investment In Subsidiary Companies - Significant Influence</v>
      </c>
      <c r="B50" s="317">
        <f>'Trial Balance'!F47</f>
        <v>0</v>
      </c>
    </row>
    <row r="51" spans="1:2" ht="15" customHeight="1" thickBot="1">
      <c r="A51" s="25" t="str">
        <f>'Trial Balance'!A48&amp;"-"&amp;'Trial Balance'!B48</f>
        <v>1490-Investment in Subsidiary Companies</v>
      </c>
      <c r="B51" s="317">
        <f>'Trial Balance'!F48</f>
        <v>0</v>
      </c>
    </row>
    <row r="52" spans="1:2" ht="15" customHeight="1" thickBot="1">
      <c r="A52" s="27" t="s">
        <v>105</v>
      </c>
      <c r="B52" s="318">
        <f>SUM(B38:B51)</f>
        <v>0</v>
      </c>
    </row>
    <row r="53" spans="1:2" s="18" customFormat="1" ht="15" customHeight="1">
      <c r="A53" s="22"/>
      <c r="B53" s="319"/>
    </row>
    <row r="54" spans="1:2" s="18" customFormat="1" ht="15" customHeight="1">
      <c r="A54" s="645" t="s">
        <v>106</v>
      </c>
      <c r="B54" s="645"/>
    </row>
    <row r="55" spans="1:2" ht="15" customHeight="1">
      <c r="A55" s="25" t="str">
        <f>'Trial Balance'!A50&amp;"-"&amp;'Trial Balance'!B50</f>
        <v>1505-Unrecovered Plant and Regulatory Study Costs</v>
      </c>
      <c r="B55" s="317">
        <f>'Trial Balance'!F50</f>
        <v>0</v>
      </c>
    </row>
    <row r="56" spans="1:2" ht="15" customHeight="1">
      <c r="A56" s="25" t="str">
        <f>'Trial Balance'!A51&amp;"-"&amp;'Trial Balance'!B51</f>
        <v>1508-Other Regulatory Assets</v>
      </c>
      <c r="B56" s="317">
        <f>'Trial Balance'!F51</f>
        <v>240559.67</v>
      </c>
    </row>
    <row r="57" spans="1:2" ht="15" customHeight="1">
      <c r="A57" s="25" t="str">
        <f>'Trial Balance'!A52&amp;"-"&amp;'Trial Balance'!B52</f>
        <v>1510-Preliminary Survey and Investigation Charges</v>
      </c>
      <c r="B57" s="317">
        <f>'Trial Balance'!F52</f>
        <v>0</v>
      </c>
    </row>
    <row r="58" spans="1:2" ht="15" customHeight="1">
      <c r="A58" s="25" t="str">
        <f>'Trial Balance'!A53&amp;"-"&amp;'Trial Balance'!B53</f>
        <v>1515-Emission Allowance Inventory</v>
      </c>
      <c r="B58" s="317">
        <f>'Trial Balance'!F53</f>
        <v>0</v>
      </c>
    </row>
    <row r="59" spans="1:2" ht="15" customHeight="1">
      <c r="A59" s="25" t="str">
        <f>'Trial Balance'!A54&amp;"-"&amp;'Trial Balance'!B54</f>
        <v>1516-Emission Allowance Withheld</v>
      </c>
      <c r="B59" s="317">
        <f>'Trial Balance'!F54</f>
        <v>0</v>
      </c>
    </row>
    <row r="60" spans="1:2" ht="15" customHeight="1">
      <c r="A60" s="25" t="str">
        <f>'Trial Balance'!A55&amp;"-"&amp;'Trial Balance'!B55</f>
        <v>1518-RCVA Retail</v>
      </c>
      <c r="B60" s="317">
        <f>'Trial Balance'!F55</f>
        <v>0</v>
      </c>
    </row>
    <row r="61" spans="1:2" ht="15" customHeight="1">
      <c r="A61" s="25" t="str">
        <f>'Trial Balance'!A56&amp;"-"&amp;'Trial Balance'!B56</f>
        <v>1521- Special Purpose Charge Assessment</v>
      </c>
      <c r="B61" s="317">
        <f>'Trial Balance'!F56</f>
        <v>0</v>
      </c>
    </row>
    <row r="62" spans="1:2" ht="15" customHeight="1">
      <c r="A62" s="25" t="str">
        <f>'Trial Balance'!A57&amp;"-"&amp;'Trial Balance'!B57</f>
        <v>1522-  Late Payment  Settlement Recovery?</v>
      </c>
      <c r="B62" s="317">
        <f>'Trial Balance'!F57</f>
        <v>0</v>
      </c>
    </row>
    <row r="63" spans="1:2" ht="15" customHeight="1">
      <c r="A63" s="25" t="str">
        <f>'Trial Balance'!A58&amp;"-"&amp;'Trial Balance'!B58</f>
        <v>1525-Miscellaneous Deferred Debits</v>
      </c>
      <c r="B63" s="317">
        <f>'Trial Balance'!F58</f>
        <v>0</v>
      </c>
    </row>
    <row r="64" spans="1:2" ht="15" customHeight="1">
      <c r="A64" s="25" t="str">
        <f>'Trial Balance'!A59&amp;"-"&amp;'Trial Balance'!B59</f>
        <v>1530-Deferred Losses from Disposition of Utility Plant</v>
      </c>
      <c r="B64" s="317">
        <f>'Trial Balance'!F59</f>
        <v>0</v>
      </c>
    </row>
    <row r="65" spans="1:2" ht="15" customHeight="1">
      <c r="A65" s="25" t="str">
        <f>'Trial Balance'!A60&amp;"-"&amp;'Trial Balance'!B60</f>
        <v>1531-Renewable Connection Capital </v>
      </c>
      <c r="B65" s="317">
        <f>'Trial Balance'!F60</f>
        <v>0</v>
      </c>
    </row>
    <row r="66" spans="1:2" ht="15" customHeight="1">
      <c r="A66" s="25" t="str">
        <f>'Trial Balance'!A61&amp;"-"&amp;'Trial Balance'!B61</f>
        <v>1532-Renewable Connection OM&amp;A</v>
      </c>
      <c r="B66" s="317">
        <f>'Trial Balance'!F61</f>
        <v>0</v>
      </c>
    </row>
    <row r="67" spans="1:2" ht="15" customHeight="1">
      <c r="A67" s="25" t="str">
        <f>'Trial Balance'!A62&amp;"-"&amp;'Trial Balance'!B62</f>
        <v>1534-Smart Grid Capital</v>
      </c>
      <c r="B67" s="317">
        <f>'Trial Balance'!F62</f>
        <v>0</v>
      </c>
    </row>
    <row r="68" spans="1:2" ht="15" customHeight="1">
      <c r="A68" s="25" t="str">
        <f>'Trial Balance'!A63&amp;"-"&amp;'Trial Balance'!B63</f>
        <v>1535-Smart Grid OM&amp;A</v>
      </c>
      <c r="B68" s="317">
        <f>'Trial Balance'!F63</f>
        <v>0</v>
      </c>
    </row>
    <row r="69" spans="1:2" ht="15" customHeight="1">
      <c r="A69" s="25" t="str">
        <f>'Trial Balance'!A64&amp;"-"&amp;'Trial Balance'!B64</f>
        <v>1540-Deferred Losses from Disposition of Utility Plant</v>
      </c>
      <c r="B69" s="317">
        <f>'Trial Balance'!F64</f>
        <v>0</v>
      </c>
    </row>
    <row r="70" spans="1:2" ht="15" customHeight="1">
      <c r="A70" s="25" t="str">
        <f>'Trial Balance'!A65&amp;"-"&amp;'Trial Balance'!B65</f>
        <v>1545-Development Charge Deposits/ Receivables</v>
      </c>
      <c r="B70" s="317">
        <f>'Trial Balance'!F65</f>
        <v>0</v>
      </c>
    </row>
    <row r="71" spans="1:2" ht="15" customHeight="1">
      <c r="A71" s="25" t="str">
        <f>'Trial Balance'!A66&amp;"-"&amp;'Trial Balance'!B66</f>
        <v>1548-RCVA - Service Transaction Request (STR)</v>
      </c>
      <c r="B71" s="317">
        <f>'Trial Balance'!F66</f>
        <v>0</v>
      </c>
    </row>
    <row r="72" spans="1:2" ht="15" customHeight="1">
      <c r="A72" s="25" t="str">
        <f>'Trial Balance'!A67&amp;"-"&amp;'Trial Balance'!B67</f>
        <v>1550-LV Charges - Variance</v>
      </c>
      <c r="B72" s="317">
        <f>'Trial Balance'!F67</f>
        <v>0</v>
      </c>
    </row>
    <row r="73" spans="1:2" ht="15" customHeight="1">
      <c r="A73" s="25" t="str">
        <f>'Trial Balance'!A68&amp;"-"&amp;'Trial Balance'!B68</f>
        <v>1555-Smart Meters Recovery</v>
      </c>
      <c r="B73" s="317">
        <f>'Trial Balance'!F68</f>
        <v>-75459.85</v>
      </c>
    </row>
    <row r="74" spans="1:2" ht="15" customHeight="1">
      <c r="A74" s="25" t="str">
        <f>'Trial Balance'!A69&amp;"-"&amp;'Trial Balance'!B69</f>
        <v>1556-Smart Meters OM &amp; A</v>
      </c>
      <c r="B74" s="317">
        <f>'Trial Balance'!F69</f>
        <v>0</v>
      </c>
    </row>
    <row r="75" spans="1:2" ht="15" customHeight="1">
      <c r="A75" s="25" t="str">
        <f>'Trial Balance'!A70&amp;"-"&amp;'Trial Balance'!B70</f>
        <v>1562-Deferred PILs</v>
      </c>
      <c r="B75" s="317">
        <f>'Trial Balance'!F70</f>
        <v>292987.22</v>
      </c>
    </row>
    <row r="76" spans="1:2" ht="15" customHeight="1">
      <c r="A76" s="25" t="str">
        <f>'Trial Balance'!A71&amp;"-"&amp;'Trial Balance'!B71</f>
        <v>1563-Deferred PILs - Contra</v>
      </c>
      <c r="B76" s="317">
        <f>'Trial Balance'!F71</f>
        <v>0</v>
      </c>
    </row>
    <row r="77" spans="1:2" ht="15" customHeight="1">
      <c r="A77" s="25" t="str">
        <f>'Trial Balance'!A72&amp;"-"&amp;'Trial Balance'!B72</f>
        <v>1565-C &amp; DM Costs</v>
      </c>
      <c r="B77" s="317">
        <f>'Trial Balance'!F72</f>
        <v>-4267.7</v>
      </c>
    </row>
    <row r="78" spans="1:2" ht="15" customHeight="1">
      <c r="A78" s="25" t="str">
        <f>'Trial Balance'!A73&amp;"-"&amp;'Trial Balance'!B73</f>
        <v>1566-C &amp; DM Costs Contra</v>
      </c>
      <c r="B78" s="317">
        <f>'Trial Balance'!F73</f>
        <v>4267.7</v>
      </c>
    </row>
    <row r="79" spans="1:2" ht="15" customHeight="1">
      <c r="A79" s="25" t="str">
        <f>'Trial Balance'!A74&amp;"-"&amp;'Trial Balance'!B74</f>
        <v>1570-Qualifying Transition Costs</v>
      </c>
      <c r="B79" s="317">
        <f>'Trial Balance'!F74</f>
        <v>0</v>
      </c>
    </row>
    <row r="80" spans="1:2" ht="15" customHeight="1">
      <c r="A80" s="25" t="str">
        <f>'Trial Balance'!A75&amp;"-"&amp;'Trial Balance'!B75</f>
        <v>1571-Pre Market CofP Variance</v>
      </c>
      <c r="B80" s="317">
        <f>'Trial Balance'!F75</f>
        <v>0</v>
      </c>
    </row>
    <row r="81" spans="1:2" ht="15" customHeight="1">
      <c r="A81" s="25" t="str">
        <f>'Trial Balance'!A76&amp;"-"&amp;'Trial Balance'!B76</f>
        <v>1572-Extraordinary Event Losses</v>
      </c>
      <c r="B81" s="317">
        <f>'Trial Balance'!F76</f>
        <v>0</v>
      </c>
    </row>
    <row r="82" spans="1:2" ht="15" customHeight="1">
      <c r="A82" s="25" t="str">
        <f>'Trial Balance'!A77&amp;"-"&amp;'Trial Balance'!B77</f>
        <v>1574-Deferred Rate Impact Amounts</v>
      </c>
      <c r="B82" s="317">
        <f>'Trial Balance'!F77</f>
        <v>0</v>
      </c>
    </row>
    <row r="83" spans="1:2" ht="15" customHeight="1">
      <c r="A83" s="25" t="str">
        <f>'Trial Balance'!A78&amp;"-"&amp;'Trial Balance'!B78</f>
        <v>1580-RSVA - Wholesale Market Services</v>
      </c>
      <c r="B83" s="317">
        <f>'Trial Balance'!F78</f>
        <v>-894566.49</v>
      </c>
    </row>
    <row r="84" spans="1:2" ht="15" customHeight="1">
      <c r="A84" s="25" t="str">
        <f>'Trial Balance'!A79&amp;"-"&amp;'Trial Balance'!B79</f>
        <v>1582-RSVA - One-Time</v>
      </c>
      <c r="B84" s="317">
        <f>'Trial Balance'!F79</f>
        <v>135897.14</v>
      </c>
    </row>
    <row r="85" spans="1:2" ht="15" customHeight="1">
      <c r="A85" s="25" t="str">
        <f>'Trial Balance'!A80&amp;"-"&amp;'Trial Balance'!B80</f>
        <v>1584-RSVA - Network Charges</v>
      </c>
      <c r="B85" s="317">
        <f>'Trial Balance'!F80</f>
        <v>-20613.04</v>
      </c>
    </row>
    <row r="86" spans="1:2" ht="15" customHeight="1">
      <c r="A86" s="25" t="str">
        <f>'Trial Balance'!A81&amp;"-"&amp;'Trial Balance'!B81</f>
        <v>1586-RSVA - Connection Charges</v>
      </c>
      <c r="B86" s="317">
        <f>'Trial Balance'!F81</f>
        <v>75462.86</v>
      </c>
    </row>
    <row r="87" spans="1:2" ht="15" customHeight="1">
      <c r="A87" s="25" t="str">
        <f>'Trial Balance'!A82&amp;"-"&amp;'Trial Balance'!B82</f>
        <v>1588-RSVA - Commodity (Power)</v>
      </c>
      <c r="B87" s="317">
        <f>'Trial Balance'!F82</f>
        <v>-388811.48</v>
      </c>
    </row>
    <row r="88" spans="1:2" ht="15" customHeight="1">
      <c r="A88" s="25" t="str">
        <f>'Trial Balance'!A83&amp;"-"&amp;'Trial Balance'!B83</f>
        <v>1590-Recovery of Regulatory Assets (25% of 2002 bal.)</v>
      </c>
      <c r="B88" s="317">
        <f>'Trial Balance'!F83</f>
        <v>105647.94</v>
      </c>
    </row>
    <row r="89" spans="1:2" ht="15" customHeight="1">
      <c r="A89" s="25" t="str">
        <f>'Trial Balance'!A84&amp;"-"&amp;'Trial Balance'!B84</f>
        <v>1592-PILs and Tax Variance for 2006 &amp; Subsequent Years</v>
      </c>
      <c r="B89" s="317">
        <f>'Trial Balance'!F84</f>
        <v>0</v>
      </c>
    </row>
    <row r="90" spans="1:2" ht="15" customHeight="1" thickBot="1">
      <c r="A90" s="25" t="str">
        <f>'Trial Balance'!A85&amp;"-"&amp;'Trial Balance'!B85</f>
        <v>1595-Disposition and Recovery of Regulatory Balances</v>
      </c>
      <c r="B90" s="317">
        <f>'Trial Balance'!F85</f>
        <v>0</v>
      </c>
    </row>
    <row r="91" spans="1:2" ht="15" customHeight="1" thickBot="1">
      <c r="A91" s="27" t="s">
        <v>155</v>
      </c>
      <c r="B91" s="318">
        <f>SUM(B55:B90)</f>
        <v>-528896.03</v>
      </c>
    </row>
    <row r="92" spans="1:2" s="18" customFormat="1" ht="15" customHeight="1">
      <c r="A92" s="22"/>
      <c r="B92" s="319"/>
    </row>
    <row r="93" spans="1:2" s="18" customFormat="1" ht="15" customHeight="1">
      <c r="A93" s="645" t="s">
        <v>156</v>
      </c>
      <c r="B93" s="645"/>
    </row>
    <row r="94" spans="1:2" ht="15" customHeight="1">
      <c r="A94" s="25" t="str">
        <f>'Trial Balance'!A87&amp;"-"&amp;'Trial Balance'!B87</f>
        <v>1805-Land</v>
      </c>
      <c r="B94" s="317">
        <f>'Trial Balance'!F87</f>
        <v>21835.64</v>
      </c>
    </row>
    <row r="95" spans="1:2" ht="15" customHeight="1">
      <c r="A95" s="25" t="str">
        <f>'Trial Balance'!A88&amp;"-"&amp;'Trial Balance'!B88</f>
        <v>1806-Land Rights</v>
      </c>
      <c r="B95" s="317">
        <f>'Trial Balance'!F88</f>
        <v>0</v>
      </c>
    </row>
    <row r="96" spans="1:2" ht="15" customHeight="1">
      <c r="A96" s="25" t="str">
        <f>'Trial Balance'!A89&amp;"-"&amp;'Trial Balance'!B89</f>
        <v>1808-Buildings and Fixtures</v>
      </c>
      <c r="B96" s="317">
        <f>'Trial Balance'!F89</f>
        <v>190773.89</v>
      </c>
    </row>
    <row r="97" spans="1:2" ht="15" customHeight="1">
      <c r="A97" s="25" t="str">
        <f>'Trial Balance'!A90&amp;"-"&amp;'Trial Balance'!B90</f>
        <v>1810-Leasehold Improvements</v>
      </c>
      <c r="B97" s="317">
        <f>'Trial Balance'!F90</f>
        <v>0</v>
      </c>
    </row>
    <row r="98" spans="1:2" ht="15" customHeight="1">
      <c r="A98" s="25" t="str">
        <f>'Trial Balance'!A91&amp;"-"&amp;'Trial Balance'!B91</f>
        <v>1815-Transformer Station Equipment - Normally Primary above 50 kV</v>
      </c>
      <c r="B98" s="317">
        <f>'Trial Balance'!F91</f>
        <v>0</v>
      </c>
    </row>
    <row r="99" spans="1:2" ht="15" customHeight="1">
      <c r="A99" s="25" t="str">
        <f>'Trial Balance'!A92&amp;"-"&amp;'Trial Balance'!B92</f>
        <v>1820-Distribution Station Equipment - Normally Primary below 50 kV</v>
      </c>
      <c r="B99" s="317">
        <f>'Trial Balance'!F92</f>
        <v>566170.39</v>
      </c>
    </row>
    <row r="100" spans="1:2" ht="15" customHeight="1">
      <c r="A100" s="25" t="str">
        <f>'Trial Balance'!A93&amp;"-"&amp;'Trial Balance'!B93</f>
        <v>1825-Storage Battery Equipment</v>
      </c>
      <c r="B100" s="317">
        <f>'Trial Balance'!F93</f>
        <v>0</v>
      </c>
    </row>
    <row r="101" spans="1:2" ht="15" customHeight="1">
      <c r="A101" s="25" t="str">
        <f>'Trial Balance'!A94&amp;"-"&amp;'Trial Balance'!B94</f>
        <v>1830-Poles, Towers and Fixtures</v>
      </c>
      <c r="B101" s="317">
        <f>'Trial Balance'!F94</f>
        <v>6324832.909999999</v>
      </c>
    </row>
    <row r="102" spans="1:2" ht="15" customHeight="1">
      <c r="A102" s="25" t="str">
        <f>'Trial Balance'!A95&amp;"-"&amp;'Trial Balance'!B95</f>
        <v>1835-Overhead Conductors and Devices</v>
      </c>
      <c r="B102" s="317">
        <f>'Trial Balance'!F95</f>
        <v>3199104.05</v>
      </c>
    </row>
    <row r="103" spans="1:2" ht="15" customHeight="1">
      <c r="A103" s="25" t="str">
        <f>'Trial Balance'!A96&amp;"-"&amp;'Trial Balance'!B96</f>
        <v>1840-Underground Conduit</v>
      </c>
      <c r="B103" s="317">
        <f>'Trial Balance'!F96</f>
        <v>2794141.68</v>
      </c>
    </row>
    <row r="104" spans="1:2" ht="15" customHeight="1">
      <c r="A104" s="25" t="str">
        <f>'Trial Balance'!A97&amp;"-"&amp;'Trial Balance'!B97</f>
        <v>1845-Underground Conductors and Devices</v>
      </c>
      <c r="B104" s="317">
        <f>'Trial Balance'!F97</f>
        <v>3566380.1599999997</v>
      </c>
    </row>
    <row r="105" spans="1:2" ht="15" customHeight="1">
      <c r="A105" s="25" t="str">
        <f>'Trial Balance'!A98&amp;"-"&amp;'Trial Balance'!B98</f>
        <v>1850-Line Transformers</v>
      </c>
      <c r="B105" s="317">
        <f>'Trial Balance'!F98</f>
        <v>4492755.17</v>
      </c>
    </row>
    <row r="106" spans="1:2" ht="15" customHeight="1">
      <c r="A106" s="25" t="str">
        <f>'Trial Balance'!A99&amp;"-"&amp;'Trial Balance'!B99</f>
        <v>1855-Services</v>
      </c>
      <c r="B106" s="317">
        <f>'Trial Balance'!F99</f>
        <v>1502672.49</v>
      </c>
    </row>
    <row r="107" spans="1:2" ht="15" customHeight="1">
      <c r="A107" s="25" t="str">
        <f>'Trial Balance'!A100&amp;"-"&amp;'Trial Balance'!B100</f>
        <v>1860-Meters</v>
      </c>
      <c r="B107" s="317">
        <f>'Trial Balance'!F100</f>
        <v>3944948.9299999997</v>
      </c>
    </row>
    <row r="108" spans="1:2" ht="15" customHeight="1" thickBot="1">
      <c r="A108" s="25" t="str">
        <f>'Trial Balance'!A101&amp;"-"&amp;'Trial Balance'!B101</f>
        <v>1865-Other Installations on Customer's Premises</v>
      </c>
      <c r="B108" s="317">
        <f>'Trial Balance'!F101</f>
        <v>0</v>
      </c>
    </row>
    <row r="109" spans="1:2" ht="15" customHeight="1" thickBot="1">
      <c r="A109" s="28" t="s">
        <v>80</v>
      </c>
      <c r="B109" s="318">
        <f>SUM(B94:B108)</f>
        <v>26603615.31</v>
      </c>
    </row>
    <row r="110" spans="1:2" s="18" customFormat="1" ht="15" customHeight="1">
      <c r="A110" s="21"/>
      <c r="B110" s="319"/>
    </row>
    <row r="111" spans="1:2" s="18" customFormat="1" ht="15" customHeight="1">
      <c r="A111" s="645" t="s">
        <v>81</v>
      </c>
      <c r="B111" s="645"/>
    </row>
    <row r="112" spans="1:2" ht="15" customHeight="1">
      <c r="A112" s="25" t="str">
        <f>'Trial Balance'!A102&amp;"-"&amp;'Trial Balance'!B102</f>
        <v>1905-Land</v>
      </c>
      <c r="B112" s="317">
        <f>'Trial Balance'!F102</f>
        <v>17529.54</v>
      </c>
    </row>
    <row r="113" spans="1:2" ht="15" customHeight="1">
      <c r="A113" s="25" t="str">
        <f>'Trial Balance'!A103&amp;"-"&amp;'Trial Balance'!B103</f>
        <v>1906-Land Rights</v>
      </c>
      <c r="B113" s="317">
        <f>'Trial Balance'!F103</f>
        <v>0</v>
      </c>
    </row>
    <row r="114" spans="1:2" ht="15" customHeight="1">
      <c r="A114" s="25" t="str">
        <f>'Trial Balance'!A104&amp;"-"&amp;'Trial Balance'!B104</f>
        <v>1908-Buildings and Fixtures</v>
      </c>
      <c r="B114" s="317">
        <f>'Trial Balance'!F104</f>
        <v>501573.28</v>
      </c>
    </row>
    <row r="115" spans="1:2" ht="15" customHeight="1">
      <c r="A115" s="25" t="str">
        <f>'Trial Balance'!A105&amp;"-"&amp;'Trial Balance'!B105</f>
        <v>1910-Leasehold Improvements</v>
      </c>
      <c r="B115" s="317">
        <f>'Trial Balance'!F105</f>
        <v>0</v>
      </c>
    </row>
    <row r="116" spans="1:2" ht="15" customHeight="1">
      <c r="A116" s="25" t="str">
        <f>'Trial Balance'!A106&amp;"-"&amp;'Trial Balance'!B106</f>
        <v>1915-Office Furniture and Equipment</v>
      </c>
      <c r="B116" s="317">
        <f>'Trial Balance'!F106</f>
        <v>175070.24</v>
      </c>
    </row>
    <row r="117" spans="1:2" ht="15" customHeight="1">
      <c r="A117" s="25" t="str">
        <f>'Trial Balance'!A107&amp;"-"&amp;'Trial Balance'!B107</f>
        <v>1920-Computer Equipment - Hardware</v>
      </c>
      <c r="B117" s="317">
        <f>'Trial Balance'!F107</f>
        <v>795911.3700000001</v>
      </c>
    </row>
    <row r="118" spans="1:2" ht="15" customHeight="1">
      <c r="A118" s="25" t="str">
        <f>'Trial Balance'!A108&amp;"-"&amp;'Trial Balance'!B108</f>
        <v>1925-Computer Software</v>
      </c>
      <c r="B118" s="317">
        <f>'Trial Balance'!F108</f>
        <v>960813.8300000001</v>
      </c>
    </row>
    <row r="119" spans="1:2" ht="15" customHeight="1">
      <c r="A119" s="25" t="str">
        <f>'Trial Balance'!A109&amp;"-"&amp;'Trial Balance'!B109</f>
        <v>1930-Transportation Equipment</v>
      </c>
      <c r="B119" s="317">
        <f>'Trial Balance'!F109</f>
        <v>1301080.27</v>
      </c>
    </row>
    <row r="120" spans="1:2" ht="15" customHeight="1">
      <c r="A120" s="25" t="str">
        <f>'Trial Balance'!A110&amp;"-"&amp;'Trial Balance'!B110</f>
        <v>1935-Stores Equipment</v>
      </c>
      <c r="B120" s="317">
        <f>'Trial Balance'!F110</f>
        <v>43075.149999999994</v>
      </c>
    </row>
    <row r="121" spans="1:2" ht="15" customHeight="1">
      <c r="A121" s="25" t="str">
        <f>'Trial Balance'!A111&amp;"-"&amp;'Trial Balance'!B111</f>
        <v>1940-Tools, Shop and Garage Equipment</v>
      </c>
      <c r="B121" s="317">
        <f>'Trial Balance'!F111</f>
        <v>197294.59000000003</v>
      </c>
    </row>
    <row r="122" spans="1:2" ht="15" customHeight="1">
      <c r="A122" s="25" t="str">
        <f>'Trial Balance'!A112&amp;"-"&amp;'Trial Balance'!B112</f>
        <v>1945-Measurement and Testing Equipment</v>
      </c>
      <c r="B122" s="317">
        <f>'Trial Balance'!F112</f>
        <v>75162.71</v>
      </c>
    </row>
    <row r="123" spans="1:2" ht="15" customHeight="1">
      <c r="A123" s="25" t="str">
        <f>'Trial Balance'!A113&amp;"-"&amp;'Trial Balance'!B113</f>
        <v>1950-Power Operated Equipment</v>
      </c>
      <c r="B123" s="317">
        <f>'Trial Balance'!F113</f>
        <v>0</v>
      </c>
    </row>
    <row r="124" spans="1:2" ht="15" customHeight="1">
      <c r="A124" s="25" t="str">
        <f>'Trial Balance'!A114&amp;"-"&amp;'Trial Balance'!B114</f>
        <v>1955-Communication Equipment</v>
      </c>
      <c r="B124" s="317">
        <f>'Trial Balance'!F114</f>
        <v>13859.640000000001</v>
      </c>
    </row>
    <row r="125" spans="1:2" ht="15" customHeight="1">
      <c r="A125" s="25" t="str">
        <f>'Trial Balance'!A115&amp;"-"&amp;'Trial Balance'!B115</f>
        <v>1960-Miscellaneous Equipment</v>
      </c>
      <c r="B125" s="317">
        <f>'Trial Balance'!F115</f>
        <v>485.09</v>
      </c>
    </row>
    <row r="126" spans="1:2" ht="15" customHeight="1">
      <c r="A126" s="25" t="str">
        <f>'Trial Balance'!A116&amp;"-"&amp;'Trial Balance'!B116</f>
        <v>1970-Load Management Controls - Customer Premises </v>
      </c>
      <c r="B126" s="317">
        <f>'Trial Balance'!F116</f>
        <v>0</v>
      </c>
    </row>
    <row r="127" spans="1:2" ht="15" customHeight="1">
      <c r="A127" s="25" t="str">
        <f>'Trial Balance'!A117&amp;"-"&amp;'Trial Balance'!B117</f>
        <v>1975-Load Management Controls - Utility Premises</v>
      </c>
      <c r="B127" s="317">
        <f>'Trial Balance'!F117</f>
        <v>0</v>
      </c>
    </row>
    <row r="128" spans="1:2" ht="15" customHeight="1">
      <c r="A128" s="25" t="str">
        <f>'Trial Balance'!A118&amp;"-"&amp;'Trial Balance'!B118</f>
        <v>1980-System Supervisory Equipment</v>
      </c>
      <c r="B128" s="317">
        <f>'Trial Balance'!F118</f>
        <v>261235.37</v>
      </c>
    </row>
    <row r="129" spans="1:2" ht="15" customHeight="1">
      <c r="A129" s="25" t="str">
        <f>'Trial Balance'!A119&amp;"-"&amp;'Trial Balance'!B119</f>
        <v>1985-Sentinel Lighting Rentals</v>
      </c>
      <c r="B129" s="317">
        <f>'Trial Balance'!F119</f>
        <v>0</v>
      </c>
    </row>
    <row r="130" spans="1:2" ht="15" customHeight="1">
      <c r="A130" s="25" t="str">
        <f>'Trial Balance'!A120&amp;"-"&amp;'Trial Balance'!B120</f>
        <v>1990-Other Tangible Property</v>
      </c>
      <c r="B130" s="317">
        <f>'Trial Balance'!F120</f>
        <v>0</v>
      </c>
    </row>
    <row r="131" spans="1:2" s="372" customFormat="1" ht="15" customHeight="1">
      <c r="A131" s="25" t="str">
        <f>'Trial Balance'!A121&amp;"-"&amp;'Trial Balance'!B121</f>
        <v>1995-Contributions and Grants</v>
      </c>
      <c r="B131" s="317">
        <f>'Trial Balance'!F121</f>
        <v>-1678509.5699999998</v>
      </c>
    </row>
    <row r="132" spans="1:2" ht="15" customHeight="1" thickBot="1">
      <c r="A132" s="25" t="str">
        <f>'Trial Balance'!A122&amp;"-"&amp;'Trial Balance'!B122</f>
        <v>1996-Contributions - Commerce Way TS</v>
      </c>
      <c r="B132" s="317">
        <f>'Trial Balance'!F122</f>
        <v>0</v>
      </c>
    </row>
    <row r="133" spans="1:2" ht="15" customHeight="1" thickBot="1">
      <c r="A133" s="28" t="s">
        <v>145</v>
      </c>
      <c r="B133" s="318">
        <f>SUM(B112:B132)</f>
        <v>2664581.5100000002</v>
      </c>
    </row>
    <row r="134" spans="1:2" s="18" customFormat="1" ht="15" customHeight="1">
      <c r="A134" s="21"/>
      <c r="B134" s="319"/>
    </row>
    <row r="135" spans="1:2" s="18" customFormat="1" ht="15" customHeight="1">
      <c r="A135" s="645" t="s">
        <v>146</v>
      </c>
      <c r="B135" s="645"/>
    </row>
    <row r="136" spans="1:2" ht="15" customHeight="1">
      <c r="A136" s="25" t="str">
        <f>'Trial Balance'!A124&amp;"-"&amp;'Trial Balance'!B124</f>
        <v>2005-Property Under Capital Leases</v>
      </c>
      <c r="B136" s="317">
        <f>'Trial Balance'!F124</f>
        <v>0</v>
      </c>
    </row>
    <row r="137" spans="1:2" ht="15" customHeight="1">
      <c r="A137" s="25" t="str">
        <f>'Trial Balance'!A125&amp;"-"&amp;'Trial Balance'!B125</f>
        <v>2010-Electric Plant Purchased or Sold</v>
      </c>
      <c r="B137" s="317">
        <f>'Trial Balance'!F125</f>
        <v>0</v>
      </c>
    </row>
    <row r="138" spans="1:2" ht="15" customHeight="1">
      <c r="A138" s="25" t="str">
        <f>'Trial Balance'!A126&amp;"-"&amp;'Trial Balance'!B126</f>
        <v>2020-Experimental Electric Plant Unclassified</v>
      </c>
      <c r="B138" s="317">
        <f>'Trial Balance'!F126</f>
        <v>0</v>
      </c>
    </row>
    <row r="139" spans="1:2" ht="15" customHeight="1">
      <c r="A139" s="25" t="str">
        <f>'Trial Balance'!A127&amp;"-"&amp;'Trial Balance'!B127</f>
        <v>2030-Electric Plant and Equipment Leased to Others</v>
      </c>
      <c r="B139" s="317">
        <f>'Trial Balance'!F127</f>
        <v>0</v>
      </c>
    </row>
    <row r="140" spans="1:2" ht="15" customHeight="1">
      <c r="A140" s="25" t="str">
        <f>'Trial Balance'!A128&amp;"-"&amp;'Trial Balance'!B128</f>
        <v>2040-Electric Plant Held for Future Use</v>
      </c>
      <c r="B140" s="317">
        <f>'Trial Balance'!F128</f>
        <v>0</v>
      </c>
    </row>
    <row r="141" spans="1:2" ht="15" customHeight="1">
      <c r="A141" s="25" t="str">
        <f>'Trial Balance'!A129&amp;"-"&amp;'Trial Balance'!B129</f>
        <v>2050-Completed Construction Not Classified--Electric</v>
      </c>
      <c r="B141" s="317">
        <f>'Trial Balance'!F129</f>
        <v>0</v>
      </c>
    </row>
    <row r="142" spans="1:2" ht="15" customHeight="1">
      <c r="A142" s="25" t="str">
        <f>'Trial Balance'!A130&amp;"-"&amp;'Trial Balance'!B130</f>
        <v>2055-Construction Work in Progress--Electric</v>
      </c>
      <c r="B142" s="317">
        <f>'Trial Balance'!F130</f>
        <v>0</v>
      </c>
    </row>
    <row r="143" spans="1:2" ht="15" customHeight="1">
      <c r="A143" s="25" t="str">
        <f>'Trial Balance'!A131&amp;"-"&amp;'Trial Balance'!B131</f>
        <v>2060-Electric Plant Acquisition Adjustment</v>
      </c>
      <c r="B143" s="317">
        <f>'Trial Balance'!F131</f>
        <v>0</v>
      </c>
    </row>
    <row r="144" spans="1:2" ht="15" customHeight="1">
      <c r="A144" s="25" t="str">
        <f>'Trial Balance'!A132&amp;"-"&amp;'Trial Balance'!B132</f>
        <v>2065-Other Electric Plant Adjustment</v>
      </c>
      <c r="B144" s="317">
        <f>'Trial Balance'!F132</f>
        <v>0</v>
      </c>
    </row>
    <row r="145" spans="1:2" ht="15" customHeight="1">
      <c r="A145" s="25" t="str">
        <f>'Trial Balance'!A133&amp;"-"&amp;'Trial Balance'!B133</f>
        <v>2070-Other Utility Plant</v>
      </c>
      <c r="B145" s="317">
        <f>'Trial Balance'!F133</f>
        <v>0</v>
      </c>
    </row>
    <row r="146" spans="1:2" ht="15" customHeight="1" thickBot="1">
      <c r="A146" s="25" t="str">
        <f>'Trial Balance'!A134&amp;"-"&amp;'Trial Balance'!B134</f>
        <v>2075-Non-Utility Property Owned or Under Capital Lease</v>
      </c>
      <c r="B146" s="317">
        <f>'Trial Balance'!F134</f>
        <v>0</v>
      </c>
    </row>
    <row r="147" spans="1:2" ht="15" customHeight="1" thickBot="1">
      <c r="A147" s="28" t="s">
        <v>147</v>
      </c>
      <c r="B147" s="318">
        <f>SUM(B136:B146)</f>
        <v>0</v>
      </c>
    </row>
    <row r="148" spans="1:2" s="18" customFormat="1" ht="15" customHeight="1">
      <c r="A148" s="21"/>
      <c r="B148" s="319"/>
    </row>
    <row r="149" spans="1:2" s="18" customFormat="1" ht="15" customHeight="1">
      <c r="A149" s="645" t="s">
        <v>148</v>
      </c>
      <c r="B149" s="645"/>
    </row>
    <row r="150" spans="1:2" ht="15" customHeight="1">
      <c r="A150" s="25" t="str">
        <f>'Trial Balance'!A136&amp;"-"&amp;'Trial Balance'!B136</f>
        <v>2105-Accumulated Amortization of Electric Utility Plant - Property, Plant and Equipment</v>
      </c>
      <c r="B150" s="317">
        <f>'Trial Balance'!F136</f>
        <v>-11350524.95</v>
      </c>
    </row>
    <row r="151" spans="1:2" ht="15" customHeight="1">
      <c r="A151" s="25" t="str">
        <f>'Trial Balance'!A137&amp;"-"&amp;'Trial Balance'!B137</f>
        <v>2120-Accumulated Amortization of Electric Utility Plant - Intangibles</v>
      </c>
      <c r="B151" s="317">
        <f>'Trial Balance'!F137</f>
        <v>0</v>
      </c>
    </row>
    <row r="152" spans="1:2" ht="15" customHeight="1">
      <c r="A152" s="25" t="str">
        <f>'Trial Balance'!A138&amp;"-"&amp;'Trial Balance'!B138</f>
        <v>2140-Accumulated Amortization of Electric Plant Acquisition Adjustment</v>
      </c>
      <c r="B152" s="317">
        <f>'Trial Balance'!F138</f>
        <v>0</v>
      </c>
    </row>
    <row r="153" spans="1:2" ht="15" customHeight="1">
      <c r="A153" s="25" t="str">
        <f>'Trial Balance'!A139&amp;"-"&amp;'Trial Balance'!B139</f>
        <v>2160-Accumulated Amortization of Other Utility Plant</v>
      </c>
      <c r="B153" s="317">
        <f>'Trial Balance'!F139</f>
        <v>0</v>
      </c>
    </row>
    <row r="154" spans="1:2" ht="15" customHeight="1" thickBot="1">
      <c r="A154" s="25" t="str">
        <f>'Trial Balance'!A140&amp;"-"&amp;'Trial Balance'!B140</f>
        <v>2180-Accumulated Amortization of Non-Utility Property</v>
      </c>
      <c r="B154" s="317">
        <f>'Trial Balance'!F140</f>
        <v>0</v>
      </c>
    </row>
    <row r="155" spans="1:2" ht="15" customHeight="1" thickBot="1">
      <c r="A155" s="199" t="s">
        <v>152</v>
      </c>
      <c r="B155" s="320">
        <f>SUM(B150:B154)</f>
        <v>-11350524.95</v>
      </c>
    </row>
    <row r="156" spans="1:2" ht="15" customHeight="1" thickBot="1">
      <c r="A156" s="196"/>
      <c r="B156" s="319"/>
    </row>
    <row r="157" spans="1:2" ht="15" customHeight="1" thickBot="1">
      <c r="A157" s="197" t="s">
        <v>265</v>
      </c>
      <c r="B157" s="321">
        <f>B28+B35+B52+B91+B109+B133+B147+B155</f>
        <v>29711322.639999997</v>
      </c>
    </row>
    <row r="158" spans="1:2" s="18" customFormat="1" ht="15" customHeight="1">
      <c r="A158" s="22"/>
      <c r="B158" s="319"/>
    </row>
    <row r="159" spans="1:2" s="18" customFormat="1" ht="15" customHeight="1">
      <c r="A159" s="645" t="s">
        <v>153</v>
      </c>
      <c r="B159" s="645"/>
    </row>
    <row r="160" spans="1:2" ht="15" customHeight="1">
      <c r="A160" s="25" t="str">
        <f>'Trial Balance'!A142&amp;"-"&amp;'Trial Balance'!B142</f>
        <v>2205-Accounts Payable</v>
      </c>
      <c r="B160" s="317">
        <f>-'Trial Balance'!F142</f>
        <v>1040602.19</v>
      </c>
    </row>
    <row r="161" spans="1:2" ht="15" customHeight="1">
      <c r="A161" s="25" t="str">
        <f>'Trial Balance'!A143&amp;"-"&amp;'Trial Balance'!B143</f>
        <v>2208-Customer Credit Balances</v>
      </c>
      <c r="B161" s="317">
        <f>-'Trial Balance'!F143</f>
        <v>0</v>
      </c>
    </row>
    <row r="162" spans="1:2" ht="15" customHeight="1">
      <c r="A162" s="25" t="str">
        <f>'Trial Balance'!A144&amp;"-"&amp;'Trial Balance'!B144</f>
        <v>2210-Current Portion of Customer Deposits </v>
      </c>
      <c r="B162" s="317">
        <f>-'Trial Balance'!F144</f>
        <v>261739.12</v>
      </c>
    </row>
    <row r="163" spans="1:2" ht="15" customHeight="1">
      <c r="A163" s="25" t="str">
        <f>'Trial Balance'!A145&amp;"-"&amp;'Trial Balance'!B145</f>
        <v>2215-Dividends Declared</v>
      </c>
      <c r="B163" s="317">
        <f>-'Trial Balance'!F145</f>
        <v>0</v>
      </c>
    </row>
    <row r="164" spans="1:2" ht="15" customHeight="1">
      <c r="A164" s="25" t="str">
        <f>'Trial Balance'!A146&amp;"-"&amp;'Trial Balance'!B146</f>
        <v>2220-Miscellaneous Current and Accrued Liabilities</v>
      </c>
      <c r="B164" s="317">
        <f>-'Trial Balance'!F146</f>
        <v>296607.22</v>
      </c>
    </row>
    <row r="165" spans="1:2" ht="15" customHeight="1">
      <c r="A165" s="25" t="str">
        <f>'Trial Balance'!A147&amp;"-"&amp;'Trial Balance'!B147</f>
        <v>2225-Notes and Loans Payable</v>
      </c>
      <c r="B165" s="317">
        <f>-'Trial Balance'!F147</f>
        <v>0</v>
      </c>
    </row>
    <row r="166" spans="1:2" ht="15" customHeight="1">
      <c r="A166" s="25" t="str">
        <f>'Trial Balance'!A148&amp;"-"&amp;'Trial Balance'!B148</f>
        <v>2240-Accounts Payable to Associated Companies</v>
      </c>
      <c r="B166" s="317">
        <f>-'Trial Balance'!F148</f>
        <v>0</v>
      </c>
    </row>
    <row r="167" spans="1:2" ht="15" customHeight="1">
      <c r="A167" s="25" t="str">
        <f>'Trial Balance'!A149&amp;"-"&amp;'Trial Balance'!B149</f>
        <v>2242-Notes Payable to Associated Companies</v>
      </c>
      <c r="B167" s="317">
        <f>-'Trial Balance'!F149</f>
        <v>0</v>
      </c>
    </row>
    <row r="168" spans="1:2" ht="15" customHeight="1">
      <c r="A168" s="25" t="str">
        <f>'Trial Balance'!A150&amp;"-"&amp;'Trial Balance'!B150</f>
        <v>2250-Debt Retirement  Charges (DRC) Payable</v>
      </c>
      <c r="B168" s="317">
        <f>-'Trial Balance'!F150</f>
        <v>224604.94</v>
      </c>
    </row>
    <row r="169" spans="1:2" ht="15" customHeight="1">
      <c r="A169" s="25" t="str">
        <f>'Trial Balance'!A151&amp;"-"&amp;'Trial Balance'!B151</f>
        <v>2252-Transmission Charges Payable</v>
      </c>
      <c r="B169" s="317">
        <f>-'Trial Balance'!F151</f>
        <v>0</v>
      </c>
    </row>
    <row r="170" spans="1:2" ht="15" customHeight="1">
      <c r="A170" s="25" t="str">
        <f>'Trial Balance'!A152&amp;"-"&amp;'Trial Balance'!B152</f>
        <v>2254-Electric Safety Authority Fees Payable</v>
      </c>
      <c r="B170" s="317">
        <f>-'Trial Balance'!F152</f>
        <v>0</v>
      </c>
    </row>
    <row r="171" spans="1:2" ht="15" customHeight="1">
      <c r="A171" s="25" t="str">
        <f>'Trial Balance'!A153&amp;"-"&amp;'Trial Balance'!B153</f>
        <v>2256-Independent Market Operator Fees and Penalties Payable</v>
      </c>
      <c r="B171" s="317">
        <f>-'Trial Balance'!F153</f>
        <v>2480176.21</v>
      </c>
    </row>
    <row r="172" spans="1:2" ht="15" customHeight="1">
      <c r="A172" s="25" t="str">
        <f>'Trial Balance'!A154&amp;"-"&amp;'Trial Balance'!B154</f>
        <v>2260-Current Portion of Long Term Debt</v>
      </c>
      <c r="B172" s="317">
        <f>-'Trial Balance'!F154</f>
        <v>0</v>
      </c>
    </row>
    <row r="173" spans="1:2" ht="15" customHeight="1">
      <c r="A173" s="25" t="str">
        <f>'Trial Balance'!A155&amp;"-"&amp;'Trial Balance'!B155</f>
        <v>2262-Ontario Hydro Debt - Current Portion</v>
      </c>
      <c r="B173" s="317">
        <f>-'Trial Balance'!F155</f>
        <v>0</v>
      </c>
    </row>
    <row r="174" spans="1:2" ht="15" customHeight="1">
      <c r="A174" s="25" t="str">
        <f>'Trial Balance'!A156&amp;"-"&amp;'Trial Balance'!B156</f>
        <v>2264-Pensions and Employee Benefits - Current Portion</v>
      </c>
      <c r="B174" s="317">
        <f>-'Trial Balance'!F156</f>
        <v>0</v>
      </c>
    </row>
    <row r="175" spans="1:2" ht="15" customHeight="1">
      <c r="A175" s="25" t="str">
        <f>'Trial Balance'!A157&amp;"-"&amp;'Trial Balance'!B157</f>
        <v>2268-Accrued Interest on Long Term Debt</v>
      </c>
      <c r="B175" s="317">
        <f>-'Trial Balance'!F157</f>
        <v>0</v>
      </c>
    </row>
    <row r="176" spans="1:2" ht="15" customHeight="1">
      <c r="A176" s="25" t="str">
        <f>'Trial Balance'!A158&amp;"-"&amp;'Trial Balance'!B158</f>
        <v>2270-Matured Long Term Debt</v>
      </c>
      <c r="B176" s="317">
        <f>-'Trial Balance'!F158</f>
        <v>0</v>
      </c>
    </row>
    <row r="177" spans="1:2" ht="15" customHeight="1">
      <c r="A177" s="25" t="str">
        <f>'Trial Balance'!A159&amp;"-"&amp;'Trial Balance'!B159</f>
        <v>2272-Matured Interest on Long Term Debt</v>
      </c>
      <c r="B177" s="317">
        <f>-'Trial Balance'!F159</f>
        <v>0</v>
      </c>
    </row>
    <row r="178" spans="1:2" ht="15" customHeight="1">
      <c r="A178" s="25" t="str">
        <f>'Trial Balance'!A160&amp;"-"&amp;'Trial Balance'!B160</f>
        <v>2285-Obligations Under Capital Leases--Current</v>
      </c>
      <c r="B178" s="317">
        <f>-'Trial Balance'!F160</f>
        <v>0</v>
      </c>
    </row>
    <row r="179" spans="1:2" ht="15" customHeight="1">
      <c r="A179" s="25" t="str">
        <f>'Trial Balance'!A161&amp;"-"&amp;'Trial Balance'!B161</f>
        <v>2290-Commodity Taxes</v>
      </c>
      <c r="B179" s="317">
        <f>-'Trial Balance'!F161</f>
        <v>60568.97</v>
      </c>
    </row>
    <row r="180" spans="1:2" ht="15" customHeight="1">
      <c r="A180" s="25" t="str">
        <f>'Trial Balance'!A162&amp;"-"&amp;'Trial Balance'!B162</f>
        <v>2292-Payroll Deductions / Expenses Payable</v>
      </c>
      <c r="B180" s="317">
        <f>-'Trial Balance'!F162</f>
        <v>25698.78</v>
      </c>
    </row>
    <row r="181" spans="1:2" ht="15" customHeight="1">
      <c r="A181" s="25" t="str">
        <f>'Trial Balance'!A163&amp;"-"&amp;'Trial Balance'!B163</f>
        <v>2294-Accrual for Taxes, "Payments in Lieu" of Taxes, Etc.</v>
      </c>
      <c r="B181" s="317">
        <f>-'Trial Balance'!F163</f>
        <v>445682</v>
      </c>
    </row>
    <row r="182" spans="1:2" ht="15" customHeight="1" thickBot="1">
      <c r="A182" s="25" t="str">
        <f>'Trial Balance'!A164&amp;"-"&amp;'Trial Balance'!B164</f>
        <v>2296-Future Income Taxes - Current</v>
      </c>
      <c r="B182" s="317">
        <f>-'Trial Balance'!F164</f>
        <v>0</v>
      </c>
    </row>
    <row r="183" spans="1:2" ht="15" customHeight="1" thickBot="1">
      <c r="A183" s="28" t="s">
        <v>526</v>
      </c>
      <c r="B183" s="318">
        <f>SUM(B160:B182)</f>
        <v>4835679.43</v>
      </c>
    </row>
    <row r="184" spans="1:2" s="18" customFormat="1" ht="15" customHeight="1">
      <c r="A184" s="21"/>
      <c r="B184" s="319"/>
    </row>
    <row r="185" spans="1:2" s="18" customFormat="1" ht="15" customHeight="1">
      <c r="A185" s="645" t="s">
        <v>527</v>
      </c>
      <c r="B185" s="645"/>
    </row>
    <row r="186" spans="1:2" ht="15" customHeight="1">
      <c r="A186" s="25" t="str">
        <f>'Trial Balance'!A166&amp;"-"&amp;'Trial Balance'!B166</f>
        <v>2305-Accumulated Provision for Injuries and Damages</v>
      </c>
      <c r="B186" s="317">
        <f>-'Trial Balance'!F166</f>
        <v>0</v>
      </c>
    </row>
    <row r="187" spans="1:2" ht="15" customHeight="1">
      <c r="A187" s="25" t="str">
        <f>'Trial Balance'!A167&amp;"-"&amp;'Trial Balance'!B167</f>
        <v>2306-Employee Future Benefits</v>
      </c>
      <c r="B187" s="317">
        <f>-'Trial Balance'!F167</f>
        <v>0</v>
      </c>
    </row>
    <row r="188" spans="1:2" ht="15" customHeight="1">
      <c r="A188" s="25" t="str">
        <f>'Trial Balance'!A168&amp;"-"&amp;'Trial Balance'!B168</f>
        <v>2308-Other Pensions - Past Service Liability</v>
      </c>
      <c r="B188" s="317">
        <f>-'Trial Balance'!F168</f>
        <v>0</v>
      </c>
    </row>
    <row r="189" spans="1:2" ht="15" customHeight="1">
      <c r="A189" s="25" t="str">
        <f>'Trial Balance'!A169&amp;"-"&amp;'Trial Balance'!B169</f>
        <v>2310-Vested Sick Leave Liability</v>
      </c>
      <c r="B189" s="317">
        <f>-'Trial Balance'!F169</f>
        <v>134318.62</v>
      </c>
    </row>
    <row r="190" spans="1:2" ht="15" customHeight="1">
      <c r="A190" s="25" t="str">
        <f>'Trial Balance'!A170&amp;"-"&amp;'Trial Balance'!B170</f>
        <v>2315-Accumulated Provision for Rate Refunds</v>
      </c>
      <c r="B190" s="317">
        <f>-'Trial Balance'!F170</f>
        <v>0</v>
      </c>
    </row>
    <row r="191" spans="1:2" ht="15" customHeight="1">
      <c r="A191" s="25" t="str">
        <f>'Trial Balance'!A171&amp;"-"&amp;'Trial Balance'!B171</f>
        <v>2320-Other Miscellaneous Non-Current Liabilities</v>
      </c>
      <c r="B191" s="317">
        <f>-'Trial Balance'!F171</f>
        <v>0</v>
      </c>
    </row>
    <row r="192" spans="1:2" ht="15" customHeight="1">
      <c r="A192" s="25" t="str">
        <f>'Trial Balance'!A172&amp;"-"&amp;'Trial Balance'!B172</f>
        <v>2325-Obligations Under Capital Lease--Non-Current</v>
      </c>
      <c r="B192" s="317">
        <f>-'Trial Balance'!F172</f>
        <v>0</v>
      </c>
    </row>
    <row r="193" spans="1:2" ht="15" customHeight="1">
      <c r="A193" s="25" t="str">
        <f>'Trial Balance'!A173&amp;"-"&amp;'Trial Balance'!B173</f>
        <v>2330-Devolpment Charge Fund</v>
      </c>
      <c r="B193" s="317">
        <f>-'Trial Balance'!F173</f>
        <v>0</v>
      </c>
    </row>
    <row r="194" spans="1:2" ht="15" customHeight="1">
      <c r="A194" s="25" t="str">
        <f>'Trial Balance'!A174&amp;"-"&amp;'Trial Balance'!B174</f>
        <v>2335-Long Term Customer Deposits</v>
      </c>
      <c r="B194" s="317">
        <f>-'Trial Balance'!F174</f>
        <v>688892.51</v>
      </c>
    </row>
    <row r="195" spans="1:2" ht="15" customHeight="1">
      <c r="A195" s="25" t="str">
        <f>'Trial Balance'!A175&amp;"-"&amp;'Trial Balance'!B175</f>
        <v>2340-Collateral Funds Liability</v>
      </c>
      <c r="B195" s="317">
        <f>-'Trial Balance'!F175</f>
        <v>0</v>
      </c>
    </row>
    <row r="196" spans="1:2" ht="15" customHeight="1">
      <c r="A196" s="25" t="str">
        <f>'Trial Balance'!A176&amp;"-"&amp;'Trial Balance'!B176</f>
        <v>2345-Unamortized Premium on Long Term Debt</v>
      </c>
      <c r="B196" s="317">
        <f>-'Trial Balance'!F176</f>
        <v>0</v>
      </c>
    </row>
    <row r="197" spans="1:2" ht="15" customHeight="1">
      <c r="A197" s="25" t="str">
        <f>'Trial Balance'!A177&amp;"-"&amp;'Trial Balance'!B177</f>
        <v>2348-O.M.E.R.S. - Past Service Liability - Long Term Portion</v>
      </c>
      <c r="B197" s="317">
        <f>-'Trial Balance'!F177</f>
        <v>0</v>
      </c>
    </row>
    <row r="198" spans="1:2" ht="15" customHeight="1">
      <c r="A198" s="25" t="str">
        <f>'Trial Balance'!A178&amp;"-"&amp;'Trial Balance'!B178</f>
        <v>2350-Future Income Tax - Non-Current</v>
      </c>
      <c r="B198" s="317">
        <f>-'Trial Balance'!F178</f>
        <v>-1505843.86</v>
      </c>
    </row>
    <row r="199" spans="1:2" ht="15" customHeight="1">
      <c r="A199" s="25" t="str">
        <f>'Trial Balance'!A180&amp;"-"&amp;'Trial Balance'!B180</f>
        <v>2405-Other Regulatory Liabilities</v>
      </c>
      <c r="B199" s="317">
        <f>-'Trial Balance'!F180</f>
        <v>0</v>
      </c>
    </row>
    <row r="200" spans="1:2" ht="15" customHeight="1">
      <c r="A200" s="25" t="str">
        <f>'Trial Balance'!A181&amp;"-"&amp;'Trial Balance'!B181</f>
        <v>2410-Deferred Gains From Disposition of Utility Plant</v>
      </c>
      <c r="B200" s="317">
        <f>-'Trial Balance'!F181</f>
        <v>0</v>
      </c>
    </row>
    <row r="201" spans="1:2" ht="15" customHeight="1">
      <c r="A201" s="25" t="str">
        <f>'Trial Balance'!A182&amp;"-"&amp;'Trial Balance'!B182</f>
        <v>2415-Unamortized Gain on Reacquired Debt</v>
      </c>
      <c r="B201" s="317">
        <f>-'Trial Balance'!F182</f>
        <v>0</v>
      </c>
    </row>
    <row r="202" spans="1:2" ht="15" customHeight="1">
      <c r="A202" s="25" t="str">
        <f>'Trial Balance'!A183&amp;"-"&amp;'Trial Balance'!B183</f>
        <v>2425-Other Deferred Credits</v>
      </c>
      <c r="B202" s="317">
        <f>-'Trial Balance'!F183</f>
        <v>616082.6</v>
      </c>
    </row>
    <row r="203" spans="1:2" ht="15" customHeight="1" thickBot="1">
      <c r="A203" s="25" t="str">
        <f>'Trial Balance'!A184&amp;"-"&amp;'Trial Balance'!B184</f>
        <v>2435-Accrued Rate-Payer Benefit</v>
      </c>
      <c r="B203" s="317">
        <f>-'Trial Balance'!F184</f>
        <v>0</v>
      </c>
    </row>
    <row r="204" spans="1:2" ht="15" customHeight="1" thickBot="1">
      <c r="A204" s="28" t="s">
        <v>157</v>
      </c>
      <c r="B204" s="318">
        <f>SUM(B186:B203)</f>
        <v>-66550.13000000012</v>
      </c>
    </row>
    <row r="205" spans="1:2" s="18" customFormat="1" ht="15" customHeight="1">
      <c r="A205" s="21"/>
      <c r="B205" s="319"/>
    </row>
    <row r="206" spans="1:2" s="18" customFormat="1" ht="15" customHeight="1">
      <c r="A206" s="645" t="s">
        <v>158</v>
      </c>
      <c r="B206" s="645"/>
    </row>
    <row r="207" spans="1:2" s="18" customFormat="1" ht="15" customHeight="1">
      <c r="A207" s="25" t="str">
        <f>'Trial Balance'!A186&amp;"-"&amp;'Trial Balance'!B186</f>
        <v>2505-Debentures Outstanding - Long Term Portion</v>
      </c>
      <c r="B207" s="317">
        <f>-'Trial Balance'!F186</f>
        <v>0</v>
      </c>
    </row>
    <row r="208" spans="1:2" s="18" customFormat="1" ht="15" customHeight="1">
      <c r="A208" s="25" t="str">
        <f>'Trial Balance'!A187&amp;"-"&amp;'Trial Balance'!B187</f>
        <v>2510-Debenture Advances</v>
      </c>
      <c r="B208" s="317">
        <f>-'Trial Balance'!F187</f>
        <v>0</v>
      </c>
    </row>
    <row r="209" spans="1:2" s="18" customFormat="1" ht="15" customHeight="1">
      <c r="A209" s="25" t="str">
        <f>'Trial Balance'!A188&amp;"-"&amp;'Trial Balance'!B188</f>
        <v>2515-Required Bonds</v>
      </c>
      <c r="B209" s="317">
        <f>-'Trial Balance'!F188</f>
        <v>0</v>
      </c>
    </row>
    <row r="210" spans="1:2" s="18" customFormat="1" ht="15" customHeight="1">
      <c r="A210" s="25" t="str">
        <f>'Trial Balance'!A189&amp;"-"&amp;'Trial Balance'!B189</f>
        <v>2520-Other Long Term Debt</v>
      </c>
      <c r="B210" s="317">
        <f>-'Trial Balance'!F189</f>
        <v>10941862.09</v>
      </c>
    </row>
    <row r="211" spans="1:2" s="18" customFormat="1" ht="15" customHeight="1">
      <c r="A211" s="25" t="str">
        <f>'Trial Balance'!A190&amp;"-"&amp;'Trial Balance'!B190</f>
        <v>2525-Term Bank Loans - Long Term Portion</v>
      </c>
      <c r="B211" s="317">
        <f>-'Trial Balance'!F190</f>
        <v>0</v>
      </c>
    </row>
    <row r="212" spans="1:2" s="18" customFormat="1" ht="15" customHeight="1">
      <c r="A212" s="25" t="str">
        <f>'Trial Balance'!A191&amp;"-"&amp;'Trial Balance'!B191</f>
        <v>2530-Ontario Hydro Debt Outstanding - Long Term Portion</v>
      </c>
      <c r="B212" s="317">
        <f>-'Trial Balance'!F191</f>
        <v>0</v>
      </c>
    </row>
    <row r="213" spans="1:2" ht="15" customHeight="1" thickBot="1">
      <c r="A213" s="25" t="str">
        <f>'Trial Balance'!A192&amp;"-"&amp;'Trial Balance'!B192</f>
        <v>2550-Advances from Associated Companies</v>
      </c>
      <c r="B213" s="317">
        <f>-'Trial Balance'!F192</f>
        <v>0</v>
      </c>
    </row>
    <row r="214" spans="1:2" ht="15" customHeight="1" thickBot="1">
      <c r="A214" s="28" t="s">
        <v>159</v>
      </c>
      <c r="B214" s="318">
        <f>SUM(B207:B213)</f>
        <v>10941862.09</v>
      </c>
    </row>
    <row r="215" spans="1:2" s="18" customFormat="1" ht="15" customHeight="1">
      <c r="A215" s="21"/>
      <c r="B215" s="319"/>
    </row>
    <row r="216" spans="1:2" s="18" customFormat="1" ht="15" customHeight="1">
      <c r="A216" s="645" t="s">
        <v>160</v>
      </c>
      <c r="B216" s="645"/>
    </row>
    <row r="217" spans="1:2" ht="15" customHeight="1">
      <c r="A217" s="25" t="str">
        <f>'Trial Balance'!A194&amp;"-"&amp;'Trial Balance'!B194</f>
        <v>3005-Common Shares Issued</v>
      </c>
      <c r="B217" s="317">
        <f>-'Trial Balance'!F194</f>
        <v>10941862.09</v>
      </c>
    </row>
    <row r="218" spans="1:2" ht="15" customHeight="1">
      <c r="A218" s="25" t="str">
        <f>'Trial Balance'!A195&amp;"-"&amp;'Trial Balance'!B195</f>
        <v>3008-Preference Shares Issued</v>
      </c>
      <c r="B218" s="317">
        <f>-'Trial Balance'!F195</f>
        <v>0</v>
      </c>
    </row>
    <row r="219" spans="1:2" ht="15" customHeight="1">
      <c r="A219" s="25" t="str">
        <f>'Trial Balance'!A196&amp;"-"&amp;'Trial Balance'!B196</f>
        <v>3010-Contributed Surplus</v>
      </c>
      <c r="B219" s="317">
        <f>-'Trial Balance'!F196</f>
        <v>0</v>
      </c>
    </row>
    <row r="220" spans="1:2" ht="15" customHeight="1">
      <c r="A220" s="25" t="str">
        <f>'Trial Balance'!A197&amp;"-"&amp;'Trial Balance'!B197</f>
        <v>3020-Donations Received</v>
      </c>
      <c r="B220" s="317">
        <f>-'Trial Balance'!F197</f>
        <v>0</v>
      </c>
    </row>
    <row r="221" spans="1:2" ht="15" customHeight="1">
      <c r="A221" s="25" t="str">
        <f>'Trial Balance'!A198&amp;"-"&amp;'Trial Balance'!B198</f>
        <v>3022-Devolpment Charges Transferred to Equity</v>
      </c>
      <c r="B221" s="317">
        <f>-'Trial Balance'!F198</f>
        <v>0</v>
      </c>
    </row>
    <row r="222" spans="1:2" ht="15" customHeight="1">
      <c r="A222" s="25" t="str">
        <f>'Trial Balance'!A199&amp;"-"&amp;'Trial Balance'!B199</f>
        <v>3026-Capital Stock Held in Treasury</v>
      </c>
      <c r="B222" s="317">
        <f>-'Trial Balance'!F199</f>
        <v>0</v>
      </c>
    </row>
    <row r="223" spans="1:2" ht="15" customHeight="1">
      <c r="A223" s="25" t="str">
        <f>'Trial Balance'!A200&amp;"-"&amp;'Trial Balance'!B200</f>
        <v>3030-Miscellaneous Paid-In Capital</v>
      </c>
      <c r="B223" s="317">
        <f>-'Trial Balance'!F200</f>
        <v>0</v>
      </c>
    </row>
    <row r="224" spans="1:2" ht="15" customHeight="1">
      <c r="A224" s="25" t="str">
        <f>'Trial Balance'!A201&amp;"-"&amp;'Trial Balance'!B201</f>
        <v>3035-Installments Received on Capital Stock</v>
      </c>
      <c r="B224" s="317">
        <f>-'Trial Balance'!F201</f>
        <v>0</v>
      </c>
    </row>
    <row r="225" spans="1:2" ht="15" customHeight="1">
      <c r="A225" s="25" t="str">
        <f>'Trial Balance'!A202&amp;"-"&amp;'Trial Balance'!B202</f>
        <v>3040-Appropriated Retained Earnings</v>
      </c>
      <c r="B225" s="317">
        <f>-'Trial Balance'!F202</f>
        <v>0</v>
      </c>
    </row>
    <row r="226" spans="1:2" ht="15" customHeight="1">
      <c r="A226" s="25" t="str">
        <f>'Trial Balance'!A203&amp;"-"&amp;'Trial Balance'!B203</f>
        <v>3045-Unappropriated Retained Earnings</v>
      </c>
      <c r="B226" s="317">
        <f>-'Trial Balance'!F203</f>
        <v>2042532.9300000002</v>
      </c>
    </row>
    <row r="227" spans="1:2" ht="15" customHeight="1">
      <c r="A227" s="25" t="s">
        <v>548</v>
      </c>
      <c r="B227" s="322">
        <f>-'2007 Income Statement'!B216</f>
        <v>1045936.2300000039</v>
      </c>
    </row>
    <row r="228" spans="1:2" ht="15" customHeight="1">
      <c r="A228" s="25" t="str">
        <f>'Trial Balance'!A205&amp;"-"&amp;'Trial Balance'!B205</f>
        <v>3047-Appropriations of Retained Earnings - Current Period</v>
      </c>
      <c r="B228" s="317">
        <f>-'Trial Balance'!F205</f>
        <v>0</v>
      </c>
    </row>
    <row r="229" spans="1:2" ht="15" customHeight="1">
      <c r="A229" s="25" t="str">
        <f>'Trial Balance'!A206&amp;"-"&amp;'Trial Balance'!B206</f>
        <v>3048-Dividends Payable-Preference Shares</v>
      </c>
      <c r="B229" s="317">
        <f>-'Trial Balance'!F206</f>
        <v>0</v>
      </c>
    </row>
    <row r="230" spans="1:2" ht="15" customHeight="1">
      <c r="A230" s="25" t="str">
        <f>'Trial Balance'!A207&amp;"-"&amp;'Trial Balance'!B207</f>
        <v>3049-Dividends Payable-Common Shares</v>
      </c>
      <c r="B230" s="317">
        <f>-'Trial Balance'!F207</f>
        <v>-30000</v>
      </c>
    </row>
    <row r="231" spans="1:2" ht="15" customHeight="1">
      <c r="A231" s="25" t="str">
        <f>'Trial Balance'!A208&amp;"-"&amp;'Trial Balance'!B208</f>
        <v>3055-Adjustment to Retained Earnings                 </v>
      </c>
      <c r="B231" s="317">
        <f>-'Trial Balance'!F208</f>
        <v>0</v>
      </c>
    </row>
    <row r="232" spans="1:2" ht="15" customHeight="1" thickBot="1">
      <c r="A232" s="25" t="str">
        <f>'Trial Balance'!A209&amp;"-"&amp;'Trial Balance'!B209</f>
        <v>3065-Unappropriated Undistributed Subsidiary Earnings</v>
      </c>
      <c r="B232" s="317">
        <f>-'Trial Balance'!F209</f>
        <v>0</v>
      </c>
    </row>
    <row r="233" spans="1:2" ht="15" customHeight="1" thickBot="1">
      <c r="A233" s="26" t="s">
        <v>549</v>
      </c>
      <c r="B233" s="318">
        <f>SUM(B217:B232)</f>
        <v>14000331.250000004</v>
      </c>
    </row>
    <row r="234" spans="1:2" s="10" customFormat="1" ht="15" customHeight="1">
      <c r="A234" s="22"/>
      <c r="B234" s="319"/>
    </row>
    <row r="235" spans="1:2" s="10" customFormat="1" ht="15" customHeight="1">
      <c r="A235" s="198" t="s">
        <v>274</v>
      </c>
      <c r="B235" s="323">
        <f>B183+B204+B214+B233</f>
        <v>29711322.640000004</v>
      </c>
    </row>
    <row r="236" spans="1:2" s="10" customFormat="1" ht="15" customHeight="1" thickBot="1">
      <c r="A236" s="22"/>
      <c r="B236" s="319"/>
    </row>
    <row r="237" spans="1:2" ht="15" customHeight="1" thickBot="1">
      <c r="A237" s="29" t="s">
        <v>273</v>
      </c>
      <c r="B237" s="324">
        <f>B157-B235</f>
        <v>0</v>
      </c>
    </row>
    <row r="238" spans="1:2" ht="15">
      <c r="A238" s="23"/>
      <c r="B238" s="325"/>
    </row>
    <row r="239" spans="1:2" ht="13.5">
      <c r="A239" s="635" t="s">
        <v>905</v>
      </c>
      <c r="B239" s="636"/>
    </row>
    <row r="240" spans="1:2" s="378" customFormat="1" ht="12.75">
      <c r="A240" s="381" t="s">
        <v>912</v>
      </c>
      <c r="B240" s="382">
        <f>B237</f>
        <v>0</v>
      </c>
    </row>
    <row r="241" spans="1:2" s="378" customFormat="1" ht="12.75">
      <c r="A241" s="381" t="s">
        <v>906</v>
      </c>
      <c r="B241" s="382">
        <f>B227</f>
        <v>1045936.2300000039</v>
      </c>
    </row>
    <row r="242" spans="1:2" s="378" customFormat="1" ht="12.75">
      <c r="A242" s="381" t="s">
        <v>913</v>
      </c>
      <c r="B242" s="382">
        <f>'2007 Income Statement'!B221</f>
        <v>-1045520.2300000039</v>
      </c>
    </row>
    <row r="243" spans="1:2" s="378" customFormat="1" ht="12.75">
      <c r="A243" s="383" t="s">
        <v>910</v>
      </c>
      <c r="B243" s="384">
        <v>16365.32</v>
      </c>
    </row>
    <row r="244" spans="1:2" s="378" customFormat="1" ht="12.75">
      <c r="A244" s="383" t="s">
        <v>911</v>
      </c>
      <c r="B244" s="384">
        <v>-2974.15</v>
      </c>
    </row>
    <row r="245" spans="1:2" s="378" customFormat="1" ht="12.75">
      <c r="A245" s="385"/>
      <c r="B245" s="386">
        <f>SUM(B240:B244)</f>
        <v>13807.17</v>
      </c>
    </row>
    <row r="246" spans="1:2" ht="15">
      <c r="A246" s="23"/>
      <c r="B246" s="325"/>
    </row>
    <row r="247" spans="1:2" ht="15">
      <c r="A247" s="23"/>
      <c r="B247" s="325"/>
    </row>
    <row r="248" spans="1:2" ht="15">
      <c r="A248" s="23"/>
      <c r="B248" s="325"/>
    </row>
    <row r="249" spans="1:2" ht="15">
      <c r="A249" s="23"/>
      <c r="B249" s="325"/>
    </row>
    <row r="250" spans="1:2" ht="15">
      <c r="A250" s="23"/>
      <c r="B250" s="325"/>
    </row>
    <row r="251" spans="1:2" ht="15">
      <c r="A251" s="23"/>
      <c r="B251" s="325"/>
    </row>
    <row r="252" spans="1:2" ht="15">
      <c r="A252" s="23"/>
      <c r="B252" s="325"/>
    </row>
    <row r="253" spans="1:2" ht="15">
      <c r="A253" s="23"/>
      <c r="B253" s="325"/>
    </row>
    <row r="254" spans="1:2" ht="15">
      <c r="A254" s="23"/>
      <c r="B254" s="325"/>
    </row>
    <row r="255" spans="1:2" ht="15">
      <c r="A255" s="23"/>
      <c r="B255" s="325"/>
    </row>
    <row r="256" spans="1:2" ht="15">
      <c r="A256" s="23"/>
      <c r="B256" s="325"/>
    </row>
    <row r="257" spans="1:2" ht="15">
      <c r="A257" s="23"/>
      <c r="B257" s="325"/>
    </row>
    <row r="258" spans="1:2" ht="15">
      <c r="A258" s="23"/>
      <c r="B258" s="325"/>
    </row>
    <row r="259" spans="1:2" ht="15">
      <c r="A259" s="23"/>
      <c r="B259" s="325"/>
    </row>
    <row r="260" spans="1:2" ht="15">
      <c r="A260" s="23"/>
      <c r="B260" s="325"/>
    </row>
    <row r="261" spans="1:2" ht="15">
      <c r="A261" s="23"/>
      <c r="B261" s="325"/>
    </row>
    <row r="262" spans="1:2" ht="15">
      <c r="A262" s="23"/>
      <c r="B262" s="325"/>
    </row>
    <row r="263" spans="1:2" ht="15">
      <c r="A263" s="23"/>
      <c r="B263" s="325"/>
    </row>
    <row r="264" spans="1:2" ht="15">
      <c r="A264" s="23"/>
      <c r="B264" s="325"/>
    </row>
    <row r="265" spans="1:2" ht="15">
      <c r="A265" s="23"/>
      <c r="B265" s="325"/>
    </row>
    <row r="266" spans="1:2" ht="15">
      <c r="A266" s="23"/>
      <c r="B266" s="325"/>
    </row>
    <row r="267" spans="1:2" ht="15">
      <c r="A267" s="23"/>
      <c r="B267" s="325"/>
    </row>
    <row r="268" spans="1:2" ht="15">
      <c r="A268" s="23"/>
      <c r="B268" s="325"/>
    </row>
    <row r="269" spans="1:2" ht="15">
      <c r="A269" s="23"/>
      <c r="B269" s="325"/>
    </row>
    <row r="270" spans="1:2" ht="15">
      <c r="A270" s="23"/>
      <c r="B270" s="325"/>
    </row>
    <row r="271" spans="1:2" ht="15">
      <c r="A271" s="23"/>
      <c r="B271" s="325"/>
    </row>
    <row r="272" spans="1:2" ht="15">
      <c r="A272" s="23"/>
      <c r="B272" s="325"/>
    </row>
    <row r="273" spans="1:2" ht="15">
      <c r="A273" s="23"/>
      <c r="B273" s="325"/>
    </row>
    <row r="274" spans="1:2" ht="15">
      <c r="A274" s="23"/>
      <c r="B274" s="325"/>
    </row>
    <row r="275" spans="1:2" ht="15">
      <c r="A275" s="23"/>
      <c r="B275" s="325"/>
    </row>
    <row r="276" spans="1:2" ht="15">
      <c r="A276" s="23"/>
      <c r="B276" s="325"/>
    </row>
    <row r="277" spans="1:2" ht="15">
      <c r="A277" s="23"/>
      <c r="B277" s="325"/>
    </row>
    <row r="278" spans="1:2" ht="15">
      <c r="A278" s="23"/>
      <c r="B278" s="325"/>
    </row>
    <row r="279" spans="1:2" ht="15">
      <c r="A279" s="23"/>
      <c r="B279" s="325"/>
    </row>
    <row r="280" spans="1:2" ht="15">
      <c r="A280" s="23"/>
      <c r="B280" s="325"/>
    </row>
    <row r="281" spans="1:2" ht="15">
      <c r="A281" s="23"/>
      <c r="B281" s="325"/>
    </row>
    <row r="282" spans="1:2" ht="15">
      <c r="A282" s="23"/>
      <c r="B282" s="325"/>
    </row>
    <row r="283" spans="1:2" ht="15">
      <c r="A283" s="23"/>
      <c r="B283" s="325"/>
    </row>
    <row r="284" spans="1:2" ht="15">
      <c r="A284" s="23"/>
      <c r="B284" s="325"/>
    </row>
    <row r="285" spans="1:2" ht="15">
      <c r="A285" s="23"/>
      <c r="B285" s="325"/>
    </row>
    <row r="286" spans="1:2" ht="15">
      <c r="A286" s="23"/>
      <c r="B286" s="325"/>
    </row>
    <row r="287" spans="1:2" ht="15">
      <c r="A287" s="23"/>
      <c r="B287" s="325"/>
    </row>
    <row r="288" spans="1:2" ht="15">
      <c r="A288" s="23"/>
      <c r="B288" s="325"/>
    </row>
    <row r="289" spans="1:2" ht="15">
      <c r="A289" s="23"/>
      <c r="B289" s="325"/>
    </row>
    <row r="290" spans="1:2" ht="15">
      <c r="A290" s="23"/>
      <c r="B290" s="325"/>
    </row>
    <row r="291" spans="1:2" ht="15">
      <c r="A291" s="23"/>
      <c r="B291" s="325"/>
    </row>
    <row r="292" spans="1:2" ht="15">
      <c r="A292" s="23"/>
      <c r="B292" s="325"/>
    </row>
    <row r="293" spans="1:2" ht="15">
      <c r="A293" s="23"/>
      <c r="B293" s="325"/>
    </row>
    <row r="294" spans="1:2" ht="15">
      <c r="A294" s="23"/>
      <c r="B294" s="325"/>
    </row>
    <row r="295" spans="1:2" ht="15">
      <c r="A295" s="23"/>
      <c r="B295" s="325"/>
    </row>
    <row r="296" spans="1:2" ht="15">
      <c r="A296" s="23"/>
      <c r="B296" s="325"/>
    </row>
    <row r="297" spans="1:2" ht="15">
      <c r="A297" s="23"/>
      <c r="B297" s="325"/>
    </row>
    <row r="298" spans="1:2" ht="15">
      <c r="A298" s="23"/>
      <c r="B298" s="325"/>
    </row>
    <row r="299" spans="1:2" ht="15">
      <c r="A299" s="23"/>
      <c r="B299" s="325"/>
    </row>
    <row r="300" spans="1:2" ht="15">
      <c r="A300" s="23"/>
      <c r="B300" s="325"/>
    </row>
    <row r="301" spans="1:2" ht="15">
      <c r="A301" s="23"/>
      <c r="B301" s="325"/>
    </row>
    <row r="302" spans="1:2" ht="15">
      <c r="A302" s="23"/>
      <c r="B302" s="325"/>
    </row>
    <row r="303" spans="1:2" ht="15">
      <c r="A303" s="23"/>
      <c r="B303" s="325"/>
    </row>
    <row r="304" spans="1:2" ht="15">
      <c r="A304" s="23"/>
      <c r="B304" s="325"/>
    </row>
    <row r="305" spans="1:2" ht="15">
      <c r="A305" s="23"/>
      <c r="B305" s="325"/>
    </row>
    <row r="306" spans="1:2" ht="15">
      <c r="A306" s="23"/>
      <c r="B306" s="325"/>
    </row>
    <row r="307" spans="1:2" ht="15">
      <c r="A307" s="23"/>
      <c r="B307" s="325"/>
    </row>
    <row r="308" spans="1:2" ht="15">
      <c r="A308" s="23"/>
      <c r="B308" s="325"/>
    </row>
    <row r="309" spans="1:2" ht="15">
      <c r="A309" s="23"/>
      <c r="B309" s="325"/>
    </row>
    <row r="310" spans="1:2" ht="15">
      <c r="A310" s="23"/>
      <c r="B310" s="325"/>
    </row>
    <row r="311" spans="1:2" ht="15">
      <c r="A311" s="23"/>
      <c r="B311" s="325"/>
    </row>
    <row r="312" spans="1:2" ht="15">
      <c r="A312" s="23"/>
      <c r="B312" s="325"/>
    </row>
    <row r="313" spans="1:2" ht="15">
      <c r="A313" s="23"/>
      <c r="B313" s="325"/>
    </row>
    <row r="314" spans="1:2" ht="15">
      <c r="A314" s="23"/>
      <c r="B314" s="325"/>
    </row>
    <row r="315" spans="1:2" ht="15">
      <c r="A315" s="23"/>
      <c r="B315" s="325"/>
    </row>
    <row r="316" spans="1:2" ht="15">
      <c r="A316" s="23"/>
      <c r="B316" s="325"/>
    </row>
    <row r="317" spans="1:2" ht="15">
      <c r="A317" s="23"/>
      <c r="B317" s="325"/>
    </row>
    <row r="318" spans="1:2" ht="15">
      <c r="A318" s="23"/>
      <c r="B318" s="325"/>
    </row>
    <row r="319" spans="1:2" ht="15">
      <c r="A319" s="23"/>
      <c r="B319" s="325"/>
    </row>
    <row r="320" spans="1:2" ht="15">
      <c r="A320" s="23"/>
      <c r="B320" s="325"/>
    </row>
    <row r="321" spans="1:2" ht="15">
      <c r="A321" s="23"/>
      <c r="B321" s="325"/>
    </row>
    <row r="322" spans="1:2" ht="15">
      <c r="A322" s="23"/>
      <c r="B322" s="325"/>
    </row>
    <row r="323" spans="1:2" ht="15">
      <c r="A323" s="23"/>
      <c r="B323" s="325"/>
    </row>
    <row r="324" spans="1:2" ht="15">
      <c r="A324" s="23"/>
      <c r="B324" s="325"/>
    </row>
    <row r="325" spans="1:2" ht="15">
      <c r="A325" s="23"/>
      <c r="B325" s="325"/>
    </row>
    <row r="326" spans="1:2" ht="15">
      <c r="A326" s="23"/>
      <c r="B326" s="325"/>
    </row>
    <row r="327" spans="1:2" ht="15">
      <c r="A327" s="23"/>
      <c r="B327" s="325"/>
    </row>
    <row r="328" spans="1:2" ht="15">
      <c r="A328" s="23"/>
      <c r="B328" s="325"/>
    </row>
    <row r="329" spans="1:2" ht="15">
      <c r="A329" s="23"/>
      <c r="B329" s="325"/>
    </row>
    <row r="330" spans="1:2" ht="15">
      <c r="A330" s="23"/>
      <c r="B330" s="325"/>
    </row>
    <row r="331" spans="1:2" ht="15">
      <c r="A331" s="23"/>
      <c r="B331" s="325"/>
    </row>
    <row r="332" spans="1:2" ht="15">
      <c r="A332" s="23"/>
      <c r="B332" s="325"/>
    </row>
    <row r="333" spans="1:2" ht="15">
      <c r="A333" s="23"/>
      <c r="B333" s="325"/>
    </row>
    <row r="334" spans="1:2" ht="15">
      <c r="A334" s="23"/>
      <c r="B334" s="325"/>
    </row>
    <row r="335" spans="1:2" ht="15">
      <c r="A335" s="23"/>
      <c r="B335" s="325"/>
    </row>
    <row r="336" spans="1:2" ht="15">
      <c r="A336" s="23"/>
      <c r="B336" s="325"/>
    </row>
    <row r="337" spans="1:2" ht="15">
      <c r="A337" s="23"/>
      <c r="B337" s="325"/>
    </row>
    <row r="338" spans="1:2" ht="15">
      <c r="A338" s="23"/>
      <c r="B338" s="325"/>
    </row>
    <row r="339" spans="1:2" ht="15">
      <c r="A339" s="23"/>
      <c r="B339" s="325"/>
    </row>
    <row r="340" spans="1:2" ht="15">
      <c r="A340" s="23"/>
      <c r="B340" s="325"/>
    </row>
    <row r="341" spans="1:2" ht="15">
      <c r="A341" s="23"/>
      <c r="B341" s="325"/>
    </row>
    <row r="342" spans="1:2" ht="15">
      <c r="A342" s="23"/>
      <c r="B342" s="325"/>
    </row>
    <row r="343" spans="1:2" ht="15">
      <c r="A343" s="23"/>
      <c r="B343" s="325"/>
    </row>
    <row r="344" spans="1:2" ht="15">
      <c r="A344" s="23"/>
      <c r="B344" s="325"/>
    </row>
    <row r="345" spans="1:2" ht="15">
      <c r="A345" s="23"/>
      <c r="B345" s="325"/>
    </row>
    <row r="346" spans="1:2" ht="15">
      <c r="A346" s="23"/>
      <c r="B346" s="325"/>
    </row>
    <row r="347" spans="1:2" ht="15">
      <c r="A347" s="23"/>
      <c r="B347" s="325"/>
    </row>
    <row r="348" spans="1:2" ht="15">
      <c r="A348" s="23"/>
      <c r="B348" s="325"/>
    </row>
    <row r="349" spans="1:2" ht="15">
      <c r="A349" s="23"/>
      <c r="B349" s="325"/>
    </row>
    <row r="350" spans="1:2" ht="15">
      <c r="A350" s="23"/>
      <c r="B350" s="325"/>
    </row>
    <row r="351" spans="1:2" ht="15">
      <c r="A351" s="23"/>
      <c r="B351" s="325"/>
    </row>
    <row r="352" spans="1:2" ht="15">
      <c r="A352" s="23"/>
      <c r="B352" s="325"/>
    </row>
    <row r="353" spans="1:2" ht="15">
      <c r="A353" s="23"/>
      <c r="B353" s="325"/>
    </row>
    <row r="354" spans="1:2" ht="15">
      <c r="A354" s="23"/>
      <c r="B354" s="325"/>
    </row>
    <row r="355" spans="1:2" ht="15">
      <c r="A355" s="23"/>
      <c r="B355" s="325"/>
    </row>
    <row r="356" spans="1:2" ht="15">
      <c r="A356" s="23"/>
      <c r="B356" s="325"/>
    </row>
  </sheetData>
  <sheetProtection/>
  <mergeCells count="18">
    <mergeCell ref="A54:B54"/>
    <mergeCell ref="A93:B93"/>
    <mergeCell ref="A111:B111"/>
    <mergeCell ref="A135:B135"/>
    <mergeCell ref="A30:B30"/>
    <mergeCell ref="A1:B1"/>
    <mergeCell ref="A2:B2"/>
    <mergeCell ref="A37:B37"/>
    <mergeCell ref="A3:B3"/>
    <mergeCell ref="A4:B4"/>
    <mergeCell ref="A6:B6"/>
    <mergeCell ref="A29:B29"/>
    <mergeCell ref="A149:B149"/>
    <mergeCell ref="A159:B159"/>
    <mergeCell ref="A185:B185"/>
    <mergeCell ref="A206:B206"/>
    <mergeCell ref="A239:B239"/>
    <mergeCell ref="A216:B216"/>
  </mergeCells>
  <printOptions/>
  <pageMargins left="0.5511811023622047" right="0.35433070866141736" top="0.984251968503937" bottom="0.7874015748031497" header="0.5118110236220472" footer="0.5118110236220472"/>
  <pageSetup fitToHeight="4" fitToWidth="1" horizontalDpi="355" verticalDpi="355" orientation="portrait" scale="73" r:id="rId1"/>
  <headerFooter alignWithMargins="0">
    <oddFooter>&amp;L&amp;A</oddFooter>
  </headerFooter>
  <rowBreaks count="4" manualBreakCount="4">
    <brk id="53" max="255" man="1"/>
    <brk id="110" max="255" man="1"/>
    <brk id="158" max="255" man="1"/>
    <brk id="20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1"/>
  <sheetViews>
    <sheetView zoomScalePageLayoutView="0" workbookViewId="0" topLeftCell="A204">
      <selection activeCell="D15" sqref="D15"/>
    </sheetView>
  </sheetViews>
  <sheetFormatPr defaultColWidth="9.140625" defaultRowHeight="12.75"/>
  <cols>
    <col min="1" max="1" width="72.28125" style="0" customWidth="1"/>
    <col min="2" max="2" width="21.8515625" style="231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>
      <c r="A1" s="614" t="str">
        <f>'Trial Balance'!A1:J1</f>
        <v>Woodstock Hydro Services Inc.</v>
      </c>
      <c r="B1" s="614"/>
    </row>
    <row r="2" spans="1:2" ht="12.75">
      <c r="A2" s="614" t="str">
        <f>'Trial Balance'!A2:J2</f>
        <v>, License Number ED-2003-0011, File Number EB-2010-0145</v>
      </c>
      <c r="B2" s="614"/>
    </row>
    <row r="3" spans="1:2" s="20" customFormat="1" ht="15">
      <c r="A3" s="637" t="str">
        <f>Notes!B4</f>
        <v>Woodstock Hydro Services Inc.</v>
      </c>
      <c r="B3" s="637"/>
    </row>
    <row r="4" spans="1:2" s="20" customFormat="1" ht="15">
      <c r="A4" s="640" t="s">
        <v>163</v>
      </c>
      <c r="B4" s="640"/>
    </row>
    <row r="5" spans="1:2" ht="15" customHeight="1">
      <c r="A5" s="60" t="s">
        <v>530</v>
      </c>
      <c r="B5" s="327" t="s">
        <v>154</v>
      </c>
    </row>
    <row r="6" spans="1:2" ht="15" customHeight="1">
      <c r="A6" s="639" t="s">
        <v>142</v>
      </c>
      <c r="B6" s="639"/>
    </row>
    <row r="7" spans="1:7" ht="15" customHeight="1">
      <c r="A7" s="25" t="str">
        <f>'Trial Balance'!A211&amp;"-"&amp;'Trial Balance'!B211</f>
        <v>4006-Residential Energy Sales</v>
      </c>
      <c r="B7" s="328">
        <f>'Trial Balance'!F211</f>
        <v>-5044065.81</v>
      </c>
      <c r="D7" s="11"/>
      <c r="E7" s="12"/>
      <c r="F7" s="13"/>
      <c r="G7" s="15"/>
    </row>
    <row r="8" spans="1:7" ht="15" customHeight="1">
      <c r="A8" s="25" t="str">
        <f>'Trial Balance'!A212&amp;"-"&amp;'Trial Balance'!B212</f>
        <v>4010-Commercial Energy Sales</v>
      </c>
      <c r="B8" s="328">
        <f>'Trial Balance'!F212</f>
        <v>0</v>
      </c>
      <c r="D8" s="11"/>
      <c r="E8" s="12"/>
      <c r="F8" s="13"/>
      <c r="G8" s="15"/>
    </row>
    <row r="9" spans="1:7" ht="15" customHeight="1">
      <c r="A9" s="25" t="str">
        <f>'Trial Balance'!A213&amp;"-"&amp;'Trial Balance'!B213</f>
        <v>4015-Industrial Energy Sales</v>
      </c>
      <c r="B9" s="328">
        <f>'Trial Balance'!F213</f>
        <v>0</v>
      </c>
      <c r="D9" s="11"/>
      <c r="E9" s="12"/>
      <c r="F9" s="13"/>
      <c r="G9" s="15"/>
    </row>
    <row r="10" spans="1:7" ht="15" customHeight="1">
      <c r="A10" s="25" t="str">
        <f>'Trial Balance'!A214&amp;"-"&amp;'Trial Balance'!B214</f>
        <v>4020-Energy Sales to Large Users</v>
      </c>
      <c r="B10" s="328">
        <f>'Trial Balance'!F214</f>
        <v>-1206681.62</v>
      </c>
      <c r="D10" s="11"/>
      <c r="E10" s="12"/>
      <c r="F10" s="13"/>
      <c r="G10" s="15"/>
    </row>
    <row r="11" spans="1:7" ht="15" customHeight="1">
      <c r="A11" s="25" t="str">
        <f>'Trial Balance'!A215&amp;"-"&amp;'Trial Balance'!B215</f>
        <v>4025-Street Lighting Energy Sales</v>
      </c>
      <c r="B11" s="328">
        <f>'Trial Balance'!F215</f>
        <v>-47056.9</v>
      </c>
      <c r="D11" s="11"/>
      <c r="E11" s="12"/>
      <c r="F11" s="13"/>
      <c r="G11" s="15"/>
    </row>
    <row r="12" spans="1:7" ht="15" customHeight="1">
      <c r="A12" s="25" t="str">
        <f>'Trial Balance'!A216&amp;"-"&amp;'Trial Balance'!B216</f>
        <v>4030-Sentinel Energy Sales</v>
      </c>
      <c r="B12" s="328">
        <f>'Trial Balance'!F216</f>
        <v>0</v>
      </c>
      <c r="D12" s="11"/>
      <c r="E12" s="12"/>
      <c r="F12" s="13"/>
      <c r="G12" s="15"/>
    </row>
    <row r="13" spans="1:7" ht="15" customHeight="1">
      <c r="A13" s="25" t="str">
        <f>'Trial Balance'!A217&amp;"-"&amp;'Trial Balance'!B217</f>
        <v>4035-General Energy Sales</v>
      </c>
      <c r="B13" s="328">
        <f>'Trial Balance'!F217</f>
        <v>-10092062.62</v>
      </c>
      <c r="D13" s="11"/>
      <c r="E13" s="12"/>
      <c r="F13" s="13"/>
      <c r="G13" s="15"/>
    </row>
    <row r="14" spans="1:7" ht="15" customHeight="1">
      <c r="A14" s="25" t="str">
        <f>'Trial Balance'!A218&amp;"-"&amp;'Trial Balance'!B218</f>
        <v>4040-Other Energy Sales to Public Authorities</v>
      </c>
      <c r="B14" s="328">
        <f>'Trial Balance'!F218</f>
        <v>0</v>
      </c>
      <c r="D14" s="11"/>
      <c r="E14" s="12"/>
      <c r="F14" s="13"/>
      <c r="G14" s="15"/>
    </row>
    <row r="15" spans="1:7" ht="15" customHeight="1">
      <c r="A15" s="25" t="str">
        <f>'Trial Balance'!A219&amp;"-"&amp;'Trial Balance'!B219</f>
        <v>4045-Energy Sales to Railroads and Railways</v>
      </c>
      <c r="B15" s="328">
        <f>'Trial Balance'!F219</f>
        <v>0</v>
      </c>
      <c r="D15" s="11"/>
      <c r="E15" s="12"/>
      <c r="F15" s="13"/>
      <c r="G15" s="15"/>
    </row>
    <row r="16" spans="1:7" ht="15" customHeight="1">
      <c r="A16" s="25" t="str">
        <f>'Trial Balance'!A220&amp;"-"&amp;'Trial Balance'!B220</f>
        <v>4050-Revenue Adjustment</v>
      </c>
      <c r="B16" s="328">
        <f>'Trial Balance'!F220</f>
        <v>91348.4</v>
      </c>
      <c r="D16" s="11"/>
      <c r="E16" s="12"/>
      <c r="F16" s="13"/>
      <c r="G16" s="15"/>
    </row>
    <row r="17" spans="1:7" ht="15" customHeight="1">
      <c r="A17" s="25" t="str">
        <f>'Trial Balance'!A221&amp;"-"&amp;'Trial Balance'!B221</f>
        <v>4055-Energy Sales for Resale</v>
      </c>
      <c r="B17" s="328">
        <f>'Trial Balance'!F221</f>
        <v>-5673370.6</v>
      </c>
      <c r="D17" s="11"/>
      <c r="E17" s="14"/>
      <c r="F17" s="13"/>
      <c r="G17" s="15"/>
    </row>
    <row r="18" spans="1:7" ht="15" customHeight="1">
      <c r="A18" s="25" t="str">
        <f>'Trial Balance'!A222&amp;"-"&amp;'Trial Balance'!B222</f>
        <v>4060-Interdepartmental Energy Sales</v>
      </c>
      <c r="B18" s="328">
        <f>'Trial Balance'!F222</f>
        <v>0</v>
      </c>
      <c r="D18" s="11"/>
      <c r="E18" s="12"/>
      <c r="F18" s="13"/>
      <c r="G18" s="15"/>
    </row>
    <row r="19" spans="1:7" ht="15" customHeight="1">
      <c r="A19" s="25" t="str">
        <f>'Trial Balance'!A223&amp;"-"&amp;'Trial Balance'!B223</f>
        <v>4062-WMS</v>
      </c>
      <c r="B19" s="328">
        <f>'Trial Balance'!F223</f>
        <v>-2052418.53</v>
      </c>
      <c r="D19" s="11"/>
      <c r="E19" s="12"/>
      <c r="F19" s="13"/>
      <c r="G19" s="15"/>
    </row>
    <row r="20" spans="1:7" ht="15" customHeight="1">
      <c r="A20" s="25" t="str">
        <f>'Trial Balance'!A224&amp;"-"&amp;'Trial Balance'!B224</f>
        <v>4064-Billed WMS-One Time</v>
      </c>
      <c r="B20" s="328">
        <f>'Trial Balance'!F224</f>
        <v>0</v>
      </c>
      <c r="D20" s="11"/>
      <c r="E20" s="12"/>
      <c r="F20" s="13"/>
      <c r="G20" s="15"/>
    </row>
    <row r="21" spans="1:7" ht="15" customHeight="1">
      <c r="A21" s="25" t="str">
        <f>'Trial Balance'!A225&amp;"-"&amp;'Trial Balance'!B225</f>
        <v>4066-NS</v>
      </c>
      <c r="B21" s="328">
        <f>'Trial Balance'!F225</f>
        <v>-2174881.16</v>
      </c>
      <c r="D21" s="11"/>
      <c r="E21" s="12"/>
      <c r="F21" s="13"/>
      <c r="G21" s="15"/>
    </row>
    <row r="22" spans="1:7" ht="15" customHeight="1">
      <c r="A22" s="25" t="str">
        <f>'Trial Balance'!A226&amp;"-"&amp;'Trial Balance'!B226</f>
        <v>4068-CS</v>
      </c>
      <c r="B22" s="328">
        <f>'Trial Balance'!F226</f>
        <v>-1818224.59</v>
      </c>
      <c r="D22" s="11"/>
      <c r="E22" s="12"/>
      <c r="F22" s="13"/>
      <c r="G22" s="15"/>
    </row>
    <row r="23" spans="1:7" ht="15" customHeight="1" thickBot="1">
      <c r="A23" s="25" t="str">
        <f>'Trial Balance'!A227&amp;"-"&amp;'Trial Balance'!B227</f>
        <v>4075-LV Charges</v>
      </c>
      <c r="B23" s="328">
        <f>'Trial Balance'!F227</f>
        <v>0</v>
      </c>
      <c r="D23" s="11"/>
      <c r="E23" s="12"/>
      <c r="F23" s="13"/>
      <c r="G23" s="15"/>
    </row>
    <row r="24" spans="1:7" ht="15" customHeight="1" thickBot="1">
      <c r="A24" s="30" t="s">
        <v>143</v>
      </c>
      <c r="B24" s="329">
        <f>SUM(B7:B23)</f>
        <v>-28017413.43</v>
      </c>
      <c r="D24" s="11"/>
      <c r="E24" s="14"/>
      <c r="F24" s="13"/>
      <c r="G24" s="15"/>
    </row>
    <row r="25" spans="1:7" s="18" customFormat="1" ht="15" customHeight="1">
      <c r="A25" s="643"/>
      <c r="B25" s="644"/>
      <c r="D25" s="19"/>
      <c r="E25" s="12"/>
      <c r="F25" s="15"/>
      <c r="G25" s="15"/>
    </row>
    <row r="26" spans="1:7" s="18" customFormat="1" ht="15" customHeight="1">
      <c r="A26" s="639" t="s">
        <v>144</v>
      </c>
      <c r="B26" s="639"/>
      <c r="D26" s="19"/>
      <c r="E26" s="12"/>
      <c r="F26" s="15"/>
      <c r="G26" s="15"/>
    </row>
    <row r="27" spans="1:7" ht="15" customHeight="1">
      <c r="A27" s="25" t="str">
        <f>'Trial Balance'!A229&amp;"-"&amp;'Trial Balance'!B229</f>
        <v>4080-Distribution Services Revenue</v>
      </c>
      <c r="B27" s="328">
        <f>'Trial Balance'!F229</f>
        <v>-6446061.26</v>
      </c>
      <c r="D27" s="11"/>
      <c r="E27" s="14"/>
      <c r="F27" s="13"/>
      <c r="G27" s="15"/>
    </row>
    <row r="28" spans="1:7" ht="15" customHeight="1">
      <c r="A28" s="25" t="str">
        <f>'Trial Balance'!A230&amp;"-"&amp;'Trial Balance'!B230</f>
        <v>4082-RS Rev</v>
      </c>
      <c r="B28" s="328">
        <f>'Trial Balance'!F230</f>
        <v>-27343.9</v>
      </c>
      <c r="D28" s="11"/>
      <c r="E28" s="14"/>
      <c r="F28" s="13"/>
      <c r="G28" s="15"/>
    </row>
    <row r="29" spans="1:7" ht="15" customHeight="1">
      <c r="A29" s="25" t="str">
        <f>'Trial Balance'!A231&amp;"-"&amp;'Trial Balance'!B231</f>
        <v>4084-Serv Tx Requests</v>
      </c>
      <c r="B29" s="328">
        <f>'Trial Balance'!F231</f>
        <v>-1930.5</v>
      </c>
      <c r="D29" s="11"/>
      <c r="E29" s="14"/>
      <c r="F29" s="13"/>
      <c r="G29" s="15"/>
    </row>
    <row r="30" spans="1:7" ht="15" customHeight="1" thickBot="1">
      <c r="A30" s="25" t="str">
        <f>'Trial Balance'!A232&amp;"-"&amp;'Trial Balance'!B232</f>
        <v>4090-Electric Services Incidental to Energy Sales</v>
      </c>
      <c r="B30" s="328">
        <f>'Trial Balance'!F232</f>
        <v>0</v>
      </c>
      <c r="D30" s="11"/>
      <c r="E30" s="14"/>
      <c r="F30" s="13"/>
      <c r="G30" s="15"/>
    </row>
    <row r="31" spans="1:7" ht="15" customHeight="1" thickBot="1">
      <c r="A31" s="30" t="s">
        <v>74</v>
      </c>
      <c r="B31" s="329">
        <f>SUM(B27:B30)</f>
        <v>-6475335.66</v>
      </c>
      <c r="D31" s="11"/>
      <c r="E31" s="12"/>
      <c r="F31" s="13"/>
      <c r="G31" s="15"/>
    </row>
    <row r="32" spans="1:7" s="18" customFormat="1" ht="15" customHeight="1">
      <c r="A32" s="643"/>
      <c r="B32" s="644"/>
      <c r="D32" s="19"/>
      <c r="E32" s="12"/>
      <c r="F32" s="15"/>
      <c r="G32" s="15"/>
    </row>
    <row r="33" spans="1:7" s="18" customFormat="1" ht="15" customHeight="1">
      <c r="A33" s="639" t="s">
        <v>75</v>
      </c>
      <c r="B33" s="639"/>
      <c r="D33" s="19"/>
      <c r="E33" s="12"/>
      <c r="F33" s="15"/>
      <c r="G33" s="15"/>
    </row>
    <row r="34" spans="1:7" ht="15" customHeight="1">
      <c r="A34" s="25" t="str">
        <f>'Trial Balance'!A234&amp;"-"&amp;'Trial Balance'!B234</f>
        <v>4205-Interdepartmental Rents</v>
      </c>
      <c r="B34" s="328">
        <f>'Trial Balance'!F234</f>
        <v>0</v>
      </c>
      <c r="D34" s="11"/>
      <c r="E34" s="14"/>
      <c r="F34" s="13"/>
      <c r="G34" s="15"/>
    </row>
    <row r="35" spans="1:2" ht="15" customHeight="1">
      <c r="A35" s="25" t="str">
        <f>'Trial Balance'!A235&amp;"-"&amp;'Trial Balance'!B235</f>
        <v>4210-Rent from Electric Property</v>
      </c>
      <c r="B35" s="328">
        <f>'Trial Balance'!F235</f>
        <v>-263481.84</v>
      </c>
    </row>
    <row r="36" spans="1:2" ht="15" customHeight="1">
      <c r="A36" s="25" t="str">
        <f>'Trial Balance'!A236&amp;"-"&amp;'Trial Balance'!B236</f>
        <v>4215-Other Utility Operating Income</v>
      </c>
      <c r="B36" s="328">
        <f>'Trial Balance'!F236</f>
        <v>0</v>
      </c>
    </row>
    <row r="37" spans="1:2" ht="15" customHeight="1">
      <c r="A37" s="25" t="str">
        <f>'Trial Balance'!A237&amp;"-"&amp;'Trial Balance'!B237</f>
        <v>4220-Other Electric Revenues</v>
      </c>
      <c r="B37" s="328">
        <f>'Trial Balance'!F237</f>
        <v>-388914.4</v>
      </c>
    </row>
    <row r="38" spans="1:2" ht="15" customHeight="1">
      <c r="A38" s="25" t="str">
        <f>'Trial Balance'!A238&amp;"-"&amp;'Trial Balance'!B238</f>
        <v>4225-Late Payment Charges</v>
      </c>
      <c r="B38" s="328">
        <f>'Trial Balance'!F238</f>
        <v>-58400.42</v>
      </c>
    </row>
    <row r="39" spans="1:2" ht="15" customHeight="1">
      <c r="A39" s="25" t="str">
        <f>'Trial Balance'!A239&amp;"-"&amp;'Trial Balance'!B239</f>
        <v>4230-Sales of Water and Water Power</v>
      </c>
      <c r="B39" s="328">
        <f>'Trial Balance'!F239</f>
        <v>0</v>
      </c>
    </row>
    <row r="40" spans="1:2" ht="15" customHeight="1">
      <c r="A40" s="25" t="str">
        <f>'Trial Balance'!A240&amp;"-"&amp;'Trial Balance'!B240</f>
        <v>4235-Miscellaneous Service Revenues</v>
      </c>
      <c r="B40" s="328">
        <f>'Trial Balance'!F240</f>
        <v>-82393.55</v>
      </c>
    </row>
    <row r="41" spans="1:2" ht="15" customHeight="1">
      <c r="A41" s="25" t="str">
        <f>'Trial Balance'!A241&amp;"-"&amp;'Trial Balance'!B241</f>
        <v>4240-Provision for Rate Refunds</v>
      </c>
      <c r="B41" s="328">
        <f>'Trial Balance'!F241</f>
        <v>0</v>
      </c>
    </row>
    <row r="42" spans="1:2" ht="15" customHeight="1" thickBot="1">
      <c r="A42" s="25" t="str">
        <f>'Trial Balance'!A242&amp;"-"&amp;'Trial Balance'!B242</f>
        <v>4245-Government Assistance Directly Credited to Income</v>
      </c>
      <c r="B42" s="328">
        <f>'Trial Balance'!F242</f>
        <v>0</v>
      </c>
    </row>
    <row r="43" spans="1:2" ht="15" customHeight="1" thickBot="1">
      <c r="A43" s="30" t="s">
        <v>87</v>
      </c>
      <c r="B43" s="329">
        <f>SUM(B34:B42)</f>
        <v>-793190.2100000001</v>
      </c>
    </row>
    <row r="44" spans="1:2" s="18" customFormat="1" ht="15" customHeight="1">
      <c r="A44" s="643"/>
      <c r="B44" s="644"/>
    </row>
    <row r="45" spans="1:2" s="18" customFormat="1" ht="15" customHeight="1">
      <c r="A45" s="639" t="s">
        <v>88</v>
      </c>
      <c r="B45" s="639"/>
    </row>
    <row r="46" spans="1:2" ht="15" customHeight="1">
      <c r="A46" s="25" t="str">
        <f>'Trial Balance'!A244&amp;"-"&amp;'Trial Balance'!B244</f>
        <v>4305-Regulatory Debits</v>
      </c>
      <c r="B46" s="328">
        <f>'Trial Balance'!F244</f>
        <v>0</v>
      </c>
    </row>
    <row r="47" spans="1:2" ht="15" customHeight="1">
      <c r="A47" s="25" t="str">
        <f>'Trial Balance'!A245&amp;"-"&amp;'Trial Balance'!B245</f>
        <v>4310-Regulatory Credits</v>
      </c>
      <c r="B47" s="328">
        <f>'Trial Balance'!F245</f>
        <v>0</v>
      </c>
    </row>
    <row r="48" spans="1:2" ht="15" customHeight="1">
      <c r="A48" s="25" t="str">
        <f>'Trial Balance'!A246&amp;"-"&amp;'Trial Balance'!B246</f>
        <v>4315-Revenues from Electric Plant Leased to Others</v>
      </c>
      <c r="B48" s="328">
        <f>'Trial Balance'!F246</f>
        <v>0</v>
      </c>
    </row>
    <row r="49" spans="1:2" ht="15" customHeight="1">
      <c r="A49" s="25" t="str">
        <f>'Trial Balance'!A247&amp;"-"&amp;'Trial Balance'!B247</f>
        <v>4320-Expenses of Electric Plant Leased to Others</v>
      </c>
      <c r="B49" s="328">
        <f>'Trial Balance'!F247</f>
        <v>0</v>
      </c>
    </row>
    <row r="50" spans="1:2" ht="15" customHeight="1">
      <c r="A50" s="25" t="str">
        <f>'Trial Balance'!A248&amp;"-"&amp;'Trial Balance'!B248</f>
        <v>4324-Special Purpose Charge Recovery - Billed</v>
      </c>
      <c r="B50" s="328">
        <f>'Trial Balance'!F248</f>
        <v>0</v>
      </c>
    </row>
    <row r="51" spans="1:2" ht="15" customHeight="1">
      <c r="A51" s="25" t="str">
        <f>'Trial Balance'!A249&amp;"-"&amp;'Trial Balance'!B249</f>
        <v>4325-Revenues from Merchandise, Jobbing, Etc.</v>
      </c>
      <c r="B51" s="328">
        <f>'Trial Balance'!F249</f>
        <v>0</v>
      </c>
    </row>
    <row r="52" spans="1:2" ht="15" customHeight="1">
      <c r="A52" s="25" t="str">
        <f>'Trial Balance'!A250&amp;"-"&amp;'Trial Balance'!B250</f>
        <v>4330-Costs and Expenses of Merchandising, Jobbing, Etc</v>
      </c>
      <c r="B52" s="328">
        <f>'Trial Balance'!F250</f>
        <v>0</v>
      </c>
    </row>
    <row r="53" spans="1:2" ht="15" customHeight="1">
      <c r="A53" s="25" t="str">
        <f>'Trial Balance'!A251&amp;"-"&amp;'Trial Balance'!B251</f>
        <v>4335-Profits and Losses from Financial Instrument Hedges</v>
      </c>
      <c r="B53" s="328">
        <f>'Trial Balance'!F251</f>
        <v>0</v>
      </c>
    </row>
    <row r="54" spans="1:2" ht="15" customHeight="1">
      <c r="A54" s="25" t="str">
        <f>'Trial Balance'!A252&amp;"-"&amp;'Trial Balance'!B252</f>
        <v>4340-Profits and Losses from Financial Instrument Investments</v>
      </c>
      <c r="B54" s="328">
        <f>'Trial Balance'!F252</f>
        <v>0</v>
      </c>
    </row>
    <row r="55" spans="1:2" ht="15" customHeight="1">
      <c r="A55" s="25" t="str">
        <f>'Trial Balance'!A253&amp;"-"&amp;'Trial Balance'!B253</f>
        <v>4345-Gains from Disposition of Future Use Utility Plant</v>
      </c>
      <c r="B55" s="328">
        <f>'Trial Balance'!F253</f>
        <v>0</v>
      </c>
    </row>
    <row r="56" spans="1:2" ht="15" customHeight="1">
      <c r="A56" s="25" t="str">
        <f>'Trial Balance'!A254&amp;"-"&amp;'Trial Balance'!B254</f>
        <v>4350-Losses from Disposition of Future Use Utility Plant</v>
      </c>
      <c r="B56" s="328">
        <f>'Trial Balance'!F254</f>
        <v>0</v>
      </c>
    </row>
    <row r="57" spans="1:2" ht="15" customHeight="1">
      <c r="A57" s="25" t="str">
        <f>'Trial Balance'!A255&amp;"-"&amp;'Trial Balance'!B255</f>
        <v>4355-Gain on Disposition of Utility and Other Property</v>
      </c>
      <c r="B57" s="328">
        <f>'Trial Balance'!F255</f>
        <v>-15300</v>
      </c>
    </row>
    <row r="58" spans="1:2" ht="15" customHeight="1">
      <c r="A58" s="25" t="str">
        <f>'Trial Balance'!A256&amp;"-"&amp;'Trial Balance'!B256</f>
        <v>4360-Loss on Disposition of Utility and Other Property</v>
      </c>
      <c r="B58" s="328">
        <f>'Trial Balance'!F256</f>
        <v>0</v>
      </c>
    </row>
    <row r="59" spans="1:2" ht="15" customHeight="1">
      <c r="A59" s="25" t="str">
        <f>'Trial Balance'!A257&amp;"-"&amp;'Trial Balance'!B257</f>
        <v>4365-Gains from Disposition of Allowances for Emission</v>
      </c>
      <c r="B59" s="328">
        <f>'Trial Balance'!F257</f>
        <v>0</v>
      </c>
    </row>
    <row r="60" spans="1:2" ht="15" customHeight="1">
      <c r="A60" s="25" t="str">
        <f>'Trial Balance'!A258&amp;"-"&amp;'Trial Balance'!B258</f>
        <v>4370-Losses from Disposition of Allowances for Emission</v>
      </c>
      <c r="B60" s="328">
        <f>'Trial Balance'!F258</f>
        <v>0</v>
      </c>
    </row>
    <row r="61" spans="1:2" ht="15" customHeight="1">
      <c r="A61" s="25" t="str">
        <f>'Trial Balance'!A259&amp;"-"&amp;'Trial Balance'!B259</f>
        <v>4375-Revenues from Non-Utility Operations</v>
      </c>
      <c r="B61" s="328">
        <f>'Trial Balance'!F259</f>
        <v>-142732.67</v>
      </c>
    </row>
    <row r="62" spans="1:2" ht="15" customHeight="1">
      <c r="A62" s="25" t="str">
        <f>'Trial Balance'!A260&amp;"-"&amp;'Trial Balance'!B260</f>
        <v>4380-Expenses of Non-Utility Operations</v>
      </c>
      <c r="B62" s="328">
        <f>'Trial Balance'!F260</f>
        <v>143881.66</v>
      </c>
    </row>
    <row r="63" spans="1:2" ht="15" customHeight="1">
      <c r="A63" s="25" t="str">
        <f>'Trial Balance'!A261&amp;"-"&amp;'Trial Balance'!B261</f>
        <v>4385-Expenses of Non-Utility Operations</v>
      </c>
      <c r="B63" s="328">
        <f>'Trial Balance'!F261</f>
        <v>0</v>
      </c>
    </row>
    <row r="64" spans="1:2" ht="15" customHeight="1">
      <c r="A64" s="25" t="str">
        <f>'Trial Balance'!A262&amp;"-"&amp;'Trial Balance'!B262</f>
        <v>4390-Miscellaneous Non-Operating Income</v>
      </c>
      <c r="B64" s="328">
        <f>'Trial Balance'!F262</f>
        <v>-13144.79</v>
      </c>
    </row>
    <row r="65" spans="1:2" ht="15" customHeight="1">
      <c r="A65" s="25" t="str">
        <f>'Trial Balance'!A263&amp;"-"&amp;'Trial Balance'!B263</f>
        <v>4395-Rate-Payer Benefit Including Interest</v>
      </c>
      <c r="B65" s="328">
        <f>'Trial Balance'!F263</f>
        <v>0</v>
      </c>
    </row>
    <row r="66" spans="1:2" ht="15" customHeight="1" thickBot="1">
      <c r="A66" s="25" t="str">
        <f>'Trial Balance'!A264&amp;"-"&amp;'Trial Balance'!B264</f>
        <v>4398-Foreign Exchange Gains and Losses, Including Amortization</v>
      </c>
      <c r="B66" s="328">
        <f>'Trial Balance'!F264</f>
        <v>0</v>
      </c>
    </row>
    <row r="67" spans="1:2" ht="15" customHeight="1" thickBot="1">
      <c r="A67" s="30" t="s">
        <v>83</v>
      </c>
      <c r="B67" s="329">
        <f>SUM(B46:B66)</f>
        <v>-27295.80000000001</v>
      </c>
    </row>
    <row r="68" spans="1:2" s="18" customFormat="1" ht="15" customHeight="1">
      <c r="A68" s="643"/>
      <c r="B68" s="644"/>
    </row>
    <row r="69" spans="1:2" s="18" customFormat="1" ht="15" customHeight="1">
      <c r="A69" s="639" t="s">
        <v>84</v>
      </c>
      <c r="B69" s="639"/>
    </row>
    <row r="70" spans="1:2" s="18" customFormat="1" ht="15" customHeight="1">
      <c r="A70" s="25" t="str">
        <f>'Trial Balance'!A266&amp;"-"&amp;'Trial Balance'!B266</f>
        <v>4405-Interest and Dividend Income</v>
      </c>
      <c r="B70" s="328">
        <f>'Trial Balance'!F266</f>
        <v>-195345.92</v>
      </c>
    </row>
    <row r="71" spans="1:2" ht="15" customHeight="1" thickBot="1">
      <c r="A71" s="25" t="str">
        <f>'Trial Balance'!A267&amp;"-"&amp;'Trial Balance'!B267</f>
        <v>4415-Equity in Earnings of Subsidiary Companies</v>
      </c>
      <c r="B71" s="328">
        <f>'Trial Balance'!F267</f>
        <v>0</v>
      </c>
    </row>
    <row r="72" spans="1:2" ht="15" customHeight="1" thickBot="1">
      <c r="A72" s="30" t="s">
        <v>85</v>
      </c>
      <c r="B72" s="329">
        <f>SUM(B70:B71)</f>
        <v>-195345.92</v>
      </c>
    </row>
    <row r="73" spans="1:2" s="18" customFormat="1" ht="15" customHeight="1">
      <c r="A73" s="643"/>
      <c r="B73" s="644"/>
    </row>
    <row r="74" spans="1:2" s="18" customFormat="1" ht="15" customHeight="1">
      <c r="A74" s="639" t="s">
        <v>86</v>
      </c>
      <c r="B74" s="639"/>
    </row>
    <row r="75" spans="1:2" ht="15" customHeight="1">
      <c r="A75" s="25" t="str">
        <f>'Trial Balance'!A269&amp;"-"&amp;'Trial Balance'!B269</f>
        <v>4705-Power Purchased</v>
      </c>
      <c r="B75" s="328">
        <f>'Trial Balance'!F269</f>
        <v>21971889.15</v>
      </c>
    </row>
    <row r="76" spans="1:2" ht="15" customHeight="1">
      <c r="A76" s="25" t="str">
        <f>'Trial Balance'!A270&amp;"-"&amp;'Trial Balance'!B270</f>
        <v>4708-WMS</v>
      </c>
      <c r="B76" s="328">
        <f>'Trial Balance'!F270</f>
        <v>2052418.53</v>
      </c>
    </row>
    <row r="77" spans="1:2" ht="15" customHeight="1">
      <c r="A77" s="25" t="str">
        <f>'Trial Balance'!A271&amp;"-"&amp;'Trial Balance'!B271</f>
        <v>4710-Cost of Power Adjustments</v>
      </c>
      <c r="B77" s="328">
        <f>'Trial Balance'!F271</f>
        <v>0</v>
      </c>
    </row>
    <row r="78" spans="1:2" ht="15" customHeight="1">
      <c r="A78" s="25" t="str">
        <f>'Trial Balance'!A272&amp;"-"&amp;'Trial Balance'!B272</f>
        <v>4712-0</v>
      </c>
      <c r="B78" s="328">
        <f>'Trial Balance'!F272</f>
        <v>0</v>
      </c>
    </row>
    <row r="79" spans="1:2" ht="15" customHeight="1">
      <c r="A79" s="25" t="str">
        <f>'Trial Balance'!A273&amp;"-"&amp;'Trial Balance'!B273</f>
        <v>4714-NW</v>
      </c>
      <c r="B79" s="328">
        <f>'Trial Balance'!F273</f>
        <v>2174881.16</v>
      </c>
    </row>
    <row r="80" spans="1:2" ht="15" customHeight="1">
      <c r="A80" s="25" t="str">
        <f>'Trial Balance'!A274&amp;"-"&amp;'Trial Balance'!B274</f>
        <v>4715-System Control and Load Dispatching</v>
      </c>
      <c r="B80" s="328">
        <f>'Trial Balance'!F274</f>
        <v>0</v>
      </c>
    </row>
    <row r="81" spans="1:2" ht="15" customHeight="1">
      <c r="A81" s="25" t="str">
        <f>'Trial Balance'!A275&amp;"-"&amp;'Trial Balance'!B275</f>
        <v>4716-NCN</v>
      </c>
      <c r="B81" s="328">
        <f>'Trial Balance'!F275</f>
        <v>1818224.59</v>
      </c>
    </row>
    <row r="82" spans="1:2" ht="15" customHeight="1">
      <c r="A82" s="25" t="str">
        <f>'Trial Balance'!A276&amp;"-"&amp;'Trial Balance'!B276</f>
        <v>4720-Other Expenses</v>
      </c>
      <c r="B82" s="328">
        <f>'Trial Balance'!F276</f>
        <v>0</v>
      </c>
    </row>
    <row r="83" spans="1:2" ht="15" customHeight="1">
      <c r="A83" s="25" t="str">
        <f>'Trial Balance'!A277&amp;"-"&amp;'Trial Balance'!B277</f>
        <v>4725-Competition Transition Expense</v>
      </c>
      <c r="B83" s="328">
        <f>'Trial Balance'!F277</f>
        <v>0</v>
      </c>
    </row>
    <row r="84" spans="1:2" ht="15" customHeight="1">
      <c r="A84" s="25" t="str">
        <f>'Trial Balance'!A278&amp;"-"&amp;'Trial Balance'!B278</f>
        <v>4730-Rural Rate Assistance Expense</v>
      </c>
      <c r="B84" s="328">
        <f>'Trial Balance'!F278</f>
        <v>0</v>
      </c>
    </row>
    <row r="85" spans="1:2" ht="15" customHeight="1" thickBot="1">
      <c r="A85" s="25" t="str">
        <f>'Trial Balance'!A279&amp;"-"&amp;'Trial Balance'!B279</f>
        <v>4750-LV Charges</v>
      </c>
      <c r="B85" s="328">
        <f>'Trial Balance'!F279</f>
        <v>0</v>
      </c>
    </row>
    <row r="86" spans="1:2" ht="15" customHeight="1" thickBot="1">
      <c r="A86" s="30" t="s">
        <v>539</v>
      </c>
      <c r="B86" s="329">
        <f>SUM(B75:B85)</f>
        <v>28017413.43</v>
      </c>
    </row>
    <row r="87" spans="1:2" s="18" customFormat="1" ht="15" customHeight="1">
      <c r="A87" s="643"/>
      <c r="B87" s="644"/>
    </row>
    <row r="88" spans="1:2" s="18" customFormat="1" ht="15" customHeight="1">
      <c r="A88" s="639" t="s">
        <v>540</v>
      </c>
      <c r="B88" s="639"/>
    </row>
    <row r="89" spans="1:2" ht="15" customHeight="1">
      <c r="A89" s="25" t="str">
        <f>'Trial Balance'!A281&amp;"-"&amp;'Trial Balance'!B281</f>
        <v>5005-Operation Supervision and Engineering</v>
      </c>
      <c r="B89" s="328">
        <f>'Trial Balance'!F281</f>
        <v>210347.61</v>
      </c>
    </row>
    <row r="90" spans="1:2" ht="15" customHeight="1">
      <c r="A90" s="25" t="str">
        <f>'Trial Balance'!A282&amp;"-"&amp;'Trial Balance'!B282</f>
        <v>5010-Load Dispatching</v>
      </c>
      <c r="B90" s="328">
        <f>'Trial Balance'!F282</f>
        <v>81566.88</v>
      </c>
    </row>
    <row r="91" spans="1:2" ht="15" customHeight="1">
      <c r="A91" s="25" t="str">
        <f>'Trial Balance'!A283&amp;"-"&amp;'Trial Balance'!B283</f>
        <v>5012-Station Buildings and Fixtures Expense</v>
      </c>
      <c r="B91" s="328">
        <f>'Trial Balance'!F283</f>
        <v>1781.87</v>
      </c>
    </row>
    <row r="92" spans="1:2" ht="15" customHeight="1">
      <c r="A92" s="25" t="str">
        <f>'Trial Balance'!A284&amp;"-"&amp;'Trial Balance'!B284</f>
        <v>5014-Transformer Station Equipment - Operation Labour</v>
      </c>
      <c r="B92" s="328">
        <f>'Trial Balance'!F284</f>
        <v>0</v>
      </c>
    </row>
    <row r="93" spans="1:2" ht="15" customHeight="1">
      <c r="A93" s="25" t="str">
        <f>'Trial Balance'!A285&amp;"-"&amp;'Trial Balance'!B285</f>
        <v>5015-Transformer Station Equipment - Operation Supplies and Expenses</v>
      </c>
      <c r="B93" s="328">
        <f>'Trial Balance'!F285</f>
        <v>0</v>
      </c>
    </row>
    <row r="94" spans="1:2" ht="15" customHeight="1">
      <c r="A94" s="25" t="str">
        <f>'Trial Balance'!A286&amp;"-"&amp;'Trial Balance'!B286</f>
        <v>5016-Distribution Station Equipment - Operation Labour</v>
      </c>
      <c r="B94" s="328">
        <f>'Trial Balance'!F286</f>
        <v>25193.45</v>
      </c>
    </row>
    <row r="95" spans="1:2" ht="15" customHeight="1">
      <c r="A95" s="25" t="str">
        <f>'Trial Balance'!A287&amp;"-"&amp;'Trial Balance'!B287</f>
        <v>5017-Distribution Station Equipment - Operation Supplies and Expenses</v>
      </c>
      <c r="B95" s="328">
        <f>'Trial Balance'!F287</f>
        <v>175.29</v>
      </c>
    </row>
    <row r="96" spans="1:2" ht="15" customHeight="1">
      <c r="A96" s="25" t="str">
        <f>'Trial Balance'!A288&amp;"-"&amp;'Trial Balance'!B288</f>
        <v>5020-Overhead Distribution Lines and Feeders - Operation Labour</v>
      </c>
      <c r="B96" s="328">
        <f>'Trial Balance'!F288</f>
        <v>25501.62</v>
      </c>
    </row>
    <row r="97" spans="1:2" ht="15" customHeight="1">
      <c r="A97" s="25" t="str">
        <f>'Trial Balance'!A289&amp;"-"&amp;'Trial Balance'!B289</f>
        <v>5025-Overhead Distribution Lines and Feeders - Operation Supplies and Expenses</v>
      </c>
      <c r="B97" s="328">
        <f>'Trial Balance'!F289</f>
        <v>2932.38</v>
      </c>
    </row>
    <row r="98" spans="1:2" ht="15" customHeight="1">
      <c r="A98" s="25" t="str">
        <f>'Trial Balance'!A290&amp;"-"&amp;'Trial Balance'!B290</f>
        <v>5030-Overhead Subtransmission Feeders - Operation</v>
      </c>
      <c r="B98" s="328">
        <f>'Trial Balance'!F290</f>
        <v>0</v>
      </c>
    </row>
    <row r="99" spans="1:2" ht="15" customHeight="1">
      <c r="A99" s="25" t="str">
        <f>'Trial Balance'!A291&amp;"-"&amp;'Trial Balance'!B291</f>
        <v>5035-Overhead Distribution Transformers - Operation</v>
      </c>
      <c r="B99" s="328">
        <f>'Trial Balance'!F291</f>
        <v>0</v>
      </c>
    </row>
    <row r="100" spans="1:2" ht="15" customHeight="1">
      <c r="A100" s="25" t="str">
        <f>'Trial Balance'!A292&amp;"-"&amp;'Trial Balance'!B292</f>
        <v>5040-Underground Distribution Lines and Feeders - Operation Labour</v>
      </c>
      <c r="B100" s="328">
        <f>'Trial Balance'!F292</f>
        <v>64326.11</v>
      </c>
    </row>
    <row r="101" spans="1:2" ht="15" customHeight="1">
      <c r="A101" s="25" t="str">
        <f>'Trial Balance'!A293&amp;"-"&amp;'Trial Balance'!B293</f>
        <v>5045-Underground Distribution Lines and Feeders - Operation Supplies and Expenses</v>
      </c>
      <c r="B101" s="328">
        <f>'Trial Balance'!F293</f>
        <v>10141.62</v>
      </c>
    </row>
    <row r="102" spans="1:2" ht="15" customHeight="1">
      <c r="A102" s="25" t="str">
        <f>'Trial Balance'!A294&amp;"-"&amp;'Trial Balance'!B294</f>
        <v>5050-Underground Subtransmission Feeders - Operation</v>
      </c>
      <c r="B102" s="328">
        <f>'Trial Balance'!F294</f>
        <v>0</v>
      </c>
    </row>
    <row r="103" spans="1:2" ht="15" customHeight="1">
      <c r="A103" s="25" t="str">
        <f>'Trial Balance'!A295&amp;"-"&amp;'Trial Balance'!B295</f>
        <v>5055-Underground Distribution Transformers - Operation</v>
      </c>
      <c r="B103" s="328">
        <f>'Trial Balance'!F295</f>
        <v>0</v>
      </c>
    </row>
    <row r="104" spans="1:2" ht="15" customHeight="1">
      <c r="A104" s="25" t="str">
        <f>'Trial Balance'!A296&amp;"-"&amp;'Trial Balance'!B296</f>
        <v>5060-Street Lighting and Signal System Expense</v>
      </c>
      <c r="B104" s="328">
        <f>'Trial Balance'!F296</f>
        <v>0</v>
      </c>
    </row>
    <row r="105" spans="1:2" ht="15" customHeight="1">
      <c r="A105" s="25" t="str">
        <f>'Trial Balance'!A297&amp;"-"&amp;'Trial Balance'!B297</f>
        <v>5065-Meter Expense</v>
      </c>
      <c r="B105" s="328">
        <f>'Trial Balance'!F297</f>
        <v>202932.3</v>
      </c>
    </row>
    <row r="106" spans="1:2" ht="15" customHeight="1">
      <c r="A106" s="25" t="str">
        <f>'Trial Balance'!A298&amp;"-"&amp;'Trial Balance'!B298</f>
        <v>5070-Customer Premises - Operation Labour</v>
      </c>
      <c r="B106" s="328">
        <f>'Trial Balance'!F298</f>
        <v>0</v>
      </c>
    </row>
    <row r="107" spans="1:2" ht="15" customHeight="1">
      <c r="A107" s="25" t="str">
        <f>'Trial Balance'!A299&amp;"-"&amp;'Trial Balance'!B299</f>
        <v>5075-Customer Premises - Materials and Expenses</v>
      </c>
      <c r="B107" s="328">
        <f>'Trial Balance'!F299</f>
        <v>0</v>
      </c>
    </row>
    <row r="108" spans="1:2" ht="15" customHeight="1">
      <c r="A108" s="25" t="str">
        <f>'Trial Balance'!A300&amp;"-"&amp;'Trial Balance'!B300</f>
        <v>5085-Miscellaneous Distribution Expense</v>
      </c>
      <c r="B108" s="328">
        <f>'Trial Balance'!F300</f>
        <v>48369.38</v>
      </c>
    </row>
    <row r="109" spans="1:2" ht="15" customHeight="1">
      <c r="A109" s="25" t="str">
        <f>'Trial Balance'!A301&amp;"-"&amp;'Trial Balance'!B301</f>
        <v>5090-Underground Distribution Lines and Feeders - Rental Paid</v>
      </c>
      <c r="B109" s="328">
        <f>'Trial Balance'!F301</f>
        <v>0</v>
      </c>
    </row>
    <row r="110" spans="1:2" ht="15" customHeight="1">
      <c r="A110" s="25" t="str">
        <f>'Trial Balance'!A302&amp;"-"&amp;'Trial Balance'!B302</f>
        <v>5095-Overhead Distribution Lines and Feeders - Rental Paid</v>
      </c>
      <c r="B110" s="328">
        <f>'Trial Balance'!F302</f>
        <v>11909.74</v>
      </c>
    </row>
    <row r="111" spans="1:2" ht="15" customHeight="1" thickBot="1">
      <c r="A111" s="25" t="str">
        <f>'Trial Balance'!A303&amp;"-"&amp;'Trial Balance'!B303</f>
        <v>5096-Other Rent</v>
      </c>
      <c r="B111" s="328">
        <f>'Trial Balance'!F303</f>
        <v>0</v>
      </c>
    </row>
    <row r="112" spans="1:2" ht="15" customHeight="1" thickBot="1">
      <c r="A112" s="30" t="s">
        <v>543</v>
      </c>
      <c r="B112" s="329">
        <f>SUM(B89:B111)</f>
        <v>685178.2499999999</v>
      </c>
    </row>
    <row r="113" spans="1:2" s="18" customFormat="1" ht="15" customHeight="1">
      <c r="A113" s="643"/>
      <c r="B113" s="644"/>
    </row>
    <row r="114" spans="1:2" s="18" customFormat="1" ht="15" customHeight="1">
      <c r="A114" s="639" t="s">
        <v>544</v>
      </c>
      <c r="B114" s="639"/>
    </row>
    <row r="115" spans="1:2" ht="15" customHeight="1">
      <c r="A115" s="25" t="str">
        <f>'Trial Balance'!A305&amp;"-"&amp;'Trial Balance'!B305</f>
        <v>5105-Maintenance Supervision and Engineering</v>
      </c>
      <c r="B115" s="328">
        <f>'Trial Balance'!F305</f>
        <v>65649.3</v>
      </c>
    </row>
    <row r="116" spans="1:2" ht="15" customHeight="1">
      <c r="A116" s="25" t="str">
        <f>'Trial Balance'!A306&amp;"-"&amp;'Trial Balance'!B306</f>
        <v>5110-Maintenance of Structures</v>
      </c>
      <c r="B116" s="328">
        <f>'Trial Balance'!F306</f>
        <v>0</v>
      </c>
    </row>
    <row r="117" spans="1:2" ht="15" customHeight="1">
      <c r="A117" s="25" t="str">
        <f>'Trial Balance'!A307&amp;"-"&amp;'Trial Balance'!B307</f>
        <v>5112-Maintenance of Transformer Station Equipment</v>
      </c>
      <c r="B117" s="328">
        <f>'Trial Balance'!F307</f>
        <v>0</v>
      </c>
    </row>
    <row r="118" spans="1:2" ht="15" customHeight="1">
      <c r="A118" s="25" t="str">
        <f>'Trial Balance'!A308&amp;"-"&amp;'Trial Balance'!B308</f>
        <v>5114-Mtaint Dist Stn Equip</v>
      </c>
      <c r="B118" s="328">
        <f>'Trial Balance'!F308</f>
        <v>0</v>
      </c>
    </row>
    <row r="119" spans="1:2" ht="15" customHeight="1">
      <c r="A119" s="25" t="str">
        <f>'Trial Balance'!A309&amp;"-"&amp;'Trial Balance'!B309</f>
        <v>5120-Maintenance of Poles, Towers and Fixtures</v>
      </c>
      <c r="B119" s="328">
        <f>'Trial Balance'!F309</f>
        <v>34366.75</v>
      </c>
    </row>
    <row r="120" spans="1:2" ht="15" customHeight="1">
      <c r="A120" s="25" t="str">
        <f>'Trial Balance'!A310&amp;"-"&amp;'Trial Balance'!B310</f>
        <v>5125-Maintenance of Overhead Conductors and Devices</v>
      </c>
      <c r="B120" s="328">
        <f>'Trial Balance'!F310</f>
        <v>109197.88</v>
      </c>
    </row>
    <row r="121" spans="1:2" ht="15" customHeight="1">
      <c r="A121" s="25" t="str">
        <f>'Trial Balance'!A311&amp;"-"&amp;'Trial Balance'!B311</f>
        <v>5130-Maintenance of Overhead Services</v>
      </c>
      <c r="B121" s="328">
        <f>'Trial Balance'!F311</f>
        <v>71165.93</v>
      </c>
    </row>
    <row r="122" spans="1:2" ht="15" customHeight="1">
      <c r="A122" s="25" t="str">
        <f>'Trial Balance'!A312&amp;"-"&amp;'Trial Balance'!B312</f>
        <v>5135-Overhead Distribution Lines and Feeders - Right of Way</v>
      </c>
      <c r="B122" s="328">
        <f>'Trial Balance'!F312</f>
        <v>69271.68</v>
      </c>
    </row>
    <row r="123" spans="1:2" ht="15" customHeight="1">
      <c r="A123" s="25" t="str">
        <f>'Trial Balance'!A313&amp;"-"&amp;'Trial Balance'!B313</f>
        <v>5145-Maintenance of Underground Conduit</v>
      </c>
      <c r="B123" s="328">
        <f>'Trial Balance'!F313</f>
        <v>10916.35</v>
      </c>
    </row>
    <row r="124" spans="1:2" ht="15" customHeight="1">
      <c r="A124" s="25" t="str">
        <f>'Trial Balance'!A314&amp;"-"&amp;'Trial Balance'!B314</f>
        <v>5150-Maintenance of Underground Conductors and Devices</v>
      </c>
      <c r="B124" s="328">
        <f>'Trial Balance'!F314</f>
        <v>22219.41</v>
      </c>
    </row>
    <row r="125" spans="1:2" ht="15" customHeight="1">
      <c r="A125" s="25" t="str">
        <f>'Trial Balance'!A315&amp;"-"&amp;'Trial Balance'!B315</f>
        <v>5155-Maintenance of Underground Services</v>
      </c>
      <c r="B125" s="328">
        <f>'Trial Balance'!F315</f>
        <v>37733.42</v>
      </c>
    </row>
    <row r="126" spans="1:2" ht="15" customHeight="1">
      <c r="A126" s="25" t="str">
        <f>'Trial Balance'!A316&amp;"-"&amp;'Trial Balance'!B316</f>
        <v>5160-Maintenance of Line Transformers</v>
      </c>
      <c r="B126" s="328">
        <f>'Trial Balance'!F316</f>
        <v>51545.63</v>
      </c>
    </row>
    <row r="127" spans="1:2" ht="15" customHeight="1">
      <c r="A127" s="25" t="str">
        <f>'Trial Balance'!A317&amp;"-"&amp;'Trial Balance'!B317</f>
        <v>5165-Maintenance of Street Lighting and Signal Systems</v>
      </c>
      <c r="B127" s="328">
        <f>'Trial Balance'!F317</f>
        <v>0</v>
      </c>
    </row>
    <row r="128" spans="1:2" ht="15" customHeight="1">
      <c r="A128" s="25" t="str">
        <f>'Trial Balance'!A318&amp;"-"&amp;'Trial Balance'!B318</f>
        <v>5170-Sentinel Lights - Labour</v>
      </c>
      <c r="B128" s="328">
        <f>'Trial Balance'!F318</f>
        <v>0</v>
      </c>
    </row>
    <row r="129" spans="1:2" ht="15" customHeight="1">
      <c r="A129" s="25" t="str">
        <f>'Trial Balance'!A319&amp;"-"&amp;'Trial Balance'!B319</f>
        <v>5172-Sentinel Lights - Materials and Expenses</v>
      </c>
      <c r="B129" s="328">
        <f>'Trial Balance'!F319</f>
        <v>0</v>
      </c>
    </row>
    <row r="130" spans="1:2" ht="15" customHeight="1">
      <c r="A130" s="25" t="str">
        <f>'Trial Balance'!A320&amp;"-"&amp;'Trial Balance'!B320</f>
        <v>5175-Maintenance of Meters</v>
      </c>
      <c r="B130" s="328">
        <f>'Trial Balance'!F320</f>
        <v>410.17</v>
      </c>
    </row>
    <row r="131" spans="1:2" ht="15" customHeight="1">
      <c r="A131" s="25" t="str">
        <f>'Trial Balance'!A321&amp;"-"&amp;'Trial Balance'!B321</f>
        <v>5178-Customer Installations Expenses - Leased Property</v>
      </c>
      <c r="B131" s="328">
        <f>'Trial Balance'!F321</f>
        <v>0</v>
      </c>
    </row>
    <row r="132" spans="1:2" ht="15" customHeight="1" thickBot="1">
      <c r="A132" s="25" t="str">
        <f>'Trial Balance'!A322&amp;"-"&amp;'Trial Balance'!B322</f>
        <v>5195-Maintenance of Other Installations on Customer Premises</v>
      </c>
      <c r="B132" s="328">
        <f>'Trial Balance'!F322</f>
        <v>0</v>
      </c>
    </row>
    <row r="133" spans="1:2" ht="15" customHeight="1" thickBot="1">
      <c r="A133" s="30" t="s">
        <v>89</v>
      </c>
      <c r="B133" s="329">
        <f>SUM(B115:B132)</f>
        <v>472476.5199999999</v>
      </c>
    </row>
    <row r="134" spans="1:2" s="18" customFormat="1" ht="15" customHeight="1">
      <c r="A134" s="643"/>
      <c r="B134" s="644"/>
    </row>
    <row r="135" spans="1:2" s="18" customFormat="1" ht="15" customHeight="1">
      <c r="A135" s="641" t="s">
        <v>90</v>
      </c>
      <c r="B135" s="642"/>
    </row>
    <row r="136" spans="1:2" ht="15" customHeight="1">
      <c r="A136" s="25" t="str">
        <f>'Trial Balance'!A328&amp;"-"&amp;'Trial Balance'!B328</f>
        <v>5305-Supervision</v>
      </c>
      <c r="B136" s="328">
        <f>'Trial Balance'!F328</f>
        <v>87275.12</v>
      </c>
    </row>
    <row r="137" spans="1:2" ht="15" customHeight="1">
      <c r="A137" s="25" t="str">
        <f>'Trial Balance'!A329&amp;"-"&amp;'Trial Balance'!B329</f>
        <v>5310-Meter Reading Expense</v>
      </c>
      <c r="B137" s="328">
        <f>'Trial Balance'!F329</f>
        <v>135092.77</v>
      </c>
    </row>
    <row r="138" spans="1:2" ht="15" customHeight="1">
      <c r="A138" s="25" t="str">
        <f>'Trial Balance'!A330&amp;"-"&amp;'Trial Balance'!B330</f>
        <v>5315-Customer Billing</v>
      </c>
      <c r="B138" s="328">
        <f>'Trial Balance'!F330</f>
        <v>293553</v>
      </c>
    </row>
    <row r="139" spans="1:2" ht="15" customHeight="1">
      <c r="A139" s="25" t="str">
        <f>'Trial Balance'!A331&amp;"-"&amp;'Trial Balance'!B331</f>
        <v>5320-Collecting</v>
      </c>
      <c r="B139" s="328">
        <f>'Trial Balance'!F331</f>
        <v>150677.28</v>
      </c>
    </row>
    <row r="140" spans="1:2" ht="15" customHeight="1">
      <c r="A140" s="25" t="str">
        <f>'Trial Balance'!A332&amp;"-"&amp;'Trial Balance'!B332</f>
        <v>5325-Collecting - Cash Over and Short</v>
      </c>
      <c r="B140" s="328">
        <f>'Trial Balance'!F332</f>
        <v>180.18</v>
      </c>
    </row>
    <row r="141" spans="1:2" ht="15" customHeight="1">
      <c r="A141" s="25" t="str">
        <f>'Trial Balance'!A333&amp;"-"&amp;'Trial Balance'!B333</f>
        <v>5330-Collection Charges</v>
      </c>
      <c r="B141" s="328">
        <f>'Trial Balance'!F333</f>
        <v>0</v>
      </c>
    </row>
    <row r="142" spans="1:2" ht="15" customHeight="1">
      <c r="A142" s="25" t="str">
        <f>'Trial Balance'!A334&amp;"-"&amp;'Trial Balance'!B334</f>
        <v>5335-Bad Debt Expense</v>
      </c>
      <c r="B142" s="328">
        <f>'Trial Balance'!F334</f>
        <v>3660.41</v>
      </c>
    </row>
    <row r="143" spans="1:2" ht="15" customHeight="1" thickBot="1">
      <c r="A143" s="25" t="str">
        <f>'Trial Balance'!A335&amp;"-"&amp;'Trial Balance'!B335</f>
        <v>5340-Miscellaneous Customer Accounts Expenses</v>
      </c>
      <c r="B143" s="328">
        <f>'Trial Balance'!F335</f>
        <v>2026.51</v>
      </c>
    </row>
    <row r="144" spans="1:2" ht="15" customHeight="1" thickBot="1">
      <c r="A144" s="30" t="s">
        <v>99</v>
      </c>
      <c r="B144" s="329">
        <f>SUM(B136:B143)</f>
        <v>672465.2700000001</v>
      </c>
    </row>
    <row r="145" spans="1:2" s="18" customFormat="1" ht="15" customHeight="1">
      <c r="A145" s="643"/>
      <c r="B145" s="644"/>
    </row>
    <row r="146" spans="1:2" s="18" customFormat="1" ht="15" customHeight="1">
      <c r="A146" s="641" t="s">
        <v>100</v>
      </c>
      <c r="B146" s="642"/>
    </row>
    <row r="147" spans="1:2" ht="15" customHeight="1">
      <c r="A147" s="25" t="str">
        <f>'Trial Balance'!A337&amp;"-"&amp;'Trial Balance'!B337</f>
        <v>5405-Supervision</v>
      </c>
      <c r="B147" s="328">
        <f>'Trial Balance'!F337</f>
        <v>11330.61</v>
      </c>
    </row>
    <row r="148" spans="1:2" ht="15" customHeight="1">
      <c r="A148" s="25" t="str">
        <f>'Trial Balance'!A338&amp;"-"&amp;'Trial Balance'!B338</f>
        <v>5410-Community Relations - Sundry</v>
      </c>
      <c r="B148" s="328">
        <f>'Trial Balance'!F338</f>
        <v>11793.13</v>
      </c>
    </row>
    <row r="149" spans="1:2" ht="15" customHeight="1">
      <c r="A149" s="25" t="str">
        <f>'Trial Balance'!A339&amp;"-"&amp;'Trial Balance'!B339</f>
        <v>5415-Energy Conservation</v>
      </c>
      <c r="B149" s="328">
        <f>'Trial Balance'!F339</f>
        <v>103183.98</v>
      </c>
    </row>
    <row r="150" spans="1:2" ht="15" customHeight="1">
      <c r="A150" s="25" t="str">
        <f>'Trial Balance'!A340&amp;"-"&amp;'Trial Balance'!B340</f>
        <v>5420-Community Safety Program</v>
      </c>
      <c r="B150" s="328">
        <f>'Trial Balance'!F340</f>
        <v>2573.67</v>
      </c>
    </row>
    <row r="151" spans="1:2" ht="15" customHeight="1" thickBot="1">
      <c r="A151" s="25" t="str">
        <f>'Trial Balance'!A341&amp;"-"&amp;'Trial Balance'!B341</f>
        <v>5425-Miscellaneous Customer Service and Informational Expenses</v>
      </c>
      <c r="B151" s="328">
        <f>'Trial Balance'!F341</f>
        <v>68.69</v>
      </c>
    </row>
    <row r="152" spans="1:2" ht="15" customHeight="1" thickBot="1">
      <c r="A152" s="30" t="s">
        <v>101</v>
      </c>
      <c r="B152" s="329">
        <f>SUM(B147:B151)</f>
        <v>128950.08</v>
      </c>
    </row>
    <row r="153" spans="1:2" s="18" customFormat="1" ht="15" customHeight="1">
      <c r="A153" s="643"/>
      <c r="B153" s="644"/>
    </row>
    <row r="154" spans="1:2" s="18" customFormat="1" ht="15" customHeight="1">
      <c r="A154" s="641" t="s">
        <v>102</v>
      </c>
      <c r="B154" s="642"/>
    </row>
    <row r="155" spans="1:2" ht="15" customHeight="1">
      <c r="A155" s="25" t="str">
        <f>'Trial Balance'!A348&amp;"-"&amp;'Trial Balance'!B348</f>
        <v>5605-Executive Salaries and Expenses</v>
      </c>
      <c r="B155" s="328">
        <f>'Trial Balance'!F348</f>
        <v>150787.49</v>
      </c>
    </row>
    <row r="156" spans="1:2" ht="15" customHeight="1">
      <c r="A156" s="25" t="str">
        <f>'Trial Balance'!A349&amp;"-"&amp;'Trial Balance'!B349</f>
        <v>5610-Management Salaries and Expenses</v>
      </c>
      <c r="B156" s="328">
        <f>'Trial Balance'!F349</f>
        <v>151781.79</v>
      </c>
    </row>
    <row r="157" spans="1:2" ht="15" customHeight="1">
      <c r="A157" s="25" t="str">
        <f>'Trial Balance'!A350&amp;"-"&amp;'Trial Balance'!B350</f>
        <v>5615-General Administrative Salaries and Expenses</v>
      </c>
      <c r="B157" s="328">
        <f>'Trial Balance'!F350</f>
        <v>435511.59</v>
      </c>
    </row>
    <row r="158" spans="1:2" ht="15" customHeight="1">
      <c r="A158" s="25" t="str">
        <f>'Trial Balance'!A351&amp;"-"&amp;'Trial Balance'!B351</f>
        <v>5620-Office Supplies and Expenses</v>
      </c>
      <c r="B158" s="328">
        <f>'Trial Balance'!F351</f>
        <v>66272.93</v>
      </c>
    </row>
    <row r="159" spans="1:2" ht="15" customHeight="1">
      <c r="A159" s="25" t="str">
        <f>'Trial Balance'!A352&amp;"-"&amp;'Trial Balance'!B352</f>
        <v>5625-Administrative Expense Transferred-Credit</v>
      </c>
      <c r="B159" s="328">
        <f>'Trial Balance'!F352</f>
        <v>0</v>
      </c>
    </row>
    <row r="160" spans="1:2" ht="15" customHeight="1">
      <c r="A160" s="25" t="str">
        <f>'Trial Balance'!A353&amp;"-"&amp;'Trial Balance'!B353</f>
        <v>5630-Outside Services Employed</v>
      </c>
      <c r="B160" s="328">
        <f>'Trial Balance'!F353</f>
        <v>78368.96</v>
      </c>
    </row>
    <row r="161" spans="1:2" ht="15" customHeight="1">
      <c r="A161" s="25" t="str">
        <f>'Trial Balance'!A354&amp;"-"&amp;'Trial Balance'!B354</f>
        <v>5635-Property Insurance</v>
      </c>
      <c r="B161" s="328">
        <f>'Trial Balance'!F354</f>
        <v>32703.14</v>
      </c>
    </row>
    <row r="162" spans="1:2" ht="15" customHeight="1">
      <c r="A162" s="25" t="str">
        <f>'Trial Balance'!A355&amp;"-"&amp;'Trial Balance'!B355</f>
        <v>5640-Injuries and Damages</v>
      </c>
      <c r="B162" s="328">
        <f>'Trial Balance'!F355</f>
        <v>59341.64</v>
      </c>
    </row>
    <row r="163" spans="1:2" ht="15" customHeight="1">
      <c r="A163" s="25" t="str">
        <f>'Trial Balance'!A356&amp;"-"&amp;'Trial Balance'!B356</f>
        <v>5645-Employee Pensions and Benefits</v>
      </c>
      <c r="B163" s="328">
        <f>'Trial Balance'!F356</f>
        <v>431.17</v>
      </c>
    </row>
    <row r="164" spans="1:2" ht="15" customHeight="1">
      <c r="A164" s="25" t="str">
        <f>'Trial Balance'!A357&amp;"-"&amp;'Trial Balance'!B357</f>
        <v>5650-Franchise Requirements</v>
      </c>
      <c r="B164" s="328">
        <f>'Trial Balance'!F357</f>
        <v>0</v>
      </c>
    </row>
    <row r="165" spans="1:2" ht="15" customHeight="1">
      <c r="A165" s="25" t="str">
        <f>'Trial Balance'!A358&amp;"-"&amp;'Trial Balance'!B358</f>
        <v>5655-Regulatory Expenses</v>
      </c>
      <c r="B165" s="328">
        <f>'Trial Balance'!F358</f>
        <v>48313.06</v>
      </c>
    </row>
    <row r="166" spans="1:2" ht="15" customHeight="1">
      <c r="A166" s="25" t="str">
        <f>'Trial Balance'!A359&amp;"-"&amp;'Trial Balance'!B359</f>
        <v>5660-General Advertising Expenses</v>
      </c>
      <c r="B166" s="328">
        <f>'Trial Balance'!F359</f>
        <v>3819.97</v>
      </c>
    </row>
    <row r="167" spans="1:2" ht="15" customHeight="1">
      <c r="A167" s="25" t="str">
        <f>'Trial Balance'!A360&amp;"-"&amp;'Trial Balance'!B360</f>
        <v>5665-Miscellaneous Expenses</v>
      </c>
      <c r="B167" s="328">
        <f>'Trial Balance'!F360</f>
        <v>105177.07</v>
      </c>
    </row>
    <row r="168" spans="1:2" ht="15" customHeight="1">
      <c r="A168" s="25" t="str">
        <f>'Trial Balance'!A361&amp;"-"&amp;'Trial Balance'!B361</f>
        <v>5670-Rent  </v>
      </c>
      <c r="B168" s="328">
        <f>'Trial Balance'!F361</f>
        <v>0</v>
      </c>
    </row>
    <row r="169" spans="1:2" ht="15" customHeight="1">
      <c r="A169" s="25" t="str">
        <f>'Trial Balance'!A362&amp;"-"&amp;'Trial Balance'!B362</f>
        <v>5675-Maintenance of General Plant</v>
      </c>
      <c r="B169" s="328">
        <f>'Trial Balance'!F362</f>
        <v>171227.66</v>
      </c>
    </row>
    <row r="170" spans="1:2" ht="15" customHeight="1">
      <c r="A170" s="25" t="str">
        <f>'Trial Balance'!A363&amp;"-"&amp;'Trial Balance'!B363</f>
        <v>5680-Electrical Safety Authority Fees</v>
      </c>
      <c r="B170" s="328">
        <f>'Trial Balance'!F363</f>
        <v>6866.25</v>
      </c>
    </row>
    <row r="171" spans="1:2" ht="15" customHeight="1">
      <c r="A171" s="25" t="str">
        <f>'Trial Balance'!A364&amp;"-"&amp;'Trial Balance'!B364</f>
        <v>5681- Special Purpose Charge Expense</v>
      </c>
      <c r="B171" s="328">
        <f>'Trial Balance'!F364</f>
        <v>0</v>
      </c>
    </row>
    <row r="172" spans="1:2" ht="15" customHeight="1">
      <c r="A172" s="25" t="str">
        <f>'Trial Balance'!A365&amp;"-"&amp;'Trial Balance'!B365</f>
        <v>5685-Independent Market Operator Fees and Penalties</v>
      </c>
      <c r="B172" s="328">
        <f>'Trial Balance'!F365</f>
        <v>0</v>
      </c>
    </row>
    <row r="173" spans="1:2" ht="15" customHeight="1" thickBot="1">
      <c r="A173" s="25" t="str">
        <f>'Trial Balance'!A366&amp;"-"&amp;'Trial Balance'!B366</f>
        <v>5695-OM&amp;A Contra Account</v>
      </c>
      <c r="B173" s="328">
        <f>'Trial Balance'!F366</f>
        <v>0</v>
      </c>
    </row>
    <row r="174" spans="1:2" ht="15" customHeight="1" thickBot="1">
      <c r="A174" s="30" t="s">
        <v>76</v>
      </c>
      <c r="B174" s="329">
        <f>SUM(B155:B173)</f>
        <v>1310602.72</v>
      </c>
    </row>
    <row r="175" spans="1:2" s="18" customFormat="1" ht="15" customHeight="1">
      <c r="A175" s="643"/>
      <c r="B175" s="644"/>
    </row>
    <row r="176" spans="1:2" s="18" customFormat="1" ht="15" customHeight="1">
      <c r="A176" s="641" t="s">
        <v>77</v>
      </c>
      <c r="B176" s="642"/>
    </row>
    <row r="177" spans="1:2" s="18" customFormat="1" ht="15" customHeight="1">
      <c r="A177" s="25" t="str">
        <f>'Trial Balance'!A368&amp;"-"&amp;'Trial Balance'!B368</f>
        <v>5705-Amortization Expense - Property, Plant and Equipment</v>
      </c>
      <c r="B177" s="328">
        <f>'Trial Balance'!F368</f>
        <v>1672770.22</v>
      </c>
    </row>
    <row r="178" spans="1:2" s="18" customFormat="1" ht="15" customHeight="1">
      <c r="A178" s="25" t="str">
        <f>'Trial Balance'!A369&amp;"-"&amp;'Trial Balance'!B369</f>
        <v>5710-Amortization of Limited Term Electric Plant</v>
      </c>
      <c r="B178" s="328">
        <f>'Trial Balance'!F369</f>
        <v>0</v>
      </c>
    </row>
    <row r="179" spans="1:2" s="18" customFormat="1" ht="15" customHeight="1">
      <c r="A179" s="25" t="str">
        <f>'Trial Balance'!A370&amp;"-"&amp;'Trial Balance'!B370</f>
        <v>5715-Amortization of Intangibles and Other Electric Plant</v>
      </c>
      <c r="B179" s="328">
        <f>'Trial Balance'!F370</f>
        <v>0</v>
      </c>
    </row>
    <row r="180" spans="1:2" s="18" customFormat="1" ht="15" customHeight="1">
      <c r="A180" s="25" t="str">
        <f>'Trial Balance'!A371&amp;"-"&amp;'Trial Balance'!B371</f>
        <v>5720-Amortization of Electric Plant Acquisition Adjustments</v>
      </c>
      <c r="B180" s="328">
        <f>'Trial Balance'!F371</f>
        <v>0</v>
      </c>
    </row>
    <row r="181" spans="1:2" s="18" customFormat="1" ht="15" customHeight="1">
      <c r="A181" s="25" t="str">
        <f>'Trial Balance'!A372&amp;"-"&amp;'Trial Balance'!B372</f>
        <v>5725-Miscellaneous Amortization</v>
      </c>
      <c r="B181" s="328">
        <f>'Trial Balance'!F372</f>
        <v>0</v>
      </c>
    </row>
    <row r="182" spans="1:2" s="18" customFormat="1" ht="15" customHeight="1">
      <c r="A182" s="25" t="str">
        <f>'Trial Balance'!A373&amp;"-"&amp;'Trial Balance'!B373</f>
        <v>5730-Amortization of Unrecovered Plant and Regulatory Study Costs</v>
      </c>
      <c r="B182" s="328">
        <f>'Trial Balance'!F373</f>
        <v>0</v>
      </c>
    </row>
    <row r="183" spans="1:2" s="18" customFormat="1" ht="15" customHeight="1">
      <c r="A183" s="25" t="str">
        <f>'Trial Balance'!A374&amp;"-"&amp;'Trial Balance'!B374</f>
        <v>5735-Amortization of Deferred Development Costs</v>
      </c>
      <c r="B183" s="328">
        <f>'Trial Balance'!F374</f>
        <v>0</v>
      </c>
    </row>
    <row r="184" spans="1:2" ht="15" customHeight="1" thickBot="1">
      <c r="A184" s="25" t="str">
        <f>'Trial Balance'!A375&amp;"-"&amp;'Trial Balance'!B375</f>
        <v>5740-Amortization of Deferred Charges</v>
      </c>
      <c r="B184" s="328">
        <f>'Trial Balance'!F375</f>
        <v>0</v>
      </c>
    </row>
    <row r="185" spans="1:2" ht="15" customHeight="1" thickBot="1">
      <c r="A185" s="30" t="s">
        <v>78</v>
      </c>
      <c r="B185" s="329">
        <f>SUM(B177:B184)</f>
        <v>1672770.22</v>
      </c>
    </row>
    <row r="186" spans="1:2" s="18" customFormat="1" ht="15" customHeight="1">
      <c r="A186" s="643"/>
      <c r="B186" s="644"/>
    </row>
    <row r="187" spans="1:2" s="18" customFormat="1" ht="15" customHeight="1">
      <c r="A187" s="641" t="s">
        <v>79</v>
      </c>
      <c r="B187" s="642"/>
    </row>
    <row r="188" spans="1:2" ht="15" customHeight="1">
      <c r="A188" s="25" t="str">
        <f>'Trial Balance'!A377&amp;"-"&amp;'Trial Balance'!B377</f>
        <v>6005-Interest on Long Term Debt</v>
      </c>
      <c r="B188" s="328">
        <f>'Trial Balance'!F377</f>
        <v>739230.22</v>
      </c>
    </row>
    <row r="189" spans="1:2" ht="15" customHeight="1">
      <c r="A189" s="25" t="str">
        <f>'Trial Balance'!A378&amp;"-"&amp;'Trial Balance'!B378</f>
        <v>6010-Amortization of Debt Discount and Expense</v>
      </c>
      <c r="B189" s="328">
        <f>'Trial Balance'!F378</f>
        <v>0</v>
      </c>
    </row>
    <row r="190" spans="1:2" ht="15" customHeight="1">
      <c r="A190" s="25" t="str">
        <f>'Trial Balance'!A379&amp;"-"&amp;'Trial Balance'!B379</f>
        <v>6015-Amortization of Premium on Debt-Credit</v>
      </c>
      <c r="B190" s="328">
        <f>'Trial Balance'!F379</f>
        <v>0</v>
      </c>
    </row>
    <row r="191" spans="1:2" ht="15" customHeight="1">
      <c r="A191" s="25" t="str">
        <f>'Trial Balance'!A380&amp;"-"&amp;'Trial Balance'!B380</f>
        <v>6020-Amortization of Loss on Reacquired Debt</v>
      </c>
      <c r="B191" s="328">
        <f>'Trial Balance'!F380</f>
        <v>0</v>
      </c>
    </row>
    <row r="192" spans="1:2" ht="15" customHeight="1">
      <c r="A192" s="25" t="str">
        <f>'Trial Balance'!A381&amp;"-"&amp;'Trial Balance'!B381</f>
        <v>6025-Amortization of Gain on Reacquired Debt-Credit</v>
      </c>
      <c r="B192" s="328">
        <f>'Trial Balance'!F381</f>
        <v>0</v>
      </c>
    </row>
    <row r="193" spans="1:2" ht="15" customHeight="1">
      <c r="A193" s="25" t="str">
        <f>'Trial Balance'!A382&amp;"-"&amp;'Trial Balance'!B382</f>
        <v>6030-Interest on Debt to Associated Companies</v>
      </c>
      <c r="B193" s="328">
        <f>'Trial Balance'!F382</f>
        <v>0</v>
      </c>
    </row>
    <row r="194" spans="1:2" ht="15" customHeight="1">
      <c r="A194" s="25" t="str">
        <f>'Trial Balance'!A383&amp;"-"&amp;'Trial Balance'!B383</f>
        <v>6035-Other Interest Expense</v>
      </c>
      <c r="B194" s="328">
        <f>'Trial Balance'!F383</f>
        <v>65757.22</v>
      </c>
    </row>
    <row r="195" spans="1:2" ht="15" customHeight="1">
      <c r="A195" s="25" t="str">
        <f>'Trial Balance'!A384&amp;"-"&amp;'Trial Balance'!B384</f>
        <v>6040-Allowance for Borrowed Funds Used During Construction-Credit</v>
      </c>
      <c r="B195" s="328">
        <f>'Trial Balance'!F384</f>
        <v>0</v>
      </c>
    </row>
    <row r="196" spans="1:2" ht="15" customHeight="1">
      <c r="A196" s="25" t="str">
        <f>'Trial Balance'!A385&amp;"-"&amp;'Trial Balance'!B385</f>
        <v>6042-Allowance for Other Funds Used During Construction</v>
      </c>
      <c r="B196" s="328">
        <f>'Trial Balance'!F385</f>
        <v>0</v>
      </c>
    </row>
    <row r="197" spans="1:2" ht="15" customHeight="1" thickBot="1">
      <c r="A197" s="25" t="str">
        <f>'Trial Balance'!A386&amp;"-"&amp;'Trial Balance'!B386</f>
        <v>6045-Interest Expense on Capital Lease Obligations</v>
      </c>
      <c r="B197" s="328">
        <f>'Trial Balance'!F386</f>
        <v>0</v>
      </c>
    </row>
    <row r="198" spans="1:2" ht="15" customHeight="1" thickBot="1">
      <c r="A198" s="30" t="s">
        <v>541</v>
      </c>
      <c r="B198" s="329">
        <f>SUM(B188:B197)</f>
        <v>804987.44</v>
      </c>
    </row>
    <row r="199" spans="1:2" s="18" customFormat="1" ht="15" customHeight="1">
      <c r="A199" s="643"/>
      <c r="B199" s="644"/>
    </row>
    <row r="200" spans="1:2" s="18" customFormat="1" ht="15" customHeight="1">
      <c r="A200" s="641" t="s">
        <v>542</v>
      </c>
      <c r="B200" s="642"/>
    </row>
    <row r="201" spans="1:2" ht="15" customHeight="1" thickBot="1">
      <c r="A201" s="25" t="str">
        <f>'Trial Balance'!A388&amp;"-"&amp;'Trial Balance'!B388</f>
        <v>6105-Taxes Other Than Income Taxes</v>
      </c>
      <c r="B201" s="328">
        <f>'Trial Balance'!F388</f>
        <v>124838.3</v>
      </c>
    </row>
    <row r="202" spans="1:2" ht="15" customHeight="1" thickBot="1">
      <c r="A202" s="30" t="s">
        <v>545</v>
      </c>
      <c r="B202" s="329">
        <f>SUM(B201)</f>
        <v>124838.3</v>
      </c>
    </row>
    <row r="203" spans="1:2" s="18" customFormat="1" ht="15" customHeight="1">
      <c r="A203" s="643"/>
      <c r="B203" s="644"/>
    </row>
    <row r="204" spans="1:2" s="18" customFormat="1" ht="15" customHeight="1">
      <c r="A204" s="641" t="s">
        <v>546</v>
      </c>
      <c r="B204" s="642"/>
    </row>
    <row r="205" spans="1:2" ht="15" customHeight="1">
      <c r="A205" s="25" t="str">
        <f>'Trial Balance'!A389&amp;"-"&amp;'Trial Balance'!B389</f>
        <v>6110-Income Taxes</v>
      </c>
      <c r="B205" s="328">
        <f>'Trial Balance'!F389</f>
        <v>1078394</v>
      </c>
    </row>
    <row r="206" spans="1:2" ht="15" customHeight="1" thickBot="1">
      <c r="A206" s="25" t="str">
        <f>'Trial Balance'!A390&amp;"-"&amp;'Trial Balance'!B390</f>
        <v>6115-Provision for Future Income Taxes</v>
      </c>
      <c r="B206" s="328">
        <f>'Trial Balance'!F390</f>
        <v>-505931.44</v>
      </c>
    </row>
    <row r="207" spans="1:2" ht="15" customHeight="1" thickBot="1">
      <c r="A207" s="30" t="s">
        <v>547</v>
      </c>
      <c r="B207" s="329">
        <f>SUM(B205:B206)</f>
        <v>572462.56</v>
      </c>
    </row>
    <row r="208" spans="1:2" s="18" customFormat="1" ht="15" customHeight="1">
      <c r="A208" s="643"/>
      <c r="B208" s="644"/>
    </row>
    <row r="209" spans="1:2" s="18" customFormat="1" ht="15" customHeight="1">
      <c r="A209" s="641" t="s">
        <v>528</v>
      </c>
      <c r="B209" s="642"/>
    </row>
    <row r="210" spans="1:2" ht="15" customHeight="1">
      <c r="A210" s="25" t="str">
        <f>'Trial Balance'!A392&amp;"-"&amp;'Trial Balance'!B392</f>
        <v>6205-Donations</v>
      </c>
      <c r="B210" s="328">
        <f>'Trial Balance'!F392</f>
        <v>500</v>
      </c>
    </row>
    <row r="211" spans="1:2" ht="15" customHeight="1">
      <c r="A211" s="25" t="str">
        <f>'Trial Balance'!A393&amp;"-"&amp;'Trial Balance'!B393</f>
        <v>6210-Life Insurance</v>
      </c>
      <c r="B211" s="328">
        <f>'Trial Balance'!F393</f>
        <v>0</v>
      </c>
    </row>
    <row r="212" spans="1:2" ht="15" customHeight="1">
      <c r="A212" s="25" t="str">
        <f>'Trial Balance'!A394&amp;"-"&amp;'Trial Balance'!B394</f>
        <v>6215-Penalties</v>
      </c>
      <c r="B212" s="328">
        <f>'Trial Balance'!F394</f>
        <v>0</v>
      </c>
    </row>
    <row r="213" spans="1:7" ht="15" customHeight="1" thickBot="1">
      <c r="A213" s="25" t="str">
        <f>'Trial Balance'!A395&amp;"-"&amp;'Trial Balance'!B395</f>
        <v>6225-Other Deductions</v>
      </c>
      <c r="B213" s="328">
        <f>'Trial Balance'!F395</f>
        <v>0</v>
      </c>
      <c r="D213" s="10"/>
      <c r="E213" s="10"/>
      <c r="F213" s="10"/>
      <c r="G213" s="10"/>
    </row>
    <row r="214" spans="1:2" ht="15" customHeight="1" thickBot="1">
      <c r="A214" s="30" t="s">
        <v>529</v>
      </c>
      <c r="B214" s="329">
        <f>SUM(B210:B213)</f>
        <v>500</v>
      </c>
    </row>
    <row r="215" spans="1:7" s="10" customFormat="1" ht="15" customHeight="1" thickBot="1">
      <c r="A215" s="643"/>
      <c r="B215" s="644"/>
      <c r="D215"/>
      <c r="E215"/>
      <c r="F215"/>
      <c r="G215"/>
    </row>
    <row r="216" spans="1:2" ht="18.75" customHeight="1" thickBot="1">
      <c r="A216" s="31" t="s">
        <v>801</v>
      </c>
      <c r="B216" s="314">
        <f>B24+B31+B43+B67+B72+B86+B112+B133+B144+B152+B174+B185+B198+B202+B207+B214</f>
        <v>-1045936.2300000039</v>
      </c>
    </row>
    <row r="217" spans="1:2" ht="15">
      <c r="A217" s="9"/>
      <c r="B217" s="330"/>
    </row>
    <row r="218" spans="1:2" ht="13.5">
      <c r="A218" s="635" t="s">
        <v>905</v>
      </c>
      <c r="B218" s="636"/>
    </row>
    <row r="219" spans="1:2" ht="12.75">
      <c r="A219" s="387" t="s">
        <v>906</v>
      </c>
      <c r="B219" s="388">
        <f>B216</f>
        <v>-1045936.2300000039</v>
      </c>
    </row>
    <row r="220" spans="1:2" ht="12.75">
      <c r="A220" s="389" t="s">
        <v>914</v>
      </c>
      <c r="B220" s="388">
        <v>416</v>
      </c>
    </row>
    <row r="221" spans="1:2" ht="12.75">
      <c r="A221" s="390" t="s">
        <v>907</v>
      </c>
      <c r="B221" s="391">
        <f>SUM(B219:B220)</f>
        <v>-1045520.2300000039</v>
      </c>
    </row>
    <row r="222" spans="1:2" ht="15">
      <c r="A222" s="9"/>
      <c r="B222" s="330"/>
    </row>
    <row r="223" spans="1:2" ht="15">
      <c r="A223" s="9"/>
      <c r="B223" s="330"/>
    </row>
    <row r="224" spans="1:2" ht="15">
      <c r="A224" s="9"/>
      <c r="B224" s="330"/>
    </row>
    <row r="225" spans="1:2" ht="15">
      <c r="A225" s="9"/>
      <c r="B225" s="330"/>
    </row>
    <row r="226" spans="1:2" ht="15">
      <c r="A226" s="9"/>
      <c r="B226" s="330"/>
    </row>
    <row r="227" spans="1:2" ht="15">
      <c r="A227" s="9"/>
      <c r="B227" s="330"/>
    </row>
    <row r="228" spans="1:2" ht="15">
      <c r="A228" s="9"/>
      <c r="B228" s="330"/>
    </row>
    <row r="229" spans="1:2" ht="15">
      <c r="A229" s="9"/>
      <c r="B229" s="330"/>
    </row>
    <row r="230" spans="1:2" ht="15">
      <c r="A230" s="9"/>
      <c r="B230" s="330"/>
    </row>
    <row r="231" spans="1:2" ht="15">
      <c r="A231" s="9"/>
      <c r="B231" s="330"/>
    </row>
    <row r="232" spans="1:2" ht="15">
      <c r="A232" s="9"/>
      <c r="B232" s="330"/>
    </row>
    <row r="233" spans="1:2" ht="15">
      <c r="A233" s="9"/>
      <c r="B233" s="330"/>
    </row>
    <row r="234" spans="1:2" ht="15">
      <c r="A234" s="9"/>
      <c r="B234" s="330"/>
    </row>
    <row r="235" spans="1:2" ht="15">
      <c r="A235" s="9"/>
      <c r="B235" s="330"/>
    </row>
    <row r="236" spans="1:2" ht="15">
      <c r="A236" s="9"/>
      <c r="B236" s="330"/>
    </row>
    <row r="237" spans="1:2" ht="15">
      <c r="A237" s="9"/>
      <c r="B237" s="330"/>
    </row>
    <row r="238" spans="1:2" ht="15">
      <c r="A238" s="9"/>
      <c r="B238" s="330"/>
    </row>
    <row r="239" spans="1:2" ht="15">
      <c r="A239" s="9"/>
      <c r="B239" s="330"/>
    </row>
    <row r="240" spans="1:2" ht="15">
      <c r="A240" s="9"/>
      <c r="B240" s="330"/>
    </row>
    <row r="241" spans="1:2" ht="15">
      <c r="A241" s="9"/>
      <c r="B241" s="330"/>
    </row>
    <row r="242" spans="1:2" ht="15">
      <c r="A242" s="9"/>
      <c r="B242" s="330"/>
    </row>
    <row r="243" spans="1:2" ht="15">
      <c r="A243" s="9"/>
      <c r="B243" s="330"/>
    </row>
    <row r="244" spans="1:2" ht="15">
      <c r="A244" s="9"/>
      <c r="B244" s="330"/>
    </row>
    <row r="245" spans="1:2" ht="15">
      <c r="A245" s="9"/>
      <c r="B245" s="330"/>
    </row>
    <row r="246" spans="1:2" ht="15">
      <c r="A246" s="9"/>
      <c r="B246" s="330"/>
    </row>
    <row r="247" spans="1:2" ht="15">
      <c r="A247" s="9"/>
      <c r="B247" s="330"/>
    </row>
    <row r="248" spans="1:2" ht="15">
      <c r="A248" s="9"/>
      <c r="B248" s="330"/>
    </row>
    <row r="249" spans="1:2" ht="15">
      <c r="A249" s="9"/>
      <c r="B249" s="330"/>
    </row>
    <row r="250" spans="1:2" ht="15">
      <c r="A250" s="9"/>
      <c r="B250" s="330"/>
    </row>
    <row r="251" spans="1:2" ht="15">
      <c r="A251" s="9"/>
      <c r="B251" s="330"/>
    </row>
    <row r="252" spans="1:2" ht="15">
      <c r="A252" s="9"/>
      <c r="B252" s="330"/>
    </row>
    <row r="253" spans="1:2" ht="15">
      <c r="A253" s="9"/>
      <c r="B253" s="330"/>
    </row>
    <row r="254" spans="1:2" ht="15">
      <c r="A254" s="9"/>
      <c r="B254" s="330"/>
    </row>
    <row r="255" spans="1:2" ht="15">
      <c r="A255" s="9"/>
      <c r="B255" s="330"/>
    </row>
    <row r="256" spans="1:2" ht="15">
      <c r="A256" s="9"/>
      <c r="B256" s="330"/>
    </row>
    <row r="257" spans="1:2" ht="15">
      <c r="A257" s="9"/>
      <c r="B257" s="330"/>
    </row>
    <row r="258" spans="1:2" ht="15">
      <c r="A258" s="9"/>
      <c r="B258" s="330"/>
    </row>
    <row r="259" spans="1:2" ht="15">
      <c r="A259" s="9"/>
      <c r="B259" s="330"/>
    </row>
    <row r="260" spans="1:2" ht="15">
      <c r="A260" s="9"/>
      <c r="B260" s="330"/>
    </row>
    <row r="261" spans="1:2" ht="15">
      <c r="A261" s="9"/>
      <c r="B261" s="330"/>
    </row>
    <row r="262" spans="1:2" ht="15">
      <c r="A262" s="9"/>
      <c r="B262" s="330"/>
    </row>
    <row r="263" spans="1:2" ht="15">
      <c r="A263" s="9"/>
      <c r="B263" s="330"/>
    </row>
    <row r="264" spans="1:2" ht="15">
      <c r="A264" s="9"/>
      <c r="B264" s="330"/>
    </row>
    <row r="265" spans="1:2" ht="15">
      <c r="A265" s="9"/>
      <c r="B265" s="330"/>
    </row>
    <row r="266" spans="1:2" ht="15">
      <c r="A266" s="9"/>
      <c r="B266" s="330"/>
    </row>
    <row r="267" spans="1:2" ht="15">
      <c r="A267" s="9"/>
      <c r="B267" s="330"/>
    </row>
    <row r="268" spans="1:2" ht="15">
      <c r="A268" s="9"/>
      <c r="B268" s="330"/>
    </row>
    <row r="269" spans="1:2" ht="15">
      <c r="A269" s="9"/>
      <c r="B269" s="330"/>
    </row>
    <row r="270" spans="1:2" ht="15">
      <c r="A270" s="9"/>
      <c r="B270" s="330"/>
    </row>
    <row r="271" spans="1:2" ht="15">
      <c r="A271" s="9"/>
      <c r="B271" s="330"/>
    </row>
    <row r="272" spans="1:2" ht="15">
      <c r="A272" s="9"/>
      <c r="B272" s="330"/>
    </row>
    <row r="273" spans="1:2" ht="15">
      <c r="A273" s="9"/>
      <c r="B273" s="330"/>
    </row>
    <row r="274" spans="1:2" ht="15">
      <c r="A274" s="9"/>
      <c r="B274" s="330"/>
    </row>
    <row r="275" spans="1:2" ht="15">
      <c r="A275" s="9"/>
      <c r="B275" s="330"/>
    </row>
    <row r="276" spans="1:2" ht="15">
      <c r="A276" s="9"/>
      <c r="B276" s="330"/>
    </row>
    <row r="277" spans="1:2" ht="15">
      <c r="A277" s="9"/>
      <c r="B277" s="330"/>
    </row>
    <row r="278" spans="1:2" ht="15">
      <c r="A278" s="9"/>
      <c r="B278" s="330"/>
    </row>
    <row r="279" spans="1:2" ht="15">
      <c r="A279" s="9"/>
      <c r="B279" s="330"/>
    </row>
    <row r="280" spans="1:2" ht="15">
      <c r="A280" s="9"/>
      <c r="B280" s="330"/>
    </row>
    <row r="281" spans="1:2" ht="15">
      <c r="A281" s="9"/>
      <c r="B281" s="330"/>
    </row>
    <row r="282" spans="1:2" ht="15">
      <c r="A282" s="9"/>
      <c r="B282" s="330"/>
    </row>
    <row r="283" spans="1:2" ht="15">
      <c r="A283" s="9"/>
      <c r="B283" s="330"/>
    </row>
    <row r="284" spans="1:2" ht="15">
      <c r="A284" s="9"/>
      <c r="B284" s="330"/>
    </row>
    <row r="285" spans="1:2" ht="15">
      <c r="A285" s="9"/>
      <c r="B285" s="330"/>
    </row>
    <row r="286" spans="1:2" ht="15">
      <c r="A286" s="9"/>
      <c r="B286" s="330"/>
    </row>
    <row r="287" spans="1:2" ht="15">
      <c r="A287" s="9"/>
      <c r="B287" s="330"/>
    </row>
    <row r="288" spans="1:2" ht="15">
      <c r="A288" s="9"/>
      <c r="B288" s="330"/>
    </row>
    <row r="289" spans="1:2" ht="15">
      <c r="A289" s="9"/>
      <c r="B289" s="330"/>
    </row>
    <row r="290" spans="1:2" ht="15">
      <c r="A290" s="9"/>
      <c r="B290" s="330"/>
    </row>
    <row r="291" spans="1:2" ht="15">
      <c r="A291" s="9"/>
      <c r="B291" s="330"/>
    </row>
    <row r="292" spans="1:2" ht="15">
      <c r="A292" s="9"/>
      <c r="B292" s="330"/>
    </row>
    <row r="293" spans="1:2" ht="15">
      <c r="A293" s="9"/>
      <c r="B293" s="330"/>
    </row>
    <row r="294" spans="1:2" ht="15">
      <c r="A294" s="9"/>
      <c r="B294" s="330"/>
    </row>
    <row r="295" spans="1:2" ht="15">
      <c r="A295" s="9"/>
      <c r="B295" s="330"/>
    </row>
    <row r="296" spans="1:2" ht="15">
      <c r="A296" s="9"/>
      <c r="B296" s="330"/>
    </row>
    <row r="297" spans="1:2" ht="15">
      <c r="A297" s="9"/>
      <c r="B297" s="330"/>
    </row>
    <row r="298" spans="1:2" ht="15">
      <c r="A298" s="9"/>
      <c r="B298" s="330"/>
    </row>
    <row r="299" spans="1:2" ht="15">
      <c r="A299" s="9"/>
      <c r="B299" s="330"/>
    </row>
    <row r="300" spans="1:2" ht="15">
      <c r="A300" s="9"/>
      <c r="B300" s="330"/>
    </row>
    <row r="301" spans="1:2" ht="15">
      <c r="A301" s="9"/>
      <c r="B301" s="330"/>
    </row>
    <row r="302" spans="1:2" ht="15">
      <c r="A302" s="9"/>
      <c r="B302" s="330"/>
    </row>
    <row r="303" spans="1:2" ht="15">
      <c r="A303" s="9"/>
      <c r="B303" s="330"/>
    </row>
    <row r="304" spans="1:2" ht="15">
      <c r="A304" s="9"/>
      <c r="B304" s="330"/>
    </row>
    <row r="305" spans="1:2" ht="15">
      <c r="A305" s="9"/>
      <c r="B305" s="330"/>
    </row>
    <row r="306" spans="1:2" ht="15">
      <c r="A306" s="9"/>
      <c r="B306" s="330"/>
    </row>
    <row r="307" spans="1:2" ht="15">
      <c r="A307" s="9"/>
      <c r="B307" s="330"/>
    </row>
    <row r="308" spans="1:2" ht="15">
      <c r="A308" s="9"/>
      <c r="B308" s="330"/>
    </row>
    <row r="309" spans="1:2" ht="15">
      <c r="A309" s="9"/>
      <c r="B309" s="330"/>
    </row>
    <row r="310" spans="1:2" ht="15">
      <c r="A310" s="9"/>
      <c r="B310" s="330"/>
    </row>
    <row r="311" spans="1:2" ht="15">
      <c r="A311" s="9"/>
      <c r="B311" s="330"/>
    </row>
    <row r="312" spans="1:2" ht="15">
      <c r="A312" s="9"/>
      <c r="B312" s="330"/>
    </row>
    <row r="313" spans="1:2" ht="15">
      <c r="A313" s="9"/>
      <c r="B313" s="330"/>
    </row>
    <row r="314" spans="1:2" ht="15">
      <c r="A314" s="9"/>
      <c r="B314" s="330"/>
    </row>
    <row r="315" spans="1:2" ht="15">
      <c r="A315" s="9"/>
      <c r="B315" s="330"/>
    </row>
    <row r="316" spans="1:2" ht="15">
      <c r="A316" s="9"/>
      <c r="B316" s="330"/>
    </row>
    <row r="317" spans="1:2" ht="15">
      <c r="A317" s="9"/>
      <c r="B317" s="330"/>
    </row>
    <row r="318" spans="1:2" ht="15">
      <c r="A318" s="9"/>
      <c r="B318" s="330"/>
    </row>
    <row r="319" spans="1:2" ht="15">
      <c r="A319" s="9"/>
      <c r="B319" s="330"/>
    </row>
    <row r="320" spans="1:2" ht="15">
      <c r="A320" s="9"/>
      <c r="B320" s="330"/>
    </row>
    <row r="321" spans="1:2" ht="15">
      <c r="A321" s="9"/>
      <c r="B321" s="330"/>
    </row>
    <row r="322" spans="1:2" ht="15">
      <c r="A322" s="9"/>
      <c r="B322" s="330"/>
    </row>
    <row r="323" spans="1:2" ht="15">
      <c r="A323" s="9"/>
      <c r="B323" s="330"/>
    </row>
    <row r="324" spans="1:2" ht="15">
      <c r="A324" s="9"/>
      <c r="B324" s="330"/>
    </row>
    <row r="325" spans="1:2" ht="15">
      <c r="A325" s="9"/>
      <c r="B325" s="330"/>
    </row>
    <row r="326" spans="1:2" ht="15">
      <c r="A326" s="9"/>
      <c r="B326" s="330"/>
    </row>
    <row r="327" spans="1:2" ht="15">
      <c r="A327" s="9"/>
      <c r="B327" s="330"/>
    </row>
    <row r="328" spans="1:2" ht="15">
      <c r="A328" s="9"/>
      <c r="B328" s="330"/>
    </row>
    <row r="329" spans="1:2" ht="15">
      <c r="A329" s="9"/>
      <c r="B329" s="330"/>
    </row>
    <row r="330" spans="1:2" ht="15">
      <c r="A330" s="9"/>
      <c r="B330" s="330"/>
    </row>
    <row r="331" spans="1:2" ht="15">
      <c r="A331" s="9"/>
      <c r="B331" s="330"/>
    </row>
  </sheetData>
  <sheetProtection/>
  <mergeCells count="37">
    <mergeCell ref="A215:B215"/>
    <mergeCell ref="A203:B203"/>
    <mergeCell ref="A204:B204"/>
    <mergeCell ref="A208:B208"/>
    <mergeCell ref="A209:B209"/>
    <mergeCell ref="A186:B186"/>
    <mergeCell ref="A187:B187"/>
    <mergeCell ref="A199:B199"/>
    <mergeCell ref="A200:B200"/>
    <mergeCell ref="A175:B175"/>
    <mergeCell ref="A176:B176"/>
    <mergeCell ref="A154:B154"/>
    <mergeCell ref="A153:B153"/>
    <mergeCell ref="A73:B73"/>
    <mergeCell ref="A134:B134"/>
    <mergeCell ref="A145:B145"/>
    <mergeCell ref="A74:B74"/>
    <mergeCell ref="A87:B87"/>
    <mergeCell ref="A88:B88"/>
    <mergeCell ref="A113:B113"/>
    <mergeCell ref="A114:B114"/>
    <mergeCell ref="A218:B218"/>
    <mergeCell ref="A1:B1"/>
    <mergeCell ref="A2:B2"/>
    <mergeCell ref="A25:B25"/>
    <mergeCell ref="A26:B26"/>
    <mergeCell ref="A68:B68"/>
    <mergeCell ref="A44:B44"/>
    <mergeCell ref="A3:B3"/>
    <mergeCell ref="A4:B4"/>
    <mergeCell ref="A6:B6"/>
    <mergeCell ref="A32:B32"/>
    <mergeCell ref="A33:B33"/>
    <mergeCell ref="A45:B45"/>
    <mergeCell ref="A69:B69"/>
    <mergeCell ref="A146:B146"/>
    <mergeCell ref="A135:B135"/>
  </mergeCells>
  <printOptions/>
  <pageMargins left="0.7480314960629921" right="0.7480314960629921" top="0.984251968503937" bottom="0.7874015748031497" header="0.5118110236220472" footer="0.5118110236220472"/>
  <pageSetup fitToHeight="4" horizontalDpi="355" verticalDpi="355" orientation="portrait" scale="81" r:id="rId1"/>
  <headerFooter alignWithMargins="0"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8"/>
  <sheetViews>
    <sheetView showGridLines="0" zoomScalePageLayoutView="0" workbookViewId="0" topLeftCell="A1">
      <selection activeCell="E12" sqref="E12"/>
    </sheetView>
  </sheetViews>
  <sheetFormatPr defaultColWidth="9.140625" defaultRowHeight="12.75"/>
  <cols>
    <col min="1" max="1" width="73.28125" style="24" customWidth="1"/>
    <col min="2" max="2" width="20.8515625" style="326" customWidth="1"/>
  </cols>
  <sheetData>
    <row r="1" spans="1:2" ht="12.75">
      <c r="A1" s="614" t="str">
        <f>'Trial Balance'!A1:J1</f>
        <v>Woodstock Hydro Services Inc.</v>
      </c>
      <c r="B1" s="614"/>
    </row>
    <row r="2" spans="1:2" ht="12.75">
      <c r="A2" s="614" t="str">
        <f>'Trial Balance'!A2:J2</f>
        <v>, License Number ED-2003-0011, File Number EB-2010-0145</v>
      </c>
      <c r="B2" s="614"/>
    </row>
    <row r="3" spans="1:2" ht="15">
      <c r="A3" s="637" t="str">
        <f>Notes!B4</f>
        <v>Woodstock Hydro Services Inc.</v>
      </c>
      <c r="B3" s="637"/>
    </row>
    <row r="4" spans="1:2" ht="15">
      <c r="A4" s="637" t="s">
        <v>167</v>
      </c>
      <c r="B4" s="637"/>
    </row>
    <row r="5" spans="1:2" ht="15" customHeight="1">
      <c r="A5" s="59" t="s">
        <v>530</v>
      </c>
      <c r="B5" s="316" t="s">
        <v>154</v>
      </c>
    </row>
    <row r="6" spans="1:2" s="18" customFormat="1" ht="15" customHeight="1">
      <c r="A6" s="638" t="s">
        <v>149</v>
      </c>
      <c r="B6" s="638"/>
    </row>
    <row r="7" spans="1:2" ht="15" customHeight="1">
      <c r="A7" s="25" t="str">
        <f>'Trial Balance'!A8&amp;"-"&amp;'Trial Balance'!B8</f>
        <v>1005-Cash</v>
      </c>
      <c r="B7" s="317">
        <f>'Trial Balance'!H8</f>
        <v>4260906.91</v>
      </c>
    </row>
    <row r="8" spans="1:2" ht="15" customHeight="1">
      <c r="A8" s="25" t="str">
        <f>'Trial Balance'!A9&amp;"-"&amp;'Trial Balance'!B9</f>
        <v>1010-Cash Advances and Working Funds</v>
      </c>
      <c r="B8" s="317">
        <f>'Trial Balance'!H9</f>
        <v>450</v>
      </c>
    </row>
    <row r="9" spans="1:2" ht="15" customHeight="1">
      <c r="A9" s="25" t="str">
        <f>'Trial Balance'!A10&amp;"-"&amp;'Trial Balance'!B10</f>
        <v>1020-Interest Special Deposits</v>
      </c>
      <c r="B9" s="317">
        <f>'Trial Balance'!H10</f>
        <v>0</v>
      </c>
    </row>
    <row r="10" spans="1:2" ht="15" customHeight="1">
      <c r="A10" s="25" t="str">
        <f>'Trial Balance'!A11&amp;"-"&amp;'Trial Balance'!B11</f>
        <v>1030-Dividend Special Deposits</v>
      </c>
      <c r="B10" s="317">
        <f>'Trial Balance'!H11</f>
        <v>0</v>
      </c>
    </row>
    <row r="11" spans="1:2" ht="15" customHeight="1">
      <c r="A11" s="25" t="str">
        <f>'Trial Balance'!A12&amp;"-"&amp;'Trial Balance'!B12</f>
        <v>1040-Other Special Deposits</v>
      </c>
      <c r="B11" s="317">
        <f>'Trial Balance'!H12</f>
        <v>0</v>
      </c>
    </row>
    <row r="12" spans="1:2" ht="15" customHeight="1">
      <c r="A12" s="25" t="str">
        <f>'Trial Balance'!A13&amp;"-"&amp;'Trial Balance'!B13</f>
        <v>1060-Term Deposits</v>
      </c>
      <c r="B12" s="317">
        <f>'Trial Balance'!H13</f>
        <v>0</v>
      </c>
    </row>
    <row r="13" spans="1:2" ht="15" customHeight="1">
      <c r="A13" s="25" t="str">
        <f>'Trial Balance'!A14&amp;"-"&amp;'Trial Balance'!B14</f>
        <v>1070-Current Investments</v>
      </c>
      <c r="B13" s="317">
        <f>'Trial Balance'!H14</f>
        <v>50437.39</v>
      </c>
    </row>
    <row r="14" spans="1:2" ht="15" customHeight="1">
      <c r="A14" s="25" t="str">
        <f>'Trial Balance'!A15&amp;"-"&amp;'Trial Balance'!B15</f>
        <v>1100-Customer Accounts Receivable</v>
      </c>
      <c r="B14" s="317">
        <f>'Trial Balance'!H15</f>
        <v>3177504.57</v>
      </c>
    </row>
    <row r="15" spans="1:2" ht="15" customHeight="1">
      <c r="A15" s="25" t="str">
        <f>'Trial Balance'!A16&amp;"-"&amp;'Trial Balance'!B16</f>
        <v>1102-Accounts Receivable - Services</v>
      </c>
      <c r="B15" s="317">
        <f>'Trial Balance'!H16</f>
        <v>43647.39</v>
      </c>
    </row>
    <row r="16" spans="1:2" ht="15" customHeight="1">
      <c r="A16" s="25" t="str">
        <f>'Trial Balance'!A17&amp;"-"&amp;'Trial Balance'!B17</f>
        <v>1104-Accounts Receivable - Recoverable Work</v>
      </c>
      <c r="B16" s="317">
        <f>'Trial Balance'!H17</f>
        <v>287000.71</v>
      </c>
    </row>
    <row r="17" spans="1:2" ht="15" customHeight="1">
      <c r="A17" s="25" t="str">
        <f>'Trial Balance'!A18&amp;"-"&amp;'Trial Balance'!B18</f>
        <v>1105-Accounts Receivable - Merchandise, Jobbing, etc.</v>
      </c>
      <c r="B17" s="317">
        <f>'Trial Balance'!H18</f>
        <v>0</v>
      </c>
    </row>
    <row r="18" spans="1:2" ht="15" customHeight="1">
      <c r="A18" s="25" t="str">
        <f>'Trial Balance'!A19&amp;"-"&amp;'Trial Balance'!B19</f>
        <v>1110-Other Accounts Receivable</v>
      </c>
      <c r="B18" s="317">
        <f>'Trial Balance'!H19</f>
        <v>56847.35</v>
      </c>
    </row>
    <row r="19" spans="1:2" ht="15" customHeight="1">
      <c r="A19" s="25" t="str">
        <f>'Trial Balance'!A20&amp;"-"&amp;'Trial Balance'!B20</f>
        <v>1120-Accrued Utility Revenues</v>
      </c>
      <c r="B19" s="317">
        <f>'Trial Balance'!H20</f>
        <v>2977159.51</v>
      </c>
    </row>
    <row r="20" spans="1:2" ht="15" customHeight="1">
      <c r="A20" s="25" t="str">
        <f>'Trial Balance'!A21&amp;"-"&amp;'Trial Balance'!B21</f>
        <v>1130-Accumulated Provision for Uncollectable Accounts -- Credit</v>
      </c>
      <c r="B20" s="317">
        <f>'Trial Balance'!H21</f>
        <v>-35918.57</v>
      </c>
    </row>
    <row r="21" spans="1:2" ht="15" customHeight="1">
      <c r="A21" s="25" t="str">
        <f>'Trial Balance'!A22&amp;"-"&amp;'Trial Balance'!B22</f>
        <v>1140-Interest and Dividends Receivable</v>
      </c>
      <c r="B21" s="317">
        <f>'Trial Balance'!H22</f>
        <v>0</v>
      </c>
    </row>
    <row r="22" spans="1:2" ht="15" customHeight="1">
      <c r="A22" s="25" t="str">
        <f>'Trial Balance'!A23&amp;"-"&amp;'Trial Balance'!B23</f>
        <v>1150-Rents Receivable</v>
      </c>
      <c r="B22" s="317">
        <f>'Trial Balance'!H23</f>
        <v>11130.3</v>
      </c>
    </row>
    <row r="23" spans="1:2" ht="15" customHeight="1">
      <c r="A23" s="25" t="str">
        <f>'Trial Balance'!A24&amp;"-"&amp;'Trial Balance'!B24</f>
        <v>1170-Notes Receivable</v>
      </c>
      <c r="B23" s="317">
        <f>'Trial Balance'!H24</f>
        <v>0</v>
      </c>
    </row>
    <row r="24" spans="1:2" ht="15" customHeight="1">
      <c r="A24" s="25" t="str">
        <f>'Trial Balance'!A25&amp;"-"&amp;'Trial Balance'!B25</f>
        <v>1180-Prepayments</v>
      </c>
      <c r="B24" s="317">
        <f>'Trial Balance'!H25</f>
        <v>155149.76</v>
      </c>
    </row>
    <row r="25" spans="1:2" ht="15" customHeight="1">
      <c r="A25" s="25" t="str">
        <f>'Trial Balance'!A26&amp;"-"&amp;'Trial Balance'!B26</f>
        <v>1190-Miscellaneous Current and Accrued Assets</v>
      </c>
      <c r="B25" s="317">
        <f>'Trial Balance'!H26</f>
        <v>0</v>
      </c>
    </row>
    <row r="26" spans="1:2" ht="15" customHeight="1">
      <c r="A26" s="25" t="str">
        <f>'Trial Balance'!A27&amp;"-"&amp;'Trial Balance'!B27</f>
        <v>1200-Accounts Receivable from Associated Companies</v>
      </c>
      <c r="B26" s="317">
        <f>'Trial Balance'!H27</f>
        <v>25.45</v>
      </c>
    </row>
    <row r="27" spans="1:2" ht="15" customHeight="1" thickBot="1">
      <c r="A27" s="25" t="str">
        <f>'Trial Balance'!A28&amp;"-"&amp;'Trial Balance'!B28</f>
        <v>1210-Notes  Receivable from Associated Companies</v>
      </c>
      <c r="B27" s="317">
        <f>'Trial Balance'!H28</f>
        <v>0</v>
      </c>
    </row>
    <row r="28" spans="1:2" ht="15" customHeight="1" thickBot="1">
      <c r="A28" s="26" t="s">
        <v>150</v>
      </c>
      <c r="B28" s="318">
        <f>SUM(B7:B27)</f>
        <v>10984340.769999998</v>
      </c>
    </row>
    <row r="29" spans="1:2" s="18" customFormat="1" ht="8.25" customHeight="1">
      <c r="A29" s="646"/>
      <c r="B29" s="646"/>
    </row>
    <row r="30" spans="1:2" s="18" customFormat="1" ht="15" customHeight="1">
      <c r="A30" s="645" t="s">
        <v>151</v>
      </c>
      <c r="B30" s="645"/>
    </row>
    <row r="31" spans="1:2" ht="15" customHeight="1">
      <c r="A31" s="25" t="str">
        <f>'Trial Balance'!A30&amp;"-"&amp;'Trial Balance'!B30</f>
        <v>1305-Fuel Stock</v>
      </c>
      <c r="B31" s="317">
        <f>'Trial Balance'!H30</f>
        <v>0</v>
      </c>
    </row>
    <row r="32" spans="1:2" ht="15" customHeight="1">
      <c r="A32" s="25" t="str">
        <f>'Trial Balance'!A31&amp;"-"&amp;'Trial Balance'!B31</f>
        <v>1330-Plant Materials and Operating Supplies</v>
      </c>
      <c r="B32" s="317">
        <f>'Trial Balance'!H31</f>
        <v>911186.49</v>
      </c>
    </row>
    <row r="33" spans="1:2" ht="15" customHeight="1">
      <c r="A33" s="25" t="str">
        <f>'Trial Balance'!A32&amp;"-"&amp;'Trial Balance'!B32</f>
        <v>1340-Merchandise</v>
      </c>
      <c r="B33" s="317">
        <f>'Trial Balance'!H32</f>
        <v>0</v>
      </c>
    </row>
    <row r="34" spans="1:2" ht="15" customHeight="1" thickBot="1">
      <c r="A34" s="25" t="str">
        <f>'Trial Balance'!A33&amp;"-"&amp;'Trial Balance'!B33</f>
        <v>1350-Other Material and Supplies</v>
      </c>
      <c r="B34" s="317">
        <f>'Trial Balance'!H33</f>
        <v>0</v>
      </c>
    </row>
    <row r="35" spans="1:2" ht="15" customHeight="1" thickBot="1">
      <c r="A35" s="27" t="s">
        <v>103</v>
      </c>
      <c r="B35" s="318">
        <f>SUM(B31:B34)</f>
        <v>911186.49</v>
      </c>
    </row>
    <row r="36" spans="1:2" s="18" customFormat="1" ht="15" customHeight="1">
      <c r="A36" s="22"/>
      <c r="B36" s="319"/>
    </row>
    <row r="37" spans="1:2" s="18" customFormat="1" ht="15" customHeight="1">
      <c r="A37" s="645" t="s">
        <v>104</v>
      </c>
      <c r="B37" s="645"/>
    </row>
    <row r="38" spans="1:2" ht="15" customHeight="1">
      <c r="A38" s="25" t="str">
        <f>'Trial Balance'!A35&amp;"-"&amp;'Trial Balance'!B35</f>
        <v>1405-Long Term Investments in Non-Associated Companies</v>
      </c>
      <c r="B38" s="317">
        <f>'Trial Balance'!H35</f>
        <v>0</v>
      </c>
    </row>
    <row r="39" spans="1:2" ht="15" customHeight="1">
      <c r="A39" s="25" t="str">
        <f>'Trial Balance'!A36&amp;"-"&amp;'Trial Balance'!B36</f>
        <v>1408-Long Term Receivable - Street Lighting Transfer</v>
      </c>
      <c r="B39" s="317">
        <f>'Trial Balance'!H36</f>
        <v>0</v>
      </c>
    </row>
    <row r="40" spans="1:2" ht="15" customHeight="1">
      <c r="A40" s="25" t="str">
        <f>'Trial Balance'!A37&amp;"-"&amp;'Trial Balance'!B37</f>
        <v>1410-Other Special or Collateral Funds</v>
      </c>
      <c r="B40" s="317">
        <f>'Trial Balance'!H37</f>
        <v>169500</v>
      </c>
    </row>
    <row r="41" spans="1:2" ht="15" customHeight="1">
      <c r="A41" s="25" t="str">
        <f>'Trial Balance'!A38&amp;"-"&amp;'Trial Balance'!B38</f>
        <v>1415-Sinking Funds</v>
      </c>
      <c r="B41" s="317">
        <f>'Trial Balance'!H38</f>
        <v>0</v>
      </c>
    </row>
    <row r="42" spans="1:2" ht="15" customHeight="1">
      <c r="A42" s="25" t="str">
        <f>'Trial Balance'!A39&amp;"-"&amp;'Trial Balance'!B39</f>
        <v>1425-Unamortized Debt Expense</v>
      </c>
      <c r="B42" s="317">
        <f>'Trial Balance'!H39</f>
        <v>0</v>
      </c>
    </row>
    <row r="43" spans="1:2" ht="15" customHeight="1">
      <c r="A43" s="25" t="str">
        <f>'Trial Balance'!A40&amp;"-"&amp;'Trial Balance'!B40</f>
        <v>1445-Unamortized Discount on Long-Term Debt--Debit</v>
      </c>
      <c r="B43" s="317">
        <f>'Trial Balance'!H40</f>
        <v>0</v>
      </c>
    </row>
    <row r="44" spans="1:2" ht="15" customHeight="1">
      <c r="A44" s="25" t="str">
        <f>'Trial Balance'!A41&amp;"-"&amp;'Trial Balance'!B41</f>
        <v>1455-Unamortized Deferred Foreign Currency Translation Gains and Losses</v>
      </c>
      <c r="B44" s="317">
        <f>'Trial Balance'!H41</f>
        <v>0</v>
      </c>
    </row>
    <row r="45" spans="1:2" ht="15" customHeight="1">
      <c r="A45" s="25" t="str">
        <f>'Trial Balance'!A42&amp;"-"&amp;'Trial Balance'!B42</f>
        <v>1460-Other Non-Current Assets</v>
      </c>
      <c r="B45" s="317">
        <f>'Trial Balance'!H42</f>
        <v>0</v>
      </c>
    </row>
    <row r="46" spans="1:2" ht="15" customHeight="1">
      <c r="A46" s="25" t="str">
        <f>'Trial Balance'!A43&amp;"-"&amp;'Trial Balance'!B43</f>
        <v>1465-O.M.E.R.S. Past Service Costs</v>
      </c>
      <c r="B46" s="317">
        <f>'Trial Balance'!H43</f>
        <v>0</v>
      </c>
    </row>
    <row r="47" spans="1:2" ht="15" customHeight="1">
      <c r="A47" s="25" t="str">
        <f>'Trial Balance'!A44&amp;"-"&amp;'Trial Balance'!B44</f>
        <v>1470-Past Service Costs - Employee Future Benefits</v>
      </c>
      <c r="B47" s="317">
        <f>'Trial Balance'!H44</f>
        <v>0</v>
      </c>
    </row>
    <row r="48" spans="1:2" ht="15" customHeight="1">
      <c r="A48" s="25" t="str">
        <f>'Trial Balance'!A45&amp;"-"&amp;'Trial Balance'!B45</f>
        <v>1475-Past Service Costs -Other Pension Plans</v>
      </c>
      <c r="B48" s="317">
        <f>'Trial Balance'!H45</f>
        <v>0</v>
      </c>
    </row>
    <row r="49" spans="1:2" ht="15" customHeight="1">
      <c r="A49" s="25" t="str">
        <f>'Trial Balance'!A46&amp;"-"&amp;'Trial Balance'!B46</f>
        <v>1480-Portfolio Investments - Associated Companies</v>
      </c>
      <c r="B49" s="317">
        <f>'Trial Balance'!H46</f>
        <v>0</v>
      </c>
    </row>
    <row r="50" spans="1:2" ht="15" customHeight="1">
      <c r="A50" s="25" t="str">
        <f>'Trial Balance'!A47&amp;"-"&amp;'Trial Balance'!B47</f>
        <v>1485-Investment In Subsidiary Companies - Significant Influence</v>
      </c>
      <c r="B50" s="317">
        <f>'Trial Balance'!H47</f>
        <v>0</v>
      </c>
    </row>
    <row r="51" spans="1:2" ht="15" customHeight="1" thickBot="1">
      <c r="A51" s="25" t="str">
        <f>'Trial Balance'!A48&amp;"-"&amp;'Trial Balance'!B48</f>
        <v>1490-Investment in Subsidiary Companies</v>
      </c>
      <c r="B51" s="317">
        <f>'Trial Balance'!H48</f>
        <v>0</v>
      </c>
    </row>
    <row r="52" spans="1:2" ht="15" customHeight="1" thickBot="1">
      <c r="A52" s="27" t="s">
        <v>105</v>
      </c>
      <c r="B52" s="318">
        <f>SUM(B38:B51)</f>
        <v>169500</v>
      </c>
    </row>
    <row r="53" spans="1:2" s="18" customFormat="1" ht="15" customHeight="1">
      <c r="A53" s="22"/>
      <c r="B53" s="319"/>
    </row>
    <row r="54" spans="1:2" s="18" customFormat="1" ht="15" customHeight="1">
      <c r="A54" s="645" t="s">
        <v>106</v>
      </c>
      <c r="B54" s="645"/>
    </row>
    <row r="55" spans="1:2" ht="15" customHeight="1">
      <c r="A55" s="25" t="str">
        <f>'Trial Balance'!A50&amp;"-"&amp;'Trial Balance'!B50</f>
        <v>1505-Unrecovered Plant and Regulatory Study Costs</v>
      </c>
      <c r="B55" s="317">
        <f>'Trial Balance'!H50</f>
        <v>0</v>
      </c>
    </row>
    <row r="56" spans="1:2" ht="15" customHeight="1">
      <c r="A56" s="25" t="str">
        <f>'Trial Balance'!A51&amp;"-"&amp;'Trial Balance'!B51</f>
        <v>1508-Other Regulatory Assets</v>
      </c>
      <c r="B56" s="317">
        <f>'Trial Balance'!H51</f>
        <v>249251.09</v>
      </c>
    </row>
    <row r="57" spans="1:2" ht="15" customHeight="1">
      <c r="A57" s="25" t="str">
        <f>'Trial Balance'!A52&amp;"-"&amp;'Trial Balance'!B52</f>
        <v>1510-Preliminary Survey and Investigation Charges</v>
      </c>
      <c r="B57" s="317">
        <f>'Trial Balance'!H52</f>
        <v>0</v>
      </c>
    </row>
    <row r="58" spans="1:2" ht="15" customHeight="1">
      <c r="A58" s="25" t="str">
        <f>'Trial Balance'!A53&amp;"-"&amp;'Trial Balance'!B53</f>
        <v>1515-Emission Allowance Inventory</v>
      </c>
      <c r="B58" s="317">
        <f>'Trial Balance'!H53</f>
        <v>0</v>
      </c>
    </row>
    <row r="59" spans="1:2" ht="15" customHeight="1">
      <c r="A59" s="25" t="str">
        <f>'Trial Balance'!A54&amp;"-"&amp;'Trial Balance'!B54</f>
        <v>1516-Emission Allowance Withheld</v>
      </c>
      <c r="B59" s="317">
        <f>'Trial Balance'!H54</f>
        <v>0</v>
      </c>
    </row>
    <row r="60" spans="1:2" ht="15" customHeight="1">
      <c r="A60" s="25" t="str">
        <f>'Trial Balance'!A55&amp;"-"&amp;'Trial Balance'!B55</f>
        <v>1518-RCVA Retail</v>
      </c>
      <c r="B60" s="317">
        <f>'Trial Balance'!H55</f>
        <v>0</v>
      </c>
    </row>
    <row r="61" spans="1:2" ht="15" customHeight="1">
      <c r="A61" s="25" t="str">
        <f>'Trial Balance'!A56&amp;"-"&amp;'Trial Balance'!B56</f>
        <v>1521- Special Purpose Charge Assessment</v>
      </c>
      <c r="B61" s="317">
        <f>'Trial Balance'!H56</f>
        <v>0</v>
      </c>
    </row>
    <row r="62" spans="1:2" ht="15" customHeight="1">
      <c r="A62" s="25" t="str">
        <f>'Trial Balance'!A57&amp;"-"&amp;'Trial Balance'!B57</f>
        <v>1522-  Late Payment  Settlement Recovery?</v>
      </c>
      <c r="B62" s="317">
        <f>'Trial Balance'!H57</f>
        <v>0</v>
      </c>
    </row>
    <row r="63" spans="1:2" ht="15" customHeight="1">
      <c r="A63" s="25" t="str">
        <f>'Trial Balance'!A58&amp;"-"&amp;'Trial Balance'!B58</f>
        <v>1525-Miscellaneous Deferred Debits</v>
      </c>
      <c r="B63" s="317">
        <f>'Trial Balance'!H58</f>
        <v>0</v>
      </c>
    </row>
    <row r="64" spans="1:2" ht="15" customHeight="1">
      <c r="A64" s="25" t="str">
        <f>'Trial Balance'!A59&amp;"-"&amp;'Trial Balance'!B59</f>
        <v>1530-Deferred Losses from Disposition of Utility Plant</v>
      </c>
      <c r="B64" s="317">
        <f>'Trial Balance'!H59</f>
        <v>0</v>
      </c>
    </row>
    <row r="65" spans="1:2" ht="15" customHeight="1">
      <c r="A65" s="25" t="str">
        <f>'Trial Balance'!A60&amp;"-"&amp;'Trial Balance'!B60</f>
        <v>1531-Renewable Connection Capital </v>
      </c>
      <c r="B65" s="317">
        <f>'Trial Balance'!H60</f>
        <v>0</v>
      </c>
    </row>
    <row r="66" spans="1:2" ht="15" customHeight="1">
      <c r="A66" s="25" t="str">
        <f>'Trial Balance'!A61&amp;"-"&amp;'Trial Balance'!B61</f>
        <v>1532-Renewable Connection OM&amp;A</v>
      </c>
      <c r="B66" s="317">
        <f>'Trial Balance'!H61</f>
        <v>0</v>
      </c>
    </row>
    <row r="67" spans="1:2" ht="15" customHeight="1">
      <c r="A67" s="25" t="str">
        <f>'Trial Balance'!A62&amp;"-"&amp;'Trial Balance'!B62</f>
        <v>1534-Smart Grid Capital</v>
      </c>
      <c r="B67" s="317">
        <f>'Trial Balance'!H62</f>
        <v>0</v>
      </c>
    </row>
    <row r="68" spans="1:2" ht="15" customHeight="1">
      <c r="A68" s="25" t="str">
        <f>'Trial Balance'!A63&amp;"-"&amp;'Trial Balance'!B63</f>
        <v>1535-Smart Grid OM&amp;A</v>
      </c>
      <c r="B68" s="317">
        <f>'Trial Balance'!H63</f>
        <v>0</v>
      </c>
    </row>
    <row r="69" spans="1:2" ht="15" customHeight="1">
      <c r="A69" s="25" t="str">
        <f>'Trial Balance'!A64&amp;"-"&amp;'Trial Balance'!B64</f>
        <v>1540-Deferred Losses from Disposition of Utility Plant</v>
      </c>
      <c r="B69" s="317">
        <f>'Trial Balance'!H64</f>
        <v>0</v>
      </c>
    </row>
    <row r="70" spans="1:2" ht="15" customHeight="1">
      <c r="A70" s="25" t="str">
        <f>'Trial Balance'!A65&amp;"-"&amp;'Trial Balance'!B65</f>
        <v>1545-Development Charge Deposits/ Receivables</v>
      </c>
      <c r="B70" s="317">
        <f>'Trial Balance'!H65</f>
        <v>0</v>
      </c>
    </row>
    <row r="71" spans="1:2" ht="15" customHeight="1">
      <c r="A71" s="25" t="str">
        <f>'Trial Balance'!A66&amp;"-"&amp;'Trial Balance'!B66</f>
        <v>1548-RCVA - Service Transaction Request (STR)</v>
      </c>
      <c r="B71" s="317">
        <f>'Trial Balance'!H66</f>
        <v>0</v>
      </c>
    </row>
    <row r="72" spans="1:2" ht="15" customHeight="1">
      <c r="A72" s="25" t="str">
        <f>'Trial Balance'!A67&amp;"-"&amp;'Trial Balance'!B67</f>
        <v>1550-LV Charges - Variance</v>
      </c>
      <c r="B72" s="317">
        <f>'Trial Balance'!H67</f>
        <v>0</v>
      </c>
    </row>
    <row r="73" spans="1:2" ht="15" customHeight="1">
      <c r="A73" s="25" t="str">
        <f>'Trial Balance'!A68&amp;"-"&amp;'Trial Balance'!B68</f>
        <v>1555-Smart Meters Recovery</v>
      </c>
      <c r="B73" s="317">
        <f>'Trial Balance'!H68</f>
        <v>-127117.95</v>
      </c>
    </row>
    <row r="74" spans="1:2" ht="15" customHeight="1">
      <c r="A74" s="25" t="str">
        <f>'Trial Balance'!A69&amp;"-"&amp;'Trial Balance'!B69</f>
        <v>1556-Smart Meters OM &amp; A</v>
      </c>
      <c r="B74" s="317">
        <f>'Trial Balance'!H69</f>
        <v>0</v>
      </c>
    </row>
    <row r="75" spans="1:2" ht="15" customHeight="1">
      <c r="A75" s="25" t="str">
        <f>'Trial Balance'!A70&amp;"-"&amp;'Trial Balance'!B70</f>
        <v>1562-Deferred PILs</v>
      </c>
      <c r="B75" s="317">
        <f>'Trial Balance'!H70</f>
        <v>302578.01</v>
      </c>
    </row>
    <row r="76" spans="1:2" ht="15" customHeight="1">
      <c r="A76" s="25" t="str">
        <f>'Trial Balance'!A71&amp;"-"&amp;'Trial Balance'!B71</f>
        <v>1563-Deferred PILs - Contra</v>
      </c>
      <c r="B76" s="317">
        <f>'Trial Balance'!H71</f>
        <v>0</v>
      </c>
    </row>
    <row r="77" spans="1:2" ht="15" customHeight="1">
      <c r="A77" s="25" t="str">
        <f>'Trial Balance'!A72&amp;"-"&amp;'Trial Balance'!B72</f>
        <v>1565-C &amp; DM Costs</v>
      </c>
      <c r="B77" s="317">
        <f>'Trial Balance'!H72</f>
        <v>0</v>
      </c>
    </row>
    <row r="78" spans="1:2" ht="15" customHeight="1">
      <c r="A78" s="25" t="str">
        <f>'Trial Balance'!A73&amp;"-"&amp;'Trial Balance'!B73</f>
        <v>1566-C &amp; DM Costs Contra</v>
      </c>
      <c r="B78" s="317">
        <f>'Trial Balance'!H73</f>
        <v>0</v>
      </c>
    </row>
    <row r="79" spans="1:2" ht="15" customHeight="1">
      <c r="A79" s="25" t="str">
        <f>'Trial Balance'!A74&amp;"-"&amp;'Trial Balance'!B74</f>
        <v>1570-Qualifying Transition Costs</v>
      </c>
      <c r="B79" s="317">
        <f>'Trial Balance'!H74</f>
        <v>0</v>
      </c>
    </row>
    <row r="80" spans="1:2" ht="15" customHeight="1">
      <c r="A80" s="25" t="str">
        <f>'Trial Balance'!A75&amp;"-"&amp;'Trial Balance'!B75</f>
        <v>1571-Pre Market CofP Variance</v>
      </c>
      <c r="B80" s="317">
        <f>'Trial Balance'!H75</f>
        <v>0</v>
      </c>
    </row>
    <row r="81" spans="1:2" ht="15" customHeight="1">
      <c r="A81" s="25" t="str">
        <f>'Trial Balance'!A76&amp;"-"&amp;'Trial Balance'!B76</f>
        <v>1572-Extraordinary Event Losses</v>
      </c>
      <c r="B81" s="317">
        <f>'Trial Balance'!H76</f>
        <v>0</v>
      </c>
    </row>
    <row r="82" spans="1:2" ht="15" customHeight="1">
      <c r="A82" s="25" t="str">
        <f>'Trial Balance'!A77&amp;"-"&amp;'Trial Balance'!B77</f>
        <v>1574-Deferred Rate Impact Amounts</v>
      </c>
      <c r="B82" s="317">
        <f>'Trial Balance'!H77</f>
        <v>0</v>
      </c>
    </row>
    <row r="83" spans="1:2" ht="15" customHeight="1">
      <c r="A83" s="25" t="str">
        <f>'Trial Balance'!A78&amp;"-"&amp;'Trial Balance'!B78</f>
        <v>1580-RSVA - Wholesale Market Services</v>
      </c>
      <c r="B83" s="317">
        <f>'Trial Balance'!H78</f>
        <v>-1167775.37</v>
      </c>
    </row>
    <row r="84" spans="1:2" ht="15" customHeight="1">
      <c r="A84" s="25" t="str">
        <f>'Trial Balance'!A79&amp;"-"&amp;'Trial Balance'!B79</f>
        <v>1582-RSVA - One-Time</v>
      </c>
      <c r="B84" s="317">
        <f>'Trial Balance'!H79</f>
        <v>140667.15</v>
      </c>
    </row>
    <row r="85" spans="1:2" ht="15" customHeight="1">
      <c r="A85" s="25" t="str">
        <f>'Trial Balance'!A80&amp;"-"&amp;'Trial Balance'!B80</f>
        <v>1584-RSVA - Network Charges</v>
      </c>
      <c r="B85" s="317">
        <f>'Trial Balance'!H80</f>
        <v>-261084.22</v>
      </c>
    </row>
    <row r="86" spans="1:2" ht="15" customHeight="1">
      <c r="A86" s="25" t="str">
        <f>'Trial Balance'!A81&amp;"-"&amp;'Trial Balance'!B81</f>
        <v>1586-RSVA - Connection Charges</v>
      </c>
      <c r="B86" s="317">
        <f>'Trial Balance'!H81</f>
        <v>8783.98</v>
      </c>
    </row>
    <row r="87" spans="1:2" ht="15" customHeight="1">
      <c r="A87" s="25" t="str">
        <f>'Trial Balance'!A82&amp;"-"&amp;'Trial Balance'!B82</f>
        <v>1588-RSVA - Commodity (Power)</v>
      </c>
      <c r="B87" s="317">
        <f>'Trial Balance'!H82</f>
        <v>-456455.05</v>
      </c>
    </row>
    <row r="88" spans="1:2" ht="15" customHeight="1">
      <c r="A88" s="25" t="str">
        <f>'Trial Balance'!A83&amp;"-"&amp;'Trial Balance'!B83</f>
        <v>1590-Recovery of Regulatory Assets (25% of 2002 bal.)</v>
      </c>
      <c r="B88" s="317">
        <f>'Trial Balance'!H83</f>
        <v>33955.45</v>
      </c>
    </row>
    <row r="89" spans="1:2" ht="15" customHeight="1">
      <c r="A89" s="25" t="str">
        <f>'Trial Balance'!A84&amp;"-"&amp;'Trial Balance'!B84</f>
        <v>1592-PILs and Tax Variance for 2006 &amp; Subsequent Years</v>
      </c>
      <c r="B89" s="317">
        <f>'Trial Balance'!H84</f>
        <v>0</v>
      </c>
    </row>
    <row r="90" spans="1:2" ht="15" customHeight="1" thickBot="1">
      <c r="A90" s="25" t="str">
        <f>'Trial Balance'!A85&amp;"-"&amp;'Trial Balance'!B85</f>
        <v>1595-Disposition and Recovery of Regulatory Balances</v>
      </c>
      <c r="B90" s="317">
        <f>'Trial Balance'!H85</f>
        <v>0</v>
      </c>
    </row>
    <row r="91" spans="1:2" ht="15" customHeight="1" thickBot="1">
      <c r="A91" s="27" t="s">
        <v>155</v>
      </c>
      <c r="B91" s="318">
        <f>SUM(B55:B90)</f>
        <v>-1277196.9100000001</v>
      </c>
    </row>
    <row r="92" spans="1:2" s="18" customFormat="1" ht="15" customHeight="1">
      <c r="A92" s="22"/>
      <c r="B92" s="319"/>
    </row>
    <row r="93" spans="1:2" s="18" customFormat="1" ht="15" customHeight="1">
      <c r="A93" s="645" t="s">
        <v>156</v>
      </c>
      <c r="B93" s="645"/>
    </row>
    <row r="94" spans="1:2" ht="15" customHeight="1">
      <c r="A94" s="25" t="str">
        <f>'Trial Balance'!A87&amp;"-"&amp;'Trial Balance'!B87</f>
        <v>1805-Land</v>
      </c>
      <c r="B94" s="317">
        <f>'Trial Balance'!H87</f>
        <v>21835.64</v>
      </c>
    </row>
    <row r="95" spans="1:2" ht="15" customHeight="1">
      <c r="A95" s="25" t="str">
        <f>'Trial Balance'!A88&amp;"-"&amp;'Trial Balance'!B88</f>
        <v>1806-Land Rights</v>
      </c>
      <c r="B95" s="317">
        <f>'Trial Balance'!H88</f>
        <v>0</v>
      </c>
    </row>
    <row r="96" spans="1:2" ht="15" customHeight="1">
      <c r="A96" s="25" t="str">
        <f>'Trial Balance'!A89&amp;"-"&amp;'Trial Balance'!B89</f>
        <v>1808-Buildings and Fixtures</v>
      </c>
      <c r="B96" s="317">
        <f>'Trial Balance'!H89</f>
        <v>190773.89</v>
      </c>
    </row>
    <row r="97" spans="1:2" ht="15" customHeight="1">
      <c r="A97" s="25" t="str">
        <f>'Trial Balance'!A90&amp;"-"&amp;'Trial Balance'!B90</f>
        <v>1810-Leasehold Improvements</v>
      </c>
      <c r="B97" s="317">
        <f>'Trial Balance'!H90</f>
        <v>0</v>
      </c>
    </row>
    <row r="98" spans="1:2" ht="15" customHeight="1">
      <c r="A98" s="25" t="str">
        <f>'Trial Balance'!A91&amp;"-"&amp;'Trial Balance'!B91</f>
        <v>1815-Transformer Station Equipment - Normally Primary above 50 kV</v>
      </c>
      <c r="B98" s="317">
        <f>'Trial Balance'!H91</f>
        <v>0</v>
      </c>
    </row>
    <row r="99" spans="1:2" ht="15" customHeight="1">
      <c r="A99" s="25" t="str">
        <f>'Trial Balance'!A92&amp;"-"&amp;'Trial Balance'!B92</f>
        <v>1820-Distribution Station Equipment - Normally Primary below 50 kV</v>
      </c>
      <c r="B99" s="317">
        <f>'Trial Balance'!H92</f>
        <v>622658.4400000001</v>
      </c>
    </row>
    <row r="100" spans="1:2" ht="15" customHeight="1">
      <c r="A100" s="25" t="str">
        <f>'Trial Balance'!A93&amp;"-"&amp;'Trial Balance'!B93</f>
        <v>1825-Storage Battery Equipment</v>
      </c>
      <c r="B100" s="317">
        <f>'Trial Balance'!H93</f>
        <v>0</v>
      </c>
    </row>
    <row r="101" spans="1:2" ht="15" customHeight="1">
      <c r="A101" s="25" t="str">
        <f>'Trial Balance'!A94&amp;"-"&amp;'Trial Balance'!B94</f>
        <v>1830-Poles, Towers and Fixtures</v>
      </c>
      <c r="B101" s="317">
        <f>'Trial Balance'!H94</f>
        <v>6693805.839999999</v>
      </c>
    </row>
    <row r="102" spans="1:2" ht="15" customHeight="1">
      <c r="A102" s="25" t="str">
        <f>'Trial Balance'!A95&amp;"-"&amp;'Trial Balance'!B95</f>
        <v>1835-Overhead Conductors and Devices</v>
      </c>
      <c r="B102" s="317">
        <f>'Trial Balance'!H95</f>
        <v>3395189.79</v>
      </c>
    </row>
    <row r="103" spans="1:2" ht="15" customHeight="1">
      <c r="A103" s="25" t="str">
        <f>'Trial Balance'!A96&amp;"-"&amp;'Trial Balance'!B96</f>
        <v>1840-Underground Conduit</v>
      </c>
      <c r="B103" s="317">
        <f>'Trial Balance'!H96</f>
        <v>3363961.4000000004</v>
      </c>
    </row>
    <row r="104" spans="1:2" ht="15" customHeight="1">
      <c r="A104" s="25" t="str">
        <f>'Trial Balance'!A97&amp;"-"&amp;'Trial Balance'!B97</f>
        <v>1845-Underground Conductors and Devices</v>
      </c>
      <c r="B104" s="317">
        <f>'Trial Balance'!H97</f>
        <v>4374744.319999999</v>
      </c>
    </row>
    <row r="105" spans="1:2" ht="15" customHeight="1">
      <c r="A105" s="25" t="str">
        <f>'Trial Balance'!A98&amp;"-"&amp;'Trial Balance'!B98</f>
        <v>1850-Line Transformers</v>
      </c>
      <c r="B105" s="317">
        <f>'Trial Balance'!H98</f>
        <v>6539152.609999999</v>
      </c>
    </row>
    <row r="106" spans="1:2" ht="15" customHeight="1">
      <c r="A106" s="25" t="str">
        <f>'Trial Balance'!A99&amp;"-"&amp;'Trial Balance'!B99</f>
        <v>1855-Services</v>
      </c>
      <c r="B106" s="317">
        <f>'Trial Balance'!H99</f>
        <v>2024039.28</v>
      </c>
    </row>
    <row r="107" spans="1:2" ht="15" customHeight="1">
      <c r="A107" s="25" t="str">
        <f>'Trial Balance'!A100&amp;"-"&amp;'Trial Balance'!B100</f>
        <v>1860-Meters</v>
      </c>
      <c r="B107" s="317">
        <f>'Trial Balance'!H100</f>
        <v>3981203.3099999996</v>
      </c>
    </row>
    <row r="108" spans="1:2" ht="15" customHeight="1" thickBot="1">
      <c r="A108" s="25" t="str">
        <f>'Trial Balance'!A101&amp;"-"&amp;'Trial Balance'!B101</f>
        <v>1865-Other Installations on Customer's Premises</v>
      </c>
      <c r="B108" s="317">
        <f>'Trial Balance'!H101</f>
        <v>0</v>
      </c>
    </row>
    <row r="109" spans="1:2" ht="15" customHeight="1" thickBot="1">
      <c r="A109" s="28" t="s">
        <v>80</v>
      </c>
      <c r="B109" s="318">
        <f>SUM(B94:B108)</f>
        <v>31207364.519999996</v>
      </c>
    </row>
    <row r="110" spans="1:2" s="18" customFormat="1" ht="15" customHeight="1">
      <c r="A110" s="21"/>
      <c r="B110" s="319"/>
    </row>
    <row r="111" spans="1:2" s="18" customFormat="1" ht="15" customHeight="1">
      <c r="A111" s="645" t="s">
        <v>81</v>
      </c>
      <c r="B111" s="645"/>
    </row>
    <row r="112" spans="1:2" ht="15" customHeight="1">
      <c r="A112" s="25" t="str">
        <f>'Trial Balance'!A102&amp;"-"&amp;'Trial Balance'!B102</f>
        <v>1905-Land</v>
      </c>
      <c r="B112" s="317">
        <f>'Trial Balance'!H102</f>
        <v>17529.54</v>
      </c>
    </row>
    <row r="113" spans="1:2" ht="15" customHeight="1">
      <c r="A113" s="25" t="str">
        <f>'Trial Balance'!A103&amp;"-"&amp;'Trial Balance'!B103</f>
        <v>1906-Land Rights</v>
      </c>
      <c r="B113" s="317">
        <f>'Trial Balance'!H103</f>
        <v>0</v>
      </c>
    </row>
    <row r="114" spans="1:2" ht="15" customHeight="1">
      <c r="A114" s="25" t="str">
        <f>'Trial Balance'!A104&amp;"-"&amp;'Trial Balance'!B104</f>
        <v>1908-Buildings and Fixtures</v>
      </c>
      <c r="B114" s="317">
        <f>'Trial Balance'!H104</f>
        <v>682952.87</v>
      </c>
    </row>
    <row r="115" spans="1:2" ht="15" customHeight="1">
      <c r="A115" s="25" t="str">
        <f>'Trial Balance'!A105&amp;"-"&amp;'Trial Balance'!B105</f>
        <v>1910-Leasehold Improvements</v>
      </c>
      <c r="B115" s="317">
        <f>'Trial Balance'!H105</f>
        <v>0</v>
      </c>
    </row>
    <row r="116" spans="1:2" ht="15" customHeight="1">
      <c r="A116" s="25" t="str">
        <f>'Trial Balance'!A106&amp;"-"&amp;'Trial Balance'!B106</f>
        <v>1915-Office Furniture and Equipment</v>
      </c>
      <c r="B116" s="317">
        <f>'Trial Balance'!H106</f>
        <v>188160.47</v>
      </c>
    </row>
    <row r="117" spans="1:2" ht="15" customHeight="1">
      <c r="A117" s="25" t="str">
        <f>'Trial Balance'!A107&amp;"-"&amp;'Trial Balance'!B107</f>
        <v>1920-Computer Equipment - Hardware</v>
      </c>
      <c r="B117" s="317">
        <f>'Trial Balance'!H107</f>
        <v>858509.6800000002</v>
      </c>
    </row>
    <row r="118" spans="1:2" ht="15" customHeight="1">
      <c r="A118" s="25" t="str">
        <f>'Trial Balance'!A108&amp;"-"&amp;'Trial Balance'!B108</f>
        <v>1925-Computer Software</v>
      </c>
      <c r="B118" s="317">
        <f>'Trial Balance'!H108</f>
        <v>1129458.1800000002</v>
      </c>
    </row>
    <row r="119" spans="1:2" ht="15" customHeight="1">
      <c r="A119" s="25" t="str">
        <f>'Trial Balance'!A109&amp;"-"&amp;'Trial Balance'!B109</f>
        <v>1930-Transportation Equipment</v>
      </c>
      <c r="B119" s="317">
        <f>'Trial Balance'!H109</f>
        <v>1301080.27</v>
      </c>
    </row>
    <row r="120" spans="1:2" ht="15" customHeight="1">
      <c r="A120" s="25" t="str">
        <f>'Trial Balance'!A110&amp;"-"&amp;'Trial Balance'!B110</f>
        <v>1935-Stores Equipment</v>
      </c>
      <c r="B120" s="317">
        <f>'Trial Balance'!H110</f>
        <v>43075.149999999994</v>
      </c>
    </row>
    <row r="121" spans="1:2" ht="15" customHeight="1">
      <c r="A121" s="25" t="str">
        <f>'Trial Balance'!A111&amp;"-"&amp;'Trial Balance'!B111</f>
        <v>1940-Tools, Shop and Garage Equipment</v>
      </c>
      <c r="B121" s="317">
        <f>'Trial Balance'!H111</f>
        <v>230896.78000000003</v>
      </c>
    </row>
    <row r="122" spans="1:2" ht="15" customHeight="1">
      <c r="A122" s="25" t="str">
        <f>'Trial Balance'!A112&amp;"-"&amp;'Trial Balance'!B112</f>
        <v>1945-Measurement and Testing Equipment</v>
      </c>
      <c r="B122" s="317">
        <f>'Trial Balance'!H112</f>
        <v>101085.25</v>
      </c>
    </row>
    <row r="123" spans="1:2" ht="15" customHeight="1">
      <c r="A123" s="25" t="str">
        <f>'Trial Balance'!A113&amp;"-"&amp;'Trial Balance'!B113</f>
        <v>1950-Power Operated Equipment</v>
      </c>
      <c r="B123" s="317">
        <f>'Trial Balance'!H113</f>
        <v>0</v>
      </c>
    </row>
    <row r="124" spans="1:2" ht="15" customHeight="1">
      <c r="A124" s="25" t="str">
        <f>'Trial Balance'!A114&amp;"-"&amp;'Trial Balance'!B114</f>
        <v>1955-Communication Equipment</v>
      </c>
      <c r="B124" s="317">
        <f>'Trial Balance'!H114</f>
        <v>22933.550000000003</v>
      </c>
    </row>
    <row r="125" spans="1:2" ht="15" customHeight="1">
      <c r="A125" s="25" t="str">
        <f>'Trial Balance'!A115&amp;"-"&amp;'Trial Balance'!B115</f>
        <v>1960-Miscellaneous Equipment</v>
      </c>
      <c r="B125" s="317">
        <f>'Trial Balance'!H115</f>
        <v>485.09</v>
      </c>
    </row>
    <row r="126" spans="1:2" ht="15" customHeight="1">
      <c r="A126" s="25" t="str">
        <f>'Trial Balance'!A116&amp;"-"&amp;'Trial Balance'!B116</f>
        <v>1970-Load Management Controls - Customer Premises </v>
      </c>
      <c r="B126" s="317">
        <f>'Trial Balance'!H116</f>
        <v>0</v>
      </c>
    </row>
    <row r="127" spans="1:2" ht="15" customHeight="1">
      <c r="A127" s="25" t="str">
        <f>'Trial Balance'!A117&amp;"-"&amp;'Trial Balance'!B117</f>
        <v>1975-Load Management Controls - Utility Premises</v>
      </c>
      <c r="B127" s="317">
        <f>'Trial Balance'!H117</f>
        <v>0</v>
      </c>
    </row>
    <row r="128" spans="1:2" ht="15" customHeight="1">
      <c r="A128" s="25" t="str">
        <f>'Trial Balance'!A118&amp;"-"&amp;'Trial Balance'!B118</f>
        <v>1980-System Supervisory Equipment</v>
      </c>
      <c r="B128" s="317">
        <f>'Trial Balance'!H118</f>
        <v>261877.29</v>
      </c>
    </row>
    <row r="129" spans="1:2" ht="15" customHeight="1">
      <c r="A129" s="25" t="str">
        <f>'Trial Balance'!A119&amp;"-"&amp;'Trial Balance'!B119</f>
        <v>1985-Sentinel Lighting Rentals</v>
      </c>
      <c r="B129" s="317">
        <f>'Trial Balance'!H119</f>
        <v>0</v>
      </c>
    </row>
    <row r="130" spans="1:2" ht="15" customHeight="1">
      <c r="A130" s="25" t="str">
        <f>'Trial Balance'!A120&amp;"-"&amp;'Trial Balance'!B120</f>
        <v>1990-Other Tangible Property</v>
      </c>
      <c r="B130" s="317">
        <f>'Trial Balance'!H120</f>
        <v>0</v>
      </c>
    </row>
    <row r="131" spans="1:2" s="372" customFormat="1" ht="15" customHeight="1">
      <c r="A131" s="25" t="str">
        <f>'Trial Balance'!A121&amp;"-"&amp;'Trial Balance'!B121</f>
        <v>1995-Contributions and Grants</v>
      </c>
      <c r="B131" s="317">
        <f>'Trial Balance'!H121</f>
        <v>-3171548.41</v>
      </c>
    </row>
    <row r="132" spans="1:2" ht="15" customHeight="1" thickBot="1">
      <c r="A132" s="25" t="str">
        <f>'Trial Balance'!A122&amp;"-"&amp;'Trial Balance'!B122</f>
        <v>1996-Contributions - Commerce Way TS</v>
      </c>
      <c r="B132" s="317">
        <f>'Trial Balance'!H122</f>
        <v>0</v>
      </c>
    </row>
    <row r="133" spans="1:2" ht="15" customHeight="1" thickBot="1">
      <c r="A133" s="28" t="s">
        <v>145</v>
      </c>
      <c r="B133" s="318">
        <f>SUM(B112:B132)</f>
        <v>1666495.71</v>
      </c>
    </row>
    <row r="134" spans="1:2" s="18" customFormat="1" ht="15" customHeight="1">
      <c r="A134" s="21"/>
      <c r="B134" s="319"/>
    </row>
    <row r="135" spans="1:2" s="18" customFormat="1" ht="15" customHeight="1">
      <c r="A135" s="645" t="s">
        <v>146</v>
      </c>
      <c r="B135" s="645"/>
    </row>
    <row r="136" spans="1:2" ht="15" customHeight="1">
      <c r="A136" s="25" t="str">
        <f>'Trial Balance'!A124&amp;"-"&amp;'Trial Balance'!B124</f>
        <v>2005-Property Under Capital Leases</v>
      </c>
      <c r="B136" s="317">
        <f>'Trial Balance'!H124</f>
        <v>0</v>
      </c>
    </row>
    <row r="137" spans="1:2" ht="15" customHeight="1">
      <c r="A137" s="25" t="str">
        <f>'Trial Balance'!A125&amp;"-"&amp;'Trial Balance'!B125</f>
        <v>2010-Electric Plant Purchased or Sold</v>
      </c>
      <c r="B137" s="317">
        <f>'Trial Balance'!H125</f>
        <v>0</v>
      </c>
    </row>
    <row r="138" spans="1:2" ht="15" customHeight="1">
      <c r="A138" s="25" t="str">
        <f>'Trial Balance'!A126&amp;"-"&amp;'Trial Balance'!B126</f>
        <v>2020-Experimental Electric Plant Unclassified</v>
      </c>
      <c r="B138" s="317">
        <f>'Trial Balance'!H126</f>
        <v>0</v>
      </c>
    </row>
    <row r="139" spans="1:2" ht="15" customHeight="1">
      <c r="A139" s="25" t="str">
        <f>'Trial Balance'!A127&amp;"-"&amp;'Trial Balance'!B127</f>
        <v>2030-Electric Plant and Equipment Leased to Others</v>
      </c>
      <c r="B139" s="317">
        <f>'Trial Balance'!H127</f>
        <v>0</v>
      </c>
    </row>
    <row r="140" spans="1:2" ht="15" customHeight="1">
      <c r="A140" s="25" t="str">
        <f>'Trial Balance'!A128&amp;"-"&amp;'Trial Balance'!B128</f>
        <v>2040-Electric Plant Held for Future Use</v>
      </c>
      <c r="B140" s="317">
        <f>'Trial Balance'!H128</f>
        <v>0</v>
      </c>
    </row>
    <row r="141" spans="1:2" ht="15" customHeight="1">
      <c r="A141" s="25" t="str">
        <f>'Trial Balance'!A129&amp;"-"&amp;'Trial Balance'!B129</f>
        <v>2050-Completed Construction Not Classified--Electric</v>
      </c>
      <c r="B141" s="317">
        <f>'Trial Balance'!H129</f>
        <v>0</v>
      </c>
    </row>
    <row r="142" spans="1:2" ht="15" customHeight="1">
      <c r="A142" s="25" t="str">
        <f>'Trial Balance'!A130&amp;"-"&amp;'Trial Balance'!B130</f>
        <v>2055-Construction Work in Progress--Electric</v>
      </c>
      <c r="B142" s="317">
        <f>'Trial Balance'!H130</f>
        <v>0</v>
      </c>
    </row>
    <row r="143" spans="1:2" ht="15" customHeight="1">
      <c r="A143" s="25" t="str">
        <f>'Trial Balance'!A131&amp;"-"&amp;'Trial Balance'!B131</f>
        <v>2060-Electric Plant Acquisition Adjustment</v>
      </c>
      <c r="B143" s="317">
        <f>'Trial Balance'!H131</f>
        <v>0</v>
      </c>
    </row>
    <row r="144" spans="1:2" ht="15" customHeight="1">
      <c r="A144" s="25" t="str">
        <f>'Trial Balance'!A132&amp;"-"&amp;'Trial Balance'!B132</f>
        <v>2065-Other Electric Plant Adjustment</v>
      </c>
      <c r="B144" s="317">
        <f>'Trial Balance'!H132</f>
        <v>0</v>
      </c>
    </row>
    <row r="145" spans="1:2" ht="15" customHeight="1">
      <c r="A145" s="25" t="str">
        <f>'Trial Balance'!A133&amp;"-"&amp;'Trial Balance'!B133</f>
        <v>2070-Other Utility Plant</v>
      </c>
      <c r="B145" s="317">
        <f>'Trial Balance'!H133</f>
        <v>0</v>
      </c>
    </row>
    <row r="146" spans="1:2" ht="15" customHeight="1" thickBot="1">
      <c r="A146" s="25" t="str">
        <f>'Trial Balance'!A134&amp;"-"&amp;'Trial Balance'!B134</f>
        <v>2075-Non-Utility Property Owned or Under Capital Lease</v>
      </c>
      <c r="B146" s="317">
        <f>'Trial Balance'!H134</f>
        <v>0</v>
      </c>
    </row>
    <row r="147" spans="1:2" ht="15" customHeight="1" thickBot="1">
      <c r="A147" s="28" t="s">
        <v>147</v>
      </c>
      <c r="B147" s="318">
        <f>SUM(B136:B146)</f>
        <v>0</v>
      </c>
    </row>
    <row r="148" spans="1:2" s="18" customFormat="1" ht="15" customHeight="1">
      <c r="A148" s="21"/>
      <c r="B148" s="319"/>
    </row>
    <row r="149" spans="1:2" s="18" customFormat="1" ht="15" customHeight="1">
      <c r="A149" s="645" t="s">
        <v>148</v>
      </c>
      <c r="B149" s="645"/>
    </row>
    <row r="150" spans="1:2" ht="15" customHeight="1">
      <c r="A150" s="25" t="str">
        <f>'Trial Balance'!A136&amp;"-"&amp;'Trial Balance'!B136</f>
        <v>2105-Accumulated Amortization of Electric Utility Plant - Property, Plant and Equipment</v>
      </c>
      <c r="B150" s="317">
        <f>'Trial Balance'!H136</f>
        <v>-13264769.549999999</v>
      </c>
    </row>
    <row r="151" spans="1:2" ht="15" customHeight="1">
      <c r="A151" s="25" t="str">
        <f>'Trial Balance'!A137&amp;"-"&amp;'Trial Balance'!B137</f>
        <v>2120-Accumulated Amortization of Electric Utility Plant - Intangibles</v>
      </c>
      <c r="B151" s="317">
        <f>'Trial Balance'!H137</f>
        <v>0</v>
      </c>
    </row>
    <row r="152" spans="1:2" ht="15" customHeight="1">
      <c r="A152" s="25" t="str">
        <f>'Trial Balance'!A138&amp;"-"&amp;'Trial Balance'!B138</f>
        <v>2140-Accumulated Amortization of Electric Plant Acquisition Adjustment</v>
      </c>
      <c r="B152" s="317">
        <f>'Trial Balance'!H138</f>
        <v>0</v>
      </c>
    </row>
    <row r="153" spans="1:2" ht="15" customHeight="1">
      <c r="A153" s="25" t="str">
        <f>'Trial Balance'!A139&amp;"-"&amp;'Trial Balance'!B139</f>
        <v>2160-Accumulated Amortization of Other Utility Plant</v>
      </c>
      <c r="B153" s="317">
        <f>'Trial Balance'!H139</f>
        <v>0</v>
      </c>
    </row>
    <row r="154" spans="1:2" ht="15" customHeight="1" thickBot="1">
      <c r="A154" s="25" t="str">
        <f>'Trial Balance'!A140&amp;"-"&amp;'Trial Balance'!B140</f>
        <v>2180-Accumulated Amortization of Non-Utility Property</v>
      </c>
      <c r="B154" s="317">
        <f>'Trial Balance'!H140</f>
        <v>0</v>
      </c>
    </row>
    <row r="155" spans="1:2" ht="15" customHeight="1" thickBot="1">
      <c r="A155" s="199" t="s">
        <v>152</v>
      </c>
      <c r="B155" s="320">
        <f>SUM(B150:B154)</f>
        <v>-13264769.549999999</v>
      </c>
    </row>
    <row r="156" spans="1:2" ht="15" customHeight="1" thickBot="1">
      <c r="A156" s="196"/>
      <c r="B156" s="319"/>
    </row>
    <row r="157" spans="1:2" ht="15" customHeight="1" thickBot="1">
      <c r="A157" s="197" t="s">
        <v>265</v>
      </c>
      <c r="B157" s="321">
        <f>B28+B35+B52+B91+B109+B133+B147+B155</f>
        <v>30396921.029999994</v>
      </c>
    </row>
    <row r="158" spans="1:2" s="18" customFormat="1" ht="15" customHeight="1">
      <c r="A158" s="22"/>
      <c r="B158" s="319"/>
    </row>
    <row r="159" spans="1:2" s="18" customFormat="1" ht="15" customHeight="1">
      <c r="A159" s="645" t="s">
        <v>153</v>
      </c>
      <c r="B159" s="645"/>
    </row>
    <row r="160" spans="1:2" ht="15" customHeight="1">
      <c r="A160" s="25" t="str">
        <f>'Trial Balance'!A142&amp;"-"&amp;'Trial Balance'!B142</f>
        <v>2205-Accounts Payable</v>
      </c>
      <c r="B160" s="317">
        <f>-'Trial Balance'!H142</f>
        <v>1234365.57</v>
      </c>
    </row>
    <row r="161" spans="1:2" ht="15" customHeight="1">
      <c r="A161" s="25" t="str">
        <f>'Trial Balance'!A143&amp;"-"&amp;'Trial Balance'!B143</f>
        <v>2208-Customer Credit Balances</v>
      </c>
      <c r="B161" s="317">
        <f>-'Trial Balance'!H143</f>
        <v>-128.42</v>
      </c>
    </row>
    <row r="162" spans="1:2" ht="15" customHeight="1">
      <c r="A162" s="25" t="str">
        <f>'Trial Balance'!A144&amp;"-"&amp;'Trial Balance'!B144</f>
        <v>2210-Current Portion of Customer Deposits </v>
      </c>
      <c r="B162" s="317">
        <f>-'Trial Balance'!H144</f>
        <v>311746.95</v>
      </c>
    </row>
    <row r="163" spans="1:2" ht="15" customHeight="1">
      <c r="A163" s="25" t="str">
        <f>'Trial Balance'!A145&amp;"-"&amp;'Trial Balance'!B145</f>
        <v>2215-Dividends Declared</v>
      </c>
      <c r="B163" s="317">
        <f>-'Trial Balance'!H145</f>
        <v>0</v>
      </c>
    </row>
    <row r="164" spans="1:2" ht="15" customHeight="1">
      <c r="A164" s="25" t="str">
        <f>'Trial Balance'!A146&amp;"-"&amp;'Trial Balance'!B146</f>
        <v>2220-Miscellaneous Current and Accrued Liabilities</v>
      </c>
      <c r="B164" s="317">
        <f>-'Trial Balance'!H146</f>
        <v>1191216.88</v>
      </c>
    </row>
    <row r="165" spans="1:2" ht="15" customHeight="1">
      <c r="A165" s="25" t="str">
        <f>'Trial Balance'!A147&amp;"-"&amp;'Trial Balance'!B147</f>
        <v>2225-Notes and Loans Payable</v>
      </c>
      <c r="B165" s="317">
        <f>-'Trial Balance'!H147</f>
        <v>0</v>
      </c>
    </row>
    <row r="166" spans="1:2" ht="15" customHeight="1">
      <c r="A166" s="25" t="str">
        <f>'Trial Balance'!A148&amp;"-"&amp;'Trial Balance'!B148</f>
        <v>2240-Accounts Payable to Associated Companies</v>
      </c>
      <c r="B166" s="317">
        <f>-'Trial Balance'!H148</f>
        <v>0</v>
      </c>
    </row>
    <row r="167" spans="1:2" ht="15" customHeight="1">
      <c r="A167" s="25" t="str">
        <f>'Trial Balance'!A149&amp;"-"&amp;'Trial Balance'!B149</f>
        <v>2242-Notes Payable to Associated Companies</v>
      </c>
      <c r="B167" s="317">
        <f>-'Trial Balance'!H149</f>
        <v>0</v>
      </c>
    </row>
    <row r="168" spans="1:2" ht="15" customHeight="1">
      <c r="A168" s="25" t="str">
        <f>'Trial Balance'!A150&amp;"-"&amp;'Trial Balance'!B150</f>
        <v>2250-Debt Retirement  Charges (DRC) Payable</v>
      </c>
      <c r="B168" s="317">
        <f>-'Trial Balance'!H150</f>
        <v>208364.03</v>
      </c>
    </row>
    <row r="169" spans="1:2" ht="15" customHeight="1">
      <c r="A169" s="25" t="str">
        <f>'Trial Balance'!A151&amp;"-"&amp;'Trial Balance'!B151</f>
        <v>2252-Transmission Charges Payable</v>
      </c>
      <c r="B169" s="317">
        <f>-'Trial Balance'!H151</f>
        <v>0</v>
      </c>
    </row>
    <row r="170" spans="1:2" ht="15" customHeight="1">
      <c r="A170" s="25" t="str">
        <f>'Trial Balance'!A152&amp;"-"&amp;'Trial Balance'!B152</f>
        <v>2254-Electric Safety Authority Fees Payable</v>
      </c>
      <c r="B170" s="317">
        <f>-'Trial Balance'!H152</f>
        <v>0</v>
      </c>
    </row>
    <row r="171" spans="1:2" ht="15" customHeight="1">
      <c r="A171" s="25" t="str">
        <f>'Trial Balance'!A153&amp;"-"&amp;'Trial Balance'!B153</f>
        <v>2256-Independent Market Operator Fees and Penalties Payable</v>
      </c>
      <c r="B171" s="317">
        <f>-'Trial Balance'!H153</f>
        <v>2694232.35</v>
      </c>
    </row>
    <row r="172" spans="1:2" ht="15" customHeight="1">
      <c r="A172" s="25" t="str">
        <f>'Trial Balance'!A154&amp;"-"&amp;'Trial Balance'!B154</f>
        <v>2260-Current Portion of Long Term Debt</v>
      </c>
      <c r="B172" s="317">
        <f>-'Trial Balance'!H154</f>
        <v>0</v>
      </c>
    </row>
    <row r="173" spans="1:2" ht="15" customHeight="1">
      <c r="A173" s="25" t="str">
        <f>'Trial Balance'!A155&amp;"-"&amp;'Trial Balance'!B155</f>
        <v>2262-Ontario Hydro Debt - Current Portion</v>
      </c>
      <c r="B173" s="317">
        <f>-'Trial Balance'!H155</f>
        <v>0</v>
      </c>
    </row>
    <row r="174" spans="1:2" ht="15" customHeight="1">
      <c r="A174" s="25" t="str">
        <f>'Trial Balance'!A156&amp;"-"&amp;'Trial Balance'!B156</f>
        <v>2264-Pensions and Employee Benefits - Current Portion</v>
      </c>
      <c r="B174" s="317">
        <f>-'Trial Balance'!H156</f>
        <v>0</v>
      </c>
    </row>
    <row r="175" spans="1:2" ht="15" customHeight="1">
      <c r="A175" s="25" t="str">
        <f>'Trial Balance'!A157&amp;"-"&amp;'Trial Balance'!B157</f>
        <v>2268-Accrued Interest on Long Term Debt</v>
      </c>
      <c r="B175" s="317">
        <f>-'Trial Balance'!H157</f>
        <v>0</v>
      </c>
    </row>
    <row r="176" spans="1:2" ht="15" customHeight="1">
      <c r="A176" s="25" t="str">
        <f>'Trial Balance'!A158&amp;"-"&amp;'Trial Balance'!B158</f>
        <v>2270-Matured Long Term Debt</v>
      </c>
      <c r="B176" s="317">
        <f>-'Trial Balance'!H158</f>
        <v>0</v>
      </c>
    </row>
    <row r="177" spans="1:2" ht="15" customHeight="1">
      <c r="A177" s="25" t="str">
        <f>'Trial Balance'!A159&amp;"-"&amp;'Trial Balance'!B159</f>
        <v>2272-Matured Interest on Long Term Debt</v>
      </c>
      <c r="B177" s="317">
        <f>-'Trial Balance'!H159</f>
        <v>0</v>
      </c>
    </row>
    <row r="178" spans="1:2" ht="15" customHeight="1">
      <c r="A178" s="25" t="str">
        <f>'Trial Balance'!A160&amp;"-"&amp;'Trial Balance'!B160</f>
        <v>2285-Obligations Under Capital Leases--Current</v>
      </c>
      <c r="B178" s="317">
        <f>-'Trial Balance'!H160</f>
        <v>0</v>
      </c>
    </row>
    <row r="179" spans="1:2" ht="15" customHeight="1">
      <c r="A179" s="25" t="str">
        <f>'Trial Balance'!A161&amp;"-"&amp;'Trial Balance'!B161</f>
        <v>2290-Commodity Taxes</v>
      </c>
      <c r="B179" s="317">
        <f>-'Trial Balance'!H161</f>
        <v>53196</v>
      </c>
    </row>
    <row r="180" spans="1:2" ht="15" customHeight="1">
      <c r="A180" s="25" t="str">
        <f>'Trial Balance'!A162&amp;"-"&amp;'Trial Balance'!B162</f>
        <v>2292-Payroll Deductions / Expenses Payable</v>
      </c>
      <c r="B180" s="317">
        <f>-'Trial Balance'!H162</f>
        <v>25898.1</v>
      </c>
    </row>
    <row r="181" spans="1:2" ht="15" customHeight="1">
      <c r="A181" s="25" t="str">
        <f>'Trial Balance'!A163&amp;"-"&amp;'Trial Balance'!B163</f>
        <v>2294-Accrual for Taxes, "Payments in Lieu" of Taxes, Etc.</v>
      </c>
      <c r="B181" s="317">
        <f>-'Trial Balance'!H163</f>
        <v>-264557.69</v>
      </c>
    </row>
    <row r="182" spans="1:2" ht="15" customHeight="1" thickBot="1">
      <c r="A182" s="25" t="str">
        <f>'Trial Balance'!A164&amp;"-"&amp;'Trial Balance'!B164</f>
        <v>2296-Future Income Taxes - Current</v>
      </c>
      <c r="B182" s="317">
        <f>-'Trial Balance'!H164</f>
        <v>0</v>
      </c>
    </row>
    <row r="183" spans="1:2" ht="15" customHeight="1" thickBot="1">
      <c r="A183" s="28" t="s">
        <v>526</v>
      </c>
      <c r="B183" s="318">
        <f>SUM(B160:B182)</f>
        <v>5454333.769999999</v>
      </c>
    </row>
    <row r="184" spans="1:2" s="18" customFormat="1" ht="15" customHeight="1">
      <c r="A184" s="21"/>
      <c r="B184" s="319"/>
    </row>
    <row r="185" spans="1:2" s="18" customFormat="1" ht="15" customHeight="1">
      <c r="A185" s="645" t="s">
        <v>527</v>
      </c>
      <c r="B185" s="645"/>
    </row>
    <row r="186" spans="1:2" ht="15" customHeight="1">
      <c r="A186" s="25" t="str">
        <f>'Trial Balance'!A166&amp;"-"&amp;'Trial Balance'!B166</f>
        <v>2305-Accumulated Provision for Injuries and Damages</v>
      </c>
      <c r="B186" s="317">
        <f>-'Trial Balance'!H166</f>
        <v>0</v>
      </c>
    </row>
    <row r="187" spans="1:2" ht="15" customHeight="1">
      <c r="A187" s="25" t="str">
        <f>'Trial Balance'!A167&amp;"-"&amp;'Trial Balance'!B167</f>
        <v>2306-Employee Future Benefits</v>
      </c>
      <c r="B187" s="317">
        <f>-'Trial Balance'!H167</f>
        <v>0</v>
      </c>
    </row>
    <row r="188" spans="1:2" ht="15" customHeight="1">
      <c r="A188" s="25" t="str">
        <f>'Trial Balance'!A168&amp;"-"&amp;'Trial Balance'!B168</f>
        <v>2308-Other Pensions - Past Service Liability</v>
      </c>
      <c r="B188" s="317">
        <f>-'Trial Balance'!H168</f>
        <v>0</v>
      </c>
    </row>
    <row r="189" spans="1:2" ht="15" customHeight="1">
      <c r="A189" s="25" t="str">
        <f>'Trial Balance'!A169&amp;"-"&amp;'Trial Balance'!B169</f>
        <v>2310-Vested Sick Leave Liability</v>
      </c>
      <c r="B189" s="317">
        <f>-'Trial Balance'!H169</f>
        <v>121588.7</v>
      </c>
    </row>
    <row r="190" spans="1:2" ht="15" customHeight="1">
      <c r="A190" s="25" t="str">
        <f>'Trial Balance'!A170&amp;"-"&amp;'Trial Balance'!B170</f>
        <v>2315-Accumulated Provision for Rate Refunds</v>
      </c>
      <c r="B190" s="317">
        <f>-'Trial Balance'!H170</f>
        <v>0</v>
      </c>
    </row>
    <row r="191" spans="1:2" ht="15" customHeight="1">
      <c r="A191" s="25" t="str">
        <f>'Trial Balance'!A171&amp;"-"&amp;'Trial Balance'!B171</f>
        <v>2320-Other Miscellaneous Non-Current Liabilities</v>
      </c>
      <c r="B191" s="317">
        <f>-'Trial Balance'!H171</f>
        <v>0</v>
      </c>
    </row>
    <row r="192" spans="1:2" ht="15" customHeight="1">
      <c r="A192" s="25" t="str">
        <f>'Trial Balance'!A172&amp;"-"&amp;'Trial Balance'!B172</f>
        <v>2325-Obligations Under Capital Lease--Non-Current</v>
      </c>
      <c r="B192" s="317">
        <f>-'Trial Balance'!H172</f>
        <v>0</v>
      </c>
    </row>
    <row r="193" spans="1:2" ht="15" customHeight="1">
      <c r="A193" s="25" t="str">
        <f>'Trial Balance'!A173&amp;"-"&amp;'Trial Balance'!B173</f>
        <v>2330-Devolpment Charge Fund</v>
      </c>
      <c r="B193" s="317">
        <f>-'Trial Balance'!H173</f>
        <v>0</v>
      </c>
    </row>
    <row r="194" spans="1:2" ht="15" customHeight="1">
      <c r="A194" s="25" t="str">
        <f>'Trial Balance'!A174&amp;"-"&amp;'Trial Balance'!B174</f>
        <v>2335-Long Term Customer Deposits</v>
      </c>
      <c r="B194" s="317">
        <f>-'Trial Balance'!H174</f>
        <v>663870.82</v>
      </c>
    </row>
    <row r="195" spans="1:2" ht="15" customHeight="1">
      <c r="A195" s="25" t="str">
        <f>'Trial Balance'!A175&amp;"-"&amp;'Trial Balance'!B175</f>
        <v>2340-Collateral Funds Liability</v>
      </c>
      <c r="B195" s="317">
        <f>-'Trial Balance'!H175</f>
        <v>0</v>
      </c>
    </row>
    <row r="196" spans="1:2" ht="15" customHeight="1">
      <c r="A196" s="25" t="str">
        <f>'Trial Balance'!A176&amp;"-"&amp;'Trial Balance'!B176</f>
        <v>2345-Unamortized Premium on Long Term Debt</v>
      </c>
      <c r="B196" s="317">
        <f>-'Trial Balance'!H176</f>
        <v>0</v>
      </c>
    </row>
    <row r="197" spans="1:2" ht="15" customHeight="1">
      <c r="A197" s="25" t="str">
        <f>'Trial Balance'!A177&amp;"-"&amp;'Trial Balance'!B177</f>
        <v>2348-O.M.E.R.S. - Past Service Liability - Long Term Portion</v>
      </c>
      <c r="B197" s="317">
        <f>-'Trial Balance'!H177</f>
        <v>0</v>
      </c>
    </row>
    <row r="198" spans="1:2" ht="15" customHeight="1">
      <c r="A198" s="25" t="str">
        <f>'Trial Balance'!A178&amp;"-"&amp;'Trial Balance'!B178</f>
        <v>2350-Future Income Tax - Non-Current</v>
      </c>
      <c r="B198" s="317">
        <f>-'Trial Balance'!H178</f>
        <v>-1894440.36</v>
      </c>
    </row>
    <row r="199" spans="1:2" ht="15" customHeight="1">
      <c r="A199" s="25" t="str">
        <f>'Trial Balance'!A180&amp;"-"&amp;'Trial Balance'!B180</f>
        <v>2405-Other Regulatory Liabilities</v>
      </c>
      <c r="B199" s="317">
        <f>-'Trial Balance'!H180</f>
        <v>0</v>
      </c>
    </row>
    <row r="200" spans="1:2" ht="15" customHeight="1">
      <c r="A200" s="25" t="str">
        <f>'Trial Balance'!A181&amp;"-"&amp;'Trial Balance'!B181</f>
        <v>2410-Deferred Gains From Disposition of Utility Plant</v>
      </c>
      <c r="B200" s="317">
        <f>-'Trial Balance'!H181</f>
        <v>0</v>
      </c>
    </row>
    <row r="201" spans="1:2" ht="15" customHeight="1">
      <c r="A201" s="25" t="str">
        <f>'Trial Balance'!A182&amp;"-"&amp;'Trial Balance'!B182</f>
        <v>2415-Unamortized Gain on Reacquired Debt</v>
      </c>
      <c r="B201" s="317">
        <f>-'Trial Balance'!H182</f>
        <v>0</v>
      </c>
    </row>
    <row r="202" spans="1:2" ht="15" customHeight="1">
      <c r="A202" s="25" t="str">
        <f>'Trial Balance'!A183&amp;"-"&amp;'Trial Balance'!B183</f>
        <v>2425-Other Deferred Credits</v>
      </c>
      <c r="B202" s="317">
        <f>-'Trial Balance'!H183</f>
        <v>500622.32</v>
      </c>
    </row>
    <row r="203" spans="1:2" ht="15" customHeight="1" thickBot="1">
      <c r="A203" s="25" t="str">
        <f>'Trial Balance'!A184&amp;"-"&amp;'Trial Balance'!B184</f>
        <v>2435-Accrued Rate-Payer Benefit</v>
      </c>
      <c r="B203" s="317">
        <f>-'Trial Balance'!H184</f>
        <v>0</v>
      </c>
    </row>
    <row r="204" spans="1:2" ht="15" customHeight="1" thickBot="1">
      <c r="A204" s="28" t="s">
        <v>157</v>
      </c>
      <c r="B204" s="318">
        <f>SUM(B186:B203)</f>
        <v>-608358.5200000003</v>
      </c>
    </row>
    <row r="205" spans="1:2" s="18" customFormat="1" ht="15" customHeight="1">
      <c r="A205" s="21"/>
      <c r="B205" s="319"/>
    </row>
    <row r="206" spans="1:2" s="18" customFormat="1" ht="15" customHeight="1">
      <c r="A206" s="645" t="s">
        <v>158</v>
      </c>
      <c r="B206" s="645"/>
    </row>
    <row r="207" spans="1:2" s="18" customFormat="1" ht="15" customHeight="1">
      <c r="A207" s="25" t="str">
        <f>'Trial Balance'!A186&amp;"-"&amp;'Trial Balance'!B186</f>
        <v>2505-Debentures Outstanding - Long Term Portion</v>
      </c>
      <c r="B207" s="317">
        <f>-'Trial Balance'!H186</f>
        <v>0</v>
      </c>
    </row>
    <row r="208" spans="1:2" s="18" customFormat="1" ht="15" customHeight="1">
      <c r="A208" s="25" t="str">
        <f>'Trial Balance'!A187&amp;"-"&amp;'Trial Balance'!B187</f>
        <v>2510-Debenture Advances</v>
      </c>
      <c r="B208" s="317">
        <f>-'Trial Balance'!H187</f>
        <v>0</v>
      </c>
    </row>
    <row r="209" spans="1:2" s="18" customFormat="1" ht="15" customHeight="1">
      <c r="A209" s="25" t="str">
        <f>'Trial Balance'!A188&amp;"-"&amp;'Trial Balance'!B188</f>
        <v>2515-Required Bonds</v>
      </c>
      <c r="B209" s="317">
        <f>-'Trial Balance'!H188</f>
        <v>0</v>
      </c>
    </row>
    <row r="210" spans="1:2" s="18" customFormat="1" ht="15" customHeight="1">
      <c r="A210" s="25" t="str">
        <f>'Trial Balance'!A189&amp;"-"&amp;'Trial Balance'!B189</f>
        <v>2520-Other Long Term Debt</v>
      </c>
      <c r="B210" s="317">
        <f>-'Trial Balance'!H189</f>
        <v>10941862</v>
      </c>
    </row>
    <row r="211" spans="1:2" s="18" customFormat="1" ht="15" customHeight="1">
      <c r="A211" s="25" t="str">
        <f>'Trial Balance'!A190&amp;"-"&amp;'Trial Balance'!B190</f>
        <v>2525-Term Bank Loans - Long Term Portion</v>
      </c>
      <c r="B211" s="317">
        <f>-'Trial Balance'!H190</f>
        <v>0</v>
      </c>
    </row>
    <row r="212" spans="1:2" s="18" customFormat="1" ht="15" customHeight="1">
      <c r="A212" s="25" t="str">
        <f>'Trial Balance'!A191&amp;"-"&amp;'Trial Balance'!B191</f>
        <v>2530-Ontario Hydro Debt Outstanding - Long Term Portion</v>
      </c>
      <c r="B212" s="317">
        <f>-'Trial Balance'!H191</f>
        <v>0</v>
      </c>
    </row>
    <row r="213" spans="1:2" ht="15" customHeight="1" thickBot="1">
      <c r="A213" s="25" t="str">
        <f>'Trial Balance'!A192&amp;"-"&amp;'Trial Balance'!B192</f>
        <v>2550-Advances from Associated Companies</v>
      </c>
      <c r="B213" s="317">
        <f>-'Trial Balance'!H192</f>
        <v>0</v>
      </c>
    </row>
    <row r="214" spans="1:2" ht="15" customHeight="1" thickBot="1">
      <c r="A214" s="28" t="s">
        <v>159</v>
      </c>
      <c r="B214" s="318">
        <f>SUM(B207:B213)</f>
        <v>10941862</v>
      </c>
    </row>
    <row r="215" spans="1:2" s="18" customFormat="1" ht="15" customHeight="1">
      <c r="A215" s="21"/>
      <c r="B215" s="319"/>
    </row>
    <row r="216" spans="1:2" s="18" customFormat="1" ht="15" customHeight="1">
      <c r="A216" s="645" t="s">
        <v>160</v>
      </c>
      <c r="B216" s="645"/>
    </row>
    <row r="217" spans="1:2" ht="15" customHeight="1">
      <c r="A217" s="25" t="str">
        <f>'Trial Balance'!A194&amp;"-"&amp;'Trial Balance'!B194</f>
        <v>3005-Common Shares Issued</v>
      </c>
      <c r="B217" s="317">
        <f>-'Trial Balance'!H194</f>
        <v>10941862.09</v>
      </c>
    </row>
    <row r="218" spans="1:2" ht="15" customHeight="1">
      <c r="A218" s="25" t="str">
        <f>'Trial Balance'!A195&amp;"-"&amp;'Trial Balance'!B195</f>
        <v>3008-Preference Shares Issued</v>
      </c>
      <c r="B218" s="317">
        <f>-'Trial Balance'!H195</f>
        <v>0</v>
      </c>
    </row>
    <row r="219" spans="1:2" ht="15" customHeight="1">
      <c r="A219" s="25" t="str">
        <f>'Trial Balance'!A196&amp;"-"&amp;'Trial Balance'!B196</f>
        <v>3010-Contributed Surplus</v>
      </c>
      <c r="B219" s="317">
        <f>-'Trial Balance'!H196</f>
        <v>0</v>
      </c>
    </row>
    <row r="220" spans="1:2" ht="15" customHeight="1">
      <c r="A220" s="25" t="str">
        <f>'Trial Balance'!A197&amp;"-"&amp;'Trial Balance'!B197</f>
        <v>3020-Donations Received</v>
      </c>
      <c r="B220" s="317">
        <f>-'Trial Balance'!H197</f>
        <v>0</v>
      </c>
    </row>
    <row r="221" spans="1:2" ht="15" customHeight="1">
      <c r="A221" s="25" t="str">
        <f>'Trial Balance'!A198&amp;"-"&amp;'Trial Balance'!B198</f>
        <v>3022-Devolpment Charges Transferred to Equity</v>
      </c>
      <c r="B221" s="317">
        <f>-'Trial Balance'!H198</f>
        <v>0</v>
      </c>
    </row>
    <row r="222" spans="1:2" ht="15" customHeight="1">
      <c r="A222" s="25" t="str">
        <f>'Trial Balance'!A199&amp;"-"&amp;'Trial Balance'!B199</f>
        <v>3026-Capital Stock Held in Treasury</v>
      </c>
      <c r="B222" s="317">
        <f>-'Trial Balance'!H199</f>
        <v>0</v>
      </c>
    </row>
    <row r="223" spans="1:2" ht="15" customHeight="1">
      <c r="A223" s="25" t="str">
        <f>'Trial Balance'!A200&amp;"-"&amp;'Trial Balance'!B200</f>
        <v>3030-Miscellaneous Paid-In Capital</v>
      </c>
      <c r="B223" s="317">
        <f>-'Trial Balance'!H200</f>
        <v>0</v>
      </c>
    </row>
    <row r="224" spans="1:2" ht="15" customHeight="1">
      <c r="A224" s="25" t="str">
        <f>'Trial Balance'!A201&amp;"-"&amp;'Trial Balance'!B201</f>
        <v>3035-Installments Received on Capital Stock</v>
      </c>
      <c r="B224" s="317">
        <f>-'Trial Balance'!H201</f>
        <v>0</v>
      </c>
    </row>
    <row r="225" spans="1:2" ht="15" customHeight="1">
      <c r="A225" s="25" t="str">
        <f>'Trial Balance'!A202&amp;"-"&amp;'Trial Balance'!B202</f>
        <v>3040-Appropriated Retained Earnings</v>
      </c>
      <c r="B225" s="317">
        <f>-'Trial Balance'!H202</f>
        <v>0</v>
      </c>
    </row>
    <row r="226" spans="1:2" ht="15" customHeight="1">
      <c r="A226" s="25" t="str">
        <f>'Trial Balance'!A203&amp;"-"&amp;'Trial Balance'!B203</f>
        <v>3045-Unappropriated Retained Earnings</v>
      </c>
      <c r="B226" s="317">
        <f>-'Trial Balance'!H203</f>
        <v>3058469.15</v>
      </c>
    </row>
    <row r="227" spans="1:2" ht="15" customHeight="1">
      <c r="A227" s="25" t="s">
        <v>548</v>
      </c>
      <c r="B227" s="322">
        <f>-'2008 Income Statement'!B216</f>
        <v>898752.9600000072</v>
      </c>
    </row>
    <row r="228" spans="1:2" ht="15" customHeight="1">
      <c r="A228" s="25" t="str">
        <f>'Trial Balance'!A205&amp;"-"&amp;'Trial Balance'!B205</f>
        <v>3047-Appropriations of Retained Earnings - Current Period</v>
      </c>
      <c r="B228" s="317">
        <f>-'Trial Balance'!H205</f>
        <v>0</v>
      </c>
    </row>
    <row r="229" spans="1:2" ht="15" customHeight="1">
      <c r="A229" s="25" t="str">
        <f>'Trial Balance'!A206&amp;"-"&amp;'Trial Balance'!B206</f>
        <v>3048-Dividends Payable-Preference Shares</v>
      </c>
      <c r="B229" s="317">
        <f>-'Trial Balance'!H206</f>
        <v>0</v>
      </c>
    </row>
    <row r="230" spans="1:2" ht="15" customHeight="1">
      <c r="A230" s="25" t="str">
        <f>'Trial Balance'!A207&amp;"-"&amp;'Trial Balance'!B207</f>
        <v>3049-Dividends Payable-Common Shares</v>
      </c>
      <c r="B230" s="317">
        <f>-'Trial Balance'!H207</f>
        <v>-290000</v>
      </c>
    </row>
    <row r="231" spans="1:2" ht="15" customHeight="1">
      <c r="A231" s="25" t="str">
        <f>'Trial Balance'!A208&amp;"-"&amp;'Trial Balance'!B208</f>
        <v>3055-Adjustment to Retained Earnings                 </v>
      </c>
      <c r="B231" s="317">
        <f>-'Trial Balance'!H208</f>
        <v>0</v>
      </c>
    </row>
    <row r="232" spans="1:2" ht="15" customHeight="1" thickBot="1">
      <c r="A232" s="25" t="str">
        <f>'Trial Balance'!A209&amp;"-"&amp;'Trial Balance'!B209</f>
        <v>3065-Unappropriated Undistributed Subsidiary Earnings</v>
      </c>
      <c r="B232" s="317">
        <f>-'Trial Balance'!H209</f>
        <v>0</v>
      </c>
    </row>
    <row r="233" spans="1:2" ht="15" customHeight="1" thickBot="1">
      <c r="A233" s="26" t="s">
        <v>549</v>
      </c>
      <c r="B233" s="318">
        <f>SUM(B217:B232)</f>
        <v>14609084.200000007</v>
      </c>
    </row>
    <row r="234" spans="1:2" s="10" customFormat="1" ht="15" customHeight="1">
      <c r="A234" s="22"/>
      <c r="B234" s="319"/>
    </row>
    <row r="235" spans="1:2" s="10" customFormat="1" ht="15" customHeight="1">
      <c r="A235" s="198" t="s">
        <v>274</v>
      </c>
      <c r="B235" s="323">
        <f>B183+B204+B214+B233</f>
        <v>30396921.450000003</v>
      </c>
    </row>
    <row r="236" spans="1:2" s="10" customFormat="1" ht="15" customHeight="1" thickBot="1">
      <c r="A236" s="22"/>
      <c r="B236" s="319"/>
    </row>
    <row r="237" spans="1:2" ht="15" customHeight="1" thickBot="1">
      <c r="A237" s="29" t="s">
        <v>273</v>
      </c>
      <c r="B237" s="324">
        <f>B157-B235</f>
        <v>-0.42000000923871994</v>
      </c>
    </row>
    <row r="238" spans="1:2" ht="15">
      <c r="A238" s="23"/>
      <c r="B238" s="325"/>
    </row>
    <row r="239" spans="1:2" ht="13.5">
      <c r="A239" s="635" t="s">
        <v>905</v>
      </c>
      <c r="B239" s="636"/>
    </row>
    <row r="240" spans="1:2" ht="12.75">
      <c r="A240" s="381" t="s">
        <v>912</v>
      </c>
      <c r="B240" s="382">
        <f>B237</f>
        <v>-0.42000000923871994</v>
      </c>
    </row>
    <row r="241" spans="1:2" s="378" customFormat="1" ht="12.75">
      <c r="A241" s="381" t="s">
        <v>906</v>
      </c>
      <c r="B241" s="382">
        <f>B227</f>
        <v>898752.9600000072</v>
      </c>
    </row>
    <row r="242" spans="1:2" s="378" customFormat="1" ht="12.75">
      <c r="A242" s="381" t="s">
        <v>913</v>
      </c>
      <c r="B242" s="382">
        <f>'2008 Income Statement'!B221</f>
        <v>-898336.9600000072</v>
      </c>
    </row>
    <row r="243" spans="1:2" ht="12.75">
      <c r="A243" s="383" t="s">
        <v>910</v>
      </c>
      <c r="B243" s="384">
        <v>16365.32</v>
      </c>
    </row>
    <row r="244" spans="1:2" ht="12.75">
      <c r="A244" s="383" t="s">
        <v>911</v>
      </c>
      <c r="B244" s="384">
        <v>-3390.15</v>
      </c>
    </row>
    <row r="245" spans="1:2" ht="12.75">
      <c r="A245" s="385"/>
      <c r="B245" s="386">
        <f>SUM(B240:B244)</f>
        <v>13390.749999990761</v>
      </c>
    </row>
    <row r="246" spans="1:2" ht="15">
      <c r="A246" s="23"/>
      <c r="B246" s="325"/>
    </row>
    <row r="247" spans="1:2" ht="15">
      <c r="A247" s="23"/>
      <c r="B247" s="325"/>
    </row>
    <row r="248" spans="1:2" ht="15">
      <c r="A248" s="23"/>
      <c r="B248" s="325"/>
    </row>
    <row r="249" spans="1:2" ht="15">
      <c r="A249" s="23"/>
      <c r="B249" s="325"/>
    </row>
    <row r="250" spans="1:2" ht="15">
      <c r="A250" s="23"/>
      <c r="B250" s="325"/>
    </row>
    <row r="251" spans="1:2" ht="15">
      <c r="A251" s="23"/>
      <c r="B251" s="325"/>
    </row>
    <row r="252" spans="1:2" ht="15">
      <c r="A252" s="23"/>
      <c r="B252" s="325"/>
    </row>
    <row r="253" spans="1:2" ht="15">
      <c r="A253" s="23"/>
      <c r="B253" s="325"/>
    </row>
    <row r="254" spans="1:2" ht="15">
      <c r="A254" s="23"/>
      <c r="B254" s="325"/>
    </row>
    <row r="255" spans="1:2" ht="15">
      <c r="A255" s="23"/>
      <c r="B255" s="325"/>
    </row>
    <row r="256" spans="1:2" ht="15">
      <c r="A256" s="23"/>
      <c r="B256" s="325"/>
    </row>
    <row r="257" spans="1:2" ht="15">
      <c r="A257" s="23"/>
      <c r="B257" s="325"/>
    </row>
    <row r="258" spans="1:2" ht="15">
      <c r="A258" s="23"/>
      <c r="B258" s="325"/>
    </row>
    <row r="259" spans="1:2" ht="15">
      <c r="A259" s="23"/>
      <c r="B259" s="325"/>
    </row>
    <row r="260" spans="1:2" ht="15">
      <c r="A260" s="23"/>
      <c r="B260" s="325"/>
    </row>
    <row r="261" spans="1:2" ht="15">
      <c r="A261" s="23"/>
      <c r="B261" s="325"/>
    </row>
    <row r="262" spans="1:2" ht="15">
      <c r="A262" s="23"/>
      <c r="B262" s="325"/>
    </row>
    <row r="263" spans="1:2" ht="15">
      <c r="A263" s="23"/>
      <c r="B263" s="325"/>
    </row>
    <row r="264" spans="1:2" ht="15">
      <c r="A264" s="23"/>
      <c r="B264" s="325"/>
    </row>
    <row r="265" spans="1:2" ht="15">
      <c r="A265" s="23"/>
      <c r="B265" s="325"/>
    </row>
    <row r="266" spans="1:2" ht="15">
      <c r="A266" s="23"/>
      <c r="B266" s="325"/>
    </row>
    <row r="267" spans="1:2" ht="15">
      <c r="A267" s="23"/>
      <c r="B267" s="325"/>
    </row>
    <row r="268" spans="1:2" ht="15">
      <c r="A268" s="23"/>
      <c r="B268" s="325"/>
    </row>
    <row r="269" spans="1:2" ht="15">
      <c r="A269" s="23"/>
      <c r="B269" s="325"/>
    </row>
    <row r="270" spans="1:2" ht="15">
      <c r="A270" s="23"/>
      <c r="B270" s="325"/>
    </row>
    <row r="271" spans="1:2" ht="15">
      <c r="A271" s="23"/>
      <c r="B271" s="325"/>
    </row>
    <row r="272" spans="1:2" ht="15">
      <c r="A272" s="23"/>
      <c r="B272" s="325"/>
    </row>
    <row r="273" spans="1:2" ht="15">
      <c r="A273" s="23"/>
      <c r="B273" s="325"/>
    </row>
    <row r="274" spans="1:2" ht="15">
      <c r="A274" s="23"/>
      <c r="B274" s="325"/>
    </row>
    <row r="275" spans="1:2" ht="15">
      <c r="A275" s="23"/>
      <c r="B275" s="325"/>
    </row>
    <row r="276" spans="1:2" ht="15">
      <c r="A276" s="23"/>
      <c r="B276" s="325"/>
    </row>
    <row r="277" spans="1:2" ht="15">
      <c r="A277" s="23"/>
      <c r="B277" s="325"/>
    </row>
    <row r="278" spans="1:2" ht="15">
      <c r="A278" s="23"/>
      <c r="B278" s="325"/>
    </row>
    <row r="279" spans="1:2" ht="15">
      <c r="A279" s="23"/>
      <c r="B279" s="325"/>
    </row>
    <row r="280" spans="1:2" ht="15">
      <c r="A280" s="23"/>
      <c r="B280" s="325"/>
    </row>
    <row r="281" spans="1:2" ht="15">
      <c r="A281" s="23"/>
      <c r="B281" s="325"/>
    </row>
    <row r="282" spans="1:2" ht="15">
      <c r="A282" s="23"/>
      <c r="B282" s="325"/>
    </row>
    <row r="283" spans="1:2" ht="15">
      <c r="A283" s="23"/>
      <c r="B283" s="325"/>
    </row>
    <row r="284" spans="1:2" ht="15">
      <c r="A284" s="23"/>
      <c r="B284" s="325"/>
    </row>
    <row r="285" spans="1:2" ht="15">
      <c r="A285" s="23"/>
      <c r="B285" s="325"/>
    </row>
    <row r="286" spans="1:2" ht="15">
      <c r="A286" s="23"/>
      <c r="B286" s="325"/>
    </row>
    <row r="287" spans="1:2" ht="15">
      <c r="A287" s="23"/>
      <c r="B287" s="325"/>
    </row>
    <row r="288" spans="1:2" ht="15">
      <c r="A288" s="23"/>
      <c r="B288" s="325"/>
    </row>
    <row r="289" spans="1:2" ht="15">
      <c r="A289" s="23"/>
      <c r="B289" s="325"/>
    </row>
    <row r="290" spans="1:2" ht="15">
      <c r="A290" s="23"/>
      <c r="B290" s="325"/>
    </row>
    <row r="291" spans="1:2" ht="15">
      <c r="A291" s="23"/>
      <c r="B291" s="325"/>
    </row>
    <row r="292" spans="1:2" ht="15">
      <c r="A292" s="23"/>
      <c r="B292" s="325"/>
    </row>
    <row r="293" spans="1:2" ht="15">
      <c r="A293" s="23"/>
      <c r="B293" s="325"/>
    </row>
    <row r="294" spans="1:2" ht="15">
      <c r="A294" s="23"/>
      <c r="B294" s="325"/>
    </row>
    <row r="295" spans="1:2" ht="15">
      <c r="A295" s="23"/>
      <c r="B295" s="325"/>
    </row>
    <row r="296" spans="1:2" ht="15">
      <c r="A296" s="23"/>
      <c r="B296" s="325"/>
    </row>
    <row r="297" spans="1:2" ht="15">
      <c r="A297" s="23"/>
      <c r="B297" s="325"/>
    </row>
    <row r="298" spans="1:2" ht="15">
      <c r="A298" s="23"/>
      <c r="B298" s="325"/>
    </row>
    <row r="299" spans="1:2" ht="15">
      <c r="A299" s="23"/>
      <c r="B299" s="325"/>
    </row>
    <row r="300" spans="1:2" ht="15">
      <c r="A300" s="23"/>
      <c r="B300" s="325"/>
    </row>
    <row r="301" spans="1:2" ht="15">
      <c r="A301" s="23"/>
      <c r="B301" s="325"/>
    </row>
    <row r="302" spans="1:2" ht="15">
      <c r="A302" s="23"/>
      <c r="B302" s="325"/>
    </row>
    <row r="303" spans="1:2" ht="15">
      <c r="A303" s="23"/>
      <c r="B303" s="325"/>
    </row>
    <row r="304" spans="1:2" ht="15">
      <c r="A304" s="23"/>
      <c r="B304" s="325"/>
    </row>
    <row r="305" spans="1:2" ht="15">
      <c r="A305" s="23"/>
      <c r="B305" s="325"/>
    </row>
    <row r="306" spans="1:2" ht="15">
      <c r="A306" s="23"/>
      <c r="B306" s="325"/>
    </row>
    <row r="307" spans="1:2" ht="15">
      <c r="A307" s="23"/>
      <c r="B307" s="325"/>
    </row>
    <row r="308" spans="1:2" ht="15">
      <c r="A308" s="23"/>
      <c r="B308" s="325"/>
    </row>
    <row r="309" spans="1:2" ht="15">
      <c r="A309" s="23"/>
      <c r="B309" s="325"/>
    </row>
    <row r="310" spans="1:2" ht="15">
      <c r="A310" s="23"/>
      <c r="B310" s="325"/>
    </row>
    <row r="311" spans="1:2" ht="15">
      <c r="A311" s="23"/>
      <c r="B311" s="325"/>
    </row>
    <row r="312" spans="1:2" ht="15">
      <c r="A312" s="23"/>
      <c r="B312" s="325"/>
    </row>
    <row r="313" spans="1:2" ht="15">
      <c r="A313" s="23"/>
      <c r="B313" s="325"/>
    </row>
    <row r="314" spans="1:2" ht="15">
      <c r="A314" s="23"/>
      <c r="B314" s="325"/>
    </row>
    <row r="315" spans="1:2" ht="15">
      <c r="A315" s="23"/>
      <c r="B315" s="325"/>
    </row>
    <row r="316" spans="1:2" ht="15">
      <c r="A316" s="23"/>
      <c r="B316" s="325"/>
    </row>
    <row r="317" spans="1:2" ht="15">
      <c r="A317" s="23"/>
      <c r="B317" s="325"/>
    </row>
    <row r="318" spans="1:2" ht="15">
      <c r="A318" s="23"/>
      <c r="B318" s="325"/>
    </row>
    <row r="319" spans="1:2" ht="15">
      <c r="A319" s="23"/>
      <c r="B319" s="325"/>
    </row>
    <row r="320" spans="1:2" ht="15">
      <c r="A320" s="23"/>
      <c r="B320" s="325"/>
    </row>
    <row r="321" spans="1:2" ht="15">
      <c r="A321" s="23"/>
      <c r="B321" s="325"/>
    </row>
    <row r="322" spans="1:2" ht="15">
      <c r="A322" s="23"/>
      <c r="B322" s="325"/>
    </row>
    <row r="323" spans="1:2" ht="15">
      <c r="A323" s="23"/>
      <c r="B323" s="325"/>
    </row>
    <row r="324" spans="1:2" ht="15">
      <c r="A324" s="23"/>
      <c r="B324" s="325"/>
    </row>
    <row r="325" spans="1:2" ht="15">
      <c r="A325" s="23"/>
      <c r="B325" s="325"/>
    </row>
    <row r="326" spans="1:2" ht="15">
      <c r="A326" s="23"/>
      <c r="B326" s="325"/>
    </row>
    <row r="327" spans="1:2" ht="15">
      <c r="A327" s="23"/>
      <c r="B327" s="325"/>
    </row>
    <row r="328" spans="1:2" ht="15">
      <c r="A328" s="23"/>
      <c r="B328" s="325"/>
    </row>
    <row r="329" spans="1:2" ht="15">
      <c r="A329" s="23"/>
      <c r="B329" s="325"/>
    </row>
    <row r="330" spans="1:2" ht="15">
      <c r="A330" s="23"/>
      <c r="B330" s="325"/>
    </row>
    <row r="331" spans="1:2" ht="15">
      <c r="A331" s="23"/>
      <c r="B331" s="325"/>
    </row>
    <row r="332" spans="1:2" ht="15">
      <c r="A332" s="23"/>
      <c r="B332" s="325"/>
    </row>
    <row r="333" spans="1:2" ht="15">
      <c r="A333" s="23"/>
      <c r="B333" s="325"/>
    </row>
    <row r="334" spans="1:2" ht="15">
      <c r="A334" s="23"/>
      <c r="B334" s="325"/>
    </row>
    <row r="335" spans="1:2" ht="15">
      <c r="A335" s="23"/>
      <c r="B335" s="325"/>
    </row>
    <row r="336" spans="1:2" ht="15">
      <c r="A336" s="23"/>
      <c r="B336" s="325"/>
    </row>
    <row r="337" spans="1:2" ht="15">
      <c r="A337" s="23"/>
      <c r="B337" s="325"/>
    </row>
    <row r="338" spans="1:2" ht="15">
      <c r="A338" s="23"/>
      <c r="B338" s="325"/>
    </row>
    <row r="339" spans="1:2" ht="15">
      <c r="A339" s="23"/>
      <c r="B339" s="325"/>
    </row>
    <row r="340" spans="1:2" ht="15">
      <c r="A340" s="23"/>
      <c r="B340" s="325"/>
    </row>
    <row r="341" spans="1:2" ht="15">
      <c r="A341" s="23"/>
      <c r="B341" s="325"/>
    </row>
    <row r="342" spans="1:2" ht="15">
      <c r="A342" s="23"/>
      <c r="B342" s="325"/>
    </row>
    <row r="343" spans="1:2" ht="15">
      <c r="A343" s="23"/>
      <c r="B343" s="325"/>
    </row>
    <row r="344" spans="1:2" ht="15">
      <c r="A344" s="23"/>
      <c r="B344" s="325"/>
    </row>
    <row r="345" spans="1:2" ht="15">
      <c r="A345" s="23"/>
      <c r="B345" s="325"/>
    </row>
    <row r="346" spans="1:2" ht="15">
      <c r="A346" s="23"/>
      <c r="B346" s="325"/>
    </row>
    <row r="347" spans="1:2" ht="15">
      <c r="A347" s="23"/>
      <c r="B347" s="325"/>
    </row>
    <row r="348" spans="1:2" ht="15">
      <c r="A348" s="23"/>
      <c r="B348" s="325"/>
    </row>
    <row r="349" spans="1:2" ht="15">
      <c r="A349" s="23"/>
      <c r="B349" s="325"/>
    </row>
    <row r="350" spans="1:2" ht="15">
      <c r="A350" s="23"/>
      <c r="B350" s="325"/>
    </row>
    <row r="351" spans="1:2" ht="15">
      <c r="A351" s="23"/>
      <c r="B351" s="325"/>
    </row>
    <row r="352" spans="1:2" ht="15">
      <c r="A352" s="23"/>
      <c r="B352" s="325"/>
    </row>
    <row r="353" spans="1:2" ht="15">
      <c r="A353" s="23"/>
      <c r="B353" s="325"/>
    </row>
    <row r="354" spans="1:2" ht="15">
      <c r="A354" s="23"/>
      <c r="B354" s="325"/>
    </row>
    <row r="355" spans="1:2" ht="15">
      <c r="A355" s="23"/>
      <c r="B355" s="325"/>
    </row>
    <row r="356" spans="1:2" ht="15">
      <c r="A356" s="23"/>
      <c r="B356" s="325"/>
    </row>
    <row r="357" spans="1:2" ht="15">
      <c r="A357" s="23"/>
      <c r="B357" s="325"/>
    </row>
    <row r="358" spans="1:2" ht="15">
      <c r="A358" s="23"/>
      <c r="B358" s="325"/>
    </row>
  </sheetData>
  <sheetProtection/>
  <mergeCells count="18">
    <mergeCell ref="A54:B54"/>
    <mergeCell ref="A6:B6"/>
    <mergeCell ref="A29:B29"/>
    <mergeCell ref="A30:B30"/>
    <mergeCell ref="A206:B206"/>
    <mergeCell ref="A93:B93"/>
    <mergeCell ref="A111:B111"/>
    <mergeCell ref="A1:B1"/>
    <mergeCell ref="A2:B2"/>
    <mergeCell ref="A3:B3"/>
    <mergeCell ref="A4:B4"/>
    <mergeCell ref="A37:B37"/>
    <mergeCell ref="A135:B135"/>
    <mergeCell ref="A149:B149"/>
    <mergeCell ref="A159:B159"/>
    <mergeCell ref="A185:B185"/>
    <mergeCell ref="A239:B239"/>
    <mergeCell ref="A216:B216"/>
  </mergeCells>
  <printOptions/>
  <pageMargins left="0.7480314960629921" right="0.7480314960629921" top="0.984251968503937" bottom="0.7874015748031497" header="0.5118110236220472" footer="0.5118110236220472"/>
  <pageSetup fitToHeight="4" fitToWidth="1" horizontalDpi="355" verticalDpi="355" orientation="portrait" scale="73" r:id="rId1"/>
  <headerFooter alignWithMargins="0">
    <oddFooter>&amp;L&amp;A</oddFooter>
  </headerFooter>
  <rowBreaks count="4" manualBreakCount="4">
    <brk id="53" max="255" man="1"/>
    <brk id="110" max="255" man="1"/>
    <brk id="158" max="255" man="1"/>
    <brk id="20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1"/>
  <sheetViews>
    <sheetView zoomScalePageLayoutView="0" workbookViewId="0" topLeftCell="A206">
      <selection activeCell="B216" sqref="B216"/>
    </sheetView>
  </sheetViews>
  <sheetFormatPr defaultColWidth="9.140625" defaultRowHeight="12.75"/>
  <cols>
    <col min="1" max="1" width="72.28125" style="0" customWidth="1"/>
    <col min="2" max="2" width="21.8515625" style="284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>
      <c r="A1" s="614" t="str">
        <f>'Trial Balance'!A1:J1</f>
        <v>Woodstock Hydro Services Inc.</v>
      </c>
      <c r="B1" s="614"/>
    </row>
    <row r="2" spans="1:2" ht="12.75">
      <c r="A2" s="614" t="str">
        <f>'Trial Balance'!A2:J2</f>
        <v>, License Number ED-2003-0011, File Number EB-2010-0145</v>
      </c>
      <c r="B2" s="614"/>
    </row>
    <row r="3" spans="1:2" s="20" customFormat="1" ht="15">
      <c r="A3" s="637" t="str">
        <f>Notes!B4</f>
        <v>Woodstock Hydro Services Inc.</v>
      </c>
      <c r="B3" s="637"/>
    </row>
    <row r="4" spans="1:2" s="20" customFormat="1" ht="15">
      <c r="A4" s="640" t="s">
        <v>166</v>
      </c>
      <c r="B4" s="640"/>
    </row>
    <row r="5" spans="1:2" ht="15" customHeight="1">
      <c r="A5" s="60" t="s">
        <v>530</v>
      </c>
      <c r="B5" s="312" t="s">
        <v>154</v>
      </c>
    </row>
    <row r="6" spans="1:2" ht="15" customHeight="1">
      <c r="A6" s="639" t="s">
        <v>142</v>
      </c>
      <c r="B6" s="639"/>
    </row>
    <row r="7" spans="1:7" ht="15" customHeight="1">
      <c r="A7" s="25" t="str">
        <f>'Trial Balance'!A211&amp;"-"&amp;'Trial Balance'!B211</f>
        <v>4006-Residential Energy Sales</v>
      </c>
      <c r="B7" s="304">
        <f>'Trial Balance'!H211</f>
        <v>-5057697.21</v>
      </c>
      <c r="D7" s="11"/>
      <c r="E7" s="12"/>
      <c r="F7" s="13"/>
      <c r="G7" s="15"/>
    </row>
    <row r="8" spans="1:7" ht="15" customHeight="1">
      <c r="A8" s="25" t="str">
        <f>'Trial Balance'!A212&amp;"-"&amp;'Trial Balance'!B212</f>
        <v>4010-Commercial Energy Sales</v>
      </c>
      <c r="B8" s="304">
        <f>'Trial Balance'!H212</f>
        <v>0</v>
      </c>
      <c r="D8" s="11"/>
      <c r="E8" s="12"/>
      <c r="F8" s="13"/>
      <c r="G8" s="15"/>
    </row>
    <row r="9" spans="1:7" ht="15" customHeight="1">
      <c r="A9" s="25" t="str">
        <f>'Trial Balance'!A213&amp;"-"&amp;'Trial Balance'!B213</f>
        <v>4015-Industrial Energy Sales</v>
      </c>
      <c r="B9" s="304">
        <f>'Trial Balance'!H213</f>
        <v>0</v>
      </c>
      <c r="D9" s="11"/>
      <c r="E9" s="12"/>
      <c r="F9" s="13"/>
      <c r="G9" s="15"/>
    </row>
    <row r="10" spans="1:7" ht="15" customHeight="1">
      <c r="A10" s="25" t="str">
        <f>'Trial Balance'!A214&amp;"-"&amp;'Trial Balance'!B214</f>
        <v>4020-Energy Sales to Large Users</v>
      </c>
      <c r="B10" s="304">
        <f>'Trial Balance'!H214</f>
        <v>-971197.84</v>
      </c>
      <c r="D10" s="11"/>
      <c r="E10" s="12"/>
      <c r="F10" s="13"/>
      <c r="G10" s="15"/>
    </row>
    <row r="11" spans="1:7" ht="15" customHeight="1">
      <c r="A11" s="25" t="str">
        <f>'Trial Balance'!A215&amp;"-"&amp;'Trial Balance'!B215</f>
        <v>4025-Street Lighting Energy Sales</v>
      </c>
      <c r="B11" s="304">
        <f>'Trial Balance'!H215</f>
        <v>-2950.62</v>
      </c>
      <c r="D11" s="11"/>
      <c r="E11" s="12"/>
      <c r="F11" s="13"/>
      <c r="G11" s="15"/>
    </row>
    <row r="12" spans="1:7" ht="15" customHeight="1">
      <c r="A12" s="25" t="str">
        <f>'Trial Balance'!A216&amp;"-"&amp;'Trial Balance'!B216</f>
        <v>4030-Sentinel Energy Sales</v>
      </c>
      <c r="B12" s="304">
        <f>'Trial Balance'!H216</f>
        <v>0</v>
      </c>
      <c r="D12" s="11"/>
      <c r="E12" s="12"/>
      <c r="F12" s="13"/>
      <c r="G12" s="15"/>
    </row>
    <row r="13" spans="1:7" ht="15" customHeight="1">
      <c r="A13" s="25" t="str">
        <f>'Trial Balance'!A217&amp;"-"&amp;'Trial Balance'!B217</f>
        <v>4035-General Energy Sales</v>
      </c>
      <c r="B13" s="304">
        <f>'Trial Balance'!H217</f>
        <v>-9863564.4</v>
      </c>
      <c r="D13" s="11"/>
      <c r="E13" s="12"/>
      <c r="F13" s="13"/>
      <c r="G13" s="15"/>
    </row>
    <row r="14" spans="1:7" ht="15" customHeight="1">
      <c r="A14" s="25" t="str">
        <f>'Trial Balance'!A218&amp;"-"&amp;'Trial Balance'!B218</f>
        <v>4040-Other Energy Sales to Public Authorities</v>
      </c>
      <c r="B14" s="304">
        <f>'Trial Balance'!H218</f>
        <v>0</v>
      </c>
      <c r="D14" s="11"/>
      <c r="E14" s="12"/>
      <c r="F14" s="13"/>
      <c r="G14" s="15"/>
    </row>
    <row r="15" spans="1:7" ht="15" customHeight="1">
      <c r="A15" s="25" t="str">
        <f>'Trial Balance'!A219&amp;"-"&amp;'Trial Balance'!B219</f>
        <v>4045-Energy Sales to Railroads and Railways</v>
      </c>
      <c r="B15" s="304">
        <f>'Trial Balance'!H219</f>
        <v>0</v>
      </c>
      <c r="D15" s="11"/>
      <c r="E15" s="12"/>
      <c r="F15" s="13"/>
      <c r="G15" s="15"/>
    </row>
    <row r="16" spans="1:7" ht="15" customHeight="1">
      <c r="A16" s="25" t="str">
        <f>'Trial Balance'!A220&amp;"-"&amp;'Trial Balance'!B220</f>
        <v>4050-Revenue Adjustment</v>
      </c>
      <c r="B16" s="304">
        <f>'Trial Balance'!H220</f>
        <v>52374.9</v>
      </c>
      <c r="D16" s="11"/>
      <c r="E16" s="12"/>
      <c r="F16" s="13"/>
      <c r="G16" s="15"/>
    </row>
    <row r="17" spans="1:7" ht="15" customHeight="1">
      <c r="A17" s="25" t="str">
        <f>'Trial Balance'!A221&amp;"-"&amp;'Trial Balance'!B221</f>
        <v>4055-Energy Sales for Resale</v>
      </c>
      <c r="B17" s="304">
        <f>'Trial Balance'!H221</f>
        <v>-5823818.25</v>
      </c>
      <c r="D17" s="11"/>
      <c r="E17" s="14"/>
      <c r="F17" s="13"/>
      <c r="G17" s="15"/>
    </row>
    <row r="18" spans="1:7" ht="15" customHeight="1">
      <c r="A18" s="25" t="str">
        <f>'Trial Balance'!A222&amp;"-"&amp;'Trial Balance'!B222</f>
        <v>4060-Interdepartmental Energy Sales</v>
      </c>
      <c r="B18" s="304">
        <f>'Trial Balance'!H222</f>
        <v>0</v>
      </c>
      <c r="D18" s="11"/>
      <c r="E18" s="12"/>
      <c r="F18" s="13"/>
      <c r="G18" s="15"/>
    </row>
    <row r="19" spans="1:7" ht="15" customHeight="1">
      <c r="A19" s="25" t="str">
        <f>'Trial Balance'!A223&amp;"-"&amp;'Trial Balance'!B223</f>
        <v>4062-WMS</v>
      </c>
      <c r="B19" s="304">
        <f>'Trial Balance'!H223</f>
        <v>-2312713.36</v>
      </c>
      <c r="D19" s="11"/>
      <c r="E19" s="12"/>
      <c r="F19" s="13"/>
      <c r="G19" s="15"/>
    </row>
    <row r="20" spans="1:7" ht="15" customHeight="1">
      <c r="A20" s="25" t="str">
        <f>'Trial Balance'!A224&amp;"-"&amp;'Trial Balance'!B224</f>
        <v>4064-Billed WMS-One Time</v>
      </c>
      <c r="B20" s="304">
        <f>'Trial Balance'!H224</f>
        <v>0</v>
      </c>
      <c r="D20" s="11"/>
      <c r="E20" s="12"/>
      <c r="F20" s="13"/>
      <c r="G20" s="15"/>
    </row>
    <row r="21" spans="1:7" ht="15" customHeight="1">
      <c r="A21" s="25" t="str">
        <f>'Trial Balance'!A225&amp;"-"&amp;'Trial Balance'!B225</f>
        <v>4066-NS</v>
      </c>
      <c r="B21" s="304">
        <f>'Trial Balance'!H225</f>
        <v>-1749327.92</v>
      </c>
      <c r="D21" s="11"/>
      <c r="E21" s="12"/>
      <c r="F21" s="13"/>
      <c r="G21" s="15"/>
    </row>
    <row r="22" spans="1:7" ht="15" customHeight="1">
      <c r="A22" s="25" t="str">
        <f>'Trial Balance'!A226&amp;"-"&amp;'Trial Balance'!B226</f>
        <v>4068-CS</v>
      </c>
      <c r="B22" s="304">
        <f>'Trial Balance'!H226</f>
        <v>-1691541.31</v>
      </c>
      <c r="D22" s="11"/>
      <c r="E22" s="12"/>
      <c r="F22" s="13"/>
      <c r="G22" s="15"/>
    </row>
    <row r="23" spans="1:7" ht="15" customHeight="1" thickBot="1">
      <c r="A23" s="25" t="str">
        <f>'Trial Balance'!A227&amp;"-"&amp;'Trial Balance'!B227</f>
        <v>4075-LV Charges</v>
      </c>
      <c r="B23" s="304">
        <f>'Trial Balance'!H227</f>
        <v>0</v>
      </c>
      <c r="D23" s="11"/>
      <c r="E23" s="12"/>
      <c r="F23" s="13"/>
      <c r="G23" s="15"/>
    </row>
    <row r="24" spans="1:7" ht="15" customHeight="1" thickBot="1">
      <c r="A24" s="30" t="s">
        <v>143</v>
      </c>
      <c r="B24" s="313">
        <f>SUM(B7:B23)</f>
        <v>-27420436.01</v>
      </c>
      <c r="D24" s="11"/>
      <c r="E24" s="14"/>
      <c r="F24" s="13"/>
      <c r="G24" s="15"/>
    </row>
    <row r="25" spans="1:7" s="18" customFormat="1" ht="15" customHeight="1">
      <c r="A25" s="643"/>
      <c r="B25" s="644"/>
      <c r="D25" s="19"/>
      <c r="E25" s="12"/>
      <c r="F25" s="15"/>
      <c r="G25" s="15"/>
    </row>
    <row r="26" spans="1:7" s="18" customFormat="1" ht="15" customHeight="1">
      <c r="A26" s="639" t="s">
        <v>144</v>
      </c>
      <c r="B26" s="639"/>
      <c r="D26" s="19"/>
      <c r="E26" s="12"/>
      <c r="F26" s="15"/>
      <c r="G26" s="15"/>
    </row>
    <row r="27" spans="1:7" ht="15" customHeight="1">
      <c r="A27" s="25" t="str">
        <f>'Trial Balance'!A229&amp;"-"&amp;'Trial Balance'!B229</f>
        <v>4080-Distribution Services Revenue</v>
      </c>
      <c r="B27" s="304">
        <f>'Trial Balance'!H229</f>
        <v>-6592705.52</v>
      </c>
      <c r="D27" s="11"/>
      <c r="E27" s="14"/>
      <c r="F27" s="13"/>
      <c r="G27" s="15"/>
    </row>
    <row r="28" spans="1:7" ht="15" customHeight="1">
      <c r="A28" s="25" t="str">
        <f>'Trial Balance'!A230&amp;"-"&amp;'Trial Balance'!B230</f>
        <v>4082-RS Rev</v>
      </c>
      <c r="B28" s="304">
        <f>'Trial Balance'!H230</f>
        <v>-23482.2</v>
      </c>
      <c r="D28" s="11"/>
      <c r="E28" s="14"/>
      <c r="F28" s="13"/>
      <c r="G28" s="15"/>
    </row>
    <row r="29" spans="1:7" ht="15" customHeight="1">
      <c r="A29" s="25" t="str">
        <f>'Trial Balance'!A231&amp;"-"&amp;'Trial Balance'!B231</f>
        <v>4084-Serv Tx Requests</v>
      </c>
      <c r="B29" s="304">
        <f>'Trial Balance'!H231</f>
        <v>-639.5</v>
      </c>
      <c r="D29" s="11"/>
      <c r="E29" s="14"/>
      <c r="F29" s="13"/>
      <c r="G29" s="15"/>
    </row>
    <row r="30" spans="1:7" ht="15" customHeight="1" thickBot="1">
      <c r="A30" s="25" t="str">
        <f>'Trial Balance'!A232&amp;"-"&amp;'Trial Balance'!B232</f>
        <v>4090-Electric Services Incidental to Energy Sales</v>
      </c>
      <c r="B30" s="304">
        <f>'Trial Balance'!H232</f>
        <v>0</v>
      </c>
      <c r="D30" s="11"/>
      <c r="E30" s="14"/>
      <c r="F30" s="13"/>
      <c r="G30" s="15"/>
    </row>
    <row r="31" spans="1:7" ht="15" customHeight="1" thickBot="1">
      <c r="A31" s="30" t="s">
        <v>74</v>
      </c>
      <c r="B31" s="313">
        <f>SUM(B27:B30)</f>
        <v>-6616827.22</v>
      </c>
      <c r="D31" s="11"/>
      <c r="E31" s="12"/>
      <c r="F31" s="13"/>
      <c r="G31" s="15"/>
    </row>
    <row r="32" spans="1:7" s="18" customFormat="1" ht="15" customHeight="1">
      <c r="A32" s="643"/>
      <c r="B32" s="644"/>
      <c r="D32" s="19"/>
      <c r="E32" s="12"/>
      <c r="F32" s="15"/>
      <c r="G32" s="15"/>
    </row>
    <row r="33" spans="1:7" s="18" customFormat="1" ht="15" customHeight="1">
      <c r="A33" s="639" t="s">
        <v>75</v>
      </c>
      <c r="B33" s="639"/>
      <c r="D33" s="19"/>
      <c r="E33" s="12"/>
      <c r="F33" s="15"/>
      <c r="G33" s="15"/>
    </row>
    <row r="34" spans="1:7" ht="15" customHeight="1">
      <c r="A34" s="25" t="str">
        <f>'Trial Balance'!A234&amp;"-"&amp;'Trial Balance'!B234</f>
        <v>4205-Interdepartmental Rents</v>
      </c>
      <c r="B34" s="304">
        <f>'Trial Balance'!H234</f>
        <v>0</v>
      </c>
      <c r="D34" s="11"/>
      <c r="E34" s="14"/>
      <c r="F34" s="13"/>
      <c r="G34" s="15"/>
    </row>
    <row r="35" spans="1:2" ht="15" customHeight="1">
      <c r="A35" s="25" t="str">
        <f>'Trial Balance'!A235&amp;"-"&amp;'Trial Balance'!B235</f>
        <v>4210-Rent from Electric Property</v>
      </c>
      <c r="B35" s="304">
        <f>'Trial Balance'!H235</f>
        <v>-280389.87</v>
      </c>
    </row>
    <row r="36" spans="1:2" ht="15" customHeight="1">
      <c r="A36" s="25" t="str">
        <f>'Trial Balance'!A236&amp;"-"&amp;'Trial Balance'!B236</f>
        <v>4215-Other Utility Operating Income</v>
      </c>
      <c r="B36" s="304">
        <f>'Trial Balance'!H236</f>
        <v>0</v>
      </c>
    </row>
    <row r="37" spans="1:2" ht="15" customHeight="1">
      <c r="A37" s="25" t="str">
        <f>'Trial Balance'!A237&amp;"-"&amp;'Trial Balance'!B237</f>
        <v>4220-Other Electric Revenues</v>
      </c>
      <c r="B37" s="304">
        <f>'Trial Balance'!H237</f>
        <v>0</v>
      </c>
    </row>
    <row r="38" spans="1:2" ht="15" customHeight="1">
      <c r="A38" s="25" t="str">
        <f>'Trial Balance'!A238&amp;"-"&amp;'Trial Balance'!B238</f>
        <v>4225-Late Payment Charges</v>
      </c>
      <c r="B38" s="304">
        <f>'Trial Balance'!H238</f>
        <v>-46379.28</v>
      </c>
    </row>
    <row r="39" spans="1:2" ht="15" customHeight="1">
      <c r="A39" s="25" t="str">
        <f>'Trial Balance'!A239&amp;"-"&amp;'Trial Balance'!B239</f>
        <v>4230-Sales of Water and Water Power</v>
      </c>
      <c r="B39" s="304">
        <f>'Trial Balance'!H239</f>
        <v>0</v>
      </c>
    </row>
    <row r="40" spans="1:2" ht="15" customHeight="1">
      <c r="A40" s="25" t="str">
        <f>'Trial Balance'!A240&amp;"-"&amp;'Trial Balance'!B240</f>
        <v>4235-Miscellaneous Service Revenues</v>
      </c>
      <c r="B40" s="304">
        <f>'Trial Balance'!H240</f>
        <v>-95807.98</v>
      </c>
    </row>
    <row r="41" spans="1:2" ht="15" customHeight="1">
      <c r="A41" s="25" t="str">
        <f>'Trial Balance'!A241&amp;"-"&amp;'Trial Balance'!B241</f>
        <v>4240-Provision for Rate Refunds</v>
      </c>
      <c r="B41" s="304">
        <f>'Trial Balance'!H241</f>
        <v>0</v>
      </c>
    </row>
    <row r="42" spans="1:2" ht="15" customHeight="1" thickBot="1">
      <c r="A42" s="25" t="str">
        <f>'Trial Balance'!A242&amp;"-"&amp;'Trial Balance'!B242</f>
        <v>4245-Government Assistance Directly Credited to Income</v>
      </c>
      <c r="B42" s="304">
        <f>'Trial Balance'!H242</f>
        <v>0</v>
      </c>
    </row>
    <row r="43" spans="1:2" ht="15" customHeight="1" thickBot="1">
      <c r="A43" s="30" t="s">
        <v>87</v>
      </c>
      <c r="B43" s="313">
        <f>SUM(B34:B42)</f>
        <v>-422577.13</v>
      </c>
    </row>
    <row r="44" spans="1:2" s="18" customFormat="1" ht="15" customHeight="1">
      <c r="A44" s="643"/>
      <c r="B44" s="644"/>
    </row>
    <row r="45" spans="1:2" s="18" customFormat="1" ht="15" customHeight="1">
      <c r="A45" s="639" t="s">
        <v>88</v>
      </c>
      <c r="B45" s="639"/>
    </row>
    <row r="46" spans="1:2" ht="15" customHeight="1">
      <c r="A46" s="25" t="str">
        <f>'Trial Balance'!A244&amp;"-"&amp;'Trial Balance'!B244</f>
        <v>4305-Regulatory Debits</v>
      </c>
      <c r="B46" s="304">
        <f>'Trial Balance'!H244</f>
        <v>0</v>
      </c>
    </row>
    <row r="47" spans="1:2" ht="15" customHeight="1">
      <c r="A47" s="25" t="str">
        <f>'Trial Balance'!A245&amp;"-"&amp;'Trial Balance'!B245</f>
        <v>4310-Regulatory Credits</v>
      </c>
      <c r="B47" s="304">
        <f>'Trial Balance'!H245</f>
        <v>0</v>
      </c>
    </row>
    <row r="48" spans="1:2" ht="15" customHeight="1">
      <c r="A48" s="25" t="str">
        <f>'Trial Balance'!A246&amp;"-"&amp;'Trial Balance'!B246</f>
        <v>4315-Revenues from Electric Plant Leased to Others</v>
      </c>
      <c r="B48" s="304">
        <f>'Trial Balance'!H246</f>
        <v>0</v>
      </c>
    </row>
    <row r="49" spans="1:2" ht="15" customHeight="1">
      <c r="A49" s="25" t="str">
        <f>'Trial Balance'!A247&amp;"-"&amp;'Trial Balance'!B247</f>
        <v>4320-Expenses of Electric Plant Leased to Others</v>
      </c>
      <c r="B49" s="304">
        <f>'Trial Balance'!H247</f>
        <v>0</v>
      </c>
    </row>
    <row r="50" spans="1:2" ht="15" customHeight="1">
      <c r="A50" s="25" t="str">
        <f>'Trial Balance'!A248&amp;"-"&amp;'Trial Balance'!B248</f>
        <v>4324-Special Purpose Charge Recovery - Billed</v>
      </c>
      <c r="B50" s="304">
        <f>'Trial Balance'!H248</f>
        <v>0</v>
      </c>
    </row>
    <row r="51" spans="1:2" ht="15" customHeight="1">
      <c r="A51" s="25" t="str">
        <f>'Trial Balance'!A249&amp;"-"&amp;'Trial Balance'!B249</f>
        <v>4325-Revenues from Merchandise, Jobbing, Etc.</v>
      </c>
      <c r="B51" s="304">
        <f>'Trial Balance'!H249</f>
        <v>0</v>
      </c>
    </row>
    <row r="52" spans="1:2" ht="15" customHeight="1">
      <c r="A52" s="25" t="str">
        <f>'Trial Balance'!A250&amp;"-"&amp;'Trial Balance'!B250</f>
        <v>4330-Costs and Expenses of Merchandising, Jobbing, Etc</v>
      </c>
      <c r="B52" s="304">
        <f>'Trial Balance'!H250</f>
        <v>0</v>
      </c>
    </row>
    <row r="53" spans="1:2" ht="15" customHeight="1">
      <c r="A53" s="25" t="str">
        <f>'Trial Balance'!A251&amp;"-"&amp;'Trial Balance'!B251</f>
        <v>4335-Profits and Losses from Financial Instrument Hedges</v>
      </c>
      <c r="B53" s="304">
        <f>'Trial Balance'!H251</f>
        <v>0</v>
      </c>
    </row>
    <row r="54" spans="1:2" ht="15" customHeight="1">
      <c r="A54" s="25" t="str">
        <f>'Trial Balance'!A252&amp;"-"&amp;'Trial Balance'!B252</f>
        <v>4340-Profits and Losses from Financial Instrument Investments</v>
      </c>
      <c r="B54" s="304">
        <f>'Trial Balance'!H252</f>
        <v>0</v>
      </c>
    </row>
    <row r="55" spans="1:2" ht="15" customHeight="1">
      <c r="A55" s="25" t="str">
        <f>'Trial Balance'!A253&amp;"-"&amp;'Trial Balance'!B253</f>
        <v>4345-Gains from Disposition of Future Use Utility Plant</v>
      </c>
      <c r="B55" s="304">
        <f>'Trial Balance'!H253</f>
        <v>0</v>
      </c>
    </row>
    <row r="56" spans="1:2" ht="15" customHeight="1">
      <c r="A56" s="25" t="str">
        <f>'Trial Balance'!A254&amp;"-"&amp;'Trial Balance'!B254</f>
        <v>4350-Losses from Disposition of Future Use Utility Plant</v>
      </c>
      <c r="B56" s="304">
        <f>'Trial Balance'!H254</f>
        <v>0</v>
      </c>
    </row>
    <row r="57" spans="1:2" ht="15" customHeight="1">
      <c r="A57" s="25" t="str">
        <f>'Trial Balance'!A255&amp;"-"&amp;'Trial Balance'!B255</f>
        <v>4355-Gain on Disposition of Utility and Other Property</v>
      </c>
      <c r="B57" s="304">
        <f>'Trial Balance'!H255</f>
        <v>-40</v>
      </c>
    </row>
    <row r="58" spans="1:2" ht="15" customHeight="1">
      <c r="A58" s="25" t="str">
        <f>'Trial Balance'!A256&amp;"-"&amp;'Trial Balance'!B256</f>
        <v>4360-Loss on Disposition of Utility and Other Property</v>
      </c>
      <c r="B58" s="304">
        <f>'Trial Balance'!H256</f>
        <v>0</v>
      </c>
    </row>
    <row r="59" spans="1:2" ht="15" customHeight="1">
      <c r="A59" s="25" t="str">
        <f>'Trial Balance'!A257&amp;"-"&amp;'Trial Balance'!B257</f>
        <v>4365-Gains from Disposition of Allowances for Emission</v>
      </c>
      <c r="B59" s="304">
        <f>'Trial Balance'!H257</f>
        <v>0</v>
      </c>
    </row>
    <row r="60" spans="1:2" ht="15" customHeight="1">
      <c r="A60" s="25" t="str">
        <f>'Trial Balance'!A258&amp;"-"&amp;'Trial Balance'!B258</f>
        <v>4370-Losses from Disposition of Allowances for Emission</v>
      </c>
      <c r="B60" s="304">
        <f>'Trial Balance'!H258</f>
        <v>0</v>
      </c>
    </row>
    <row r="61" spans="1:2" ht="15" customHeight="1">
      <c r="A61" s="25" t="str">
        <f>'Trial Balance'!A259&amp;"-"&amp;'Trial Balance'!B259</f>
        <v>4375-Revenues from Non-Utility Operations</v>
      </c>
      <c r="B61" s="304">
        <f>'Trial Balance'!H259</f>
        <v>-878547.52</v>
      </c>
    </row>
    <row r="62" spans="1:2" ht="15" customHeight="1">
      <c r="A62" s="25" t="str">
        <f>'Trial Balance'!A260&amp;"-"&amp;'Trial Balance'!B260</f>
        <v>4380-Expenses of Non-Utility Operations</v>
      </c>
      <c r="B62" s="304">
        <f>'Trial Balance'!H260</f>
        <v>733267.39</v>
      </c>
    </row>
    <row r="63" spans="1:2" ht="15" customHeight="1">
      <c r="A63" s="25" t="str">
        <f>'Trial Balance'!A261&amp;"-"&amp;'Trial Balance'!B261</f>
        <v>4385-Expenses of Non-Utility Operations</v>
      </c>
      <c r="B63" s="304">
        <f>'Trial Balance'!H261</f>
        <v>0</v>
      </c>
    </row>
    <row r="64" spans="1:2" ht="15" customHeight="1">
      <c r="A64" s="25" t="str">
        <f>'Trial Balance'!A262&amp;"-"&amp;'Trial Balance'!B262</f>
        <v>4390-Miscellaneous Non-Operating Income</v>
      </c>
      <c r="B64" s="304">
        <f>'Trial Balance'!H262</f>
        <v>-11928.07</v>
      </c>
    </row>
    <row r="65" spans="1:2" ht="15" customHeight="1">
      <c r="A65" s="25" t="str">
        <f>'Trial Balance'!A263&amp;"-"&amp;'Trial Balance'!B263</f>
        <v>4395-Rate-Payer Benefit Including Interest</v>
      </c>
      <c r="B65" s="304">
        <f>'Trial Balance'!H263</f>
        <v>0</v>
      </c>
    </row>
    <row r="66" spans="1:2" ht="15" customHeight="1" thickBot="1">
      <c r="A66" s="25" t="str">
        <f>'Trial Balance'!A264&amp;"-"&amp;'Trial Balance'!B264</f>
        <v>4398-Foreign Exchange Gains and Losses, Including Amortization</v>
      </c>
      <c r="B66" s="304">
        <f>'Trial Balance'!H264</f>
        <v>0</v>
      </c>
    </row>
    <row r="67" spans="1:2" ht="15" customHeight="1" thickBot="1">
      <c r="A67" s="30" t="s">
        <v>83</v>
      </c>
      <c r="B67" s="313">
        <f>SUM(B46:B66)</f>
        <v>-157248.2</v>
      </c>
    </row>
    <row r="68" spans="1:2" s="18" customFormat="1" ht="15" customHeight="1">
      <c r="A68" s="643"/>
      <c r="B68" s="644"/>
    </row>
    <row r="69" spans="1:2" s="18" customFormat="1" ht="15" customHeight="1">
      <c r="A69" s="639" t="s">
        <v>84</v>
      </c>
      <c r="B69" s="639"/>
    </row>
    <row r="70" spans="1:2" s="18" customFormat="1" ht="15" customHeight="1">
      <c r="A70" s="25" t="str">
        <f>'Trial Balance'!A266&amp;"-"&amp;'Trial Balance'!B266</f>
        <v>4405-Interest and Dividend Income</v>
      </c>
      <c r="B70" s="304">
        <f>'Trial Balance'!H266</f>
        <v>-164845.39</v>
      </c>
    </row>
    <row r="71" spans="1:2" ht="15" customHeight="1" thickBot="1">
      <c r="A71" s="25" t="str">
        <f>'Trial Balance'!A267&amp;"-"&amp;'Trial Balance'!B267</f>
        <v>4415-Equity in Earnings of Subsidiary Companies</v>
      </c>
      <c r="B71" s="304">
        <f>'Trial Balance'!H267</f>
        <v>0</v>
      </c>
    </row>
    <row r="72" spans="1:2" ht="15" customHeight="1" thickBot="1">
      <c r="A72" s="30" t="s">
        <v>85</v>
      </c>
      <c r="B72" s="313">
        <f>SUM(B70:B71)</f>
        <v>-164845.39</v>
      </c>
    </row>
    <row r="73" spans="1:2" s="18" customFormat="1" ht="15" customHeight="1">
      <c r="A73" s="643"/>
      <c r="B73" s="644"/>
    </row>
    <row r="74" spans="1:2" s="18" customFormat="1" ht="15" customHeight="1">
      <c r="A74" s="639" t="s">
        <v>86</v>
      </c>
      <c r="B74" s="639"/>
    </row>
    <row r="75" spans="1:2" ht="15" customHeight="1">
      <c r="A75" s="25" t="str">
        <f>'Trial Balance'!A269&amp;"-"&amp;'Trial Balance'!B269</f>
        <v>4705-Power Purchased</v>
      </c>
      <c r="B75" s="304">
        <f>'Trial Balance'!H269</f>
        <v>21666853.42</v>
      </c>
    </row>
    <row r="76" spans="1:2" ht="15" customHeight="1">
      <c r="A76" s="25" t="str">
        <f>'Trial Balance'!A270&amp;"-"&amp;'Trial Balance'!B270</f>
        <v>4708-WMS</v>
      </c>
      <c r="B76" s="304">
        <f>'Trial Balance'!H270</f>
        <v>2312713.36</v>
      </c>
    </row>
    <row r="77" spans="1:2" ht="15" customHeight="1">
      <c r="A77" s="25" t="str">
        <f>'Trial Balance'!A271&amp;"-"&amp;'Trial Balance'!B271</f>
        <v>4710-Cost of Power Adjustments</v>
      </c>
      <c r="B77" s="304">
        <f>'Trial Balance'!H271</f>
        <v>0</v>
      </c>
    </row>
    <row r="78" spans="1:2" ht="15" customHeight="1">
      <c r="A78" s="25" t="str">
        <f>'Trial Balance'!A272&amp;"-"&amp;'Trial Balance'!B272</f>
        <v>4712-0</v>
      </c>
      <c r="B78" s="304">
        <f>'Trial Balance'!H272</f>
        <v>0</v>
      </c>
    </row>
    <row r="79" spans="1:2" ht="15" customHeight="1">
      <c r="A79" s="25" t="str">
        <f>'Trial Balance'!A273&amp;"-"&amp;'Trial Balance'!B273</f>
        <v>4714-NW</v>
      </c>
      <c r="B79" s="304">
        <f>'Trial Balance'!H273</f>
        <v>1749327.92</v>
      </c>
    </row>
    <row r="80" spans="1:2" ht="15" customHeight="1">
      <c r="A80" s="25" t="str">
        <f>'Trial Balance'!A274&amp;"-"&amp;'Trial Balance'!B274</f>
        <v>4715-System Control and Load Dispatching</v>
      </c>
      <c r="B80" s="304">
        <f>'Trial Balance'!H274</f>
        <v>0</v>
      </c>
    </row>
    <row r="81" spans="1:2" ht="15" customHeight="1">
      <c r="A81" s="25" t="str">
        <f>'Trial Balance'!A275&amp;"-"&amp;'Trial Balance'!B275</f>
        <v>4716-NCN</v>
      </c>
      <c r="B81" s="304">
        <f>'Trial Balance'!H275</f>
        <v>1691541.31</v>
      </c>
    </row>
    <row r="82" spans="1:2" ht="15" customHeight="1">
      <c r="A82" s="25" t="str">
        <f>'Trial Balance'!A276&amp;"-"&amp;'Trial Balance'!B276</f>
        <v>4720-Other Expenses</v>
      </c>
      <c r="B82" s="304">
        <f>'Trial Balance'!H276</f>
        <v>0</v>
      </c>
    </row>
    <row r="83" spans="1:2" ht="15" customHeight="1">
      <c r="A83" s="25" t="str">
        <f>'Trial Balance'!A277&amp;"-"&amp;'Trial Balance'!B277</f>
        <v>4725-Competition Transition Expense</v>
      </c>
      <c r="B83" s="304">
        <f>'Trial Balance'!H277</f>
        <v>0</v>
      </c>
    </row>
    <row r="84" spans="1:2" ht="15" customHeight="1">
      <c r="A84" s="25" t="str">
        <f>'Trial Balance'!A278&amp;"-"&amp;'Trial Balance'!B278</f>
        <v>4730-Rural Rate Assistance Expense</v>
      </c>
      <c r="B84" s="304">
        <f>'Trial Balance'!H278</f>
        <v>0</v>
      </c>
    </row>
    <row r="85" spans="1:2" ht="15" customHeight="1" thickBot="1">
      <c r="A85" s="25" t="str">
        <f>'Trial Balance'!A279&amp;"-"&amp;'Trial Balance'!B279</f>
        <v>4750-LV Charges</v>
      </c>
      <c r="B85" s="304">
        <f>'Trial Balance'!H279</f>
        <v>0</v>
      </c>
    </row>
    <row r="86" spans="1:2" ht="15" customHeight="1" thickBot="1">
      <c r="A86" s="30" t="s">
        <v>539</v>
      </c>
      <c r="B86" s="313">
        <f>SUM(B75:B85)</f>
        <v>27420436.01</v>
      </c>
    </row>
    <row r="87" spans="1:2" s="18" customFormat="1" ht="15" customHeight="1">
      <c r="A87" s="643"/>
      <c r="B87" s="644"/>
    </row>
    <row r="88" spans="1:2" s="18" customFormat="1" ht="15" customHeight="1">
      <c r="A88" s="639" t="s">
        <v>540</v>
      </c>
      <c r="B88" s="639"/>
    </row>
    <row r="89" spans="1:2" ht="15" customHeight="1">
      <c r="A89" s="25" t="str">
        <f>'Trial Balance'!A281&amp;"-"&amp;'Trial Balance'!B281</f>
        <v>5005-Operation Supervision and Engineering</v>
      </c>
      <c r="B89" s="304">
        <f>'Trial Balance'!H281</f>
        <v>207437.1</v>
      </c>
    </row>
    <row r="90" spans="1:2" ht="15" customHeight="1">
      <c r="A90" s="25" t="str">
        <f>'Trial Balance'!A282&amp;"-"&amp;'Trial Balance'!B282</f>
        <v>5010-Load Dispatching</v>
      </c>
      <c r="B90" s="304">
        <f>'Trial Balance'!H282</f>
        <v>38004</v>
      </c>
    </row>
    <row r="91" spans="1:2" ht="15" customHeight="1">
      <c r="A91" s="25" t="str">
        <f>'Trial Balance'!A283&amp;"-"&amp;'Trial Balance'!B283</f>
        <v>5012-Station Buildings and Fixtures Expense</v>
      </c>
      <c r="B91" s="304">
        <f>'Trial Balance'!H283</f>
        <v>14442.26</v>
      </c>
    </row>
    <row r="92" spans="1:2" ht="15" customHeight="1">
      <c r="A92" s="25" t="str">
        <f>'Trial Balance'!A284&amp;"-"&amp;'Trial Balance'!B284</f>
        <v>5014-Transformer Station Equipment - Operation Labour</v>
      </c>
      <c r="B92" s="304">
        <f>'Trial Balance'!H284</f>
        <v>0</v>
      </c>
    </row>
    <row r="93" spans="1:2" ht="15" customHeight="1">
      <c r="A93" s="25" t="str">
        <f>'Trial Balance'!A285&amp;"-"&amp;'Trial Balance'!B285</f>
        <v>5015-Transformer Station Equipment - Operation Supplies and Expenses</v>
      </c>
      <c r="B93" s="304">
        <f>'Trial Balance'!H285</f>
        <v>0</v>
      </c>
    </row>
    <row r="94" spans="1:2" ht="15" customHeight="1">
      <c r="A94" s="25" t="str">
        <f>'Trial Balance'!A286&amp;"-"&amp;'Trial Balance'!B286</f>
        <v>5016-Distribution Station Equipment - Operation Labour</v>
      </c>
      <c r="B94" s="304">
        <f>'Trial Balance'!H286</f>
        <v>32551.56</v>
      </c>
    </row>
    <row r="95" spans="1:2" ht="15" customHeight="1">
      <c r="A95" s="25" t="str">
        <f>'Trial Balance'!A287&amp;"-"&amp;'Trial Balance'!B287</f>
        <v>5017-Distribution Station Equipment - Operation Supplies and Expenses</v>
      </c>
      <c r="B95" s="304">
        <f>'Trial Balance'!H287</f>
        <v>15238.02</v>
      </c>
    </row>
    <row r="96" spans="1:2" ht="15" customHeight="1">
      <c r="A96" s="25" t="str">
        <f>'Trial Balance'!A288&amp;"-"&amp;'Trial Balance'!B288</f>
        <v>5020-Overhead Distribution Lines and Feeders - Operation Labour</v>
      </c>
      <c r="B96" s="304">
        <f>'Trial Balance'!H288</f>
        <v>29369.82</v>
      </c>
    </row>
    <row r="97" spans="1:2" ht="15" customHeight="1">
      <c r="A97" s="25" t="str">
        <f>'Trial Balance'!A289&amp;"-"&amp;'Trial Balance'!B289</f>
        <v>5025-Overhead Distribution Lines and Feeders - Operation Supplies and Expenses</v>
      </c>
      <c r="B97" s="304">
        <f>'Trial Balance'!H289</f>
        <v>5021.31</v>
      </c>
    </row>
    <row r="98" spans="1:2" ht="15" customHeight="1">
      <c r="A98" s="25" t="str">
        <f>'Trial Balance'!A290&amp;"-"&amp;'Trial Balance'!B290</f>
        <v>5030-Overhead Subtransmission Feeders - Operation</v>
      </c>
      <c r="B98" s="304">
        <f>'Trial Balance'!H290</f>
        <v>0</v>
      </c>
    </row>
    <row r="99" spans="1:2" ht="15" customHeight="1">
      <c r="A99" s="25" t="str">
        <f>'Trial Balance'!A291&amp;"-"&amp;'Trial Balance'!B291</f>
        <v>5035-Overhead Distribution Transformers - Operation</v>
      </c>
      <c r="B99" s="304">
        <f>'Trial Balance'!H291</f>
        <v>1587.98</v>
      </c>
    </row>
    <row r="100" spans="1:2" ht="15" customHeight="1">
      <c r="A100" s="25" t="str">
        <f>'Trial Balance'!A292&amp;"-"&amp;'Trial Balance'!B292</f>
        <v>5040-Underground Distribution Lines and Feeders - Operation Labour</v>
      </c>
      <c r="B100" s="304">
        <f>'Trial Balance'!H292</f>
        <v>85874.66</v>
      </c>
    </row>
    <row r="101" spans="1:2" ht="15" customHeight="1">
      <c r="A101" s="25" t="str">
        <f>'Trial Balance'!A293&amp;"-"&amp;'Trial Balance'!B293</f>
        <v>5045-Underground Distribution Lines and Feeders - Operation Supplies and Expenses</v>
      </c>
      <c r="B101" s="304">
        <f>'Trial Balance'!H293</f>
        <v>12066.19</v>
      </c>
    </row>
    <row r="102" spans="1:2" ht="15" customHeight="1">
      <c r="A102" s="25" t="str">
        <f>'Trial Balance'!A294&amp;"-"&amp;'Trial Balance'!B294</f>
        <v>5050-Underground Subtransmission Feeders - Operation</v>
      </c>
      <c r="B102" s="304">
        <f>'Trial Balance'!H294</f>
        <v>0</v>
      </c>
    </row>
    <row r="103" spans="1:2" ht="15" customHeight="1">
      <c r="A103" s="25" t="str">
        <f>'Trial Balance'!A295&amp;"-"&amp;'Trial Balance'!B295</f>
        <v>5055-Underground Distribution Transformers - Operation</v>
      </c>
      <c r="B103" s="304">
        <f>'Trial Balance'!H295</f>
        <v>0</v>
      </c>
    </row>
    <row r="104" spans="1:2" ht="15" customHeight="1">
      <c r="A104" s="25" t="str">
        <f>'Trial Balance'!A296&amp;"-"&amp;'Trial Balance'!B296</f>
        <v>5060-Street Lighting and Signal System Expense</v>
      </c>
      <c r="B104" s="304">
        <f>'Trial Balance'!H296</f>
        <v>0</v>
      </c>
    </row>
    <row r="105" spans="1:2" ht="15" customHeight="1">
      <c r="A105" s="25" t="str">
        <f>'Trial Balance'!A297&amp;"-"&amp;'Trial Balance'!B297</f>
        <v>5065-Meter Expense</v>
      </c>
      <c r="B105" s="304">
        <f>'Trial Balance'!H297</f>
        <v>254110.15</v>
      </c>
    </row>
    <row r="106" spans="1:2" ht="15" customHeight="1">
      <c r="A106" s="25" t="str">
        <f>'Trial Balance'!A298&amp;"-"&amp;'Trial Balance'!B298</f>
        <v>5070-Customer Premises - Operation Labour</v>
      </c>
      <c r="B106" s="304">
        <f>'Trial Balance'!H298</f>
        <v>161.24</v>
      </c>
    </row>
    <row r="107" spans="1:2" ht="15" customHeight="1">
      <c r="A107" s="25" t="str">
        <f>'Trial Balance'!A299&amp;"-"&amp;'Trial Balance'!B299</f>
        <v>5075-Customer Premises - Materials and Expenses</v>
      </c>
      <c r="B107" s="304">
        <f>'Trial Balance'!H299</f>
        <v>1150</v>
      </c>
    </row>
    <row r="108" spans="1:2" ht="15" customHeight="1">
      <c r="A108" s="25" t="str">
        <f>'Trial Balance'!A300&amp;"-"&amp;'Trial Balance'!B300</f>
        <v>5085-Miscellaneous Distribution Expense</v>
      </c>
      <c r="B108" s="304">
        <f>'Trial Balance'!H300</f>
        <v>87577.47</v>
      </c>
    </row>
    <row r="109" spans="1:2" ht="15" customHeight="1">
      <c r="A109" s="25" t="str">
        <f>'Trial Balance'!A301&amp;"-"&amp;'Trial Balance'!B301</f>
        <v>5090-Underground Distribution Lines and Feeders - Rental Paid</v>
      </c>
      <c r="B109" s="304">
        <f>'Trial Balance'!H301</f>
        <v>0</v>
      </c>
    </row>
    <row r="110" spans="1:2" ht="15" customHeight="1">
      <c r="A110" s="25" t="str">
        <f>'Trial Balance'!A302&amp;"-"&amp;'Trial Balance'!B302</f>
        <v>5095-Overhead Distribution Lines and Feeders - Rental Paid</v>
      </c>
      <c r="B110" s="304">
        <f>'Trial Balance'!H302</f>
        <v>3124.22</v>
      </c>
    </row>
    <row r="111" spans="1:2" ht="15" customHeight="1" thickBot="1">
      <c r="A111" s="25" t="str">
        <f>'Trial Balance'!A303&amp;"-"&amp;'Trial Balance'!B303</f>
        <v>5096-Other Rent</v>
      </c>
      <c r="B111" s="304">
        <f>'Trial Balance'!H303</f>
        <v>0</v>
      </c>
    </row>
    <row r="112" spans="1:2" ht="15" customHeight="1" thickBot="1">
      <c r="A112" s="30" t="s">
        <v>543</v>
      </c>
      <c r="B112" s="313">
        <f>SUM(B89:B111)</f>
        <v>787715.98</v>
      </c>
    </row>
    <row r="113" spans="1:2" s="18" customFormat="1" ht="15" customHeight="1">
      <c r="A113" s="643"/>
      <c r="B113" s="644"/>
    </row>
    <row r="114" spans="1:2" s="18" customFormat="1" ht="15" customHeight="1">
      <c r="A114" s="639" t="s">
        <v>544</v>
      </c>
      <c r="B114" s="639"/>
    </row>
    <row r="115" spans="1:2" ht="15" customHeight="1">
      <c r="A115" s="25" t="str">
        <f>'Trial Balance'!A305&amp;"-"&amp;'Trial Balance'!B305</f>
        <v>5105-Maintenance Supervision and Engineering</v>
      </c>
      <c r="B115" s="304">
        <f>'Trial Balance'!H305</f>
        <v>61394.26</v>
      </c>
    </row>
    <row r="116" spans="1:2" ht="15" customHeight="1">
      <c r="A116" s="25" t="str">
        <f>'Trial Balance'!A306&amp;"-"&amp;'Trial Balance'!B306</f>
        <v>5110-Maintenance of Structures</v>
      </c>
      <c r="B116" s="304">
        <f>'Trial Balance'!H306</f>
        <v>87.66</v>
      </c>
    </row>
    <row r="117" spans="1:2" ht="15" customHeight="1">
      <c r="A117" s="25" t="str">
        <f>'Trial Balance'!A307&amp;"-"&amp;'Trial Balance'!B307</f>
        <v>5112-Maintenance of Transformer Station Equipment</v>
      </c>
      <c r="B117" s="304">
        <f>'Trial Balance'!H307</f>
        <v>0</v>
      </c>
    </row>
    <row r="118" spans="1:2" ht="15" customHeight="1">
      <c r="A118" s="25" t="str">
        <f>'Trial Balance'!A308&amp;"-"&amp;'Trial Balance'!B308</f>
        <v>5114-Mtaint Dist Stn Equip</v>
      </c>
      <c r="B118" s="304">
        <f>'Trial Balance'!H308</f>
        <v>36.11</v>
      </c>
    </row>
    <row r="119" spans="1:2" ht="15" customHeight="1">
      <c r="A119" s="25" t="str">
        <f>'Trial Balance'!A309&amp;"-"&amp;'Trial Balance'!B309</f>
        <v>5120-Maintenance of Poles, Towers and Fixtures</v>
      </c>
      <c r="B119" s="304">
        <f>'Trial Balance'!H309</f>
        <v>57268.89</v>
      </c>
    </row>
    <row r="120" spans="1:2" ht="15" customHeight="1">
      <c r="A120" s="25" t="str">
        <f>'Trial Balance'!A310&amp;"-"&amp;'Trial Balance'!B310</f>
        <v>5125-Maintenance of Overhead Conductors and Devices</v>
      </c>
      <c r="B120" s="304">
        <f>'Trial Balance'!H310</f>
        <v>92174.6</v>
      </c>
    </row>
    <row r="121" spans="1:2" ht="15" customHeight="1">
      <c r="A121" s="25" t="str">
        <f>'Trial Balance'!A311&amp;"-"&amp;'Trial Balance'!B311</f>
        <v>5130-Maintenance of Overhead Services</v>
      </c>
      <c r="B121" s="304">
        <f>'Trial Balance'!H311</f>
        <v>73023.58</v>
      </c>
    </row>
    <row r="122" spans="1:2" ht="15" customHeight="1">
      <c r="A122" s="25" t="str">
        <f>'Trial Balance'!A312&amp;"-"&amp;'Trial Balance'!B312</f>
        <v>5135-Overhead Distribution Lines and Feeders - Right of Way</v>
      </c>
      <c r="B122" s="304">
        <f>'Trial Balance'!H312</f>
        <v>93658.82</v>
      </c>
    </row>
    <row r="123" spans="1:2" ht="15" customHeight="1">
      <c r="A123" s="25" t="str">
        <f>'Trial Balance'!A313&amp;"-"&amp;'Trial Balance'!B313</f>
        <v>5145-Maintenance of Underground Conduit</v>
      </c>
      <c r="B123" s="304">
        <f>'Trial Balance'!H313</f>
        <v>4370.13</v>
      </c>
    </row>
    <row r="124" spans="1:2" ht="15" customHeight="1">
      <c r="A124" s="25" t="str">
        <f>'Trial Balance'!A314&amp;"-"&amp;'Trial Balance'!B314</f>
        <v>5150-Maintenance of Underground Conductors and Devices</v>
      </c>
      <c r="B124" s="304">
        <f>'Trial Balance'!H314</f>
        <v>37670.7</v>
      </c>
    </row>
    <row r="125" spans="1:2" ht="15" customHeight="1">
      <c r="A125" s="25" t="str">
        <f>'Trial Balance'!A315&amp;"-"&amp;'Trial Balance'!B315</f>
        <v>5155-Maintenance of Underground Services</v>
      </c>
      <c r="B125" s="304">
        <f>'Trial Balance'!H315</f>
        <v>53700.44</v>
      </c>
    </row>
    <row r="126" spans="1:2" ht="15" customHeight="1">
      <c r="A126" s="25" t="str">
        <f>'Trial Balance'!A316&amp;"-"&amp;'Trial Balance'!B316</f>
        <v>5160-Maintenance of Line Transformers</v>
      </c>
      <c r="B126" s="304">
        <f>'Trial Balance'!H316</f>
        <v>59109.49</v>
      </c>
    </row>
    <row r="127" spans="1:2" ht="15" customHeight="1">
      <c r="A127" s="25" t="str">
        <f>'Trial Balance'!A317&amp;"-"&amp;'Trial Balance'!B317</f>
        <v>5165-Maintenance of Street Lighting and Signal Systems</v>
      </c>
      <c r="B127" s="304">
        <f>'Trial Balance'!H317</f>
        <v>0</v>
      </c>
    </row>
    <row r="128" spans="1:2" ht="15" customHeight="1">
      <c r="A128" s="25" t="str">
        <f>'Trial Balance'!A318&amp;"-"&amp;'Trial Balance'!B318</f>
        <v>5170-Sentinel Lights - Labour</v>
      </c>
      <c r="B128" s="304">
        <f>'Trial Balance'!H318</f>
        <v>0</v>
      </c>
    </row>
    <row r="129" spans="1:2" ht="15" customHeight="1">
      <c r="A129" s="25" t="str">
        <f>'Trial Balance'!A319&amp;"-"&amp;'Trial Balance'!B319</f>
        <v>5172-Sentinel Lights - Materials and Expenses</v>
      </c>
      <c r="B129" s="304">
        <f>'Trial Balance'!H319</f>
        <v>0</v>
      </c>
    </row>
    <row r="130" spans="1:2" ht="15" customHeight="1">
      <c r="A130" s="25" t="str">
        <f>'Trial Balance'!A320&amp;"-"&amp;'Trial Balance'!B320</f>
        <v>5175-Maintenance of Meters</v>
      </c>
      <c r="B130" s="304">
        <f>'Trial Balance'!H320</f>
        <v>360.81</v>
      </c>
    </row>
    <row r="131" spans="1:2" ht="15" customHeight="1">
      <c r="A131" s="25" t="str">
        <f>'Trial Balance'!A321&amp;"-"&amp;'Trial Balance'!B321</f>
        <v>5178-Customer Installations Expenses - Leased Property</v>
      </c>
      <c r="B131" s="304">
        <f>'Trial Balance'!H321</f>
        <v>0</v>
      </c>
    </row>
    <row r="132" spans="1:2" ht="15" customHeight="1" thickBot="1">
      <c r="A132" s="25" t="str">
        <f>'Trial Balance'!A322&amp;"-"&amp;'Trial Balance'!B322</f>
        <v>5195-Maintenance of Other Installations on Customer Premises</v>
      </c>
      <c r="B132" s="304">
        <f>'Trial Balance'!H322</f>
        <v>0</v>
      </c>
    </row>
    <row r="133" spans="1:2" ht="15" customHeight="1" thickBot="1">
      <c r="A133" s="30" t="s">
        <v>89</v>
      </c>
      <c r="B133" s="313">
        <f>SUM(B115:B132)</f>
        <v>532855.4900000001</v>
      </c>
    </row>
    <row r="134" spans="1:2" s="18" customFormat="1" ht="15" customHeight="1">
      <c r="A134" s="643"/>
      <c r="B134" s="644"/>
    </row>
    <row r="135" spans="1:2" s="18" customFormat="1" ht="15" customHeight="1">
      <c r="A135" s="641" t="s">
        <v>90</v>
      </c>
      <c r="B135" s="642"/>
    </row>
    <row r="136" spans="1:2" ht="15" customHeight="1">
      <c r="A136" s="25" t="str">
        <f>'Trial Balance'!A328&amp;"-"&amp;'Trial Balance'!B328</f>
        <v>5305-Supervision</v>
      </c>
      <c r="B136" s="304">
        <f>'Trial Balance'!H328</f>
        <v>62952.53</v>
      </c>
    </row>
    <row r="137" spans="1:2" ht="15" customHeight="1">
      <c r="A137" s="25" t="str">
        <f>'Trial Balance'!A329&amp;"-"&amp;'Trial Balance'!B329</f>
        <v>5310-Meter Reading Expense</v>
      </c>
      <c r="B137" s="304">
        <f>'Trial Balance'!H329</f>
        <v>136266.47</v>
      </c>
    </row>
    <row r="138" spans="1:2" ht="15" customHeight="1">
      <c r="A138" s="25" t="str">
        <f>'Trial Balance'!A330&amp;"-"&amp;'Trial Balance'!B330</f>
        <v>5315-Customer Billing</v>
      </c>
      <c r="B138" s="304">
        <f>'Trial Balance'!H330</f>
        <v>250783.78</v>
      </c>
    </row>
    <row r="139" spans="1:2" ht="15" customHeight="1">
      <c r="A139" s="25" t="str">
        <f>'Trial Balance'!A331&amp;"-"&amp;'Trial Balance'!B331</f>
        <v>5320-Collecting</v>
      </c>
      <c r="B139" s="304">
        <f>'Trial Balance'!H331</f>
        <v>92404.05</v>
      </c>
    </row>
    <row r="140" spans="1:2" ht="15" customHeight="1">
      <c r="A140" s="25" t="str">
        <f>'Trial Balance'!A332&amp;"-"&amp;'Trial Balance'!B332</f>
        <v>5325-Collecting - Cash Over and Short</v>
      </c>
      <c r="B140" s="304">
        <f>'Trial Balance'!H332</f>
        <v>-8.76</v>
      </c>
    </row>
    <row r="141" spans="1:2" ht="15" customHeight="1">
      <c r="A141" s="25" t="str">
        <f>'Trial Balance'!A333&amp;"-"&amp;'Trial Balance'!B333</f>
        <v>5330-Collection Charges</v>
      </c>
      <c r="B141" s="304">
        <f>'Trial Balance'!H333</f>
        <v>-285.39</v>
      </c>
    </row>
    <row r="142" spans="1:2" ht="15" customHeight="1">
      <c r="A142" s="25" t="str">
        <f>'Trial Balance'!A334&amp;"-"&amp;'Trial Balance'!B334</f>
        <v>5335-Bad Debt Expense</v>
      </c>
      <c r="B142" s="304">
        <f>'Trial Balance'!H334</f>
        <v>23483.1</v>
      </c>
    </row>
    <row r="143" spans="1:2" ht="15" customHeight="1" thickBot="1">
      <c r="A143" s="25" t="str">
        <f>'Trial Balance'!A335&amp;"-"&amp;'Trial Balance'!B335</f>
        <v>5340-Miscellaneous Customer Accounts Expenses</v>
      </c>
      <c r="B143" s="304">
        <f>'Trial Balance'!H335</f>
        <v>2017.66</v>
      </c>
    </row>
    <row r="144" spans="1:2" ht="15" customHeight="1" thickBot="1">
      <c r="A144" s="30" t="s">
        <v>99</v>
      </c>
      <c r="B144" s="313">
        <f>SUM(B136:B143)</f>
        <v>567613.4400000001</v>
      </c>
    </row>
    <row r="145" spans="1:2" s="18" customFormat="1" ht="15" customHeight="1">
      <c r="A145" s="643"/>
      <c r="B145" s="644"/>
    </row>
    <row r="146" spans="1:2" s="18" customFormat="1" ht="15" customHeight="1">
      <c r="A146" s="641" t="s">
        <v>100</v>
      </c>
      <c r="B146" s="642"/>
    </row>
    <row r="147" spans="1:2" ht="15" customHeight="1">
      <c r="A147" s="25" t="str">
        <f>'Trial Balance'!A337&amp;"-"&amp;'Trial Balance'!B337</f>
        <v>5405-Supervision</v>
      </c>
      <c r="B147" s="304">
        <f>'Trial Balance'!H337</f>
        <v>3435.52</v>
      </c>
    </row>
    <row r="148" spans="1:2" ht="15" customHeight="1">
      <c r="A148" s="25" t="str">
        <f>'Trial Balance'!A338&amp;"-"&amp;'Trial Balance'!B338</f>
        <v>5410-Community Relations - Sundry</v>
      </c>
      <c r="B148" s="304">
        <f>'Trial Balance'!H338</f>
        <v>13210.35</v>
      </c>
    </row>
    <row r="149" spans="1:2" ht="15" customHeight="1">
      <c r="A149" s="25" t="str">
        <f>'Trial Balance'!A339&amp;"-"&amp;'Trial Balance'!B339</f>
        <v>5415-Energy Conservation</v>
      </c>
      <c r="B149" s="304">
        <f>'Trial Balance'!H339</f>
        <v>23273.93</v>
      </c>
    </row>
    <row r="150" spans="1:2" ht="15" customHeight="1">
      <c r="A150" s="25" t="str">
        <f>'Trial Balance'!A340&amp;"-"&amp;'Trial Balance'!B340</f>
        <v>5420-Community Safety Program</v>
      </c>
      <c r="B150" s="304">
        <f>'Trial Balance'!H340</f>
        <v>289.07</v>
      </c>
    </row>
    <row r="151" spans="1:2" ht="15" customHeight="1" thickBot="1">
      <c r="A151" s="25" t="str">
        <f>'Trial Balance'!A341&amp;"-"&amp;'Trial Balance'!B341</f>
        <v>5425-Miscellaneous Customer Service and Informational Expenses</v>
      </c>
      <c r="B151" s="304">
        <f>'Trial Balance'!H341</f>
        <v>0</v>
      </c>
    </row>
    <row r="152" spans="1:2" ht="15" customHeight="1" thickBot="1">
      <c r="A152" s="30" t="s">
        <v>101</v>
      </c>
      <c r="B152" s="313">
        <f>SUM(B147:B151)</f>
        <v>40208.87</v>
      </c>
    </row>
    <row r="153" spans="1:2" s="18" customFormat="1" ht="15" customHeight="1">
      <c r="A153" s="643"/>
      <c r="B153" s="644"/>
    </row>
    <row r="154" spans="1:2" s="18" customFormat="1" ht="15" customHeight="1">
      <c r="A154" s="641" t="s">
        <v>102</v>
      </c>
      <c r="B154" s="642"/>
    </row>
    <row r="155" spans="1:2" ht="15" customHeight="1">
      <c r="A155" s="25" t="str">
        <f>'Trial Balance'!A348&amp;"-"&amp;'Trial Balance'!B348</f>
        <v>5605-Executive Salaries and Expenses</v>
      </c>
      <c r="B155" s="304">
        <f>'Trial Balance'!H348</f>
        <v>150084.08</v>
      </c>
    </row>
    <row r="156" spans="1:2" ht="15" customHeight="1">
      <c r="A156" s="25" t="str">
        <f>'Trial Balance'!A349&amp;"-"&amp;'Trial Balance'!B349</f>
        <v>5610-Management Salaries and Expenses</v>
      </c>
      <c r="B156" s="304">
        <f>'Trial Balance'!H349</f>
        <v>262949.4</v>
      </c>
    </row>
    <row r="157" spans="1:2" ht="15" customHeight="1">
      <c r="A157" s="25" t="str">
        <f>'Trial Balance'!A350&amp;"-"&amp;'Trial Balance'!B350</f>
        <v>5615-General Administrative Salaries and Expenses</v>
      </c>
      <c r="B157" s="304">
        <f>'Trial Balance'!H350</f>
        <v>417263.91</v>
      </c>
    </row>
    <row r="158" spans="1:2" ht="15" customHeight="1">
      <c r="A158" s="25" t="str">
        <f>'Trial Balance'!A351&amp;"-"&amp;'Trial Balance'!B351</f>
        <v>5620-Office Supplies and Expenses</v>
      </c>
      <c r="B158" s="304">
        <f>'Trial Balance'!H351</f>
        <v>77954.25</v>
      </c>
    </row>
    <row r="159" spans="1:2" ht="15" customHeight="1">
      <c r="A159" s="25" t="str">
        <f>'Trial Balance'!A352&amp;"-"&amp;'Trial Balance'!B352</f>
        <v>5625-Administrative Expense Transferred-Credit</v>
      </c>
      <c r="B159" s="304">
        <f>'Trial Balance'!H352</f>
        <v>-127754.03</v>
      </c>
    </row>
    <row r="160" spans="1:2" ht="15" customHeight="1">
      <c r="A160" s="25" t="str">
        <f>'Trial Balance'!A353&amp;"-"&amp;'Trial Balance'!B353</f>
        <v>5630-Outside Services Employed</v>
      </c>
      <c r="B160" s="304">
        <f>'Trial Balance'!H353</f>
        <v>124128.06</v>
      </c>
    </row>
    <row r="161" spans="1:2" ht="15" customHeight="1">
      <c r="A161" s="25" t="str">
        <f>'Trial Balance'!A354&amp;"-"&amp;'Trial Balance'!B354</f>
        <v>5635-Property Insurance</v>
      </c>
      <c r="B161" s="304">
        <f>'Trial Balance'!H354</f>
        <v>32574.94</v>
      </c>
    </row>
    <row r="162" spans="1:2" ht="15" customHeight="1">
      <c r="A162" s="25" t="str">
        <f>'Trial Balance'!A355&amp;"-"&amp;'Trial Balance'!B355</f>
        <v>5640-Injuries and Damages</v>
      </c>
      <c r="B162" s="304">
        <f>'Trial Balance'!H355</f>
        <v>62233.18</v>
      </c>
    </row>
    <row r="163" spans="1:2" ht="15" customHeight="1">
      <c r="A163" s="25" t="str">
        <f>'Trial Balance'!A356&amp;"-"&amp;'Trial Balance'!B356</f>
        <v>5645-Employee Pensions and Benefits</v>
      </c>
      <c r="B163" s="304">
        <f>'Trial Balance'!H356</f>
        <v>356</v>
      </c>
    </row>
    <row r="164" spans="1:2" ht="15" customHeight="1">
      <c r="A164" s="25" t="str">
        <f>'Trial Balance'!A357&amp;"-"&amp;'Trial Balance'!B357</f>
        <v>5650-Franchise Requirements</v>
      </c>
      <c r="B164" s="304">
        <f>'Trial Balance'!H357</f>
        <v>0</v>
      </c>
    </row>
    <row r="165" spans="1:2" ht="15" customHeight="1">
      <c r="A165" s="25" t="str">
        <f>'Trial Balance'!A358&amp;"-"&amp;'Trial Balance'!B358</f>
        <v>5655-Regulatory Expenses</v>
      </c>
      <c r="B165" s="304">
        <f>'Trial Balance'!H358</f>
        <v>35848.79</v>
      </c>
    </row>
    <row r="166" spans="1:2" ht="15" customHeight="1">
      <c r="A166" s="25" t="str">
        <f>'Trial Balance'!A359&amp;"-"&amp;'Trial Balance'!B359</f>
        <v>5660-General Advertising Expenses</v>
      </c>
      <c r="B166" s="304">
        <f>'Trial Balance'!H359</f>
        <v>2501.14</v>
      </c>
    </row>
    <row r="167" spans="1:2" ht="15" customHeight="1">
      <c r="A167" s="25" t="str">
        <f>'Trial Balance'!A360&amp;"-"&amp;'Trial Balance'!B360</f>
        <v>5665-Miscellaneous Expenses</v>
      </c>
      <c r="B167" s="304">
        <f>'Trial Balance'!H360</f>
        <v>104157.55</v>
      </c>
    </row>
    <row r="168" spans="1:2" ht="15" customHeight="1">
      <c r="A168" s="25" t="str">
        <f>'Trial Balance'!A361&amp;"-"&amp;'Trial Balance'!B361</f>
        <v>5670-Rent  </v>
      </c>
      <c r="B168" s="304">
        <f>'Trial Balance'!H361</f>
        <v>0</v>
      </c>
    </row>
    <row r="169" spans="1:2" ht="15" customHeight="1">
      <c r="A169" s="25" t="str">
        <f>'Trial Balance'!A362&amp;"-"&amp;'Trial Balance'!B362</f>
        <v>5675-Maintenance of General Plant</v>
      </c>
      <c r="B169" s="304">
        <f>'Trial Balance'!H362</f>
        <v>183830.84</v>
      </c>
    </row>
    <row r="170" spans="1:2" ht="15" customHeight="1">
      <c r="A170" s="25" t="str">
        <f>'Trial Balance'!A363&amp;"-"&amp;'Trial Balance'!B363</f>
        <v>5680-Electrical Safety Authority Fees</v>
      </c>
      <c r="B170" s="304">
        <f>'Trial Balance'!H363</f>
        <v>7912.84</v>
      </c>
    </row>
    <row r="171" spans="1:2" ht="15" customHeight="1">
      <c r="A171" s="25" t="str">
        <f>'Trial Balance'!A364&amp;"-"&amp;'Trial Balance'!B364</f>
        <v>5681- Special Purpose Charge Expense</v>
      </c>
      <c r="B171" s="304">
        <f>'Trial Balance'!H364</f>
        <v>0</v>
      </c>
    </row>
    <row r="172" spans="1:2" ht="15" customHeight="1">
      <c r="A172" s="25" t="str">
        <f>'Trial Balance'!A365&amp;"-"&amp;'Trial Balance'!B365</f>
        <v>5685-Independent Market Operator Fees and Penalties</v>
      </c>
      <c r="B172" s="304">
        <f>'Trial Balance'!H365</f>
        <v>0</v>
      </c>
    </row>
    <row r="173" spans="1:2" ht="15" customHeight="1" thickBot="1">
      <c r="A173" s="25" t="str">
        <f>'Trial Balance'!A366&amp;"-"&amp;'Trial Balance'!B366</f>
        <v>5695-OM&amp;A Contra Account</v>
      </c>
      <c r="B173" s="304">
        <f>'Trial Balance'!H366</f>
        <v>0</v>
      </c>
    </row>
    <row r="174" spans="1:2" ht="15" customHeight="1" thickBot="1">
      <c r="A174" s="30" t="s">
        <v>76</v>
      </c>
      <c r="B174" s="313">
        <f>SUM(B155:B173)</f>
        <v>1334040.9500000002</v>
      </c>
    </row>
    <row r="175" spans="1:2" s="18" customFormat="1" ht="15" customHeight="1">
      <c r="A175" s="643"/>
      <c r="B175" s="644"/>
    </row>
    <row r="176" spans="1:2" s="18" customFormat="1" ht="15" customHeight="1">
      <c r="A176" s="641" t="s">
        <v>77</v>
      </c>
      <c r="B176" s="642"/>
    </row>
    <row r="177" spans="1:2" s="18" customFormat="1" ht="15" customHeight="1">
      <c r="A177" s="25" t="str">
        <f>'Trial Balance'!A368&amp;"-"&amp;'Trial Balance'!B368</f>
        <v>5705-Amortization Expense - Property, Plant and Equipment</v>
      </c>
      <c r="B177" s="304">
        <f>'Trial Balance'!H368</f>
        <v>1766353.6</v>
      </c>
    </row>
    <row r="178" spans="1:2" s="18" customFormat="1" ht="15" customHeight="1">
      <c r="A178" s="25" t="str">
        <f>'Trial Balance'!A369&amp;"-"&amp;'Trial Balance'!B369</f>
        <v>5710-Amortization of Limited Term Electric Plant</v>
      </c>
      <c r="B178" s="304">
        <f>'Trial Balance'!H369</f>
        <v>0</v>
      </c>
    </row>
    <row r="179" spans="1:2" s="18" customFormat="1" ht="15" customHeight="1">
      <c r="A179" s="25" t="str">
        <f>'Trial Balance'!A370&amp;"-"&amp;'Trial Balance'!B370</f>
        <v>5715-Amortization of Intangibles and Other Electric Plant</v>
      </c>
      <c r="B179" s="304">
        <f>'Trial Balance'!H370</f>
        <v>0</v>
      </c>
    </row>
    <row r="180" spans="1:2" s="18" customFormat="1" ht="15" customHeight="1">
      <c r="A180" s="25" t="str">
        <f>'Trial Balance'!A371&amp;"-"&amp;'Trial Balance'!B371</f>
        <v>5720-Amortization of Electric Plant Acquisition Adjustments</v>
      </c>
      <c r="B180" s="304">
        <f>'Trial Balance'!H371</f>
        <v>0</v>
      </c>
    </row>
    <row r="181" spans="1:2" s="18" customFormat="1" ht="15" customHeight="1">
      <c r="A181" s="25" t="str">
        <f>'Trial Balance'!A372&amp;"-"&amp;'Trial Balance'!B372</f>
        <v>5725-Miscellaneous Amortization</v>
      </c>
      <c r="B181" s="304">
        <f>'Trial Balance'!H372</f>
        <v>0</v>
      </c>
    </row>
    <row r="182" spans="1:2" s="18" customFormat="1" ht="15" customHeight="1">
      <c r="A182" s="25" t="str">
        <f>'Trial Balance'!A373&amp;"-"&amp;'Trial Balance'!B373</f>
        <v>5730-Amortization of Unrecovered Plant and Regulatory Study Costs</v>
      </c>
      <c r="B182" s="304">
        <f>'Trial Balance'!H373</f>
        <v>0</v>
      </c>
    </row>
    <row r="183" spans="1:2" s="18" customFormat="1" ht="15" customHeight="1">
      <c r="A183" s="25" t="str">
        <f>'Trial Balance'!A374&amp;"-"&amp;'Trial Balance'!B374</f>
        <v>5735-Amortization of Deferred Development Costs</v>
      </c>
      <c r="B183" s="304">
        <f>'Trial Balance'!H374</f>
        <v>0</v>
      </c>
    </row>
    <row r="184" spans="1:2" ht="15" customHeight="1" thickBot="1">
      <c r="A184" s="25" t="str">
        <f>'Trial Balance'!A375&amp;"-"&amp;'Trial Balance'!B375</f>
        <v>5740-Amortization of Deferred Charges</v>
      </c>
      <c r="B184" s="304">
        <f>'Trial Balance'!H375</f>
        <v>0</v>
      </c>
    </row>
    <row r="185" spans="1:2" ht="15" customHeight="1" thickBot="1">
      <c r="A185" s="30" t="s">
        <v>78</v>
      </c>
      <c r="B185" s="313">
        <f>SUM(B177:B184)</f>
        <v>1766353.6</v>
      </c>
    </row>
    <row r="186" spans="1:2" s="18" customFormat="1" ht="15" customHeight="1">
      <c r="A186" s="643"/>
      <c r="B186" s="644"/>
    </row>
    <row r="187" spans="1:2" s="18" customFormat="1" ht="15" customHeight="1">
      <c r="A187" s="641" t="s">
        <v>79</v>
      </c>
      <c r="B187" s="642"/>
    </row>
    <row r="188" spans="1:2" ht="15" customHeight="1">
      <c r="A188" s="25" t="str">
        <f>'Trial Balance'!A377&amp;"-"&amp;'Trial Balance'!B377</f>
        <v>6005-Interest on Long Term Debt</v>
      </c>
      <c r="B188" s="304">
        <f>'Trial Balance'!H377</f>
        <v>735875.7</v>
      </c>
    </row>
    <row r="189" spans="1:2" ht="15" customHeight="1">
      <c r="A189" s="25" t="str">
        <f>'Trial Balance'!A378&amp;"-"&amp;'Trial Balance'!B378</f>
        <v>6010-Amortization of Debt Discount and Expense</v>
      </c>
      <c r="B189" s="304">
        <f>'Trial Balance'!H378</f>
        <v>0</v>
      </c>
    </row>
    <row r="190" spans="1:2" ht="15" customHeight="1">
      <c r="A190" s="25" t="str">
        <f>'Trial Balance'!A379&amp;"-"&amp;'Trial Balance'!B379</f>
        <v>6015-Amortization of Premium on Debt-Credit</v>
      </c>
      <c r="B190" s="304">
        <f>'Trial Balance'!H379</f>
        <v>0</v>
      </c>
    </row>
    <row r="191" spans="1:2" ht="15" customHeight="1">
      <c r="A191" s="25" t="str">
        <f>'Trial Balance'!A380&amp;"-"&amp;'Trial Balance'!B380</f>
        <v>6020-Amortization of Loss on Reacquired Debt</v>
      </c>
      <c r="B191" s="304">
        <f>'Trial Balance'!H380</f>
        <v>0</v>
      </c>
    </row>
    <row r="192" spans="1:2" ht="15" customHeight="1">
      <c r="A192" s="25" t="str">
        <f>'Trial Balance'!A381&amp;"-"&amp;'Trial Balance'!B381</f>
        <v>6025-Amortization of Gain on Reacquired Debt-Credit</v>
      </c>
      <c r="B192" s="304">
        <f>'Trial Balance'!H381</f>
        <v>0</v>
      </c>
    </row>
    <row r="193" spans="1:2" ht="15" customHeight="1">
      <c r="A193" s="25" t="str">
        <f>'Trial Balance'!A382&amp;"-"&amp;'Trial Balance'!B382</f>
        <v>6030-Interest on Debt to Associated Companies</v>
      </c>
      <c r="B193" s="304">
        <f>'Trial Balance'!H382</f>
        <v>0</v>
      </c>
    </row>
    <row r="194" spans="1:2" ht="15" customHeight="1">
      <c r="A194" s="25" t="str">
        <f>'Trial Balance'!A383&amp;"-"&amp;'Trial Balance'!B383</f>
        <v>6035-Other Interest Expense</v>
      </c>
      <c r="B194" s="304">
        <f>'Trial Balance'!H383</f>
        <v>118085.42</v>
      </c>
    </row>
    <row r="195" spans="1:2" ht="15" customHeight="1">
      <c r="A195" s="25" t="str">
        <f>'Trial Balance'!A384&amp;"-"&amp;'Trial Balance'!B384</f>
        <v>6040-Allowance for Borrowed Funds Used During Construction-Credit</v>
      </c>
      <c r="B195" s="304">
        <f>'Trial Balance'!H384</f>
        <v>0</v>
      </c>
    </row>
    <row r="196" spans="1:2" ht="15" customHeight="1">
      <c r="A196" s="25" t="str">
        <f>'Trial Balance'!A385&amp;"-"&amp;'Trial Balance'!B385</f>
        <v>6042-Allowance for Other Funds Used During Construction</v>
      </c>
      <c r="B196" s="304">
        <f>'Trial Balance'!H385</f>
        <v>0</v>
      </c>
    </row>
    <row r="197" spans="1:2" ht="15" customHeight="1" thickBot="1">
      <c r="A197" s="25" t="str">
        <f>'Trial Balance'!A386&amp;"-"&amp;'Trial Balance'!B386</f>
        <v>6045-Interest Expense on Capital Lease Obligations</v>
      </c>
      <c r="B197" s="304">
        <f>'Trial Balance'!H386</f>
        <v>0</v>
      </c>
    </row>
    <row r="198" spans="1:2" ht="15" customHeight="1" thickBot="1">
      <c r="A198" s="30" t="s">
        <v>541</v>
      </c>
      <c r="B198" s="313">
        <f>SUM(B188:B197)</f>
        <v>853961.12</v>
      </c>
    </row>
    <row r="199" spans="1:2" s="18" customFormat="1" ht="15" customHeight="1">
      <c r="A199" s="643"/>
      <c r="B199" s="644"/>
    </row>
    <row r="200" spans="1:2" s="18" customFormat="1" ht="15" customHeight="1">
      <c r="A200" s="641" t="s">
        <v>542</v>
      </c>
      <c r="B200" s="642"/>
    </row>
    <row r="201" spans="1:2" ht="15" customHeight="1" thickBot="1">
      <c r="A201" s="25" t="str">
        <f>'Trial Balance'!A388&amp;"-"&amp;'Trial Balance'!B388</f>
        <v>6105-Taxes Other Than Income Taxes</v>
      </c>
      <c r="B201" s="304">
        <f>'Trial Balance'!H388</f>
        <v>125668.03</v>
      </c>
    </row>
    <row r="202" spans="1:2" ht="15" customHeight="1" thickBot="1">
      <c r="A202" s="30" t="s">
        <v>545</v>
      </c>
      <c r="B202" s="313">
        <f>SUM(B201)</f>
        <v>125668.03</v>
      </c>
    </row>
    <row r="203" spans="1:2" s="18" customFormat="1" ht="15" customHeight="1">
      <c r="A203" s="643"/>
      <c r="B203" s="644"/>
    </row>
    <row r="204" spans="1:2" s="18" customFormat="1" ht="15" customHeight="1">
      <c r="A204" s="641" t="s">
        <v>546</v>
      </c>
      <c r="B204" s="642"/>
    </row>
    <row r="205" spans="1:2" ht="15" customHeight="1">
      <c r="A205" s="25" t="str">
        <f>'Trial Balance'!A389&amp;"-"&amp;'Trial Balance'!B389</f>
        <v>6110-Income Taxes</v>
      </c>
      <c r="B205" s="304">
        <f>'Trial Balance'!H389</f>
        <v>842374</v>
      </c>
    </row>
    <row r="206" spans="1:2" ht="15" customHeight="1" thickBot="1">
      <c r="A206" s="25" t="str">
        <f>'Trial Balance'!A390&amp;"-"&amp;'Trial Balance'!B390</f>
        <v>6115-Provision for Future Income Taxes</v>
      </c>
      <c r="B206" s="304">
        <f>'Trial Balance'!H390</f>
        <v>-388596.5</v>
      </c>
    </row>
    <row r="207" spans="1:2" ht="15" customHeight="1" thickBot="1">
      <c r="A207" s="30" t="s">
        <v>547</v>
      </c>
      <c r="B207" s="313">
        <f>SUM(B205:B206)</f>
        <v>453777.5</v>
      </c>
    </row>
    <row r="208" spans="1:2" s="18" customFormat="1" ht="15" customHeight="1">
      <c r="A208" s="643"/>
      <c r="B208" s="644"/>
    </row>
    <row r="209" spans="1:2" s="18" customFormat="1" ht="15" customHeight="1">
      <c r="A209" s="641" t="s">
        <v>528</v>
      </c>
      <c r="B209" s="642"/>
    </row>
    <row r="210" spans="1:2" ht="15" customHeight="1">
      <c r="A210" s="25" t="str">
        <f>'Trial Balance'!A392&amp;"-"&amp;'Trial Balance'!B392</f>
        <v>6205-Donations</v>
      </c>
      <c r="B210" s="304">
        <f>'Trial Balance'!H392</f>
        <v>550</v>
      </c>
    </row>
    <row r="211" spans="1:2" ht="15" customHeight="1">
      <c r="A211" s="25" t="str">
        <f>'Trial Balance'!A393&amp;"-"&amp;'Trial Balance'!B393</f>
        <v>6210-Life Insurance</v>
      </c>
      <c r="B211" s="304">
        <f>'Trial Balance'!H393</f>
        <v>0</v>
      </c>
    </row>
    <row r="212" spans="1:2" ht="15" customHeight="1">
      <c r="A212" s="25" t="str">
        <f>'Trial Balance'!A394&amp;"-"&amp;'Trial Balance'!B394</f>
        <v>6215-Penalties</v>
      </c>
      <c r="B212" s="304">
        <f>'Trial Balance'!H394</f>
        <v>0</v>
      </c>
    </row>
    <row r="213" spans="1:7" ht="15" customHeight="1" thickBot="1">
      <c r="A213" s="25" t="str">
        <f>'Trial Balance'!A395&amp;"-"&amp;'Trial Balance'!B395</f>
        <v>6225-Other Deductions</v>
      </c>
      <c r="B213" s="304">
        <f>'Trial Balance'!H395</f>
        <v>0</v>
      </c>
      <c r="D213" s="10"/>
      <c r="E213" s="10"/>
      <c r="F213" s="10"/>
      <c r="G213" s="10"/>
    </row>
    <row r="214" spans="1:2" ht="15" customHeight="1" thickBot="1">
      <c r="A214" s="30" t="s">
        <v>529</v>
      </c>
      <c r="B214" s="313">
        <f>SUM(B210:B213)</f>
        <v>550</v>
      </c>
    </row>
    <row r="215" spans="1:7" s="10" customFormat="1" ht="15" customHeight="1" thickBot="1">
      <c r="A215" s="643"/>
      <c r="B215" s="644"/>
      <c r="D215"/>
      <c r="E215"/>
      <c r="F215"/>
      <c r="G215"/>
    </row>
    <row r="216" spans="1:2" ht="18.75" customHeight="1" thickBot="1">
      <c r="A216" s="31" t="s">
        <v>801</v>
      </c>
      <c r="B216" s="314">
        <f>B24+B31+B43+B67+B72+B86+B112+B133+B144+B152+B174+B185+B198+B202+B207+B214</f>
        <v>-898752.9600000072</v>
      </c>
    </row>
    <row r="217" spans="1:2" ht="15">
      <c r="A217" s="9"/>
      <c r="B217" s="315"/>
    </row>
    <row r="218" spans="1:2" ht="13.5">
      <c r="A218" s="635" t="s">
        <v>905</v>
      </c>
      <c r="B218" s="636"/>
    </row>
    <row r="219" spans="1:2" ht="12.75">
      <c r="A219" s="387" t="s">
        <v>906</v>
      </c>
      <c r="B219" s="388">
        <f>B216</f>
        <v>-898752.9600000072</v>
      </c>
    </row>
    <row r="220" spans="1:2" ht="12.75">
      <c r="A220" s="389" t="s">
        <v>914</v>
      </c>
      <c r="B220" s="388">
        <v>416</v>
      </c>
    </row>
    <row r="221" spans="1:2" ht="12.75">
      <c r="A221" s="390" t="s">
        <v>907</v>
      </c>
      <c r="B221" s="391">
        <f>SUM(B219:B220)</f>
        <v>-898336.9600000072</v>
      </c>
    </row>
    <row r="222" spans="1:2" ht="15">
      <c r="A222" s="9"/>
      <c r="B222" s="315"/>
    </row>
    <row r="223" spans="1:2" ht="15">
      <c r="A223" s="9"/>
      <c r="B223" s="315"/>
    </row>
    <row r="224" spans="1:2" ht="15">
      <c r="A224" s="9"/>
      <c r="B224" s="315"/>
    </row>
    <row r="225" spans="1:2" ht="15">
      <c r="A225" s="9"/>
      <c r="B225" s="315"/>
    </row>
    <row r="226" spans="1:2" ht="15">
      <c r="A226" s="9"/>
      <c r="B226" s="315"/>
    </row>
    <row r="227" spans="1:2" ht="15">
      <c r="A227" s="9"/>
      <c r="B227" s="315"/>
    </row>
    <row r="228" spans="1:2" ht="15">
      <c r="A228" s="9"/>
      <c r="B228" s="315"/>
    </row>
    <row r="229" spans="1:2" ht="15">
      <c r="A229" s="9"/>
      <c r="B229" s="315"/>
    </row>
    <row r="230" spans="1:2" ht="15">
      <c r="A230" s="9"/>
      <c r="B230" s="315"/>
    </row>
    <row r="231" spans="1:2" ht="15">
      <c r="A231" s="9"/>
      <c r="B231" s="315"/>
    </row>
    <row r="232" spans="1:2" ht="15">
      <c r="A232" s="9"/>
      <c r="B232" s="315"/>
    </row>
    <row r="233" spans="1:2" ht="15">
      <c r="A233" s="9"/>
      <c r="B233" s="315"/>
    </row>
    <row r="234" spans="1:2" ht="15">
      <c r="A234" s="9"/>
      <c r="B234" s="315"/>
    </row>
    <row r="235" spans="1:2" ht="15">
      <c r="A235" s="9"/>
      <c r="B235" s="315"/>
    </row>
    <row r="236" spans="1:2" ht="15">
      <c r="A236" s="9"/>
      <c r="B236" s="315"/>
    </row>
    <row r="237" spans="1:2" ht="15">
      <c r="A237" s="9"/>
      <c r="B237" s="315"/>
    </row>
    <row r="238" spans="1:2" ht="15">
      <c r="A238" s="9"/>
      <c r="B238" s="315"/>
    </row>
    <row r="239" spans="1:2" ht="15">
      <c r="A239" s="9"/>
      <c r="B239" s="315"/>
    </row>
    <row r="240" spans="1:2" ht="15">
      <c r="A240" s="9"/>
      <c r="B240" s="315"/>
    </row>
    <row r="241" spans="1:2" ht="15">
      <c r="A241" s="9"/>
      <c r="B241" s="315"/>
    </row>
    <row r="242" spans="1:2" ht="15">
      <c r="A242" s="9"/>
      <c r="B242" s="315"/>
    </row>
    <row r="243" spans="1:2" ht="15">
      <c r="A243" s="9"/>
      <c r="B243" s="315"/>
    </row>
    <row r="244" spans="1:2" ht="15">
      <c r="A244" s="9"/>
      <c r="B244" s="315"/>
    </row>
    <row r="245" spans="1:2" ht="15">
      <c r="A245" s="9"/>
      <c r="B245" s="315"/>
    </row>
    <row r="246" spans="1:2" ht="15">
      <c r="A246" s="9"/>
      <c r="B246" s="315"/>
    </row>
    <row r="247" spans="1:2" ht="15">
      <c r="A247" s="9"/>
      <c r="B247" s="315"/>
    </row>
    <row r="248" spans="1:2" ht="15">
      <c r="A248" s="9"/>
      <c r="B248" s="315"/>
    </row>
    <row r="249" spans="1:2" ht="15">
      <c r="A249" s="9"/>
      <c r="B249" s="315"/>
    </row>
    <row r="250" spans="1:2" ht="15">
      <c r="A250" s="9"/>
      <c r="B250" s="315"/>
    </row>
    <row r="251" spans="1:2" ht="15">
      <c r="A251" s="9"/>
      <c r="B251" s="315"/>
    </row>
    <row r="252" spans="1:2" ht="15">
      <c r="A252" s="9"/>
      <c r="B252" s="315"/>
    </row>
    <row r="253" spans="1:2" ht="15">
      <c r="A253" s="9"/>
      <c r="B253" s="315"/>
    </row>
    <row r="254" spans="1:2" ht="15">
      <c r="A254" s="9"/>
      <c r="B254" s="315"/>
    </row>
    <row r="255" spans="1:2" ht="15">
      <c r="A255" s="9"/>
      <c r="B255" s="315"/>
    </row>
    <row r="256" spans="1:2" ht="15">
      <c r="A256" s="9"/>
      <c r="B256" s="315"/>
    </row>
    <row r="257" spans="1:2" ht="15">
      <c r="A257" s="9"/>
      <c r="B257" s="315"/>
    </row>
    <row r="258" spans="1:2" ht="15">
      <c r="A258" s="9"/>
      <c r="B258" s="315"/>
    </row>
    <row r="259" spans="1:2" ht="15">
      <c r="A259" s="9"/>
      <c r="B259" s="315"/>
    </row>
    <row r="260" spans="1:2" ht="15">
      <c r="A260" s="9"/>
      <c r="B260" s="315"/>
    </row>
    <row r="261" spans="1:2" ht="15">
      <c r="A261" s="9"/>
      <c r="B261" s="315"/>
    </row>
    <row r="262" spans="1:2" ht="15">
      <c r="A262" s="9"/>
      <c r="B262" s="315"/>
    </row>
    <row r="263" spans="1:2" ht="15">
      <c r="A263" s="9"/>
      <c r="B263" s="315"/>
    </row>
    <row r="264" spans="1:2" ht="15">
      <c r="A264" s="9"/>
      <c r="B264" s="315"/>
    </row>
    <row r="265" spans="1:2" ht="15">
      <c r="A265" s="9"/>
      <c r="B265" s="315"/>
    </row>
    <row r="266" spans="1:2" ht="15">
      <c r="A266" s="9"/>
      <c r="B266" s="315"/>
    </row>
    <row r="267" spans="1:2" ht="15">
      <c r="A267" s="9"/>
      <c r="B267" s="315"/>
    </row>
    <row r="268" spans="1:2" ht="15">
      <c r="A268" s="9"/>
      <c r="B268" s="315"/>
    </row>
    <row r="269" spans="1:2" ht="15">
      <c r="A269" s="9"/>
      <c r="B269" s="315"/>
    </row>
    <row r="270" spans="1:2" ht="15">
      <c r="A270" s="9"/>
      <c r="B270" s="315"/>
    </row>
    <row r="271" spans="1:2" ht="15">
      <c r="A271" s="9"/>
      <c r="B271" s="315"/>
    </row>
    <row r="272" spans="1:2" ht="15">
      <c r="A272" s="9"/>
      <c r="B272" s="315"/>
    </row>
    <row r="273" spans="1:2" ht="15">
      <c r="A273" s="9"/>
      <c r="B273" s="315"/>
    </row>
    <row r="274" spans="1:2" ht="15">
      <c r="A274" s="9"/>
      <c r="B274" s="315"/>
    </row>
    <row r="275" spans="1:2" ht="15">
      <c r="A275" s="9"/>
      <c r="B275" s="315"/>
    </row>
    <row r="276" spans="1:2" ht="15">
      <c r="A276" s="9"/>
      <c r="B276" s="315"/>
    </row>
    <row r="277" spans="1:2" ht="15">
      <c r="A277" s="9"/>
      <c r="B277" s="315"/>
    </row>
    <row r="278" spans="1:2" ht="15">
      <c r="A278" s="9"/>
      <c r="B278" s="315"/>
    </row>
    <row r="279" spans="1:2" ht="15">
      <c r="A279" s="9"/>
      <c r="B279" s="315"/>
    </row>
    <row r="280" spans="1:2" ht="15">
      <c r="A280" s="9"/>
      <c r="B280" s="315"/>
    </row>
    <row r="281" spans="1:2" ht="15">
      <c r="A281" s="9"/>
      <c r="B281" s="315"/>
    </row>
    <row r="282" spans="1:2" ht="15">
      <c r="A282" s="9"/>
      <c r="B282" s="315"/>
    </row>
    <row r="283" spans="1:2" ht="15">
      <c r="A283" s="9"/>
      <c r="B283" s="315"/>
    </row>
    <row r="284" spans="1:2" ht="15">
      <c r="A284" s="9"/>
      <c r="B284" s="315"/>
    </row>
    <row r="285" spans="1:2" ht="15">
      <c r="A285" s="9"/>
      <c r="B285" s="315"/>
    </row>
    <row r="286" spans="1:2" ht="15">
      <c r="A286" s="9"/>
      <c r="B286" s="315"/>
    </row>
    <row r="287" spans="1:2" ht="15">
      <c r="A287" s="9"/>
      <c r="B287" s="315"/>
    </row>
    <row r="288" spans="1:2" ht="15">
      <c r="A288" s="9"/>
      <c r="B288" s="315"/>
    </row>
    <row r="289" spans="1:2" ht="15">
      <c r="A289" s="9"/>
      <c r="B289" s="315"/>
    </row>
    <row r="290" spans="1:2" ht="15">
      <c r="A290" s="9"/>
      <c r="B290" s="315"/>
    </row>
    <row r="291" spans="1:2" ht="15">
      <c r="A291" s="9"/>
      <c r="B291" s="315"/>
    </row>
    <row r="292" spans="1:2" ht="15">
      <c r="A292" s="9"/>
      <c r="B292" s="315"/>
    </row>
    <row r="293" spans="1:2" ht="15">
      <c r="A293" s="9"/>
      <c r="B293" s="315"/>
    </row>
    <row r="294" spans="1:2" ht="15">
      <c r="A294" s="9"/>
      <c r="B294" s="315"/>
    </row>
    <row r="295" spans="1:2" ht="15">
      <c r="A295" s="9"/>
      <c r="B295" s="315"/>
    </row>
    <row r="296" spans="1:2" ht="15">
      <c r="A296" s="9"/>
      <c r="B296" s="315"/>
    </row>
    <row r="297" spans="1:2" ht="15">
      <c r="A297" s="9"/>
      <c r="B297" s="315"/>
    </row>
    <row r="298" spans="1:2" ht="15">
      <c r="A298" s="9"/>
      <c r="B298" s="315"/>
    </row>
    <row r="299" spans="1:2" ht="15">
      <c r="A299" s="9"/>
      <c r="B299" s="315"/>
    </row>
    <row r="300" spans="1:2" ht="15">
      <c r="A300" s="9"/>
      <c r="B300" s="315"/>
    </row>
    <row r="301" spans="1:2" ht="15">
      <c r="A301" s="9"/>
      <c r="B301" s="315"/>
    </row>
    <row r="302" spans="1:2" ht="15">
      <c r="A302" s="9"/>
      <c r="B302" s="315"/>
    </row>
    <row r="303" spans="1:2" ht="15">
      <c r="A303" s="9"/>
      <c r="B303" s="315"/>
    </row>
    <row r="304" spans="1:2" ht="15">
      <c r="A304" s="9"/>
      <c r="B304" s="315"/>
    </row>
    <row r="305" spans="1:2" ht="15">
      <c r="A305" s="9"/>
      <c r="B305" s="315"/>
    </row>
    <row r="306" spans="1:2" ht="15">
      <c r="A306" s="9"/>
      <c r="B306" s="315"/>
    </row>
    <row r="307" spans="1:2" ht="15">
      <c r="A307" s="9"/>
      <c r="B307" s="315"/>
    </row>
    <row r="308" spans="1:2" ht="15">
      <c r="A308" s="9"/>
      <c r="B308" s="315"/>
    </row>
    <row r="309" spans="1:2" ht="15">
      <c r="A309" s="9"/>
      <c r="B309" s="315"/>
    </row>
    <row r="310" spans="1:2" ht="15">
      <c r="A310" s="9"/>
      <c r="B310" s="315"/>
    </row>
    <row r="311" spans="1:2" ht="15">
      <c r="A311" s="9"/>
      <c r="B311" s="315"/>
    </row>
    <row r="312" spans="1:2" ht="15">
      <c r="A312" s="9"/>
      <c r="B312" s="315"/>
    </row>
    <row r="313" spans="1:2" ht="15">
      <c r="A313" s="9"/>
      <c r="B313" s="315"/>
    </row>
    <row r="314" spans="1:2" ht="15">
      <c r="A314" s="9"/>
      <c r="B314" s="315"/>
    </row>
    <row r="315" spans="1:2" ht="15">
      <c r="A315" s="9"/>
      <c r="B315" s="315"/>
    </row>
    <row r="316" spans="1:2" ht="15">
      <c r="A316" s="9"/>
      <c r="B316" s="315"/>
    </row>
    <row r="317" spans="1:2" ht="15">
      <c r="A317" s="9"/>
      <c r="B317" s="315"/>
    </row>
    <row r="318" spans="1:2" ht="15">
      <c r="A318" s="9"/>
      <c r="B318" s="315"/>
    </row>
    <row r="319" spans="1:2" ht="15">
      <c r="A319" s="9"/>
      <c r="B319" s="315"/>
    </row>
    <row r="320" spans="1:2" ht="15">
      <c r="A320" s="9"/>
      <c r="B320" s="315"/>
    </row>
    <row r="321" spans="1:2" ht="15">
      <c r="A321" s="9"/>
      <c r="B321" s="315"/>
    </row>
    <row r="322" spans="1:2" ht="15">
      <c r="A322" s="9"/>
      <c r="B322" s="315"/>
    </row>
    <row r="323" spans="1:2" ht="15">
      <c r="A323" s="9"/>
      <c r="B323" s="315"/>
    </row>
    <row r="324" spans="1:2" ht="15">
      <c r="A324" s="9"/>
      <c r="B324" s="315"/>
    </row>
    <row r="325" spans="1:2" ht="15">
      <c r="A325" s="9"/>
      <c r="B325" s="315"/>
    </row>
    <row r="326" spans="1:2" ht="15">
      <c r="A326" s="9"/>
      <c r="B326" s="315"/>
    </row>
    <row r="327" spans="1:2" ht="15">
      <c r="A327" s="9"/>
      <c r="B327" s="315"/>
    </row>
    <row r="328" spans="1:2" ht="15">
      <c r="A328" s="9"/>
      <c r="B328" s="315"/>
    </row>
    <row r="329" spans="1:2" ht="15">
      <c r="A329" s="9"/>
      <c r="B329" s="315"/>
    </row>
    <row r="330" spans="1:2" ht="15">
      <c r="A330" s="9"/>
      <c r="B330" s="315"/>
    </row>
    <row r="331" spans="1:2" ht="15">
      <c r="A331" s="9"/>
      <c r="B331" s="315"/>
    </row>
  </sheetData>
  <sheetProtection/>
  <mergeCells count="37">
    <mergeCell ref="A187:B187"/>
    <mergeCell ref="A199:B199"/>
    <mergeCell ref="A200:B200"/>
    <mergeCell ref="A215:B215"/>
    <mergeCell ref="A203:B203"/>
    <mergeCell ref="A204:B204"/>
    <mergeCell ref="A208:B208"/>
    <mergeCell ref="A209:B209"/>
    <mergeCell ref="A26:B26"/>
    <mergeCell ref="A44:B44"/>
    <mergeCell ref="A68:B68"/>
    <mergeCell ref="A69:B69"/>
    <mergeCell ref="A73:B73"/>
    <mergeCell ref="A146:B146"/>
    <mergeCell ref="A176:B176"/>
    <mergeCell ref="A154:B154"/>
    <mergeCell ref="A45:B45"/>
    <mergeCell ref="A134:B134"/>
    <mergeCell ref="A145:B145"/>
    <mergeCell ref="A135:B135"/>
    <mergeCell ref="A74:B74"/>
    <mergeCell ref="A218:B218"/>
    <mergeCell ref="A1:B1"/>
    <mergeCell ref="A2:B2"/>
    <mergeCell ref="A3:B3"/>
    <mergeCell ref="A32:B32"/>
    <mergeCell ref="A33:B33"/>
    <mergeCell ref="A4:B4"/>
    <mergeCell ref="A6:B6"/>
    <mergeCell ref="A25:B25"/>
    <mergeCell ref="A186:B186"/>
    <mergeCell ref="A87:B87"/>
    <mergeCell ref="A88:B88"/>
    <mergeCell ref="A113:B113"/>
    <mergeCell ref="A114:B114"/>
    <mergeCell ref="A153:B153"/>
    <mergeCell ref="A175:B175"/>
  </mergeCells>
  <printOptions/>
  <pageMargins left="0.7480314960629921" right="0.7480314960629921" top="0.984251968503937" bottom="0.7874015748031497" header="0.5118110236220472" footer="0.5118110236220472"/>
  <pageSetup fitToHeight="4" fitToWidth="1" horizontalDpi="355" verticalDpi="355" orientation="portrait" scale="79" r:id="rId1"/>
  <headerFooter alignWithMargins="0">
    <oddFooter>&amp;L&amp;A</oddFooter>
  </headerFooter>
  <rowBreaks count="5" manualBreakCount="5">
    <brk id="44" max="255" man="1"/>
    <brk id="87" max="255" man="1"/>
    <brk id="113" max="255" man="1"/>
    <brk id="153" max="255" man="1"/>
    <brk id="18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356"/>
  <sheetViews>
    <sheetView showGridLines="0" zoomScalePageLayoutView="0" workbookViewId="0" topLeftCell="A10">
      <selection activeCell="F10" sqref="F10"/>
    </sheetView>
  </sheetViews>
  <sheetFormatPr defaultColWidth="9.140625" defaultRowHeight="12.75"/>
  <cols>
    <col min="1" max="1" width="73.28125" style="24" customWidth="1"/>
    <col min="2" max="2" width="20.8515625" style="326" customWidth="1"/>
    <col min="5" max="5" width="14.00390625" style="0" bestFit="1" customWidth="1"/>
    <col min="6" max="6" width="12.57421875" style="0" customWidth="1"/>
  </cols>
  <sheetData>
    <row r="1" spans="1:2" ht="12.75">
      <c r="A1" s="614" t="str">
        <f>'Trial Balance'!A1:J1</f>
        <v>Woodstock Hydro Services Inc.</v>
      </c>
      <c r="B1" s="614"/>
    </row>
    <row r="2" spans="1:2" ht="12.75">
      <c r="A2" s="614" t="str">
        <f>'Trial Balance'!A2:J2</f>
        <v>, License Number ED-2003-0011, File Number EB-2010-0145</v>
      </c>
      <c r="B2" s="614"/>
    </row>
    <row r="3" spans="1:2" ht="15">
      <c r="A3" s="637" t="str">
        <f>Notes!B4</f>
        <v>Woodstock Hydro Services Inc.</v>
      </c>
      <c r="B3" s="637"/>
    </row>
    <row r="4" spans="1:2" ht="15">
      <c r="A4" s="637" t="s">
        <v>202</v>
      </c>
      <c r="B4" s="637"/>
    </row>
    <row r="5" spans="1:2" ht="15" customHeight="1">
      <c r="A5" s="59" t="s">
        <v>530</v>
      </c>
      <c r="B5" s="316" t="s">
        <v>154</v>
      </c>
    </row>
    <row r="6" spans="1:2" s="18" customFormat="1" ht="15" customHeight="1">
      <c r="A6" s="638" t="s">
        <v>149</v>
      </c>
      <c r="B6" s="638"/>
    </row>
    <row r="7" spans="1:6" ht="15" customHeight="1">
      <c r="A7" s="25" t="str">
        <f>'Trial Balance'!A8&amp;"-"&amp;'Trial Balance'!B8</f>
        <v>1005-Cash</v>
      </c>
      <c r="B7" s="317">
        <f>'Trial Balance'!J8</f>
        <v>2156851.149999991</v>
      </c>
      <c r="E7" s="234"/>
      <c r="F7" s="236"/>
    </row>
    <row r="8" spans="1:6" ht="15" customHeight="1">
      <c r="A8" s="25" t="str">
        <f>'Trial Balance'!A9&amp;"-"&amp;'Trial Balance'!B9</f>
        <v>1010-Cash Advances and Working Funds</v>
      </c>
      <c r="B8" s="317">
        <f>'Trial Balance'!J9</f>
        <v>450</v>
      </c>
      <c r="E8" s="234"/>
      <c r="F8" s="236"/>
    </row>
    <row r="9" spans="1:6" ht="15" customHeight="1">
      <c r="A9" s="25" t="str">
        <f>'Trial Balance'!A10&amp;"-"&amp;'Trial Balance'!B10</f>
        <v>1020-Interest Special Deposits</v>
      </c>
      <c r="B9" s="317">
        <f>'Trial Balance'!J10</f>
        <v>0</v>
      </c>
      <c r="E9" s="234"/>
      <c r="F9" s="236"/>
    </row>
    <row r="10" spans="1:6" ht="15" customHeight="1">
      <c r="A10" s="25" t="str">
        <f>'Trial Balance'!A11&amp;"-"&amp;'Trial Balance'!B11</f>
        <v>1030-Dividend Special Deposits</v>
      </c>
      <c r="B10" s="317">
        <f>'Trial Balance'!J11</f>
        <v>0</v>
      </c>
      <c r="E10" s="234"/>
      <c r="F10" s="236"/>
    </row>
    <row r="11" spans="1:6" ht="15" customHeight="1">
      <c r="A11" s="25" t="str">
        <f>'Trial Balance'!A12&amp;"-"&amp;'Trial Balance'!B12</f>
        <v>1040-Other Special Deposits</v>
      </c>
      <c r="B11" s="317">
        <f>'Trial Balance'!J12</f>
        <v>0</v>
      </c>
      <c r="E11" s="234"/>
      <c r="F11" s="236"/>
    </row>
    <row r="12" spans="1:6" ht="15" customHeight="1">
      <c r="A12" s="25" t="str">
        <f>'Trial Balance'!A13&amp;"-"&amp;'Trial Balance'!B13</f>
        <v>1060-Term Deposits</v>
      </c>
      <c r="B12" s="317">
        <f>'Trial Balance'!J13</f>
        <v>0</v>
      </c>
      <c r="E12" s="234"/>
      <c r="F12" s="236"/>
    </row>
    <row r="13" spans="1:6" ht="15" customHeight="1">
      <c r="A13" s="25" t="str">
        <f>'Trial Balance'!A14&amp;"-"&amp;'Trial Balance'!B14</f>
        <v>1070-Current Investments</v>
      </c>
      <c r="B13" s="317">
        <f>'Trial Balance'!J14</f>
        <v>0</v>
      </c>
      <c r="E13" s="234"/>
      <c r="F13" s="236"/>
    </row>
    <row r="14" spans="1:6" ht="15" customHeight="1">
      <c r="A14" s="25" t="str">
        <f>'Trial Balance'!A15&amp;"-"&amp;'Trial Balance'!B15</f>
        <v>1100-Customer Accounts Receivable</v>
      </c>
      <c r="B14" s="317">
        <f>'Trial Balance'!J15</f>
        <v>3213994.2699999996</v>
      </c>
      <c r="E14" s="234"/>
      <c r="F14" s="236"/>
    </row>
    <row r="15" spans="1:6" ht="15" customHeight="1">
      <c r="A15" s="25" t="str">
        <f>'Trial Balance'!A16&amp;"-"&amp;'Trial Balance'!B16</f>
        <v>1102-Accounts Receivable - Services</v>
      </c>
      <c r="B15" s="317">
        <f>'Trial Balance'!J16</f>
        <v>40325.68999999999</v>
      </c>
      <c r="E15" s="234"/>
      <c r="F15" s="236"/>
    </row>
    <row r="16" spans="1:6" ht="15" customHeight="1">
      <c r="A16" s="25" t="str">
        <f>'Trial Balance'!A17&amp;"-"&amp;'Trial Balance'!B17</f>
        <v>1104-Accounts Receivable - Recoverable Work</v>
      </c>
      <c r="B16" s="317">
        <f>'Trial Balance'!J17</f>
        <v>219327.82000000007</v>
      </c>
      <c r="E16" s="234"/>
      <c r="F16" s="236"/>
    </row>
    <row r="17" spans="1:6" ht="15" customHeight="1">
      <c r="A17" s="25" t="str">
        <f>'Trial Balance'!A18&amp;"-"&amp;'Trial Balance'!B18</f>
        <v>1105-Accounts Receivable - Merchandise, Jobbing, etc.</v>
      </c>
      <c r="B17" s="317">
        <f>'Trial Balance'!J18</f>
        <v>0</v>
      </c>
      <c r="E17" s="234"/>
      <c r="F17" s="236"/>
    </row>
    <row r="18" spans="1:6" ht="15" customHeight="1">
      <c r="A18" s="25" t="str">
        <f>'Trial Balance'!A19&amp;"-"&amp;'Trial Balance'!B19</f>
        <v>1110-Other Accounts Receivable</v>
      </c>
      <c r="B18" s="317">
        <f>'Trial Balance'!J19</f>
        <v>100343.57</v>
      </c>
      <c r="E18" s="234"/>
      <c r="F18" s="236"/>
    </row>
    <row r="19" spans="1:6" ht="15" customHeight="1">
      <c r="A19" s="25" t="str">
        <f>'Trial Balance'!A20&amp;"-"&amp;'Trial Balance'!B20</f>
        <v>1120-Accrued Utility Revenues</v>
      </c>
      <c r="B19" s="317">
        <f>'Trial Balance'!J20</f>
        <v>3606542.919999999</v>
      </c>
      <c r="E19" s="234"/>
      <c r="F19" s="236"/>
    </row>
    <row r="20" spans="1:6" ht="15" customHeight="1">
      <c r="A20" s="25" t="str">
        <f>'Trial Balance'!A21&amp;"-"&amp;'Trial Balance'!B21</f>
        <v>1130-Accumulated Provision for Uncollectable Accounts -- Credit</v>
      </c>
      <c r="B20" s="317">
        <f>'Trial Balance'!J21</f>
        <v>-35000</v>
      </c>
      <c r="E20" s="234"/>
      <c r="F20" s="236"/>
    </row>
    <row r="21" spans="1:6" ht="15" customHeight="1">
      <c r="A21" s="25" t="str">
        <f>'Trial Balance'!A22&amp;"-"&amp;'Trial Balance'!B22</f>
        <v>1140-Interest and Dividends Receivable</v>
      </c>
      <c r="B21" s="317">
        <f>'Trial Balance'!J22</f>
        <v>0</v>
      </c>
      <c r="E21" s="234"/>
      <c r="F21" s="236"/>
    </row>
    <row r="22" spans="1:6" ht="15" customHeight="1">
      <c r="A22" s="25" t="str">
        <f>'Trial Balance'!A23&amp;"-"&amp;'Trial Balance'!B23</f>
        <v>1150-Rents Receivable</v>
      </c>
      <c r="B22" s="317">
        <f>'Trial Balance'!J23</f>
        <v>5565.149999999998</v>
      </c>
      <c r="E22" s="234"/>
      <c r="F22" s="236"/>
    </row>
    <row r="23" spans="1:6" ht="15" customHeight="1">
      <c r="A23" s="25" t="str">
        <f>'Trial Balance'!A24&amp;"-"&amp;'Trial Balance'!B24</f>
        <v>1170-Notes Receivable</v>
      </c>
      <c r="B23" s="317">
        <f>'Trial Balance'!J24</f>
        <v>0</v>
      </c>
      <c r="E23" s="234"/>
      <c r="F23" s="236"/>
    </row>
    <row r="24" spans="1:6" ht="15" customHeight="1">
      <c r="A24" s="25" t="str">
        <f>'Trial Balance'!A25&amp;"-"&amp;'Trial Balance'!B25</f>
        <v>1180-Prepayments</v>
      </c>
      <c r="B24" s="317">
        <f>'Trial Balance'!J25</f>
        <v>140730.95999999996</v>
      </c>
      <c r="E24" s="234"/>
      <c r="F24" s="236"/>
    </row>
    <row r="25" spans="1:6" ht="15" customHeight="1">
      <c r="A25" s="25" t="str">
        <f>'Trial Balance'!A26&amp;"-"&amp;'Trial Balance'!B26</f>
        <v>1190-Miscellaneous Current and Accrued Assets</v>
      </c>
      <c r="B25" s="317">
        <f>'Trial Balance'!J26</f>
        <v>0</v>
      </c>
      <c r="E25" s="234"/>
      <c r="F25" s="236"/>
    </row>
    <row r="26" spans="1:6" ht="15" customHeight="1">
      <c r="A26" s="25" t="str">
        <f>'Trial Balance'!A27&amp;"-"&amp;'Trial Balance'!B27</f>
        <v>1200-Accounts Receivable from Associated Companies</v>
      </c>
      <c r="B26" s="317">
        <f>'Trial Balance'!J27</f>
        <v>121214.2</v>
      </c>
      <c r="E26" s="234"/>
      <c r="F26" s="236"/>
    </row>
    <row r="27" spans="1:6" ht="15" customHeight="1" thickBot="1">
      <c r="A27" s="25" t="str">
        <f>'Trial Balance'!A28&amp;"-"&amp;'Trial Balance'!B28</f>
        <v>1210-Notes  Receivable from Associated Companies</v>
      </c>
      <c r="B27" s="317">
        <f>'Trial Balance'!J28</f>
        <v>0</v>
      </c>
      <c r="E27" s="234"/>
      <c r="F27" s="236"/>
    </row>
    <row r="28" spans="1:6" ht="15" customHeight="1" thickBot="1">
      <c r="A28" s="26" t="s">
        <v>150</v>
      </c>
      <c r="B28" s="318">
        <f>SUM(B7:B27)</f>
        <v>9570345.72999999</v>
      </c>
      <c r="E28" s="234"/>
      <c r="F28" s="236"/>
    </row>
    <row r="29" spans="1:6" s="18" customFormat="1" ht="8.25" customHeight="1">
      <c r="A29" s="646"/>
      <c r="B29" s="646"/>
      <c r="E29" s="234"/>
      <c r="F29" s="236"/>
    </row>
    <row r="30" spans="1:6" s="18" customFormat="1" ht="15" customHeight="1">
      <c r="A30" s="645" t="s">
        <v>151</v>
      </c>
      <c r="B30" s="645"/>
      <c r="E30" s="234"/>
      <c r="F30" s="236"/>
    </row>
    <row r="31" spans="1:6" ht="15" customHeight="1">
      <c r="A31" s="25" t="str">
        <f>'Trial Balance'!A30&amp;"-"&amp;'Trial Balance'!B30</f>
        <v>1305-Fuel Stock</v>
      </c>
      <c r="B31" s="317">
        <f>'Trial Balance'!J30</f>
        <v>0</v>
      </c>
      <c r="E31" s="234"/>
      <c r="F31" s="236"/>
    </row>
    <row r="32" spans="1:6" ht="15" customHeight="1">
      <c r="A32" s="25" t="str">
        <f>'Trial Balance'!A31&amp;"-"&amp;'Trial Balance'!B31</f>
        <v>1330-Plant Materials and Operating Supplies</v>
      </c>
      <c r="B32" s="317">
        <f>'Trial Balance'!J31</f>
        <v>943212.6299999999</v>
      </c>
      <c r="E32" s="234"/>
      <c r="F32" s="236"/>
    </row>
    <row r="33" spans="1:6" ht="15" customHeight="1">
      <c r="A33" s="25" t="str">
        <f>'Trial Balance'!A32&amp;"-"&amp;'Trial Balance'!B32</f>
        <v>1340-Merchandise</v>
      </c>
      <c r="B33" s="317">
        <f>'Trial Balance'!J32</f>
        <v>0</v>
      </c>
      <c r="E33" s="234"/>
      <c r="F33" s="236"/>
    </row>
    <row r="34" spans="1:6" ht="15" customHeight="1" thickBot="1">
      <c r="A34" s="25" t="str">
        <f>'Trial Balance'!A33&amp;"-"&amp;'Trial Balance'!B33</f>
        <v>1350-Other Material and Supplies</v>
      </c>
      <c r="B34" s="317">
        <f>'Trial Balance'!J33</f>
        <v>0</v>
      </c>
      <c r="E34" s="234"/>
      <c r="F34" s="236"/>
    </row>
    <row r="35" spans="1:6" ht="15" customHeight="1" thickBot="1">
      <c r="A35" s="27" t="s">
        <v>103</v>
      </c>
      <c r="B35" s="318">
        <f>SUM(B31:B34)</f>
        <v>943212.6299999999</v>
      </c>
      <c r="E35" s="234"/>
      <c r="F35" s="236"/>
    </row>
    <row r="36" spans="1:6" s="18" customFormat="1" ht="15" customHeight="1">
      <c r="A36" s="22"/>
      <c r="B36" s="319"/>
      <c r="E36" s="234"/>
      <c r="F36" s="236"/>
    </row>
    <row r="37" spans="1:6" s="18" customFormat="1" ht="15" customHeight="1">
      <c r="A37" s="645" t="s">
        <v>104</v>
      </c>
      <c r="B37" s="645"/>
      <c r="E37" s="234"/>
      <c r="F37" s="236"/>
    </row>
    <row r="38" spans="1:6" ht="15" customHeight="1">
      <c r="A38" s="25" t="str">
        <f>'Trial Balance'!A35&amp;"-"&amp;'Trial Balance'!B35</f>
        <v>1405-Long Term Investments in Non-Associated Companies</v>
      </c>
      <c r="B38" s="317">
        <f>'Trial Balance'!J35</f>
        <v>0</v>
      </c>
      <c r="E38" s="234"/>
      <c r="F38" s="236"/>
    </row>
    <row r="39" spans="1:6" ht="15" customHeight="1">
      <c r="A39" s="25" t="str">
        <f>'Trial Balance'!A36&amp;"-"&amp;'Trial Balance'!B36</f>
        <v>1408-Long Term Receivable - Street Lighting Transfer</v>
      </c>
      <c r="B39" s="317">
        <f>'Trial Balance'!J36</f>
        <v>0</v>
      </c>
      <c r="E39" s="234"/>
      <c r="F39" s="236"/>
    </row>
    <row r="40" spans="1:6" ht="15" customHeight="1">
      <c r="A40" s="25" t="str">
        <f>'Trial Balance'!A37&amp;"-"&amp;'Trial Balance'!B37</f>
        <v>1410-Other Special or Collateral Funds</v>
      </c>
      <c r="B40" s="317">
        <f>'Trial Balance'!J37</f>
        <v>169500</v>
      </c>
      <c r="E40" s="234"/>
      <c r="F40" s="236"/>
    </row>
    <row r="41" spans="1:6" ht="15" customHeight="1">
      <c r="A41" s="25" t="str">
        <f>'Trial Balance'!A38&amp;"-"&amp;'Trial Balance'!B38</f>
        <v>1415-Sinking Funds</v>
      </c>
      <c r="B41" s="317">
        <f>'Trial Balance'!J38</f>
        <v>0</v>
      </c>
      <c r="E41" s="234"/>
      <c r="F41" s="236"/>
    </row>
    <row r="42" spans="1:6" ht="15" customHeight="1">
      <c r="A42" s="25" t="str">
        <f>'Trial Balance'!A39&amp;"-"&amp;'Trial Balance'!B39</f>
        <v>1425-Unamortized Debt Expense</v>
      </c>
      <c r="B42" s="317">
        <f>'Trial Balance'!J39</f>
        <v>0</v>
      </c>
      <c r="E42" s="234"/>
      <c r="F42" s="236"/>
    </row>
    <row r="43" spans="1:6" ht="15" customHeight="1">
      <c r="A43" s="25" t="str">
        <f>'Trial Balance'!A40&amp;"-"&amp;'Trial Balance'!B40</f>
        <v>1445-Unamortized Discount on Long-Term Debt--Debit</v>
      </c>
      <c r="B43" s="317">
        <f>'Trial Balance'!J40</f>
        <v>0</v>
      </c>
      <c r="E43" s="234"/>
      <c r="F43" s="236"/>
    </row>
    <row r="44" spans="1:6" ht="15" customHeight="1">
      <c r="A44" s="25" t="str">
        <f>'Trial Balance'!A41&amp;"-"&amp;'Trial Balance'!B41</f>
        <v>1455-Unamortized Deferred Foreign Currency Translation Gains and Losses</v>
      </c>
      <c r="B44" s="317">
        <f>'Trial Balance'!J41</f>
        <v>0</v>
      </c>
      <c r="E44" s="234"/>
      <c r="F44" s="236"/>
    </row>
    <row r="45" spans="1:6" ht="15" customHeight="1">
      <c r="A45" s="25" t="str">
        <f>'Trial Balance'!A42&amp;"-"&amp;'Trial Balance'!B42</f>
        <v>1460-Other Non-Current Assets</v>
      </c>
      <c r="B45" s="317">
        <f>'Trial Balance'!J42</f>
        <v>0</v>
      </c>
      <c r="E45" s="234"/>
      <c r="F45" s="236"/>
    </row>
    <row r="46" spans="1:6" ht="15" customHeight="1">
      <c r="A46" s="25" t="str">
        <f>'Trial Balance'!A43&amp;"-"&amp;'Trial Balance'!B43</f>
        <v>1465-O.M.E.R.S. Past Service Costs</v>
      </c>
      <c r="B46" s="317">
        <f>'Trial Balance'!J43</f>
        <v>0</v>
      </c>
      <c r="E46" s="234"/>
      <c r="F46" s="236"/>
    </row>
    <row r="47" spans="1:6" ht="15" customHeight="1">
      <c r="A47" s="25" t="str">
        <f>'Trial Balance'!A44&amp;"-"&amp;'Trial Balance'!B44</f>
        <v>1470-Past Service Costs - Employee Future Benefits</v>
      </c>
      <c r="B47" s="317">
        <f>'Trial Balance'!J44</f>
        <v>0</v>
      </c>
      <c r="E47" s="234"/>
      <c r="F47" s="236"/>
    </row>
    <row r="48" spans="1:6" ht="15" customHeight="1">
      <c r="A48" s="25" t="str">
        <f>'Trial Balance'!A45&amp;"-"&amp;'Trial Balance'!B45</f>
        <v>1475-Past Service Costs -Other Pension Plans</v>
      </c>
      <c r="B48" s="317">
        <f>'Trial Balance'!J45</f>
        <v>0</v>
      </c>
      <c r="E48" s="234"/>
      <c r="F48" s="236"/>
    </row>
    <row r="49" spans="1:6" ht="15" customHeight="1">
      <c r="A49" s="25" t="str">
        <f>'Trial Balance'!A46&amp;"-"&amp;'Trial Balance'!B46</f>
        <v>1480-Portfolio Investments - Associated Companies</v>
      </c>
      <c r="B49" s="317">
        <f>'Trial Balance'!J46</f>
        <v>0</v>
      </c>
      <c r="E49" s="234"/>
      <c r="F49" s="236"/>
    </row>
    <row r="50" spans="1:6" ht="15" customHeight="1">
      <c r="A50" s="25" t="str">
        <f>'Trial Balance'!A47&amp;"-"&amp;'Trial Balance'!B47</f>
        <v>1485-Investment In Subsidiary Companies - Significant Influence</v>
      </c>
      <c r="B50" s="317">
        <f>'Trial Balance'!J47</f>
        <v>0</v>
      </c>
      <c r="E50" s="234"/>
      <c r="F50" s="236"/>
    </row>
    <row r="51" spans="1:6" ht="15" customHeight="1" thickBot="1">
      <c r="A51" s="25" t="str">
        <f>'Trial Balance'!A48&amp;"-"&amp;'Trial Balance'!B48</f>
        <v>1490-Investment in Subsidiary Companies</v>
      </c>
      <c r="B51" s="317">
        <f>'Trial Balance'!J48</f>
        <v>0</v>
      </c>
      <c r="E51" s="234"/>
      <c r="F51" s="236"/>
    </row>
    <row r="52" spans="1:6" ht="15" customHeight="1" thickBot="1">
      <c r="A52" s="27" t="s">
        <v>105</v>
      </c>
      <c r="B52" s="318">
        <f>SUM(B38:B51)</f>
        <v>169500</v>
      </c>
      <c r="E52" s="234"/>
      <c r="F52" s="236"/>
    </row>
    <row r="53" spans="1:6" s="18" customFormat="1" ht="15" customHeight="1">
      <c r="A53" s="22"/>
      <c r="B53" s="319"/>
      <c r="E53" s="234"/>
      <c r="F53" s="236"/>
    </row>
    <row r="54" spans="1:6" s="18" customFormat="1" ht="15" customHeight="1">
      <c r="A54" s="645" t="s">
        <v>106</v>
      </c>
      <c r="B54" s="645"/>
      <c r="E54" s="234"/>
      <c r="F54" s="236"/>
    </row>
    <row r="55" spans="1:6" ht="15" customHeight="1">
      <c r="A55" s="25" t="str">
        <f>'Trial Balance'!A50&amp;"-"&amp;'Trial Balance'!B50</f>
        <v>1505-Unrecovered Plant and Regulatory Study Costs</v>
      </c>
      <c r="B55" s="317">
        <f>'Trial Balance'!J50</f>
        <v>0</v>
      </c>
      <c r="E55" s="234"/>
      <c r="F55" s="236"/>
    </row>
    <row r="56" spans="1:6" ht="15" customHeight="1">
      <c r="A56" s="25" t="str">
        <f>'Trial Balance'!A51&amp;"-"&amp;'Trial Balance'!B51</f>
        <v>1508-Other Regulatory Assets</v>
      </c>
      <c r="B56" s="317">
        <f>'Trial Balance'!J51</f>
        <v>273723.41</v>
      </c>
      <c r="E56" s="234"/>
      <c r="F56" s="236"/>
    </row>
    <row r="57" spans="1:6" ht="15" customHeight="1">
      <c r="A57" s="25" t="str">
        <f>'Trial Balance'!A52&amp;"-"&amp;'Trial Balance'!B52</f>
        <v>1510-Preliminary Survey and Investigation Charges</v>
      </c>
      <c r="B57" s="317">
        <f>'Trial Balance'!J52</f>
        <v>0</v>
      </c>
      <c r="E57" s="234"/>
      <c r="F57" s="236"/>
    </row>
    <row r="58" spans="1:6" ht="15" customHeight="1">
      <c r="A58" s="25" t="str">
        <f>'Trial Balance'!A53&amp;"-"&amp;'Trial Balance'!B53</f>
        <v>1515-Emission Allowance Inventory</v>
      </c>
      <c r="B58" s="317">
        <f>'Trial Balance'!J53</f>
        <v>0</v>
      </c>
      <c r="E58" s="234"/>
      <c r="F58" s="236"/>
    </row>
    <row r="59" spans="1:6" ht="15" customHeight="1">
      <c r="A59" s="25" t="str">
        <f>'Trial Balance'!A54&amp;"-"&amp;'Trial Balance'!B54</f>
        <v>1516-Emission Allowance Withheld</v>
      </c>
      <c r="B59" s="317">
        <f>'Trial Balance'!J54</f>
        <v>0</v>
      </c>
      <c r="E59" s="234"/>
      <c r="F59" s="236"/>
    </row>
    <row r="60" spans="1:6" ht="15" customHeight="1">
      <c r="A60" s="25" t="str">
        <f>'Trial Balance'!A55&amp;"-"&amp;'Trial Balance'!B55</f>
        <v>1518-RCVA Retail</v>
      </c>
      <c r="B60" s="317">
        <f>'Trial Balance'!J55</f>
        <v>0</v>
      </c>
      <c r="E60" s="234"/>
      <c r="F60" s="236"/>
    </row>
    <row r="61" spans="1:6" ht="15" customHeight="1">
      <c r="A61" s="25" t="str">
        <f>'Trial Balance'!A56&amp;"-"&amp;'Trial Balance'!B56</f>
        <v>1521- Special Purpose Charge Assessment</v>
      </c>
      <c r="B61" s="317">
        <f>'Trial Balance'!J56</f>
        <v>0</v>
      </c>
      <c r="E61" s="234"/>
      <c r="F61" s="236"/>
    </row>
    <row r="62" spans="1:6" ht="15" customHeight="1">
      <c r="A62" s="25" t="str">
        <f>'Trial Balance'!A57&amp;"-"&amp;'Trial Balance'!B57</f>
        <v>1522-  Late Payment  Settlement Recovery?</v>
      </c>
      <c r="B62" s="317">
        <f>'Trial Balance'!J57</f>
        <v>0</v>
      </c>
      <c r="E62" s="234"/>
      <c r="F62" s="236"/>
    </row>
    <row r="63" spans="1:6" ht="15" customHeight="1">
      <c r="A63" s="25" t="str">
        <f>'Trial Balance'!A58&amp;"-"&amp;'Trial Balance'!B58</f>
        <v>1525-Miscellaneous Deferred Debits</v>
      </c>
      <c r="B63" s="317">
        <f>'Trial Balance'!J58</f>
        <v>0</v>
      </c>
      <c r="E63" s="234"/>
      <c r="F63" s="236"/>
    </row>
    <row r="64" spans="1:6" ht="15" customHeight="1">
      <c r="A64" s="25" t="str">
        <f>'Trial Balance'!A59&amp;"-"&amp;'Trial Balance'!B59</f>
        <v>1530-Deferred Losses from Disposition of Utility Plant</v>
      </c>
      <c r="B64" s="317">
        <f>'Trial Balance'!J59</f>
        <v>0</v>
      </c>
      <c r="E64" s="234"/>
      <c r="F64" s="236"/>
    </row>
    <row r="65" spans="1:6" ht="15" customHeight="1">
      <c r="A65" s="25" t="str">
        <f>'Trial Balance'!A60&amp;"-"&amp;'Trial Balance'!B60</f>
        <v>1531-Renewable Connection Capital </v>
      </c>
      <c r="B65" s="317">
        <f>'Trial Balance'!J60</f>
        <v>0</v>
      </c>
      <c r="E65" s="234"/>
      <c r="F65" s="236"/>
    </row>
    <row r="66" spans="1:6" ht="15" customHeight="1">
      <c r="A66" s="25" t="str">
        <f>'Trial Balance'!A61&amp;"-"&amp;'Trial Balance'!B61</f>
        <v>1532-Renewable Connection OM&amp;A</v>
      </c>
      <c r="B66" s="317">
        <f>'Trial Balance'!J61</f>
        <v>1113.86</v>
      </c>
      <c r="E66" s="234"/>
      <c r="F66" s="236"/>
    </row>
    <row r="67" spans="1:6" ht="15" customHeight="1">
      <c r="A67" s="25" t="str">
        <f>'Trial Balance'!A62&amp;"-"&amp;'Trial Balance'!B62</f>
        <v>1534-Smart Grid Capital</v>
      </c>
      <c r="B67" s="317">
        <f>'Trial Balance'!J62</f>
        <v>0</v>
      </c>
      <c r="E67" s="234"/>
      <c r="F67" s="236"/>
    </row>
    <row r="68" spans="1:6" ht="15" customHeight="1">
      <c r="A68" s="25" t="str">
        <f>'Trial Balance'!A63&amp;"-"&amp;'Trial Balance'!B63</f>
        <v>1535-Smart Grid OM&amp;A</v>
      </c>
      <c r="B68" s="317">
        <f>'Trial Balance'!J63</f>
        <v>0</v>
      </c>
      <c r="E68" s="234"/>
      <c r="F68" s="236"/>
    </row>
    <row r="69" spans="1:6" ht="15" customHeight="1">
      <c r="A69" s="25" t="str">
        <f>'Trial Balance'!A64&amp;"-"&amp;'Trial Balance'!B64</f>
        <v>1540-Deferred Losses from Disposition of Utility Plant</v>
      </c>
      <c r="B69" s="317">
        <f>'Trial Balance'!J64</f>
        <v>0</v>
      </c>
      <c r="E69" s="234"/>
      <c r="F69" s="236"/>
    </row>
    <row r="70" spans="1:6" ht="15" customHeight="1">
      <c r="A70" s="25" t="str">
        <f>'Trial Balance'!A65&amp;"-"&amp;'Trial Balance'!B65</f>
        <v>1545-Development Charge Deposits/ Receivables</v>
      </c>
      <c r="B70" s="317">
        <f>'Trial Balance'!J65</f>
        <v>0</v>
      </c>
      <c r="E70" s="234"/>
      <c r="F70" s="236"/>
    </row>
    <row r="71" spans="1:6" ht="15" customHeight="1">
      <c r="A71" s="25" t="str">
        <f>'Trial Balance'!A66&amp;"-"&amp;'Trial Balance'!B66</f>
        <v>1548-RCVA - Service Transaction Request (STR)</v>
      </c>
      <c r="B71" s="317">
        <f>'Trial Balance'!J66</f>
        <v>0</v>
      </c>
      <c r="E71" s="234"/>
      <c r="F71" s="236"/>
    </row>
    <row r="72" spans="1:6" ht="15" customHeight="1">
      <c r="A72" s="25" t="str">
        <f>'Trial Balance'!A67&amp;"-"&amp;'Trial Balance'!B67</f>
        <v>1550-LV Charges - Variance</v>
      </c>
      <c r="B72" s="317">
        <f>'Trial Balance'!J67</f>
        <v>0</v>
      </c>
      <c r="E72" s="234"/>
      <c r="F72" s="236"/>
    </row>
    <row r="73" spans="1:6" ht="15" customHeight="1">
      <c r="A73" s="25" t="str">
        <f>'Trial Balance'!A68&amp;"-"&amp;'Trial Balance'!B68</f>
        <v>1555-Smart Meters Recovery</v>
      </c>
      <c r="B73" s="317">
        <f>'Trial Balance'!J68</f>
        <v>1068159.42</v>
      </c>
      <c r="E73" s="234"/>
      <c r="F73" s="236"/>
    </row>
    <row r="74" spans="1:6" ht="15" customHeight="1">
      <c r="A74" s="25" t="str">
        <f>'Trial Balance'!A69&amp;"-"&amp;'Trial Balance'!B69</f>
        <v>1556-Smart Meters OM &amp; A</v>
      </c>
      <c r="B74" s="317">
        <f>'Trial Balance'!J69</f>
        <v>211708.02000000002</v>
      </c>
      <c r="E74" s="234"/>
      <c r="F74" s="236"/>
    </row>
    <row r="75" spans="1:6" ht="15" customHeight="1">
      <c r="A75" s="25" t="str">
        <f>'Trial Balance'!A70&amp;"-"&amp;'Trial Balance'!B70</f>
        <v>1562-Deferred PILs</v>
      </c>
      <c r="B75" s="317">
        <f>'Trial Balance'!J70</f>
        <v>305297.56</v>
      </c>
      <c r="E75" s="234"/>
      <c r="F75" s="236"/>
    </row>
    <row r="76" spans="1:6" ht="15" customHeight="1">
      <c r="A76" s="25" t="str">
        <f>'Trial Balance'!A71&amp;"-"&amp;'Trial Balance'!B71</f>
        <v>1563-Deferred PILs - Contra</v>
      </c>
      <c r="B76" s="317">
        <f>'Trial Balance'!J71</f>
        <v>0</v>
      </c>
      <c r="E76" s="234"/>
      <c r="F76" s="236"/>
    </row>
    <row r="77" spans="1:6" ht="15" customHeight="1">
      <c r="A77" s="25" t="str">
        <f>'Trial Balance'!A72&amp;"-"&amp;'Trial Balance'!B72</f>
        <v>1565-C &amp; DM Costs</v>
      </c>
      <c r="B77" s="317">
        <f>'Trial Balance'!J72</f>
        <v>0</v>
      </c>
      <c r="E77" s="234"/>
      <c r="F77" s="236"/>
    </row>
    <row r="78" spans="1:6" ht="15" customHeight="1">
      <c r="A78" s="25" t="str">
        <f>'Trial Balance'!A73&amp;"-"&amp;'Trial Balance'!B73</f>
        <v>1566-C &amp; DM Costs Contra</v>
      </c>
      <c r="B78" s="317">
        <f>'Trial Balance'!J73</f>
        <v>0</v>
      </c>
      <c r="E78" s="234"/>
      <c r="F78" s="236"/>
    </row>
    <row r="79" spans="1:6" ht="15" customHeight="1">
      <c r="A79" s="25" t="str">
        <f>'Trial Balance'!A74&amp;"-"&amp;'Trial Balance'!B74</f>
        <v>1570-Qualifying Transition Costs</v>
      </c>
      <c r="B79" s="317">
        <f>'Trial Balance'!J74</f>
        <v>0</v>
      </c>
      <c r="E79" s="234"/>
      <c r="F79" s="236"/>
    </row>
    <row r="80" spans="1:6" ht="15" customHeight="1">
      <c r="A80" s="25" t="str">
        <f>'Trial Balance'!A75&amp;"-"&amp;'Trial Balance'!B75</f>
        <v>1571-Pre Market CofP Variance</v>
      </c>
      <c r="B80" s="317">
        <f>'Trial Balance'!J75</f>
        <v>0</v>
      </c>
      <c r="E80" s="234"/>
      <c r="F80" s="236"/>
    </row>
    <row r="81" spans="1:6" ht="15" customHeight="1">
      <c r="A81" s="25" t="str">
        <f>'Trial Balance'!A76&amp;"-"&amp;'Trial Balance'!B76</f>
        <v>1572-Extraordinary Event Losses</v>
      </c>
      <c r="B81" s="317">
        <f>'Trial Balance'!J76</f>
        <v>0</v>
      </c>
      <c r="E81" s="234"/>
      <c r="F81" s="236"/>
    </row>
    <row r="82" spans="1:6" ht="15" customHeight="1">
      <c r="A82" s="25" t="str">
        <f>'Trial Balance'!A77&amp;"-"&amp;'Trial Balance'!B77</f>
        <v>1574-Deferred Rate Impact Amounts</v>
      </c>
      <c r="B82" s="317">
        <f>'Trial Balance'!J77</f>
        <v>0</v>
      </c>
      <c r="E82" s="234"/>
      <c r="F82" s="236"/>
    </row>
    <row r="83" spans="1:6" ht="15" customHeight="1">
      <c r="A83" s="25" t="str">
        <f>'Trial Balance'!A78&amp;"-"&amp;'Trial Balance'!B78</f>
        <v>1580-RSVA - Wholesale Market Services</v>
      </c>
      <c r="B83" s="317">
        <f>'Trial Balance'!J78</f>
        <v>-1278650.27</v>
      </c>
      <c r="E83" s="234"/>
      <c r="F83" s="236"/>
    </row>
    <row r="84" spans="1:6" ht="15" customHeight="1">
      <c r="A84" s="25" t="str">
        <f>'Trial Balance'!A79&amp;"-"&amp;'Trial Balance'!B79</f>
        <v>1582-RSVA - One-Time</v>
      </c>
      <c r="B84" s="317">
        <f>'Trial Balance'!J79</f>
        <v>142020.93</v>
      </c>
      <c r="E84" s="234"/>
      <c r="F84" s="236"/>
    </row>
    <row r="85" spans="1:6" ht="15" customHeight="1">
      <c r="A85" s="25" t="str">
        <f>'Trial Balance'!A80&amp;"-"&amp;'Trial Balance'!B80</f>
        <v>1584-RSVA - Network Charges</v>
      </c>
      <c r="B85" s="317">
        <f>'Trial Balance'!J80</f>
        <v>-390427.48000000004</v>
      </c>
      <c r="E85" s="234"/>
      <c r="F85" s="236"/>
    </row>
    <row r="86" spans="1:6" ht="15" customHeight="1">
      <c r="A86" s="25" t="str">
        <f>'Trial Balance'!A81&amp;"-"&amp;'Trial Balance'!B81</f>
        <v>1586-RSVA - Connection Charges</v>
      </c>
      <c r="B86" s="317">
        <f>'Trial Balance'!J81</f>
        <v>-42537.819999999956</v>
      </c>
      <c r="E86" s="234"/>
      <c r="F86" s="236"/>
    </row>
    <row r="87" spans="1:6" ht="15" customHeight="1">
      <c r="A87" s="25" t="str">
        <f>'Trial Balance'!A82&amp;"-"&amp;'Trial Balance'!B82</f>
        <v>1588-RSVA - Commodity (Power)</v>
      </c>
      <c r="B87" s="317">
        <f>'Trial Balance'!J82</f>
        <v>-556402.1899999994</v>
      </c>
      <c r="E87" s="234"/>
      <c r="F87" s="236"/>
    </row>
    <row r="88" spans="1:6" ht="15" customHeight="1">
      <c r="A88" s="25" t="str">
        <f>'Trial Balance'!A83&amp;"-"&amp;'Trial Balance'!B83</f>
        <v>1590-Recovery of Regulatory Assets (25% of 2002 bal.)</v>
      </c>
      <c r="B88" s="317">
        <f>'Trial Balance'!J83</f>
        <v>34542.630000000005</v>
      </c>
      <c r="E88" s="234"/>
      <c r="F88" s="236"/>
    </row>
    <row r="89" spans="1:6" ht="15" customHeight="1">
      <c r="A89" s="25" t="str">
        <f>'Trial Balance'!A84&amp;"-"&amp;'Trial Balance'!B84</f>
        <v>1592-PILs and Tax Variance for 2006 &amp; Subsequent Years</v>
      </c>
      <c r="B89" s="317">
        <f>'Trial Balance'!J84</f>
        <v>0</v>
      </c>
      <c r="E89" s="234"/>
      <c r="F89" s="236"/>
    </row>
    <row r="90" spans="1:6" ht="15" customHeight="1" thickBot="1">
      <c r="A90" s="25" t="str">
        <f>'Trial Balance'!A85&amp;"-"&amp;'Trial Balance'!B85</f>
        <v>1595-Disposition and Recovery of Regulatory Balances</v>
      </c>
      <c r="B90" s="317">
        <f>'Trial Balance'!J85</f>
        <v>0</v>
      </c>
      <c r="E90" s="234"/>
      <c r="F90" s="236"/>
    </row>
    <row r="91" spans="1:6" ht="15" customHeight="1" thickBot="1">
      <c r="A91" s="27" t="s">
        <v>155</v>
      </c>
      <c r="B91" s="318">
        <f>SUM(B55:B90)</f>
        <v>-231451.9299999994</v>
      </c>
      <c r="E91" s="234"/>
      <c r="F91" s="236"/>
    </row>
    <row r="92" spans="1:6" s="18" customFormat="1" ht="15" customHeight="1">
      <c r="A92" s="22"/>
      <c r="B92" s="319"/>
      <c r="E92" s="234"/>
      <c r="F92" s="236"/>
    </row>
    <row r="93" spans="1:6" s="18" customFormat="1" ht="15" customHeight="1">
      <c r="A93" s="645" t="s">
        <v>156</v>
      </c>
      <c r="B93" s="645"/>
      <c r="E93" s="234"/>
      <c r="F93" s="236"/>
    </row>
    <row r="94" spans="1:6" ht="15" customHeight="1">
      <c r="A94" s="25" t="str">
        <f>'Trial Balance'!A87&amp;"-"&amp;'Trial Balance'!B87</f>
        <v>1805-Land</v>
      </c>
      <c r="B94" s="317">
        <f>'Trial Balance'!J87</f>
        <v>21835.64</v>
      </c>
      <c r="E94" s="234"/>
      <c r="F94" s="236"/>
    </row>
    <row r="95" spans="1:6" ht="15" customHeight="1">
      <c r="A95" s="25" t="str">
        <f>'Trial Balance'!A88&amp;"-"&amp;'Trial Balance'!B88</f>
        <v>1806-Land Rights</v>
      </c>
      <c r="B95" s="317">
        <f>'Trial Balance'!J88</f>
        <v>0</v>
      </c>
      <c r="E95" s="234"/>
      <c r="F95" s="236"/>
    </row>
    <row r="96" spans="1:6" ht="15" customHeight="1">
      <c r="A96" s="25" t="str">
        <f>'Trial Balance'!A89&amp;"-"&amp;'Trial Balance'!B89</f>
        <v>1808-Buildings and Fixtures</v>
      </c>
      <c r="B96" s="317">
        <f>'Trial Balance'!J89</f>
        <v>190773.89</v>
      </c>
      <c r="E96" s="234"/>
      <c r="F96" s="236"/>
    </row>
    <row r="97" spans="1:6" ht="15" customHeight="1">
      <c r="A97" s="25" t="str">
        <f>'Trial Balance'!A90&amp;"-"&amp;'Trial Balance'!B90</f>
        <v>1810-Leasehold Improvements</v>
      </c>
      <c r="B97" s="317">
        <f>'Trial Balance'!J90</f>
        <v>0</v>
      </c>
      <c r="E97" s="234"/>
      <c r="F97" s="236"/>
    </row>
    <row r="98" spans="1:6" ht="15" customHeight="1">
      <c r="A98" s="25" t="str">
        <f>'Trial Balance'!A91&amp;"-"&amp;'Trial Balance'!B91</f>
        <v>1815-Transformer Station Equipment - Normally Primary above 50 kV</v>
      </c>
      <c r="B98" s="317">
        <f>'Trial Balance'!J91</f>
        <v>0</v>
      </c>
      <c r="E98" s="234"/>
      <c r="F98" s="236"/>
    </row>
    <row r="99" spans="1:6" ht="15" customHeight="1">
      <c r="A99" s="25" t="str">
        <f>'Trial Balance'!A92&amp;"-"&amp;'Trial Balance'!B92</f>
        <v>1820-Distribution Station Equipment - Normally Primary below 50 kV</v>
      </c>
      <c r="B99" s="317">
        <f>'Trial Balance'!J92</f>
        <v>622658.4400000001</v>
      </c>
      <c r="E99" s="234"/>
      <c r="F99" s="236"/>
    </row>
    <row r="100" spans="1:6" ht="15" customHeight="1">
      <c r="A100" s="25" t="str">
        <f>'Trial Balance'!A93&amp;"-"&amp;'Trial Balance'!B93</f>
        <v>1825-Storage Battery Equipment</v>
      </c>
      <c r="B100" s="317">
        <f>'Trial Balance'!J93</f>
        <v>0</v>
      </c>
      <c r="E100" s="234"/>
      <c r="F100" s="236"/>
    </row>
    <row r="101" spans="1:6" ht="15" customHeight="1">
      <c r="A101" s="25" t="str">
        <f>'Trial Balance'!A94&amp;"-"&amp;'Trial Balance'!B94</f>
        <v>1830-Poles, Towers and Fixtures</v>
      </c>
      <c r="B101" s="317">
        <f>'Trial Balance'!J94</f>
        <v>7703316.809999999</v>
      </c>
      <c r="E101" s="234"/>
      <c r="F101" s="236"/>
    </row>
    <row r="102" spans="1:6" ht="15" customHeight="1">
      <c r="A102" s="25" t="str">
        <f>'Trial Balance'!A95&amp;"-"&amp;'Trial Balance'!B95</f>
        <v>1835-Overhead Conductors and Devices</v>
      </c>
      <c r="B102" s="317">
        <f>'Trial Balance'!J95</f>
        <v>3527922.13</v>
      </c>
      <c r="E102" s="234"/>
      <c r="F102" s="236"/>
    </row>
    <row r="103" spans="1:6" ht="15" customHeight="1">
      <c r="A103" s="25" t="str">
        <f>'Trial Balance'!A96&amp;"-"&amp;'Trial Balance'!B96</f>
        <v>1840-Underground Conduit</v>
      </c>
      <c r="B103" s="317">
        <f>'Trial Balance'!J96</f>
        <v>3569058.2900000005</v>
      </c>
      <c r="E103" s="234"/>
      <c r="F103" s="236"/>
    </row>
    <row r="104" spans="1:6" ht="15" customHeight="1">
      <c r="A104" s="25" t="str">
        <f>'Trial Balance'!A97&amp;"-"&amp;'Trial Balance'!B97</f>
        <v>1845-Underground Conductors and Devices</v>
      </c>
      <c r="B104" s="317">
        <f>'Trial Balance'!J97</f>
        <v>4662011.399999999</v>
      </c>
      <c r="E104" s="234"/>
      <c r="F104" s="236"/>
    </row>
    <row r="105" spans="1:6" ht="15" customHeight="1">
      <c r="A105" s="25" t="str">
        <f>'Trial Balance'!A98&amp;"-"&amp;'Trial Balance'!B98</f>
        <v>1850-Line Transformers</v>
      </c>
      <c r="B105" s="317">
        <f>'Trial Balance'!J98</f>
        <v>6776070.499999999</v>
      </c>
      <c r="E105" s="234"/>
      <c r="F105" s="236"/>
    </row>
    <row r="106" spans="1:6" ht="15" customHeight="1">
      <c r="A106" s="25" t="str">
        <f>'Trial Balance'!A99&amp;"-"&amp;'Trial Balance'!B99</f>
        <v>1855-Services</v>
      </c>
      <c r="B106" s="317">
        <f>'Trial Balance'!J99</f>
        <v>2293420.61</v>
      </c>
      <c r="E106" s="234"/>
      <c r="F106" s="236"/>
    </row>
    <row r="107" spans="1:6" ht="15" customHeight="1">
      <c r="A107" s="25" t="str">
        <f>'Trial Balance'!A100&amp;"-"&amp;'Trial Balance'!B100</f>
        <v>1860-Meters</v>
      </c>
      <c r="B107" s="317">
        <f>'Trial Balance'!J100</f>
        <v>4280381.859999999</v>
      </c>
      <c r="E107" s="234"/>
      <c r="F107" s="236"/>
    </row>
    <row r="108" spans="1:6" ht="15" customHeight="1" thickBot="1">
      <c r="A108" s="25" t="str">
        <f>'Trial Balance'!A101&amp;"-"&amp;'Trial Balance'!B101</f>
        <v>1865-Other Installations on Customer's Premises</v>
      </c>
      <c r="B108" s="317">
        <f>'Trial Balance'!J101</f>
        <v>0</v>
      </c>
      <c r="E108" s="234"/>
      <c r="F108" s="236"/>
    </row>
    <row r="109" spans="1:6" ht="15" customHeight="1" thickBot="1">
      <c r="A109" s="28" t="s">
        <v>80</v>
      </c>
      <c r="B109" s="318">
        <f>SUM(B94:B108)</f>
        <v>33647449.57</v>
      </c>
      <c r="E109" s="234"/>
      <c r="F109" s="236"/>
    </row>
    <row r="110" spans="1:6" s="18" customFormat="1" ht="15" customHeight="1">
      <c r="A110" s="21"/>
      <c r="B110" s="319"/>
      <c r="E110" s="234"/>
      <c r="F110" s="236"/>
    </row>
    <row r="111" spans="1:6" s="18" customFormat="1" ht="15" customHeight="1">
      <c r="A111" s="645" t="s">
        <v>81</v>
      </c>
      <c r="B111" s="645"/>
      <c r="E111" s="234"/>
      <c r="F111" s="236"/>
    </row>
    <row r="112" spans="1:6" ht="15" customHeight="1">
      <c r="A112" s="25" t="str">
        <f>'Trial Balance'!A102&amp;"-"&amp;'Trial Balance'!B102</f>
        <v>1905-Land</v>
      </c>
      <c r="B112" s="317">
        <f>'Trial Balance'!J102</f>
        <v>17529.54</v>
      </c>
      <c r="E112" s="234"/>
      <c r="F112" s="236"/>
    </row>
    <row r="113" spans="1:6" ht="15" customHeight="1">
      <c r="A113" s="25" t="str">
        <f>'Trial Balance'!A103&amp;"-"&amp;'Trial Balance'!B103</f>
        <v>1906-Land Rights</v>
      </c>
      <c r="B113" s="317">
        <f>'Trial Balance'!J103</f>
        <v>0</v>
      </c>
      <c r="E113" s="234"/>
      <c r="F113" s="236"/>
    </row>
    <row r="114" spans="1:6" ht="15" customHeight="1">
      <c r="A114" s="25" t="str">
        <f>'Trial Balance'!A104&amp;"-"&amp;'Trial Balance'!B104</f>
        <v>1908-Buildings and Fixtures</v>
      </c>
      <c r="B114" s="317">
        <f>'Trial Balance'!J104</f>
        <v>904723.1</v>
      </c>
      <c r="E114" s="234"/>
      <c r="F114" s="236"/>
    </row>
    <row r="115" spans="1:6" ht="15" customHeight="1">
      <c r="A115" s="25" t="str">
        <f>'Trial Balance'!A105&amp;"-"&amp;'Trial Balance'!B105</f>
        <v>1910-Leasehold Improvements</v>
      </c>
      <c r="B115" s="317">
        <f>'Trial Balance'!J105</f>
        <v>0</v>
      </c>
      <c r="E115" s="234"/>
      <c r="F115" s="236"/>
    </row>
    <row r="116" spans="1:6" ht="15" customHeight="1">
      <c r="A116" s="25" t="str">
        <f>'Trial Balance'!A106&amp;"-"&amp;'Trial Balance'!B106</f>
        <v>1915-Office Furniture and Equipment</v>
      </c>
      <c r="B116" s="317">
        <f>'Trial Balance'!J106</f>
        <v>206391.07</v>
      </c>
      <c r="E116" s="234"/>
      <c r="F116" s="236"/>
    </row>
    <row r="117" spans="1:6" ht="15" customHeight="1">
      <c r="A117" s="25" t="str">
        <f>'Trial Balance'!A107&amp;"-"&amp;'Trial Balance'!B107</f>
        <v>1920-Computer Equipment - Hardware</v>
      </c>
      <c r="B117" s="317">
        <f>'Trial Balance'!J107</f>
        <v>1009475.2900000002</v>
      </c>
      <c r="E117" s="234"/>
      <c r="F117" s="236"/>
    </row>
    <row r="118" spans="1:6" ht="15" customHeight="1">
      <c r="A118" s="25" t="str">
        <f>'Trial Balance'!A108&amp;"-"&amp;'Trial Balance'!B108</f>
        <v>1925-Computer Software</v>
      </c>
      <c r="B118" s="317">
        <f>'Trial Balance'!J108</f>
        <v>1219035.6400000001</v>
      </c>
      <c r="E118" s="234"/>
      <c r="F118" s="236"/>
    </row>
    <row r="119" spans="1:6" ht="15" customHeight="1">
      <c r="A119" s="25" t="str">
        <f>'Trial Balance'!A109&amp;"-"&amp;'Trial Balance'!B109</f>
        <v>1930-Transportation Equipment</v>
      </c>
      <c r="B119" s="317">
        <f>'Trial Balance'!J109</f>
        <v>1355849.3599999999</v>
      </c>
      <c r="E119" s="234"/>
      <c r="F119" s="236"/>
    </row>
    <row r="120" spans="1:6" ht="15" customHeight="1">
      <c r="A120" s="25" t="str">
        <f>'Trial Balance'!A110&amp;"-"&amp;'Trial Balance'!B110</f>
        <v>1935-Stores Equipment</v>
      </c>
      <c r="B120" s="317">
        <f>'Trial Balance'!J110</f>
        <v>51838.829999999994</v>
      </c>
      <c r="E120" s="234"/>
      <c r="F120" s="236"/>
    </row>
    <row r="121" spans="1:6" ht="15" customHeight="1">
      <c r="A121" s="25" t="str">
        <f>'Trial Balance'!A111&amp;"-"&amp;'Trial Balance'!B111</f>
        <v>1940-Tools, Shop and Garage Equipment</v>
      </c>
      <c r="B121" s="317">
        <f>'Trial Balance'!J111</f>
        <v>245235.57000000004</v>
      </c>
      <c r="E121" s="234"/>
      <c r="F121" s="236"/>
    </row>
    <row r="122" spans="1:6" ht="15" customHeight="1">
      <c r="A122" s="25" t="str">
        <f>'Trial Balance'!A112&amp;"-"&amp;'Trial Balance'!B112</f>
        <v>1945-Measurement and Testing Equipment</v>
      </c>
      <c r="B122" s="317">
        <f>'Trial Balance'!J112</f>
        <v>111963.01</v>
      </c>
      <c r="E122" s="234"/>
      <c r="F122" s="236"/>
    </row>
    <row r="123" spans="1:6" ht="15" customHeight="1">
      <c r="A123" s="25" t="str">
        <f>'Trial Balance'!A113&amp;"-"&amp;'Trial Balance'!B113</f>
        <v>1950-Power Operated Equipment</v>
      </c>
      <c r="B123" s="317">
        <f>'Trial Balance'!J113</f>
        <v>0</v>
      </c>
      <c r="E123" s="234"/>
      <c r="F123" s="236"/>
    </row>
    <row r="124" spans="1:6" ht="15" customHeight="1">
      <c r="A124" s="25" t="str">
        <f>'Trial Balance'!A114&amp;"-"&amp;'Trial Balance'!B114</f>
        <v>1955-Communication Equipment</v>
      </c>
      <c r="B124" s="317">
        <f>'Trial Balance'!J114</f>
        <v>27869.15</v>
      </c>
      <c r="E124" s="234"/>
      <c r="F124" s="236"/>
    </row>
    <row r="125" spans="1:6" ht="15" customHeight="1">
      <c r="A125" s="25" t="str">
        <f>'Trial Balance'!A115&amp;"-"&amp;'Trial Balance'!B115</f>
        <v>1960-Miscellaneous Equipment</v>
      </c>
      <c r="B125" s="317">
        <f>'Trial Balance'!J115</f>
        <v>485.09</v>
      </c>
      <c r="E125" s="234"/>
      <c r="F125" s="236"/>
    </row>
    <row r="126" spans="1:6" ht="15" customHeight="1">
      <c r="A126" s="25" t="str">
        <f>'Trial Balance'!A116&amp;"-"&amp;'Trial Balance'!B116</f>
        <v>1970-Load Management Controls - Customer Premises </v>
      </c>
      <c r="B126" s="317">
        <f>'Trial Balance'!J116</f>
        <v>0</v>
      </c>
      <c r="E126" s="234"/>
      <c r="F126" s="236"/>
    </row>
    <row r="127" spans="1:6" ht="15" customHeight="1">
      <c r="A127" s="25" t="str">
        <f>'Trial Balance'!A117&amp;"-"&amp;'Trial Balance'!B117</f>
        <v>1975-Load Management Controls - Utility Premises</v>
      </c>
      <c r="B127" s="317">
        <f>'Trial Balance'!J117</f>
        <v>0</v>
      </c>
      <c r="E127" s="234"/>
      <c r="F127" s="236"/>
    </row>
    <row r="128" spans="1:6" ht="15" customHeight="1">
      <c r="A128" s="25" t="str">
        <f>'Trial Balance'!A118&amp;"-"&amp;'Trial Balance'!B118</f>
        <v>1980-System Supervisory Equipment</v>
      </c>
      <c r="B128" s="317">
        <f>'Trial Balance'!J118</f>
        <v>336972.6</v>
      </c>
      <c r="E128" s="234"/>
      <c r="F128" s="236"/>
    </row>
    <row r="129" spans="1:6" ht="15" customHeight="1">
      <c r="A129" s="25" t="str">
        <f>'Trial Balance'!A119&amp;"-"&amp;'Trial Balance'!B119</f>
        <v>1985-Sentinel Lighting Rentals</v>
      </c>
      <c r="B129" s="317">
        <f>'Trial Balance'!J119</f>
        <v>0</v>
      </c>
      <c r="E129" s="234"/>
      <c r="F129" s="236"/>
    </row>
    <row r="130" spans="1:6" ht="15" customHeight="1">
      <c r="A130" s="25" t="str">
        <f>'Trial Balance'!A120&amp;"-"&amp;'Trial Balance'!B120</f>
        <v>1990-Other Tangible Property</v>
      </c>
      <c r="B130" s="317">
        <f>'Trial Balance'!J120</f>
        <v>0</v>
      </c>
      <c r="E130" s="234"/>
      <c r="F130" s="236"/>
    </row>
    <row r="131" spans="1:6" s="372" customFormat="1" ht="15" customHeight="1">
      <c r="A131" s="25" t="str">
        <f>'Trial Balance'!A121&amp;"-"&amp;'Trial Balance'!B121</f>
        <v>1995-Contributions and Grants</v>
      </c>
      <c r="B131" s="317">
        <f>'Trial Balance'!J121</f>
        <v>-3412744.72</v>
      </c>
      <c r="E131" s="234"/>
      <c r="F131" s="236"/>
    </row>
    <row r="132" spans="1:6" ht="15" customHeight="1" thickBot="1">
      <c r="A132" s="25" t="str">
        <f>'Trial Balance'!A122&amp;"-"&amp;'Trial Balance'!B122</f>
        <v>1996-Contributions - Commerce Way TS</v>
      </c>
      <c r="B132" s="317">
        <f>'Trial Balance'!J122</f>
        <v>0</v>
      </c>
      <c r="E132" s="234"/>
      <c r="F132" s="236"/>
    </row>
    <row r="133" spans="1:6" ht="15" customHeight="1" thickBot="1">
      <c r="A133" s="28" t="s">
        <v>145</v>
      </c>
      <c r="B133" s="318">
        <f>SUM(B112:B132)</f>
        <v>2074623.5299999998</v>
      </c>
      <c r="E133" s="234"/>
      <c r="F133" s="236"/>
    </row>
    <row r="134" spans="1:6" s="18" customFormat="1" ht="15" customHeight="1">
      <c r="A134" s="21"/>
      <c r="B134" s="319"/>
      <c r="E134" s="234"/>
      <c r="F134" s="236"/>
    </row>
    <row r="135" spans="1:6" s="18" customFormat="1" ht="15" customHeight="1">
      <c r="A135" s="645" t="s">
        <v>146</v>
      </c>
      <c r="B135" s="645"/>
      <c r="E135" s="234"/>
      <c r="F135" s="236"/>
    </row>
    <row r="136" spans="1:6" ht="15" customHeight="1">
      <c r="A136" s="25" t="str">
        <f>'Trial Balance'!A124&amp;"-"&amp;'Trial Balance'!B124</f>
        <v>2005-Property Under Capital Leases</v>
      </c>
      <c r="B136" s="317">
        <f>'Trial Balance'!J124</f>
        <v>0</v>
      </c>
      <c r="E136" s="234"/>
      <c r="F136" s="236"/>
    </row>
    <row r="137" spans="1:6" ht="15" customHeight="1">
      <c r="A137" s="25" t="str">
        <f>'Trial Balance'!A125&amp;"-"&amp;'Trial Balance'!B125</f>
        <v>2010-Electric Plant Purchased or Sold</v>
      </c>
      <c r="B137" s="317">
        <f>'Trial Balance'!J125</f>
        <v>0</v>
      </c>
      <c r="E137" s="234"/>
      <c r="F137" s="236"/>
    </row>
    <row r="138" spans="1:6" ht="15" customHeight="1">
      <c r="A138" s="25" t="str">
        <f>'Trial Balance'!A126&amp;"-"&amp;'Trial Balance'!B126</f>
        <v>2020-Experimental Electric Plant Unclassified</v>
      </c>
      <c r="B138" s="317">
        <f>'Trial Balance'!J126</f>
        <v>0</v>
      </c>
      <c r="E138" s="234"/>
      <c r="F138" s="236"/>
    </row>
    <row r="139" spans="1:6" ht="15" customHeight="1">
      <c r="A139" s="25" t="str">
        <f>'Trial Balance'!A127&amp;"-"&amp;'Trial Balance'!B127</f>
        <v>2030-Electric Plant and Equipment Leased to Others</v>
      </c>
      <c r="B139" s="317">
        <f>'Trial Balance'!J127</f>
        <v>0</v>
      </c>
      <c r="E139" s="234"/>
      <c r="F139" s="236"/>
    </row>
    <row r="140" spans="1:6" ht="15" customHeight="1">
      <c r="A140" s="25" t="str">
        <f>'Trial Balance'!A128&amp;"-"&amp;'Trial Balance'!B128</f>
        <v>2040-Electric Plant Held for Future Use</v>
      </c>
      <c r="B140" s="317">
        <f>'Trial Balance'!J128</f>
        <v>0</v>
      </c>
      <c r="E140" s="234"/>
      <c r="F140" s="236"/>
    </row>
    <row r="141" spans="1:6" ht="15" customHeight="1">
      <c r="A141" s="25" t="str">
        <f>'Trial Balance'!A129&amp;"-"&amp;'Trial Balance'!B129</f>
        <v>2050-Completed Construction Not Classified--Electric</v>
      </c>
      <c r="B141" s="317">
        <f>'Trial Balance'!J129</f>
        <v>0</v>
      </c>
      <c r="E141" s="234"/>
      <c r="F141" s="236"/>
    </row>
    <row r="142" spans="1:6" ht="15" customHeight="1">
      <c r="A142" s="25" t="str">
        <f>'Trial Balance'!A130&amp;"-"&amp;'Trial Balance'!B130</f>
        <v>2055-Construction Work in Progress--Electric</v>
      </c>
      <c r="B142" s="317">
        <f>'Trial Balance'!J130</f>
        <v>87708.07</v>
      </c>
      <c r="E142" s="234"/>
      <c r="F142" s="236"/>
    </row>
    <row r="143" spans="1:6" ht="15" customHeight="1">
      <c r="A143" s="25" t="str">
        <f>'Trial Balance'!A131&amp;"-"&amp;'Trial Balance'!B131</f>
        <v>2060-Electric Plant Acquisition Adjustment</v>
      </c>
      <c r="B143" s="317">
        <f>'Trial Balance'!J131</f>
        <v>0</v>
      </c>
      <c r="E143" s="234"/>
      <c r="F143" s="236"/>
    </row>
    <row r="144" spans="1:6" ht="15" customHeight="1">
      <c r="A144" s="25" t="str">
        <f>'Trial Balance'!A132&amp;"-"&amp;'Trial Balance'!B132</f>
        <v>2065-Other Electric Plant Adjustment</v>
      </c>
      <c r="B144" s="317">
        <f>'Trial Balance'!J132</f>
        <v>0</v>
      </c>
      <c r="E144" s="234"/>
      <c r="F144" s="236"/>
    </row>
    <row r="145" spans="1:6" ht="15" customHeight="1">
      <c r="A145" s="25" t="str">
        <f>'Trial Balance'!A133&amp;"-"&amp;'Trial Balance'!B133</f>
        <v>2070-Other Utility Plant</v>
      </c>
      <c r="B145" s="317">
        <f>'Trial Balance'!J133</f>
        <v>0</v>
      </c>
      <c r="E145" s="234"/>
      <c r="F145" s="236"/>
    </row>
    <row r="146" spans="1:6" ht="15" customHeight="1" thickBot="1">
      <c r="A146" s="25" t="str">
        <f>'Trial Balance'!A134&amp;"-"&amp;'Trial Balance'!B134</f>
        <v>2075-Non-Utility Property Owned or Under Capital Lease</v>
      </c>
      <c r="B146" s="317">
        <f>'Trial Balance'!J134</f>
        <v>0</v>
      </c>
      <c r="E146" s="234"/>
      <c r="F146" s="236"/>
    </row>
    <row r="147" spans="1:6" ht="15" customHeight="1" thickBot="1">
      <c r="A147" s="28" t="s">
        <v>147</v>
      </c>
      <c r="B147" s="318">
        <f>SUM(B136:B146)</f>
        <v>87708.07</v>
      </c>
      <c r="E147" s="234"/>
      <c r="F147" s="236"/>
    </row>
    <row r="148" spans="1:6" s="18" customFormat="1" ht="15" customHeight="1">
      <c r="A148" s="21"/>
      <c r="B148" s="319"/>
      <c r="E148" s="234"/>
      <c r="F148" s="236"/>
    </row>
    <row r="149" spans="1:6" s="18" customFormat="1" ht="15" customHeight="1">
      <c r="A149" s="645" t="s">
        <v>148</v>
      </c>
      <c r="B149" s="645"/>
      <c r="E149" s="234"/>
      <c r="F149" s="236"/>
    </row>
    <row r="150" spans="1:6" ht="15" customHeight="1">
      <c r="A150" s="25" t="str">
        <f>'Trial Balance'!A136&amp;"-"&amp;'Trial Balance'!B136</f>
        <v>2105-Accumulated Amortization of Electric Utility Plant - Property, Plant and Equipment</v>
      </c>
      <c r="B150" s="317">
        <f>'Trial Balance'!J136</f>
        <v>-15210512.940000003</v>
      </c>
      <c r="E150" s="234"/>
      <c r="F150" s="236"/>
    </row>
    <row r="151" spans="1:6" ht="15" customHeight="1">
      <c r="A151" s="25" t="str">
        <f>'Trial Balance'!A137&amp;"-"&amp;'Trial Balance'!B137</f>
        <v>2120-Accumulated Amortization of Electric Utility Plant - Intangibles</v>
      </c>
      <c r="B151" s="317">
        <f>'Trial Balance'!J137</f>
        <v>0</v>
      </c>
      <c r="E151" s="234"/>
      <c r="F151" s="236"/>
    </row>
    <row r="152" spans="1:6" ht="15" customHeight="1">
      <c r="A152" s="25" t="str">
        <f>'Trial Balance'!A138&amp;"-"&amp;'Trial Balance'!B138</f>
        <v>2140-Accumulated Amortization of Electric Plant Acquisition Adjustment</v>
      </c>
      <c r="B152" s="317">
        <f>'Trial Balance'!J138</f>
        <v>0</v>
      </c>
      <c r="E152" s="234"/>
      <c r="F152" s="236"/>
    </row>
    <row r="153" spans="1:6" ht="15" customHeight="1">
      <c r="A153" s="25" t="str">
        <f>'Trial Balance'!A139&amp;"-"&amp;'Trial Balance'!B139</f>
        <v>2160-Accumulated Amortization of Other Utility Plant</v>
      </c>
      <c r="B153" s="317">
        <f>'Trial Balance'!J139</f>
        <v>0</v>
      </c>
      <c r="E153" s="234"/>
      <c r="F153" s="236"/>
    </row>
    <row r="154" spans="1:6" ht="15" customHeight="1" thickBot="1">
      <c r="A154" s="25" t="str">
        <f>'Trial Balance'!A140&amp;"-"&amp;'Trial Balance'!B140</f>
        <v>2180-Accumulated Amortization of Non-Utility Property</v>
      </c>
      <c r="B154" s="317">
        <f>'Trial Balance'!J140</f>
        <v>0</v>
      </c>
      <c r="E154" s="234"/>
      <c r="F154" s="236"/>
    </row>
    <row r="155" spans="1:6" ht="15" customHeight="1" thickBot="1">
      <c r="A155" s="199" t="s">
        <v>152</v>
      </c>
      <c r="B155" s="320">
        <f>SUM(B150:B154)</f>
        <v>-15210512.940000003</v>
      </c>
      <c r="E155" s="234"/>
      <c r="F155" s="236"/>
    </row>
    <row r="156" spans="1:6" ht="15" customHeight="1" thickBot="1">
      <c r="A156" s="196"/>
      <c r="B156" s="319"/>
      <c r="E156" s="234"/>
      <c r="F156" s="236"/>
    </row>
    <row r="157" spans="1:6" ht="15" customHeight="1" thickBot="1">
      <c r="A157" s="197" t="s">
        <v>265</v>
      </c>
      <c r="B157" s="321">
        <f>B28+B35+B52+B91+B109+B133+B147+B155</f>
        <v>31050874.65999998</v>
      </c>
      <c r="E157" s="234"/>
      <c r="F157" s="236"/>
    </row>
    <row r="158" spans="1:6" s="18" customFormat="1" ht="15" customHeight="1">
      <c r="A158" s="22"/>
      <c r="B158" s="319"/>
      <c r="E158" s="234"/>
      <c r="F158" s="236"/>
    </row>
    <row r="159" spans="1:6" s="18" customFormat="1" ht="15" customHeight="1">
      <c r="A159" s="645" t="s">
        <v>153</v>
      </c>
      <c r="B159" s="645"/>
      <c r="E159" s="234"/>
      <c r="F159" s="236"/>
    </row>
    <row r="160" spans="1:6" ht="15" customHeight="1">
      <c r="A160" s="25" t="str">
        <f>'Trial Balance'!A142&amp;"-"&amp;'Trial Balance'!B142</f>
        <v>2205-Accounts Payable</v>
      </c>
      <c r="B160" s="317">
        <f>-'Trial Balance'!J142</f>
        <v>1761549.5599999991</v>
      </c>
      <c r="E160" s="234"/>
      <c r="F160" s="236"/>
    </row>
    <row r="161" spans="1:6" ht="15" customHeight="1">
      <c r="A161" s="25" t="str">
        <f>'Trial Balance'!A143&amp;"-"&amp;'Trial Balance'!B143</f>
        <v>2208-Customer Credit Balances</v>
      </c>
      <c r="B161" s="317">
        <f>-'Trial Balance'!J143</f>
        <v>0</v>
      </c>
      <c r="E161" s="234"/>
      <c r="F161" s="236"/>
    </row>
    <row r="162" spans="1:6" ht="15" customHeight="1">
      <c r="A162" s="25" t="str">
        <f>'Trial Balance'!A144&amp;"-"&amp;'Trial Balance'!B144</f>
        <v>2210-Current Portion of Customer Deposits </v>
      </c>
      <c r="B162" s="317">
        <f>-'Trial Balance'!J144</f>
        <v>316459.2800000001</v>
      </c>
      <c r="E162" s="234"/>
      <c r="F162" s="236"/>
    </row>
    <row r="163" spans="1:6" ht="15" customHeight="1">
      <c r="A163" s="25" t="str">
        <f>'Trial Balance'!A145&amp;"-"&amp;'Trial Balance'!B145</f>
        <v>2215-Dividends Declared</v>
      </c>
      <c r="B163" s="317">
        <f>-'Trial Balance'!J145</f>
        <v>0</v>
      </c>
      <c r="E163" s="234"/>
      <c r="F163" s="236"/>
    </row>
    <row r="164" spans="1:6" ht="15" customHeight="1">
      <c r="A164" s="25" t="str">
        <f>'Trial Balance'!A146&amp;"-"&amp;'Trial Balance'!B146</f>
        <v>2220-Miscellaneous Current and Accrued Liabilities</v>
      </c>
      <c r="B164" s="317">
        <f>-'Trial Balance'!J146</f>
        <v>1217623.0300000003</v>
      </c>
      <c r="E164" s="234"/>
      <c r="F164" s="236"/>
    </row>
    <row r="165" spans="1:6" ht="15" customHeight="1">
      <c r="A165" s="25" t="str">
        <f>'Trial Balance'!A147&amp;"-"&amp;'Trial Balance'!B147</f>
        <v>2225-Notes and Loans Payable</v>
      </c>
      <c r="B165" s="317">
        <f>-'Trial Balance'!J147</f>
        <v>0</v>
      </c>
      <c r="E165" s="234"/>
      <c r="F165" s="236"/>
    </row>
    <row r="166" spans="1:6" ht="15" customHeight="1">
      <c r="A166" s="25" t="str">
        <f>'Trial Balance'!A148&amp;"-"&amp;'Trial Balance'!B148</f>
        <v>2240-Accounts Payable to Associated Companies</v>
      </c>
      <c r="B166" s="317">
        <f>-'Trial Balance'!J148</f>
        <v>0</v>
      </c>
      <c r="E166" s="234"/>
      <c r="F166" s="236"/>
    </row>
    <row r="167" spans="1:6" ht="15" customHeight="1">
      <c r="A167" s="25" t="str">
        <f>'Trial Balance'!A149&amp;"-"&amp;'Trial Balance'!B149</f>
        <v>2242-Notes Payable to Associated Companies</v>
      </c>
      <c r="B167" s="317">
        <f>-'Trial Balance'!J149</f>
        <v>0</v>
      </c>
      <c r="E167" s="234"/>
      <c r="F167" s="236"/>
    </row>
    <row r="168" spans="1:6" ht="15" customHeight="1">
      <c r="A168" s="25" t="str">
        <f>'Trial Balance'!A150&amp;"-"&amp;'Trial Balance'!B150</f>
        <v>2250-Debt Retirement  Charges (DRC) Payable</v>
      </c>
      <c r="B168" s="317">
        <f>-'Trial Balance'!J150</f>
        <v>13295.339999999851</v>
      </c>
      <c r="E168" s="234"/>
      <c r="F168" s="236"/>
    </row>
    <row r="169" spans="1:6" ht="15" customHeight="1">
      <c r="A169" s="25" t="str">
        <f>'Trial Balance'!A151&amp;"-"&amp;'Trial Balance'!B151</f>
        <v>2252-Transmission Charges Payable</v>
      </c>
      <c r="B169" s="317">
        <f>-'Trial Balance'!J151</f>
        <v>0</v>
      </c>
      <c r="E169" s="234"/>
      <c r="F169" s="236"/>
    </row>
    <row r="170" spans="1:6" ht="15" customHeight="1">
      <c r="A170" s="25" t="str">
        <f>'Trial Balance'!A152&amp;"-"&amp;'Trial Balance'!B152</f>
        <v>2254-Electric Safety Authority Fees Payable</v>
      </c>
      <c r="B170" s="317">
        <f>-'Trial Balance'!J152</f>
        <v>0</v>
      </c>
      <c r="E170" s="234"/>
      <c r="F170" s="236"/>
    </row>
    <row r="171" spans="1:6" ht="15" customHeight="1">
      <c r="A171" s="25" t="str">
        <f>'Trial Balance'!A153&amp;"-"&amp;'Trial Balance'!B153</f>
        <v>2256-Independent Market Operator Fees and Penalties Payable</v>
      </c>
      <c r="B171" s="317">
        <f>-'Trial Balance'!J153</f>
        <v>2762516.6400000006</v>
      </c>
      <c r="E171" s="234"/>
      <c r="F171" s="236"/>
    </row>
    <row r="172" spans="1:6" ht="15" customHeight="1">
      <c r="A172" s="25" t="str">
        <f>'Trial Balance'!A154&amp;"-"&amp;'Trial Balance'!B154</f>
        <v>2260-Current Portion of Long Term Debt</v>
      </c>
      <c r="B172" s="317">
        <f>-'Trial Balance'!J154</f>
        <v>0</v>
      </c>
      <c r="E172" s="234"/>
      <c r="F172" s="236"/>
    </row>
    <row r="173" spans="1:6" ht="15" customHeight="1">
      <c r="A173" s="25" t="str">
        <f>'Trial Balance'!A155&amp;"-"&amp;'Trial Balance'!B155</f>
        <v>2262-Ontario Hydro Debt - Current Portion</v>
      </c>
      <c r="B173" s="317">
        <f>-'Trial Balance'!J155</f>
        <v>0</v>
      </c>
      <c r="E173" s="234"/>
      <c r="F173" s="236"/>
    </row>
    <row r="174" spans="1:6" ht="15" customHeight="1">
      <c r="A174" s="25" t="str">
        <f>'Trial Balance'!A156&amp;"-"&amp;'Trial Balance'!B156</f>
        <v>2264-Pensions and Employee Benefits - Current Portion</v>
      </c>
      <c r="B174" s="317">
        <f>-'Trial Balance'!J156</f>
        <v>0</v>
      </c>
      <c r="E174" s="234"/>
      <c r="F174" s="236"/>
    </row>
    <row r="175" spans="1:6" ht="15" customHeight="1">
      <c r="A175" s="25" t="str">
        <f>'Trial Balance'!A157&amp;"-"&amp;'Trial Balance'!B157</f>
        <v>2268-Accrued Interest on Long Term Debt</v>
      </c>
      <c r="B175" s="317">
        <f>-'Trial Balance'!J157</f>
        <v>0</v>
      </c>
      <c r="E175" s="234"/>
      <c r="F175" s="236"/>
    </row>
    <row r="176" spans="1:6" ht="15" customHeight="1">
      <c r="A176" s="25" t="str">
        <f>'Trial Balance'!A158&amp;"-"&amp;'Trial Balance'!B158</f>
        <v>2270-Matured Long Term Debt</v>
      </c>
      <c r="B176" s="317">
        <f>-'Trial Balance'!J158</f>
        <v>0</v>
      </c>
      <c r="E176" s="234"/>
      <c r="F176" s="236"/>
    </row>
    <row r="177" spans="1:6" ht="15" customHeight="1">
      <c r="A177" s="25" t="str">
        <f>'Trial Balance'!A159&amp;"-"&amp;'Trial Balance'!B159</f>
        <v>2272-Matured Interest on Long Term Debt</v>
      </c>
      <c r="B177" s="317">
        <f>-'Trial Balance'!J159</f>
        <v>0</v>
      </c>
      <c r="E177" s="234"/>
      <c r="F177" s="236"/>
    </row>
    <row r="178" spans="1:6" ht="15" customHeight="1">
      <c r="A178" s="25" t="str">
        <f>'Trial Balance'!A160&amp;"-"&amp;'Trial Balance'!B160</f>
        <v>2285-Obligations Under Capital Leases--Current</v>
      </c>
      <c r="B178" s="317">
        <f>-'Trial Balance'!J160</f>
        <v>0</v>
      </c>
      <c r="E178" s="234"/>
      <c r="F178" s="236"/>
    </row>
    <row r="179" spans="1:6" ht="15" customHeight="1">
      <c r="A179" s="25" t="str">
        <f>'Trial Balance'!A161&amp;"-"&amp;'Trial Balance'!B161</f>
        <v>2290-Commodity Taxes</v>
      </c>
      <c r="B179" s="317">
        <f>-'Trial Balance'!J161</f>
        <v>31116.289999999746</v>
      </c>
      <c r="E179" s="234"/>
      <c r="F179" s="236"/>
    </row>
    <row r="180" spans="1:6" ht="15" customHeight="1">
      <c r="A180" s="25" t="str">
        <f>'Trial Balance'!A162&amp;"-"&amp;'Trial Balance'!B162</f>
        <v>2292-Payroll Deductions / Expenses Payable</v>
      </c>
      <c r="B180" s="317">
        <f>-'Trial Balance'!J162</f>
        <v>37999.04000000001</v>
      </c>
      <c r="E180" s="234"/>
      <c r="F180" s="236"/>
    </row>
    <row r="181" spans="1:6" ht="15" customHeight="1">
      <c r="A181" s="25" t="str">
        <f>'Trial Balance'!A163&amp;"-"&amp;'Trial Balance'!B163</f>
        <v>2294-Accrual for Taxes, "Payments in Lieu" of Taxes, Etc.</v>
      </c>
      <c r="B181" s="317">
        <f>-'Trial Balance'!J163</f>
        <v>-123073</v>
      </c>
      <c r="E181" s="234"/>
      <c r="F181" s="236"/>
    </row>
    <row r="182" spans="1:6" ht="15" customHeight="1" thickBot="1">
      <c r="A182" s="25" t="str">
        <f>'Trial Balance'!A164&amp;"-"&amp;'Trial Balance'!B164</f>
        <v>2296-Future Income Taxes - Current</v>
      </c>
      <c r="B182" s="317">
        <f>-'Trial Balance'!J164</f>
        <v>0</v>
      </c>
      <c r="E182" s="234"/>
      <c r="F182" s="236"/>
    </row>
    <row r="183" spans="1:6" ht="15" customHeight="1" thickBot="1">
      <c r="A183" s="28" t="s">
        <v>526</v>
      </c>
      <c r="B183" s="318">
        <f>SUM(B160:B182)</f>
        <v>6017486.18</v>
      </c>
      <c r="E183" s="234"/>
      <c r="F183" s="236"/>
    </row>
    <row r="184" spans="1:6" s="18" customFormat="1" ht="15" customHeight="1">
      <c r="A184" s="21"/>
      <c r="B184" s="319"/>
      <c r="E184" s="234"/>
      <c r="F184" s="236"/>
    </row>
    <row r="185" spans="1:6" s="18" customFormat="1" ht="15" customHeight="1">
      <c r="A185" s="645" t="s">
        <v>527</v>
      </c>
      <c r="B185" s="645"/>
      <c r="E185" s="234"/>
      <c r="F185" s="236"/>
    </row>
    <row r="186" spans="1:6" ht="15" customHeight="1">
      <c r="A186" s="25" t="str">
        <f>'Trial Balance'!A166&amp;"-"&amp;'Trial Balance'!B166</f>
        <v>2305-Accumulated Provision for Injuries and Damages</v>
      </c>
      <c r="B186" s="317">
        <f>-'Trial Balance'!J166</f>
        <v>0</v>
      </c>
      <c r="E186" s="234"/>
      <c r="F186" s="236"/>
    </row>
    <row r="187" spans="1:6" ht="15" customHeight="1">
      <c r="A187" s="25" t="str">
        <f>'Trial Balance'!A167&amp;"-"&amp;'Trial Balance'!B167</f>
        <v>2306-Employee Future Benefits</v>
      </c>
      <c r="B187" s="317">
        <f>-'Trial Balance'!J167</f>
        <v>1118833</v>
      </c>
      <c r="E187" s="234"/>
      <c r="F187" s="236"/>
    </row>
    <row r="188" spans="1:6" ht="15" customHeight="1">
      <c r="A188" s="25" t="str">
        <f>'Trial Balance'!A168&amp;"-"&amp;'Trial Balance'!B168</f>
        <v>2308-Other Pensions - Past Service Liability</v>
      </c>
      <c r="B188" s="317">
        <f>-'Trial Balance'!J168</f>
        <v>0</v>
      </c>
      <c r="E188" s="234"/>
      <c r="F188" s="236"/>
    </row>
    <row r="189" spans="1:6" ht="15" customHeight="1">
      <c r="A189" s="25" t="str">
        <f>'Trial Balance'!A169&amp;"-"&amp;'Trial Balance'!B169</f>
        <v>2310-Vested Sick Leave Liability</v>
      </c>
      <c r="B189" s="317">
        <f>-'Trial Balance'!J169</f>
        <v>126052.03</v>
      </c>
      <c r="E189" s="234"/>
      <c r="F189" s="236"/>
    </row>
    <row r="190" spans="1:6" ht="15" customHeight="1">
      <c r="A190" s="25" t="str">
        <f>'Trial Balance'!A170&amp;"-"&amp;'Trial Balance'!B170</f>
        <v>2315-Accumulated Provision for Rate Refunds</v>
      </c>
      <c r="B190" s="317">
        <f>-'Trial Balance'!J170</f>
        <v>0</v>
      </c>
      <c r="E190" s="234"/>
      <c r="F190" s="236"/>
    </row>
    <row r="191" spans="1:6" ht="15" customHeight="1">
      <c r="A191" s="25" t="str">
        <f>'Trial Balance'!A171&amp;"-"&amp;'Trial Balance'!B171</f>
        <v>2320-Other Miscellaneous Non-Current Liabilities</v>
      </c>
      <c r="B191" s="317">
        <f>-'Trial Balance'!J171</f>
        <v>0</v>
      </c>
      <c r="E191" s="234"/>
      <c r="F191" s="236"/>
    </row>
    <row r="192" spans="1:6" ht="15" customHeight="1">
      <c r="A192" s="25" t="str">
        <f>'Trial Balance'!A172&amp;"-"&amp;'Trial Balance'!B172</f>
        <v>2325-Obligations Under Capital Lease--Non-Current</v>
      </c>
      <c r="B192" s="317">
        <f>-'Trial Balance'!J172</f>
        <v>0</v>
      </c>
      <c r="E192" s="234"/>
      <c r="F192" s="236"/>
    </row>
    <row r="193" spans="1:6" ht="15" customHeight="1">
      <c r="A193" s="25" t="str">
        <f>'Trial Balance'!A173&amp;"-"&amp;'Trial Balance'!B173</f>
        <v>2330-Devolpment Charge Fund</v>
      </c>
      <c r="B193" s="317">
        <f>-'Trial Balance'!J173</f>
        <v>0</v>
      </c>
      <c r="E193" s="234"/>
      <c r="F193" s="236"/>
    </row>
    <row r="194" spans="1:6" ht="15" customHeight="1">
      <c r="A194" s="25" t="str">
        <f>'Trial Balance'!A174&amp;"-"&amp;'Trial Balance'!B174</f>
        <v>2335-Long Term Customer Deposits</v>
      </c>
      <c r="B194" s="317">
        <f>-'Trial Balance'!J174</f>
        <v>1027310.8199999998</v>
      </c>
      <c r="E194" s="234"/>
      <c r="F194" s="236"/>
    </row>
    <row r="195" spans="1:6" ht="15" customHeight="1">
      <c r="A195" s="25" t="str">
        <f>'Trial Balance'!A175&amp;"-"&amp;'Trial Balance'!B175</f>
        <v>2340-Collateral Funds Liability</v>
      </c>
      <c r="B195" s="317">
        <f>-'Trial Balance'!J175</f>
        <v>0</v>
      </c>
      <c r="E195" s="234"/>
      <c r="F195" s="236"/>
    </row>
    <row r="196" spans="1:6" ht="15" customHeight="1">
      <c r="A196" s="25" t="str">
        <f>'Trial Balance'!A176&amp;"-"&amp;'Trial Balance'!B176</f>
        <v>2345-Unamortized Premium on Long Term Debt</v>
      </c>
      <c r="B196" s="317">
        <f>-'Trial Balance'!J176</f>
        <v>0</v>
      </c>
      <c r="E196" s="234"/>
      <c r="F196" s="236"/>
    </row>
    <row r="197" spans="1:6" ht="15" customHeight="1">
      <c r="A197" s="25" t="str">
        <f>'Trial Balance'!A177&amp;"-"&amp;'Trial Balance'!B177</f>
        <v>2348-O.M.E.R.S. - Past Service Liability - Long Term Portion</v>
      </c>
      <c r="B197" s="317">
        <f>-'Trial Balance'!J177</f>
        <v>0</v>
      </c>
      <c r="E197" s="234"/>
      <c r="F197" s="236"/>
    </row>
    <row r="198" spans="1:6" ht="15" customHeight="1">
      <c r="A198" s="25" t="str">
        <f>'Trial Balance'!A178&amp;"-"&amp;'Trial Balance'!B178</f>
        <v>2350-Future Income Tax - Non-Current</v>
      </c>
      <c r="B198" s="317">
        <f>-'Trial Balance'!J178</f>
        <v>-2460100</v>
      </c>
      <c r="E198" s="234"/>
      <c r="F198" s="236"/>
    </row>
    <row r="199" spans="1:6" ht="15" customHeight="1">
      <c r="A199" s="25" t="str">
        <f>'Trial Balance'!A180&amp;"-"&amp;'Trial Balance'!B180</f>
        <v>2405-Other Regulatory Liabilities</v>
      </c>
      <c r="B199" s="317">
        <f>-'Trial Balance'!J180</f>
        <v>0</v>
      </c>
      <c r="E199" s="234"/>
      <c r="F199" s="236"/>
    </row>
    <row r="200" spans="1:6" ht="15" customHeight="1">
      <c r="A200" s="25" t="str">
        <f>'Trial Balance'!A181&amp;"-"&amp;'Trial Balance'!B181</f>
        <v>2410-Deferred Gains From Disposition of Utility Plant</v>
      </c>
      <c r="B200" s="317">
        <f>-'Trial Balance'!J181</f>
        <v>0</v>
      </c>
      <c r="E200" s="234"/>
      <c r="F200" s="236"/>
    </row>
    <row r="201" spans="1:6" ht="15" customHeight="1">
      <c r="A201" s="25" t="str">
        <f>'Trial Balance'!A182&amp;"-"&amp;'Trial Balance'!B182</f>
        <v>2415-Unamortized Gain on Reacquired Debt</v>
      </c>
      <c r="B201" s="317">
        <f>-'Trial Balance'!J182</f>
        <v>0</v>
      </c>
      <c r="E201" s="234"/>
      <c r="F201" s="236"/>
    </row>
    <row r="202" spans="1:6" ht="15" customHeight="1">
      <c r="A202" s="25" t="str">
        <f>'Trial Balance'!A183&amp;"-"&amp;'Trial Balance'!B183</f>
        <v>2425-Other Deferred Credits</v>
      </c>
      <c r="B202" s="317">
        <f>-'Trial Balance'!J183</f>
        <v>0</v>
      </c>
      <c r="E202" s="234"/>
      <c r="F202" s="236"/>
    </row>
    <row r="203" spans="1:6" ht="15" customHeight="1" thickBot="1">
      <c r="A203" s="25" t="str">
        <f>'Trial Balance'!A184&amp;"-"&amp;'Trial Balance'!B184</f>
        <v>2435-Accrued Rate-Payer Benefit</v>
      </c>
      <c r="B203" s="317">
        <f>-'Trial Balance'!J184</f>
        <v>0</v>
      </c>
      <c r="E203" s="234"/>
      <c r="F203" s="236"/>
    </row>
    <row r="204" spans="1:6" ht="15" customHeight="1" thickBot="1">
      <c r="A204" s="28" t="s">
        <v>157</v>
      </c>
      <c r="B204" s="318">
        <f>SUM(B186:B203)</f>
        <v>-187904.15000000037</v>
      </c>
      <c r="E204" s="234"/>
      <c r="F204" s="236"/>
    </row>
    <row r="205" spans="1:6" s="18" customFormat="1" ht="15" customHeight="1">
      <c r="A205" s="21"/>
      <c r="B205" s="319"/>
      <c r="E205" s="234"/>
      <c r="F205" s="236"/>
    </row>
    <row r="206" spans="1:6" s="18" customFormat="1" ht="15" customHeight="1">
      <c r="A206" s="645" t="s">
        <v>158</v>
      </c>
      <c r="B206" s="645"/>
      <c r="E206" s="234"/>
      <c r="F206" s="236"/>
    </row>
    <row r="207" spans="1:6" s="18" customFormat="1" ht="15" customHeight="1">
      <c r="A207" s="25" t="str">
        <f>'Trial Balance'!A186&amp;"-"&amp;'Trial Balance'!B186</f>
        <v>2505-Debentures Outstanding - Long Term Portion</v>
      </c>
      <c r="B207" s="317">
        <f>-'Trial Balance'!J186</f>
        <v>0</v>
      </c>
      <c r="E207" s="234"/>
      <c r="F207" s="236"/>
    </row>
    <row r="208" spans="1:6" s="18" customFormat="1" ht="15" customHeight="1">
      <c r="A208" s="25" t="str">
        <f>'Trial Balance'!A187&amp;"-"&amp;'Trial Balance'!B187</f>
        <v>2510-Debenture Advances</v>
      </c>
      <c r="B208" s="317">
        <f>-'Trial Balance'!J187</f>
        <v>0</v>
      </c>
      <c r="E208" s="234"/>
      <c r="F208" s="236"/>
    </row>
    <row r="209" spans="1:6" s="18" customFormat="1" ht="15" customHeight="1">
      <c r="A209" s="25" t="str">
        <f>'Trial Balance'!A188&amp;"-"&amp;'Trial Balance'!B188</f>
        <v>2515-Required Bonds</v>
      </c>
      <c r="B209" s="317">
        <f>-'Trial Balance'!J188</f>
        <v>0</v>
      </c>
      <c r="E209" s="234"/>
      <c r="F209" s="236"/>
    </row>
    <row r="210" spans="1:6" s="18" customFormat="1" ht="15" customHeight="1">
      <c r="A210" s="25" t="str">
        <f>'Trial Balance'!A189&amp;"-"&amp;'Trial Balance'!B189</f>
        <v>2520-Other Long Term Debt</v>
      </c>
      <c r="B210" s="317">
        <f>-'Trial Balance'!J189</f>
        <v>10941862.09</v>
      </c>
      <c r="E210" s="234"/>
      <c r="F210" s="236"/>
    </row>
    <row r="211" spans="1:6" s="18" customFormat="1" ht="15" customHeight="1">
      <c r="A211" s="25" t="str">
        <f>'Trial Balance'!A190&amp;"-"&amp;'Trial Balance'!B190</f>
        <v>2525-Term Bank Loans - Long Term Portion</v>
      </c>
      <c r="B211" s="317">
        <f>-'Trial Balance'!J190</f>
        <v>0</v>
      </c>
      <c r="E211" s="234"/>
      <c r="F211" s="236"/>
    </row>
    <row r="212" spans="1:6" s="18" customFormat="1" ht="15" customHeight="1">
      <c r="A212" s="25" t="str">
        <f>'Trial Balance'!A191&amp;"-"&amp;'Trial Balance'!B191</f>
        <v>2530-Ontario Hydro Debt Outstanding - Long Term Portion</v>
      </c>
      <c r="B212" s="317">
        <f>-'Trial Balance'!J191</f>
        <v>0</v>
      </c>
      <c r="E212" s="234"/>
      <c r="F212" s="236"/>
    </row>
    <row r="213" spans="1:6" ht="15" customHeight="1" thickBot="1">
      <c r="A213" s="25" t="str">
        <f>'Trial Balance'!A192&amp;"-"&amp;'Trial Balance'!B192</f>
        <v>2550-Advances from Associated Companies</v>
      </c>
      <c r="B213" s="317">
        <f>-'Trial Balance'!J192</f>
        <v>0</v>
      </c>
      <c r="E213" s="234"/>
      <c r="F213" s="236"/>
    </row>
    <row r="214" spans="1:6" ht="15" customHeight="1" thickBot="1">
      <c r="A214" s="28" t="s">
        <v>159</v>
      </c>
      <c r="B214" s="318">
        <f>SUM(B207:B213)</f>
        <v>10941862.09</v>
      </c>
      <c r="E214" s="234"/>
      <c r="F214" s="236"/>
    </row>
    <row r="215" spans="1:6" s="18" customFormat="1" ht="15" customHeight="1">
      <c r="A215" s="21"/>
      <c r="B215" s="319"/>
      <c r="E215" s="234"/>
      <c r="F215" s="236"/>
    </row>
    <row r="216" spans="1:6" s="18" customFormat="1" ht="15" customHeight="1">
      <c r="A216" s="645" t="s">
        <v>160</v>
      </c>
      <c r="B216" s="645"/>
      <c r="E216" s="234"/>
      <c r="F216" s="236"/>
    </row>
    <row r="217" spans="1:6" ht="15" customHeight="1">
      <c r="A217" s="25" t="str">
        <f>'Trial Balance'!A194&amp;"-"&amp;'Trial Balance'!B194</f>
        <v>3005-Common Shares Issued</v>
      </c>
      <c r="B217" s="317">
        <f>-'Trial Balance'!J194</f>
        <v>10941862.09</v>
      </c>
      <c r="E217" s="234"/>
      <c r="F217" s="236"/>
    </row>
    <row r="218" spans="1:6" ht="15" customHeight="1">
      <c r="A218" s="25" t="str">
        <f>'Trial Balance'!A195&amp;"-"&amp;'Trial Balance'!B195</f>
        <v>3008-Preference Shares Issued</v>
      </c>
      <c r="B218" s="317">
        <f>-'Trial Balance'!J195</f>
        <v>0</v>
      </c>
      <c r="E218" s="234"/>
      <c r="F218" s="236"/>
    </row>
    <row r="219" spans="1:6" ht="15" customHeight="1">
      <c r="A219" s="25" t="str">
        <f>'Trial Balance'!A196&amp;"-"&amp;'Trial Balance'!B196</f>
        <v>3010-Contributed Surplus</v>
      </c>
      <c r="B219" s="317">
        <f>-'Trial Balance'!J196</f>
        <v>0</v>
      </c>
      <c r="E219" s="234"/>
      <c r="F219" s="236"/>
    </row>
    <row r="220" spans="1:6" ht="15" customHeight="1">
      <c r="A220" s="25" t="str">
        <f>'Trial Balance'!A197&amp;"-"&amp;'Trial Balance'!B197</f>
        <v>3020-Donations Received</v>
      </c>
      <c r="B220" s="317">
        <f>-'Trial Balance'!J197</f>
        <v>0</v>
      </c>
      <c r="E220" s="234"/>
      <c r="F220" s="236"/>
    </row>
    <row r="221" spans="1:6" ht="15" customHeight="1">
      <c r="A221" s="25" t="str">
        <f>'Trial Balance'!A198&amp;"-"&amp;'Trial Balance'!B198</f>
        <v>3022-Devolpment Charges Transferred to Equity</v>
      </c>
      <c r="B221" s="317">
        <f>-'Trial Balance'!J198</f>
        <v>0</v>
      </c>
      <c r="E221" s="234"/>
      <c r="F221" s="236"/>
    </row>
    <row r="222" spans="1:6" ht="15" customHeight="1">
      <c r="A222" s="25" t="str">
        <f>'Trial Balance'!A199&amp;"-"&amp;'Trial Balance'!B199</f>
        <v>3026-Capital Stock Held in Treasury</v>
      </c>
      <c r="B222" s="317">
        <f>-'Trial Balance'!J199</f>
        <v>0</v>
      </c>
      <c r="E222" s="234"/>
      <c r="F222" s="236"/>
    </row>
    <row r="223" spans="1:6" ht="15" customHeight="1">
      <c r="A223" s="25" t="str">
        <f>'Trial Balance'!A200&amp;"-"&amp;'Trial Balance'!B200</f>
        <v>3030-Miscellaneous Paid-In Capital</v>
      </c>
      <c r="B223" s="317">
        <f>-'Trial Balance'!J200</f>
        <v>0</v>
      </c>
      <c r="E223" s="234"/>
      <c r="F223" s="236"/>
    </row>
    <row r="224" spans="1:6" ht="15" customHeight="1">
      <c r="A224" s="25" t="str">
        <f>'Trial Balance'!A201&amp;"-"&amp;'Trial Balance'!B201</f>
        <v>3035-Installments Received on Capital Stock</v>
      </c>
      <c r="B224" s="317">
        <f>-'Trial Balance'!J201</f>
        <v>0</v>
      </c>
      <c r="E224" s="234"/>
      <c r="F224" s="236"/>
    </row>
    <row r="225" spans="1:6" ht="15" customHeight="1">
      <c r="A225" s="25" t="str">
        <f>'Trial Balance'!A202&amp;"-"&amp;'Trial Balance'!B202</f>
        <v>3040-Appropriated Retained Earnings</v>
      </c>
      <c r="B225" s="317">
        <f>-'Trial Balance'!J202</f>
        <v>0</v>
      </c>
      <c r="E225" s="234"/>
      <c r="F225" s="236"/>
    </row>
    <row r="226" spans="1:6" ht="15" customHeight="1">
      <c r="A226" s="25" t="str">
        <f>'Trial Balance'!A203&amp;"-"&amp;'Trial Balance'!B203</f>
        <v>3045-Unappropriated Retained Earnings</v>
      </c>
      <c r="B226" s="317">
        <f>-'Trial Balance'!J203</f>
        <v>2970475.11</v>
      </c>
      <c r="E226" s="234"/>
      <c r="F226" s="236"/>
    </row>
    <row r="227" spans="1:6" ht="15" customHeight="1">
      <c r="A227" s="25" t="s">
        <v>548</v>
      </c>
      <c r="B227" s="322">
        <f>-'2009 Income Statement'!B216</f>
        <v>592093.8499999973</v>
      </c>
      <c r="E227" s="234"/>
      <c r="F227" s="236"/>
    </row>
    <row r="228" spans="1:6" ht="15" customHeight="1">
      <c r="A228" s="25" t="str">
        <f>'Trial Balance'!A205&amp;"-"&amp;'Trial Balance'!B205</f>
        <v>3047-Appropriations of Retained Earnings - Current Period</v>
      </c>
      <c r="B228" s="317">
        <f>-'Trial Balance'!J205</f>
        <v>0</v>
      </c>
      <c r="E228" s="234"/>
      <c r="F228" s="236"/>
    </row>
    <row r="229" spans="1:6" ht="15" customHeight="1">
      <c r="A229" s="25" t="str">
        <f>'Trial Balance'!A206&amp;"-"&amp;'Trial Balance'!B206</f>
        <v>3048-Dividends Payable-Preference Shares</v>
      </c>
      <c r="B229" s="317">
        <f>-'Trial Balance'!J206</f>
        <v>0</v>
      </c>
      <c r="E229" s="234"/>
      <c r="F229" s="236"/>
    </row>
    <row r="230" spans="1:6" ht="15" customHeight="1">
      <c r="A230" s="25" t="str">
        <f>'Trial Balance'!A207&amp;"-"&amp;'Trial Balance'!B207</f>
        <v>3049-Dividends Payable-Common Shares</v>
      </c>
      <c r="B230" s="317">
        <f>-'Trial Balance'!J207</f>
        <v>-225000</v>
      </c>
      <c r="E230" s="234"/>
      <c r="F230" s="236"/>
    </row>
    <row r="231" spans="1:6" ht="15" customHeight="1">
      <c r="A231" s="25" t="str">
        <f>'Trial Balance'!A208&amp;"-"&amp;'Trial Balance'!B208</f>
        <v>3055-Adjustment to Retained Earnings                 </v>
      </c>
      <c r="B231" s="317">
        <f>-'Trial Balance'!J208</f>
        <v>0</v>
      </c>
      <c r="E231" s="234"/>
      <c r="F231" s="236"/>
    </row>
    <row r="232" spans="1:6" ht="15" customHeight="1" thickBot="1">
      <c r="A232" s="25" t="str">
        <f>'Trial Balance'!A209&amp;"-"&amp;'Trial Balance'!B209</f>
        <v>3065-Unappropriated Undistributed Subsidiary Earnings</v>
      </c>
      <c r="B232" s="317">
        <f>-'Trial Balance'!J209</f>
        <v>0</v>
      </c>
      <c r="E232" s="234"/>
      <c r="F232" s="236"/>
    </row>
    <row r="233" spans="1:6" ht="15" customHeight="1" thickBot="1">
      <c r="A233" s="26" t="s">
        <v>549</v>
      </c>
      <c r="B233" s="318">
        <f>SUM(B217:B232)</f>
        <v>14279431.049999997</v>
      </c>
      <c r="E233" s="234"/>
      <c r="F233" s="236"/>
    </row>
    <row r="234" spans="1:6" s="10" customFormat="1" ht="15" customHeight="1">
      <c r="A234" s="22"/>
      <c r="B234" s="319"/>
      <c r="E234" s="234"/>
      <c r="F234" s="236"/>
    </row>
    <row r="235" spans="1:6" s="10" customFormat="1" ht="15" customHeight="1">
      <c r="A235" s="198" t="s">
        <v>274</v>
      </c>
      <c r="B235" s="323">
        <f>B183+B204+B214+B233</f>
        <v>31050875.169999994</v>
      </c>
      <c r="E235" s="234"/>
      <c r="F235" s="236"/>
    </row>
    <row r="236" spans="1:2" s="10" customFormat="1" ht="15" customHeight="1" thickBot="1">
      <c r="A236" s="22"/>
      <c r="B236" s="319"/>
    </row>
    <row r="237" spans="1:2" ht="15" customHeight="1" thickBot="1">
      <c r="A237" s="29" t="s">
        <v>273</v>
      </c>
      <c r="B237" s="324">
        <f>B157-B235</f>
        <v>-0.5100000128149986</v>
      </c>
    </row>
    <row r="238" spans="1:2" ht="15">
      <c r="A238" s="23"/>
      <c r="B238" s="325"/>
    </row>
    <row r="239" spans="1:2" ht="13.5">
      <c r="A239" s="635" t="s">
        <v>905</v>
      </c>
      <c r="B239" s="636"/>
    </row>
    <row r="240" spans="1:2" ht="12.75">
      <c r="A240" s="381" t="s">
        <v>912</v>
      </c>
      <c r="B240" s="382">
        <f>B237</f>
        <v>-0.5100000128149986</v>
      </c>
    </row>
    <row r="241" spans="1:2" ht="12.75">
      <c r="A241" s="381" t="s">
        <v>906</v>
      </c>
      <c r="B241" s="382">
        <f>B227</f>
        <v>592093.8499999973</v>
      </c>
    </row>
    <row r="242" spans="1:2" ht="12.75">
      <c r="A242" s="381" t="s">
        <v>913</v>
      </c>
      <c r="B242" s="382">
        <f>'2009 Income Statement'!B221</f>
        <v>-591677.8499999973</v>
      </c>
    </row>
    <row r="243" spans="1:2" ht="12.75">
      <c r="A243" s="383" t="s">
        <v>910</v>
      </c>
      <c r="B243" s="384">
        <v>16365.32</v>
      </c>
    </row>
    <row r="244" spans="1:2" ht="12.75">
      <c r="A244" s="383" t="s">
        <v>911</v>
      </c>
      <c r="B244" s="384">
        <v>-3806.15</v>
      </c>
    </row>
    <row r="245" spans="1:2" ht="12.75">
      <c r="A245" s="385"/>
      <c r="B245" s="386">
        <f>SUM(B240:B244)</f>
        <v>12974.659999987185</v>
      </c>
    </row>
    <row r="246" spans="1:2" ht="15">
      <c r="A246" s="23"/>
      <c r="B246" s="325"/>
    </row>
    <row r="247" spans="1:2" ht="15">
      <c r="A247" s="23"/>
      <c r="B247" s="325"/>
    </row>
    <row r="248" spans="1:2" ht="15">
      <c r="A248" s="23"/>
      <c r="B248" s="325"/>
    </row>
    <row r="249" spans="1:2" ht="15">
      <c r="A249" s="23"/>
      <c r="B249" s="325"/>
    </row>
    <row r="250" spans="1:2" ht="15">
      <c r="A250" s="23"/>
      <c r="B250" s="325"/>
    </row>
    <row r="251" spans="1:2" ht="15">
      <c r="A251" s="23"/>
      <c r="B251" s="325"/>
    </row>
    <row r="252" spans="1:2" ht="15">
      <c r="A252" s="23"/>
      <c r="B252" s="325"/>
    </row>
    <row r="253" spans="1:2" ht="15">
      <c r="A253" s="23"/>
      <c r="B253" s="325"/>
    </row>
    <row r="254" spans="1:2" ht="15">
      <c r="A254" s="23"/>
      <c r="B254" s="325"/>
    </row>
    <row r="255" spans="1:2" ht="15">
      <c r="A255" s="23"/>
      <c r="B255" s="325"/>
    </row>
    <row r="256" spans="1:2" ht="15">
      <c r="A256" s="23"/>
      <c r="B256" s="325"/>
    </row>
    <row r="257" spans="1:2" ht="15">
      <c r="A257" s="23"/>
      <c r="B257" s="325"/>
    </row>
    <row r="258" spans="1:2" ht="15">
      <c r="A258" s="23"/>
      <c r="B258" s="325"/>
    </row>
    <row r="259" spans="1:2" ht="15">
      <c r="A259" s="23"/>
      <c r="B259" s="325"/>
    </row>
    <row r="260" spans="1:2" ht="15">
      <c r="A260" s="23"/>
      <c r="B260" s="325"/>
    </row>
    <row r="261" spans="1:2" ht="15">
      <c r="A261" s="23"/>
      <c r="B261" s="325"/>
    </row>
    <row r="262" spans="1:2" ht="15">
      <c r="A262" s="23"/>
      <c r="B262" s="325"/>
    </row>
    <row r="263" spans="1:2" ht="15">
      <c r="A263" s="23"/>
      <c r="B263" s="325"/>
    </row>
    <row r="264" spans="1:2" ht="15">
      <c r="A264" s="23"/>
      <c r="B264" s="325"/>
    </row>
    <row r="265" spans="1:2" ht="15">
      <c r="A265" s="23"/>
      <c r="B265" s="325"/>
    </row>
    <row r="266" spans="1:2" ht="15">
      <c r="A266" s="23"/>
      <c r="B266" s="325"/>
    </row>
    <row r="267" spans="1:2" ht="15">
      <c r="A267" s="23"/>
      <c r="B267" s="325"/>
    </row>
    <row r="268" spans="1:2" ht="15">
      <c r="A268" s="23"/>
      <c r="B268" s="325"/>
    </row>
    <row r="269" spans="1:2" ht="15">
      <c r="A269" s="23"/>
      <c r="B269" s="325"/>
    </row>
    <row r="270" spans="1:2" ht="15">
      <c r="A270" s="23"/>
      <c r="B270" s="325"/>
    </row>
    <row r="271" spans="1:2" ht="15">
      <c r="A271" s="23"/>
      <c r="B271" s="325"/>
    </row>
    <row r="272" spans="1:2" ht="15">
      <c r="A272" s="23"/>
      <c r="B272" s="325"/>
    </row>
    <row r="273" spans="1:2" ht="15">
      <c r="A273" s="23"/>
      <c r="B273" s="325"/>
    </row>
    <row r="274" spans="1:2" ht="15">
      <c r="A274" s="23"/>
      <c r="B274" s="325"/>
    </row>
    <row r="275" spans="1:2" ht="15">
      <c r="A275" s="23"/>
      <c r="B275" s="325"/>
    </row>
    <row r="276" spans="1:2" ht="15">
      <c r="A276" s="23"/>
      <c r="B276" s="325"/>
    </row>
    <row r="277" spans="1:2" ht="15">
      <c r="A277" s="23"/>
      <c r="B277" s="325"/>
    </row>
    <row r="278" spans="1:2" ht="15">
      <c r="A278" s="23"/>
      <c r="B278" s="325"/>
    </row>
    <row r="279" spans="1:2" ht="15">
      <c r="A279" s="23"/>
      <c r="B279" s="325"/>
    </row>
    <row r="280" spans="1:2" ht="15">
      <c r="A280" s="23"/>
      <c r="B280" s="325"/>
    </row>
    <row r="281" spans="1:2" ht="15">
      <c r="A281" s="23"/>
      <c r="B281" s="325"/>
    </row>
    <row r="282" spans="1:2" ht="15">
      <c r="A282" s="23"/>
      <c r="B282" s="325"/>
    </row>
    <row r="283" spans="1:2" ht="15">
      <c r="A283" s="23"/>
      <c r="B283" s="325"/>
    </row>
    <row r="284" spans="1:2" ht="15">
      <c r="A284" s="23"/>
      <c r="B284" s="325"/>
    </row>
    <row r="285" spans="1:2" ht="15">
      <c r="A285" s="23"/>
      <c r="B285" s="325"/>
    </row>
    <row r="286" spans="1:2" ht="15">
      <c r="A286" s="23"/>
      <c r="B286" s="325"/>
    </row>
    <row r="287" spans="1:2" ht="15">
      <c r="A287" s="23"/>
      <c r="B287" s="325"/>
    </row>
    <row r="288" spans="1:2" ht="15">
      <c r="A288" s="23"/>
      <c r="B288" s="325"/>
    </row>
    <row r="289" spans="1:2" ht="15">
      <c r="A289" s="23"/>
      <c r="B289" s="325"/>
    </row>
    <row r="290" spans="1:2" ht="15">
      <c r="A290" s="23"/>
      <c r="B290" s="325"/>
    </row>
    <row r="291" spans="1:2" ht="15">
      <c r="A291" s="23"/>
      <c r="B291" s="325"/>
    </row>
    <row r="292" spans="1:2" ht="15">
      <c r="A292" s="23"/>
      <c r="B292" s="325"/>
    </row>
    <row r="293" spans="1:2" ht="15">
      <c r="A293" s="23"/>
      <c r="B293" s="325"/>
    </row>
    <row r="294" spans="1:2" ht="15">
      <c r="A294" s="23"/>
      <c r="B294" s="325"/>
    </row>
    <row r="295" spans="1:2" ht="15">
      <c r="A295" s="23"/>
      <c r="B295" s="325"/>
    </row>
    <row r="296" spans="1:2" ht="15">
      <c r="A296" s="23"/>
      <c r="B296" s="325"/>
    </row>
    <row r="297" spans="1:2" ht="15">
      <c r="A297" s="23"/>
      <c r="B297" s="325"/>
    </row>
    <row r="298" spans="1:2" ht="15">
      <c r="A298" s="23"/>
      <c r="B298" s="325"/>
    </row>
    <row r="299" spans="1:2" ht="15">
      <c r="A299" s="23"/>
      <c r="B299" s="325"/>
    </row>
    <row r="300" spans="1:2" ht="15">
      <c r="A300" s="23"/>
      <c r="B300" s="325"/>
    </row>
    <row r="301" spans="1:2" ht="15">
      <c r="A301" s="23"/>
      <c r="B301" s="325"/>
    </row>
    <row r="302" spans="1:2" ht="15">
      <c r="A302" s="23"/>
      <c r="B302" s="325"/>
    </row>
    <row r="303" spans="1:2" ht="15">
      <c r="A303" s="23"/>
      <c r="B303" s="325"/>
    </row>
    <row r="304" spans="1:2" ht="15">
      <c r="A304" s="23"/>
      <c r="B304" s="325"/>
    </row>
    <row r="305" spans="1:2" ht="15">
      <c r="A305" s="23"/>
      <c r="B305" s="325"/>
    </row>
    <row r="306" spans="1:2" ht="15">
      <c r="A306" s="23"/>
      <c r="B306" s="325"/>
    </row>
    <row r="307" spans="1:2" ht="15">
      <c r="A307" s="23"/>
      <c r="B307" s="325"/>
    </row>
    <row r="308" spans="1:2" ht="15">
      <c r="A308" s="23"/>
      <c r="B308" s="325"/>
    </row>
    <row r="309" spans="1:2" ht="15">
      <c r="A309" s="23"/>
      <c r="B309" s="325"/>
    </row>
    <row r="310" spans="1:2" ht="15">
      <c r="A310" s="23"/>
      <c r="B310" s="325"/>
    </row>
    <row r="311" spans="1:2" ht="15">
      <c r="A311" s="23"/>
      <c r="B311" s="325"/>
    </row>
    <row r="312" spans="1:2" ht="15">
      <c r="A312" s="23"/>
      <c r="B312" s="325"/>
    </row>
    <row r="313" spans="1:2" ht="15">
      <c r="A313" s="23"/>
      <c r="B313" s="325"/>
    </row>
    <row r="314" spans="1:2" ht="15">
      <c r="A314" s="23"/>
      <c r="B314" s="325"/>
    </row>
    <row r="315" spans="1:2" ht="15">
      <c r="A315" s="23"/>
      <c r="B315" s="325"/>
    </row>
    <row r="316" spans="1:2" ht="15">
      <c r="A316" s="23"/>
      <c r="B316" s="325"/>
    </row>
    <row r="317" spans="1:2" ht="15">
      <c r="A317" s="23"/>
      <c r="B317" s="325"/>
    </row>
    <row r="318" spans="1:2" ht="15">
      <c r="A318" s="23"/>
      <c r="B318" s="325"/>
    </row>
    <row r="319" spans="1:2" ht="15">
      <c r="A319" s="23"/>
      <c r="B319" s="325"/>
    </row>
    <row r="320" spans="1:2" ht="15">
      <c r="A320" s="23"/>
      <c r="B320" s="325"/>
    </row>
    <row r="321" spans="1:2" ht="15">
      <c r="A321" s="23"/>
      <c r="B321" s="325"/>
    </row>
    <row r="322" spans="1:2" ht="15">
      <c r="A322" s="23"/>
      <c r="B322" s="325"/>
    </row>
    <row r="323" spans="1:2" ht="15">
      <c r="A323" s="23"/>
      <c r="B323" s="325"/>
    </row>
    <row r="324" spans="1:2" ht="15">
      <c r="A324" s="23"/>
      <c r="B324" s="325"/>
    </row>
    <row r="325" spans="1:2" ht="15">
      <c r="A325" s="23"/>
      <c r="B325" s="325"/>
    </row>
    <row r="326" spans="1:2" ht="15">
      <c r="A326" s="23"/>
      <c r="B326" s="325"/>
    </row>
    <row r="327" spans="1:2" ht="15">
      <c r="A327" s="23"/>
      <c r="B327" s="325"/>
    </row>
    <row r="328" spans="1:2" ht="15">
      <c r="A328" s="23"/>
      <c r="B328" s="325"/>
    </row>
    <row r="329" spans="1:2" ht="15">
      <c r="A329" s="23"/>
      <c r="B329" s="325"/>
    </row>
    <row r="330" spans="1:2" ht="15">
      <c r="A330" s="23"/>
      <c r="B330" s="325"/>
    </row>
    <row r="331" spans="1:2" ht="15">
      <c r="A331" s="23"/>
      <c r="B331" s="325"/>
    </row>
    <row r="332" spans="1:2" ht="15">
      <c r="A332" s="23"/>
      <c r="B332" s="325"/>
    </row>
    <row r="333" spans="1:2" ht="15">
      <c r="A333" s="23"/>
      <c r="B333" s="325"/>
    </row>
    <row r="334" spans="1:2" ht="15">
      <c r="A334" s="23"/>
      <c r="B334" s="325"/>
    </row>
    <row r="335" spans="1:2" ht="15">
      <c r="A335" s="23"/>
      <c r="B335" s="325"/>
    </row>
    <row r="336" spans="1:2" ht="15">
      <c r="A336" s="23"/>
      <c r="B336" s="325"/>
    </row>
    <row r="337" spans="1:2" ht="15">
      <c r="A337" s="23"/>
      <c r="B337" s="325"/>
    </row>
    <row r="338" spans="1:2" ht="15">
      <c r="A338" s="23"/>
      <c r="B338" s="325"/>
    </row>
    <row r="339" spans="1:2" ht="15">
      <c r="A339" s="23"/>
      <c r="B339" s="325"/>
    </row>
    <row r="340" spans="1:2" ht="15">
      <c r="A340" s="23"/>
      <c r="B340" s="325"/>
    </row>
    <row r="341" spans="1:2" ht="15">
      <c r="A341" s="23"/>
      <c r="B341" s="325"/>
    </row>
    <row r="342" spans="1:2" ht="15">
      <c r="A342" s="23"/>
      <c r="B342" s="325"/>
    </row>
    <row r="343" spans="1:2" ht="15">
      <c r="A343" s="23"/>
      <c r="B343" s="325"/>
    </row>
    <row r="344" spans="1:2" ht="15">
      <c r="A344" s="23"/>
      <c r="B344" s="325"/>
    </row>
    <row r="345" spans="1:2" ht="15">
      <c r="A345" s="23"/>
      <c r="B345" s="325"/>
    </row>
    <row r="346" spans="1:2" ht="15">
      <c r="A346" s="23"/>
      <c r="B346" s="325"/>
    </row>
    <row r="347" spans="1:2" ht="15">
      <c r="A347" s="23"/>
      <c r="B347" s="325"/>
    </row>
    <row r="348" spans="1:2" ht="15">
      <c r="A348" s="23"/>
      <c r="B348" s="325"/>
    </row>
    <row r="349" spans="1:2" ht="15">
      <c r="A349" s="23"/>
      <c r="B349" s="325"/>
    </row>
    <row r="350" spans="1:2" ht="15">
      <c r="A350" s="23"/>
      <c r="B350" s="325"/>
    </row>
    <row r="351" spans="1:2" ht="15">
      <c r="A351" s="23"/>
      <c r="B351" s="325"/>
    </row>
    <row r="352" spans="1:2" ht="15">
      <c r="A352" s="23"/>
      <c r="B352" s="325"/>
    </row>
    <row r="353" spans="1:2" ht="15">
      <c r="A353" s="23"/>
      <c r="B353" s="325"/>
    </row>
    <row r="354" spans="1:2" ht="15">
      <c r="A354" s="23"/>
      <c r="B354" s="325"/>
    </row>
    <row r="355" spans="1:2" ht="15">
      <c r="A355" s="23"/>
      <c r="B355" s="325"/>
    </row>
    <row r="356" spans="1:2" ht="15">
      <c r="A356" s="23"/>
      <c r="B356" s="325"/>
    </row>
  </sheetData>
  <sheetProtection/>
  <mergeCells count="18">
    <mergeCell ref="A54:B54"/>
    <mergeCell ref="A93:B93"/>
    <mergeCell ref="A111:B111"/>
    <mergeCell ref="A135:B135"/>
    <mergeCell ref="A30:B30"/>
    <mergeCell ref="A1:B1"/>
    <mergeCell ref="A2:B2"/>
    <mergeCell ref="A37:B37"/>
    <mergeCell ref="A3:B3"/>
    <mergeCell ref="A4:B4"/>
    <mergeCell ref="A6:B6"/>
    <mergeCell ref="A29:B29"/>
    <mergeCell ref="A149:B149"/>
    <mergeCell ref="A159:B159"/>
    <mergeCell ref="A185:B185"/>
    <mergeCell ref="A206:B206"/>
    <mergeCell ref="A239:B239"/>
    <mergeCell ref="A216:B216"/>
  </mergeCells>
  <printOptions/>
  <pageMargins left="0.4724409448818898" right="0.7480314960629921" top="0.984251968503937" bottom="0.984251968503937" header="0.5118110236220472" footer="0.5118110236220472"/>
  <pageSetup fitToHeight="5" horizontalDpi="355" verticalDpi="355" orientation="portrait" scale="77" r:id="rId1"/>
  <headerFooter alignWithMargins="0">
    <oddFooter>&amp;L&amp;A</oddFooter>
  </headerFooter>
  <rowBreaks count="4" manualBreakCount="4">
    <brk id="53" max="255" man="1"/>
    <brk id="110" max="255" man="1"/>
    <brk id="158" max="255" man="1"/>
    <brk id="20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1"/>
  <sheetViews>
    <sheetView zoomScalePageLayoutView="0" workbookViewId="0" topLeftCell="A17">
      <selection activeCell="H31" sqref="H31"/>
    </sheetView>
  </sheetViews>
  <sheetFormatPr defaultColWidth="9.140625" defaultRowHeight="12.75"/>
  <cols>
    <col min="1" max="1" width="72.28125" style="0" customWidth="1"/>
    <col min="2" max="2" width="21.8515625" style="284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>
      <c r="A1" s="614" t="str">
        <f>'Trial Balance'!A1:J1</f>
        <v>Woodstock Hydro Services Inc.</v>
      </c>
      <c r="B1" s="614"/>
    </row>
    <row r="2" spans="1:2" ht="12.75">
      <c r="A2" s="614" t="str">
        <f>'Trial Balance'!A2:J2</f>
        <v>, License Number ED-2003-0011, File Number EB-2010-0145</v>
      </c>
      <c r="B2" s="614"/>
    </row>
    <row r="3" spans="1:2" s="20" customFormat="1" ht="15">
      <c r="A3" s="637" t="str">
        <f>Notes!B4</f>
        <v>Woodstock Hydro Services Inc.</v>
      </c>
      <c r="B3" s="637"/>
    </row>
    <row r="4" spans="1:2" s="20" customFormat="1" ht="15">
      <c r="A4" s="640" t="s">
        <v>203</v>
      </c>
      <c r="B4" s="640"/>
    </row>
    <row r="5" spans="1:2" ht="15" customHeight="1">
      <c r="A5" s="60" t="s">
        <v>530</v>
      </c>
      <c r="B5" s="312" t="s">
        <v>154</v>
      </c>
    </row>
    <row r="6" spans="1:2" ht="15" customHeight="1">
      <c r="A6" s="639" t="s">
        <v>142</v>
      </c>
      <c r="B6" s="639"/>
    </row>
    <row r="7" spans="1:7" ht="15" customHeight="1">
      <c r="A7" s="25" t="str">
        <f>'Trial Balance'!A211&amp;"-"&amp;'Trial Balance'!B211</f>
        <v>4006-Residential Energy Sales</v>
      </c>
      <c r="B7" s="304">
        <f>'Trial Balance'!J211</f>
        <v>-5489318.9</v>
      </c>
      <c r="D7" s="11"/>
      <c r="E7" s="12"/>
      <c r="F7" s="13"/>
      <c r="G7" s="15"/>
    </row>
    <row r="8" spans="1:7" ht="15" customHeight="1">
      <c r="A8" s="25" t="str">
        <f>'Trial Balance'!A212&amp;"-"&amp;'Trial Balance'!B212</f>
        <v>4010-Commercial Energy Sales</v>
      </c>
      <c r="B8" s="304">
        <f>'Trial Balance'!J212</f>
        <v>0</v>
      </c>
      <c r="D8" s="11"/>
      <c r="E8" s="12"/>
      <c r="F8" s="13"/>
      <c r="G8" s="15"/>
    </row>
    <row r="9" spans="1:7" ht="15" customHeight="1">
      <c r="A9" s="25" t="str">
        <f>'Trial Balance'!A213&amp;"-"&amp;'Trial Balance'!B213</f>
        <v>4015-Industrial Energy Sales</v>
      </c>
      <c r="B9" s="304">
        <f>'Trial Balance'!J213</f>
        <v>0</v>
      </c>
      <c r="D9" s="11"/>
      <c r="E9" s="12"/>
      <c r="F9" s="13"/>
      <c r="G9" s="15"/>
    </row>
    <row r="10" spans="1:7" ht="15" customHeight="1">
      <c r="A10" s="25" t="str">
        <f>'Trial Balance'!A214&amp;"-"&amp;'Trial Balance'!B214</f>
        <v>4020-Energy Sales to Large Users</v>
      </c>
      <c r="B10" s="304">
        <f>'Trial Balance'!J214</f>
        <v>-183307.40999999997</v>
      </c>
      <c r="D10" s="11"/>
      <c r="E10" s="12"/>
      <c r="F10" s="13"/>
      <c r="G10" s="15"/>
    </row>
    <row r="11" spans="1:7" ht="15" customHeight="1">
      <c r="A11" s="25" t="str">
        <f>'Trial Balance'!A215&amp;"-"&amp;'Trial Balance'!B215</f>
        <v>4025-Street Lighting Energy Sales</v>
      </c>
      <c r="B11" s="304">
        <f>'Trial Balance'!J215</f>
        <v>-2895.5400000000004</v>
      </c>
      <c r="D11" s="11"/>
      <c r="E11" s="12"/>
      <c r="F11" s="13"/>
      <c r="G11" s="15"/>
    </row>
    <row r="12" spans="1:7" ht="15" customHeight="1">
      <c r="A12" s="25" t="str">
        <f>'Trial Balance'!A216&amp;"-"&amp;'Trial Balance'!B216</f>
        <v>4030-Sentinel Energy Sales</v>
      </c>
      <c r="B12" s="304">
        <f>'Trial Balance'!J216</f>
        <v>0</v>
      </c>
      <c r="D12" s="11"/>
      <c r="E12" s="12"/>
      <c r="F12" s="13"/>
      <c r="G12" s="15"/>
    </row>
    <row r="13" spans="1:7" ht="15" customHeight="1">
      <c r="A13" s="25" t="str">
        <f>'Trial Balance'!A217&amp;"-"&amp;'Trial Balance'!B217</f>
        <v>4035-General Energy Sales</v>
      </c>
      <c r="B13" s="304">
        <f>'Trial Balance'!J217</f>
        <v>-6582987.750000001</v>
      </c>
      <c r="D13" s="11"/>
      <c r="E13" s="12"/>
      <c r="F13" s="13"/>
      <c r="G13" s="15"/>
    </row>
    <row r="14" spans="1:7" ht="15" customHeight="1">
      <c r="A14" s="25" t="str">
        <f>'Trial Balance'!A218&amp;"-"&amp;'Trial Balance'!B218</f>
        <v>4040-Other Energy Sales to Public Authorities</v>
      </c>
      <c r="B14" s="304">
        <f>'Trial Balance'!J218</f>
        <v>0</v>
      </c>
      <c r="D14" s="11"/>
      <c r="E14" s="12"/>
      <c r="F14" s="13"/>
      <c r="G14" s="15"/>
    </row>
    <row r="15" spans="1:7" ht="15" customHeight="1">
      <c r="A15" s="25" t="str">
        <f>'Trial Balance'!A219&amp;"-"&amp;'Trial Balance'!B219</f>
        <v>4045-Energy Sales to Railroads and Railways</v>
      </c>
      <c r="B15" s="304">
        <f>'Trial Balance'!J219</f>
        <v>0</v>
      </c>
      <c r="D15" s="11"/>
      <c r="E15" s="12"/>
      <c r="F15" s="13"/>
      <c r="G15" s="15"/>
    </row>
    <row r="16" spans="1:7" ht="15" customHeight="1">
      <c r="A16" s="25" t="str">
        <f>'Trial Balance'!A220&amp;"-"&amp;'Trial Balance'!B220</f>
        <v>4050-Revenue Adjustment</v>
      </c>
      <c r="B16" s="304">
        <f>'Trial Balance'!J220</f>
        <v>93726.78000000026</v>
      </c>
      <c r="D16" s="11"/>
      <c r="E16" s="12"/>
      <c r="F16" s="13"/>
      <c r="G16" s="15"/>
    </row>
    <row r="17" spans="1:7" ht="15" customHeight="1">
      <c r="A17" s="25" t="str">
        <f>'Trial Balance'!A221&amp;"-"&amp;'Trial Balance'!B221</f>
        <v>4055-Energy Sales for Resale</v>
      </c>
      <c r="B17" s="304">
        <f>'Trial Balance'!J221</f>
        <v>-3424484.77</v>
      </c>
      <c r="D17" s="11"/>
      <c r="E17" s="14"/>
      <c r="F17" s="13"/>
      <c r="G17" s="15"/>
    </row>
    <row r="18" spans="1:7" ht="15" customHeight="1">
      <c r="A18" s="25" t="str">
        <f>'Trial Balance'!A222&amp;"-"&amp;'Trial Balance'!B222</f>
        <v>4060-Interdepartmental Energy Sales</v>
      </c>
      <c r="B18" s="304">
        <f>'Trial Balance'!J222</f>
        <v>0</v>
      </c>
      <c r="D18" s="11"/>
      <c r="E18" s="12"/>
      <c r="F18" s="13"/>
      <c r="G18" s="15"/>
    </row>
    <row r="19" spans="1:7" ht="15" customHeight="1">
      <c r="A19" s="25" t="str">
        <f>'Trial Balance'!A223&amp;"-"&amp;'Trial Balance'!B223</f>
        <v>4062-WMS</v>
      </c>
      <c r="B19" s="304">
        <f>'Trial Balance'!J223</f>
        <v>-2269892.29</v>
      </c>
      <c r="D19" s="11"/>
      <c r="E19" s="12"/>
      <c r="F19" s="13"/>
      <c r="G19" s="15"/>
    </row>
    <row r="20" spans="1:7" ht="15" customHeight="1">
      <c r="A20" s="25" t="str">
        <f>'Trial Balance'!A224&amp;"-"&amp;'Trial Balance'!B224</f>
        <v>4064-Billed WMS-One Time</v>
      </c>
      <c r="B20" s="304">
        <f>'Trial Balance'!J224</f>
        <v>0</v>
      </c>
      <c r="D20" s="11"/>
      <c r="E20" s="12"/>
      <c r="F20" s="13"/>
      <c r="G20" s="15"/>
    </row>
    <row r="21" spans="1:7" ht="15" customHeight="1">
      <c r="A21" s="25" t="str">
        <f>'Trial Balance'!A225&amp;"-"&amp;'Trial Balance'!B225</f>
        <v>4066-NS</v>
      </c>
      <c r="B21" s="304">
        <f>'Trial Balance'!J225</f>
        <v>-1770102.7200000002</v>
      </c>
      <c r="D21" s="11"/>
      <c r="E21" s="12"/>
      <c r="F21" s="13"/>
      <c r="G21" s="15"/>
    </row>
    <row r="22" spans="1:7" ht="15" customHeight="1">
      <c r="A22" s="25" t="str">
        <f>'Trial Balance'!A226&amp;"-"&amp;'Trial Balance'!B226</f>
        <v>4068-CS</v>
      </c>
      <c r="B22" s="304">
        <f>'Trial Balance'!J226</f>
        <v>-1629550.6399999997</v>
      </c>
      <c r="D22" s="11"/>
      <c r="E22" s="12"/>
      <c r="F22" s="13"/>
      <c r="G22" s="15"/>
    </row>
    <row r="23" spans="1:7" ht="15" customHeight="1" thickBot="1">
      <c r="A23" s="25" t="str">
        <f>'Trial Balance'!A227&amp;"-"&amp;'Trial Balance'!B227</f>
        <v>4075-LV Charges</v>
      </c>
      <c r="B23" s="304">
        <f>'Trial Balance'!J227</f>
        <v>0</v>
      </c>
      <c r="D23" s="11"/>
      <c r="E23" s="12"/>
      <c r="F23" s="13"/>
      <c r="G23" s="15"/>
    </row>
    <row r="24" spans="1:7" ht="15" customHeight="1" thickBot="1">
      <c r="A24" s="30" t="s">
        <v>143</v>
      </c>
      <c r="B24" s="313">
        <f>SUM(B7:B23)</f>
        <v>-21258813.24</v>
      </c>
      <c r="D24" s="11"/>
      <c r="E24" s="14"/>
      <c r="F24" s="13"/>
      <c r="G24" s="15"/>
    </row>
    <row r="25" spans="1:7" s="18" customFormat="1" ht="15" customHeight="1">
      <c r="A25" s="643"/>
      <c r="B25" s="644"/>
      <c r="D25" s="19"/>
      <c r="E25" s="12"/>
      <c r="F25" s="15"/>
      <c r="G25" s="15"/>
    </row>
    <row r="26" spans="1:7" s="18" customFormat="1" ht="15" customHeight="1">
      <c r="A26" s="639" t="s">
        <v>144</v>
      </c>
      <c r="B26" s="639"/>
      <c r="D26" s="19"/>
      <c r="E26" s="12"/>
      <c r="F26" s="15"/>
      <c r="G26" s="15"/>
    </row>
    <row r="27" spans="1:7" ht="15" customHeight="1">
      <c r="A27" s="25" t="str">
        <f>'Trial Balance'!A229&amp;"-"&amp;'Trial Balance'!B229</f>
        <v>4080-Distribution Services Revenue</v>
      </c>
      <c r="B27" s="304">
        <f>'Trial Balance'!J229</f>
        <v>-6379445.58</v>
      </c>
      <c r="D27" s="11"/>
      <c r="E27" s="14"/>
      <c r="F27" s="13"/>
      <c r="G27" s="15"/>
    </row>
    <row r="28" spans="1:7" ht="15" customHeight="1">
      <c r="A28" s="25" t="str">
        <f>'Trial Balance'!A230&amp;"-"&amp;'Trial Balance'!B230</f>
        <v>4082-RS Rev</v>
      </c>
      <c r="B28" s="304">
        <f>'Trial Balance'!J230</f>
        <v>-25336.6</v>
      </c>
      <c r="D28" s="11"/>
      <c r="E28" s="14"/>
      <c r="F28" s="13"/>
      <c r="G28" s="15"/>
    </row>
    <row r="29" spans="1:7" ht="15" customHeight="1">
      <c r="A29" s="25" t="str">
        <f>'Trial Balance'!A231&amp;"-"&amp;'Trial Balance'!B231</f>
        <v>4084-Serv Tx Requests</v>
      </c>
      <c r="B29" s="304">
        <f>'Trial Balance'!J231</f>
        <v>-854.25</v>
      </c>
      <c r="D29" s="11"/>
      <c r="E29" s="14"/>
      <c r="F29" s="13"/>
      <c r="G29" s="15"/>
    </row>
    <row r="30" spans="1:7" ht="15" customHeight="1" thickBot="1">
      <c r="A30" s="25" t="str">
        <f>'Trial Balance'!A232&amp;"-"&amp;'Trial Balance'!B232</f>
        <v>4090-Electric Services Incidental to Energy Sales</v>
      </c>
      <c r="B30" s="304">
        <f>'Trial Balance'!J232</f>
        <v>0</v>
      </c>
      <c r="D30" s="11"/>
      <c r="E30" s="14"/>
      <c r="F30" s="13"/>
      <c r="G30" s="15"/>
    </row>
    <row r="31" spans="1:7" ht="15" customHeight="1" thickBot="1">
      <c r="A31" s="30" t="s">
        <v>74</v>
      </c>
      <c r="B31" s="313">
        <f>SUM(B27:B30)</f>
        <v>-6405636.43</v>
      </c>
      <c r="D31" s="11"/>
      <c r="E31" s="12"/>
      <c r="F31" s="13"/>
      <c r="G31" s="15"/>
    </row>
    <row r="32" spans="1:7" s="18" customFormat="1" ht="15" customHeight="1">
      <c r="A32" s="643"/>
      <c r="B32" s="644"/>
      <c r="D32" s="19"/>
      <c r="E32" s="12"/>
      <c r="F32" s="15"/>
      <c r="G32" s="15"/>
    </row>
    <row r="33" spans="1:7" s="18" customFormat="1" ht="15" customHeight="1">
      <c r="A33" s="639" t="s">
        <v>75</v>
      </c>
      <c r="B33" s="639"/>
      <c r="D33" s="19"/>
      <c r="E33" s="12"/>
      <c r="F33" s="15"/>
      <c r="G33" s="15"/>
    </row>
    <row r="34" spans="1:7" ht="15" customHeight="1">
      <c r="A34" s="25" t="str">
        <f>'Trial Balance'!A234&amp;"-"&amp;'Trial Balance'!B234</f>
        <v>4205-Interdepartmental Rents</v>
      </c>
      <c r="B34" s="304">
        <f>'Trial Balance'!J234</f>
        <v>0</v>
      </c>
      <c r="D34" s="11"/>
      <c r="E34" s="14"/>
      <c r="F34" s="13"/>
      <c r="G34" s="15"/>
    </row>
    <row r="35" spans="1:2" ht="15" customHeight="1">
      <c r="A35" s="25" t="str">
        <f>'Trial Balance'!A235&amp;"-"&amp;'Trial Balance'!B235</f>
        <v>4210-Rent from Electric Property</v>
      </c>
      <c r="B35" s="304">
        <f>'Trial Balance'!J235</f>
        <v>-179974.64</v>
      </c>
    </row>
    <row r="36" spans="1:2" ht="15" customHeight="1">
      <c r="A36" s="25" t="str">
        <f>'Trial Balance'!A236&amp;"-"&amp;'Trial Balance'!B236</f>
        <v>4215-Other Utility Operating Income</v>
      </c>
      <c r="B36" s="304">
        <f>'Trial Balance'!J236</f>
        <v>0</v>
      </c>
    </row>
    <row r="37" spans="1:2" ht="15" customHeight="1">
      <c r="A37" s="25" t="str">
        <f>'Trial Balance'!A237&amp;"-"&amp;'Trial Balance'!B237</f>
        <v>4220-Other Electric Revenues</v>
      </c>
      <c r="B37" s="304">
        <f>'Trial Balance'!J237</f>
        <v>0</v>
      </c>
    </row>
    <row r="38" spans="1:2" ht="15" customHeight="1">
      <c r="A38" s="25" t="str">
        <f>'Trial Balance'!A238&amp;"-"&amp;'Trial Balance'!B238</f>
        <v>4225-Late Payment Charges</v>
      </c>
      <c r="B38" s="304">
        <f>'Trial Balance'!J238</f>
        <v>-39645.78</v>
      </c>
    </row>
    <row r="39" spans="1:2" ht="15" customHeight="1">
      <c r="A39" s="25" t="str">
        <f>'Trial Balance'!A239&amp;"-"&amp;'Trial Balance'!B239</f>
        <v>4230-Sales of Water and Water Power</v>
      </c>
      <c r="B39" s="304">
        <f>'Trial Balance'!J239</f>
        <v>0</v>
      </c>
    </row>
    <row r="40" spans="1:2" ht="15" customHeight="1">
      <c r="A40" s="25" t="str">
        <f>'Trial Balance'!A240&amp;"-"&amp;'Trial Balance'!B240</f>
        <v>4235-Miscellaneous Service Revenues</v>
      </c>
      <c r="B40" s="304">
        <f>'Trial Balance'!J240</f>
        <v>-123901.39</v>
      </c>
    </row>
    <row r="41" spans="1:2" ht="15" customHeight="1">
      <c r="A41" s="25" t="str">
        <f>'Trial Balance'!A241&amp;"-"&amp;'Trial Balance'!B241</f>
        <v>4240-Provision for Rate Refunds</v>
      </c>
      <c r="B41" s="304">
        <f>'Trial Balance'!J241</f>
        <v>0</v>
      </c>
    </row>
    <row r="42" spans="1:2" ht="15" customHeight="1" thickBot="1">
      <c r="A42" s="25" t="str">
        <f>'Trial Balance'!A242&amp;"-"&amp;'Trial Balance'!B242</f>
        <v>4245-Government Assistance Directly Credited to Income</v>
      </c>
      <c r="B42" s="304">
        <f>'Trial Balance'!J242</f>
        <v>0</v>
      </c>
    </row>
    <row r="43" spans="1:2" ht="15" customHeight="1" thickBot="1">
      <c r="A43" s="30" t="s">
        <v>87</v>
      </c>
      <c r="B43" s="313">
        <f>SUM(B34:B42)</f>
        <v>-343521.81</v>
      </c>
    </row>
    <row r="44" spans="1:2" s="18" customFormat="1" ht="15" customHeight="1">
      <c r="A44" s="643"/>
      <c r="B44" s="644"/>
    </row>
    <row r="45" spans="1:2" s="18" customFormat="1" ht="15" customHeight="1">
      <c r="A45" s="639" t="s">
        <v>88</v>
      </c>
      <c r="B45" s="639"/>
    </row>
    <row r="46" spans="1:2" ht="15" customHeight="1">
      <c r="A46" s="25" t="str">
        <f>'Trial Balance'!A244&amp;"-"&amp;'Trial Balance'!B244</f>
        <v>4305-Regulatory Debits</v>
      </c>
      <c r="B46" s="304">
        <f>'Trial Balance'!J244</f>
        <v>0</v>
      </c>
    </row>
    <row r="47" spans="1:2" ht="15" customHeight="1">
      <c r="A47" s="25" t="str">
        <f>'Trial Balance'!A245&amp;"-"&amp;'Trial Balance'!B245</f>
        <v>4310-Regulatory Credits</v>
      </c>
      <c r="B47" s="304">
        <f>'Trial Balance'!J245</f>
        <v>0</v>
      </c>
    </row>
    <row r="48" spans="1:2" ht="15" customHeight="1">
      <c r="A48" s="25" t="str">
        <f>'Trial Balance'!A246&amp;"-"&amp;'Trial Balance'!B246</f>
        <v>4315-Revenues from Electric Plant Leased to Others</v>
      </c>
      <c r="B48" s="304">
        <f>'Trial Balance'!J246</f>
        <v>0</v>
      </c>
    </row>
    <row r="49" spans="1:2" ht="15" customHeight="1">
      <c r="A49" s="25" t="str">
        <f>'Trial Balance'!A247&amp;"-"&amp;'Trial Balance'!B247</f>
        <v>4320-Expenses of Electric Plant Leased to Others</v>
      </c>
      <c r="B49" s="304">
        <f>'Trial Balance'!J247</f>
        <v>0</v>
      </c>
    </row>
    <row r="50" spans="1:2" ht="15" customHeight="1">
      <c r="A50" s="25" t="str">
        <f>'Trial Balance'!A248&amp;"-"&amp;'Trial Balance'!B248</f>
        <v>4324-Special Purpose Charge Recovery - Billed</v>
      </c>
      <c r="B50" s="304">
        <f>'Trial Balance'!J248</f>
        <v>0</v>
      </c>
    </row>
    <row r="51" spans="1:2" ht="15" customHeight="1">
      <c r="A51" s="25" t="str">
        <f>'Trial Balance'!A249&amp;"-"&amp;'Trial Balance'!B249</f>
        <v>4325-Revenues from Merchandise, Jobbing, Etc.</v>
      </c>
      <c r="B51" s="304">
        <f>'Trial Balance'!J249</f>
        <v>0</v>
      </c>
    </row>
    <row r="52" spans="1:2" ht="15" customHeight="1">
      <c r="A52" s="25" t="str">
        <f>'Trial Balance'!A250&amp;"-"&amp;'Trial Balance'!B250</f>
        <v>4330-Costs and Expenses of Merchandising, Jobbing, Etc</v>
      </c>
      <c r="B52" s="304">
        <f>'Trial Balance'!J250</f>
        <v>0</v>
      </c>
    </row>
    <row r="53" spans="1:2" ht="15" customHeight="1">
      <c r="A53" s="25" t="str">
        <f>'Trial Balance'!A251&amp;"-"&amp;'Trial Balance'!B251</f>
        <v>4335-Profits and Losses from Financial Instrument Hedges</v>
      </c>
      <c r="B53" s="304">
        <f>'Trial Balance'!J251</f>
        <v>0</v>
      </c>
    </row>
    <row r="54" spans="1:2" ht="15" customHeight="1">
      <c r="A54" s="25" t="str">
        <f>'Trial Balance'!A252&amp;"-"&amp;'Trial Balance'!B252</f>
        <v>4340-Profits and Losses from Financial Instrument Investments</v>
      </c>
      <c r="B54" s="304">
        <f>'Trial Balance'!J252</f>
        <v>0</v>
      </c>
    </row>
    <row r="55" spans="1:2" ht="15" customHeight="1">
      <c r="A55" s="25" t="str">
        <f>'Trial Balance'!A253&amp;"-"&amp;'Trial Balance'!B253</f>
        <v>4345-Gains from Disposition of Future Use Utility Plant</v>
      </c>
      <c r="B55" s="304">
        <f>'Trial Balance'!J253</f>
        <v>0</v>
      </c>
    </row>
    <row r="56" spans="1:2" ht="15" customHeight="1">
      <c r="A56" s="25" t="str">
        <f>'Trial Balance'!A254&amp;"-"&amp;'Trial Balance'!B254</f>
        <v>4350-Losses from Disposition of Future Use Utility Plant</v>
      </c>
      <c r="B56" s="304">
        <f>'Trial Balance'!J254</f>
        <v>0</v>
      </c>
    </row>
    <row r="57" spans="1:2" ht="15" customHeight="1">
      <c r="A57" s="25" t="str">
        <f>'Trial Balance'!A255&amp;"-"&amp;'Trial Balance'!B255</f>
        <v>4355-Gain on Disposition of Utility and Other Property</v>
      </c>
      <c r="B57" s="304">
        <f>'Trial Balance'!J255</f>
        <v>-3520</v>
      </c>
    </row>
    <row r="58" spans="1:2" ht="15" customHeight="1">
      <c r="A58" s="25" t="str">
        <f>'Trial Balance'!A256&amp;"-"&amp;'Trial Balance'!B256</f>
        <v>4360-Loss on Disposition of Utility and Other Property</v>
      </c>
      <c r="B58" s="304">
        <f>'Trial Balance'!J256</f>
        <v>0</v>
      </c>
    </row>
    <row r="59" spans="1:2" ht="15" customHeight="1">
      <c r="A59" s="25" t="str">
        <f>'Trial Balance'!A257&amp;"-"&amp;'Trial Balance'!B257</f>
        <v>4365-Gains from Disposition of Allowances for Emission</v>
      </c>
      <c r="B59" s="304">
        <f>'Trial Balance'!J257</f>
        <v>0</v>
      </c>
    </row>
    <row r="60" spans="1:2" ht="15" customHeight="1">
      <c r="A60" s="25" t="str">
        <f>'Trial Balance'!A258&amp;"-"&amp;'Trial Balance'!B258</f>
        <v>4370-Losses from Disposition of Allowances for Emission</v>
      </c>
      <c r="B60" s="304">
        <f>'Trial Balance'!J258</f>
        <v>0</v>
      </c>
    </row>
    <row r="61" spans="1:2" ht="15" customHeight="1">
      <c r="A61" s="25" t="str">
        <f>'Trial Balance'!A259&amp;"-"&amp;'Trial Balance'!B259</f>
        <v>4375-Revenues from Non-Utility Operations</v>
      </c>
      <c r="B61" s="304">
        <f>'Trial Balance'!J259</f>
        <v>-952864.9</v>
      </c>
    </row>
    <row r="62" spans="1:2" ht="15" customHeight="1">
      <c r="A62" s="25" t="str">
        <f>'Trial Balance'!A260&amp;"-"&amp;'Trial Balance'!B260</f>
        <v>4380-Expenses of Non-Utility Operations</v>
      </c>
      <c r="B62" s="304">
        <f>'Trial Balance'!J260</f>
        <v>856350.6</v>
      </c>
    </row>
    <row r="63" spans="1:2" ht="15" customHeight="1">
      <c r="A63" s="25" t="str">
        <f>'Trial Balance'!A261&amp;"-"&amp;'Trial Balance'!B261</f>
        <v>4385-Expenses of Non-Utility Operations</v>
      </c>
      <c r="B63" s="304">
        <f>'Trial Balance'!J261</f>
        <v>0</v>
      </c>
    </row>
    <row r="64" spans="1:2" ht="15" customHeight="1">
      <c r="A64" s="25" t="str">
        <f>'Trial Balance'!A262&amp;"-"&amp;'Trial Balance'!B262</f>
        <v>4390-Miscellaneous Non-Operating Income</v>
      </c>
      <c r="B64" s="304">
        <f>'Trial Balance'!J262</f>
        <v>-29468.969999999998</v>
      </c>
    </row>
    <row r="65" spans="1:2" ht="15" customHeight="1">
      <c r="A65" s="25" t="str">
        <f>'Trial Balance'!A263&amp;"-"&amp;'Trial Balance'!B263</f>
        <v>4395-Rate-Payer Benefit Including Interest</v>
      </c>
      <c r="B65" s="304">
        <f>'Trial Balance'!J263</f>
        <v>0</v>
      </c>
    </row>
    <row r="66" spans="1:2" ht="15" customHeight="1" thickBot="1">
      <c r="A66" s="25" t="str">
        <f>'Trial Balance'!A264&amp;"-"&amp;'Trial Balance'!B264</f>
        <v>4398-Foreign Exchange Gains and Losses, Including Amortization</v>
      </c>
      <c r="B66" s="304">
        <f>'Trial Balance'!J264</f>
        <v>0</v>
      </c>
    </row>
    <row r="67" spans="1:2" ht="15" customHeight="1" thickBot="1">
      <c r="A67" s="30" t="s">
        <v>83</v>
      </c>
      <c r="B67" s="313">
        <f>SUM(B46:B66)</f>
        <v>-129503.27000000005</v>
      </c>
    </row>
    <row r="68" spans="1:2" s="18" customFormat="1" ht="15" customHeight="1">
      <c r="A68" s="643"/>
      <c r="B68" s="644"/>
    </row>
    <row r="69" spans="1:2" s="18" customFormat="1" ht="15" customHeight="1">
      <c r="A69" s="639" t="s">
        <v>84</v>
      </c>
      <c r="B69" s="639"/>
    </row>
    <row r="70" spans="1:2" s="18" customFormat="1" ht="15" customHeight="1">
      <c r="A70" s="25" t="str">
        <f>'Trial Balance'!A266&amp;"-"&amp;'Trial Balance'!B266</f>
        <v>4405-Interest and Dividend Income</v>
      </c>
      <c r="B70" s="304">
        <f>'Trial Balance'!J266</f>
        <v>-26961.56</v>
      </c>
    </row>
    <row r="71" spans="1:2" ht="15" customHeight="1" thickBot="1">
      <c r="A71" s="25" t="str">
        <f>'Trial Balance'!A267&amp;"-"&amp;'Trial Balance'!B267</f>
        <v>4415-Equity in Earnings of Subsidiary Companies</v>
      </c>
      <c r="B71" s="304">
        <f>'Trial Balance'!J267</f>
        <v>0</v>
      </c>
    </row>
    <row r="72" spans="1:2" ht="15" customHeight="1" thickBot="1">
      <c r="A72" s="30" t="s">
        <v>85</v>
      </c>
      <c r="B72" s="313">
        <f>SUM(B70:B71)</f>
        <v>-26961.56</v>
      </c>
    </row>
    <row r="73" spans="1:2" s="18" customFormat="1" ht="15" customHeight="1">
      <c r="A73" s="643"/>
      <c r="B73" s="644"/>
    </row>
    <row r="74" spans="1:2" s="18" customFormat="1" ht="15" customHeight="1">
      <c r="A74" s="639" t="s">
        <v>86</v>
      </c>
      <c r="B74" s="639"/>
    </row>
    <row r="75" spans="1:2" ht="15" customHeight="1">
      <c r="A75" s="25" t="str">
        <f>'Trial Balance'!A269&amp;"-"&amp;'Trial Balance'!B269</f>
        <v>4705-Power Purchased</v>
      </c>
      <c r="B75" s="304">
        <f>'Trial Balance'!J269</f>
        <v>15589267.59</v>
      </c>
    </row>
    <row r="76" spans="1:2" ht="15" customHeight="1">
      <c r="A76" s="25" t="str">
        <f>'Trial Balance'!A270&amp;"-"&amp;'Trial Balance'!B270</f>
        <v>4708-WMS</v>
      </c>
      <c r="B76" s="304">
        <f>'Trial Balance'!J270</f>
        <v>2269892.29</v>
      </c>
    </row>
    <row r="77" spans="1:2" ht="15" customHeight="1">
      <c r="A77" s="25" t="str">
        <f>'Trial Balance'!A271&amp;"-"&amp;'Trial Balance'!B271</f>
        <v>4710-Cost of Power Adjustments</v>
      </c>
      <c r="B77" s="304">
        <f>'Trial Balance'!J271</f>
        <v>0</v>
      </c>
    </row>
    <row r="78" spans="1:2" ht="15" customHeight="1">
      <c r="A78" s="25" t="str">
        <f>'Trial Balance'!A272&amp;"-"&amp;'Trial Balance'!B272</f>
        <v>4712-0</v>
      </c>
      <c r="B78" s="304">
        <f>'Trial Balance'!J272</f>
        <v>0</v>
      </c>
    </row>
    <row r="79" spans="1:2" ht="15" customHeight="1">
      <c r="A79" s="25" t="str">
        <f>'Trial Balance'!A273&amp;"-"&amp;'Trial Balance'!B273</f>
        <v>4714-NW</v>
      </c>
      <c r="B79" s="304">
        <f>'Trial Balance'!J273</f>
        <v>1770102.72</v>
      </c>
    </row>
    <row r="80" spans="1:2" ht="15" customHeight="1">
      <c r="A80" s="25" t="str">
        <f>'Trial Balance'!A274&amp;"-"&amp;'Trial Balance'!B274</f>
        <v>4715-System Control and Load Dispatching</v>
      </c>
      <c r="B80" s="304">
        <f>'Trial Balance'!J274</f>
        <v>0</v>
      </c>
    </row>
    <row r="81" spans="1:2" ht="15" customHeight="1">
      <c r="A81" s="25" t="str">
        <f>'Trial Balance'!A275&amp;"-"&amp;'Trial Balance'!B275</f>
        <v>4716-NCN</v>
      </c>
      <c r="B81" s="304">
        <f>'Trial Balance'!J275</f>
        <v>1629550.6400000001</v>
      </c>
    </row>
    <row r="82" spans="1:2" ht="15" customHeight="1">
      <c r="A82" s="25" t="str">
        <f>'Trial Balance'!A276&amp;"-"&amp;'Trial Balance'!B276</f>
        <v>4720-Other Expenses</v>
      </c>
      <c r="B82" s="304">
        <f>'Trial Balance'!J276</f>
        <v>0</v>
      </c>
    </row>
    <row r="83" spans="1:2" ht="15" customHeight="1">
      <c r="A83" s="25" t="str">
        <f>'Trial Balance'!A277&amp;"-"&amp;'Trial Balance'!B277</f>
        <v>4725-Competition Transition Expense</v>
      </c>
      <c r="B83" s="304">
        <f>'Trial Balance'!J277</f>
        <v>0</v>
      </c>
    </row>
    <row r="84" spans="1:2" ht="15" customHeight="1">
      <c r="A84" s="25" t="str">
        <f>'Trial Balance'!A278&amp;"-"&amp;'Trial Balance'!B278</f>
        <v>4730-Rural Rate Assistance Expense</v>
      </c>
      <c r="B84" s="304">
        <f>'Trial Balance'!J278</f>
        <v>0</v>
      </c>
    </row>
    <row r="85" spans="1:2" ht="15" customHeight="1" thickBot="1">
      <c r="A85" s="25" t="str">
        <f>'Trial Balance'!A279&amp;"-"&amp;'Trial Balance'!B279</f>
        <v>4750-LV Charges</v>
      </c>
      <c r="B85" s="304">
        <f>'Trial Balance'!J279</f>
        <v>0</v>
      </c>
    </row>
    <row r="86" spans="1:2" ht="15" customHeight="1" thickBot="1">
      <c r="A86" s="30" t="s">
        <v>539</v>
      </c>
      <c r="B86" s="313">
        <f>SUM(B75:B85)</f>
        <v>21258813.24</v>
      </c>
    </row>
    <row r="87" spans="1:2" s="18" customFormat="1" ht="15" customHeight="1">
      <c r="A87" s="643"/>
      <c r="B87" s="644"/>
    </row>
    <row r="88" spans="1:2" s="18" customFormat="1" ht="15" customHeight="1">
      <c r="A88" s="639" t="s">
        <v>540</v>
      </c>
      <c r="B88" s="639"/>
    </row>
    <row r="89" spans="1:2" ht="15" customHeight="1">
      <c r="A89" s="25" t="str">
        <f>'Trial Balance'!A281&amp;"-"&amp;'Trial Balance'!B281</f>
        <v>5005-Operation Supervision and Engineering</v>
      </c>
      <c r="B89" s="304">
        <f>'Trial Balance'!J281</f>
        <v>227795.46000000002</v>
      </c>
    </row>
    <row r="90" spans="1:2" ht="15" customHeight="1">
      <c r="A90" s="25" t="str">
        <f>'Trial Balance'!A282&amp;"-"&amp;'Trial Balance'!B282</f>
        <v>5010-Load Dispatching</v>
      </c>
      <c r="B90" s="304">
        <f>'Trial Balance'!J282</f>
        <v>33981.4</v>
      </c>
    </row>
    <row r="91" spans="1:2" ht="15" customHeight="1">
      <c r="A91" s="25" t="str">
        <f>'Trial Balance'!A283&amp;"-"&amp;'Trial Balance'!B283</f>
        <v>5012-Station Buildings and Fixtures Expense</v>
      </c>
      <c r="B91" s="304">
        <f>'Trial Balance'!J283</f>
        <v>12539.9</v>
      </c>
    </row>
    <row r="92" spans="1:2" ht="15" customHeight="1">
      <c r="A92" s="25" t="str">
        <f>'Trial Balance'!A284&amp;"-"&amp;'Trial Balance'!B284</f>
        <v>5014-Transformer Station Equipment - Operation Labour</v>
      </c>
      <c r="B92" s="304">
        <f>'Trial Balance'!J284</f>
        <v>0</v>
      </c>
    </row>
    <row r="93" spans="1:2" ht="15" customHeight="1">
      <c r="A93" s="25" t="str">
        <f>'Trial Balance'!A285&amp;"-"&amp;'Trial Balance'!B285</f>
        <v>5015-Transformer Station Equipment - Operation Supplies and Expenses</v>
      </c>
      <c r="B93" s="304">
        <f>'Trial Balance'!J285</f>
        <v>0</v>
      </c>
    </row>
    <row r="94" spans="1:2" ht="15" customHeight="1">
      <c r="A94" s="25" t="str">
        <f>'Trial Balance'!A286&amp;"-"&amp;'Trial Balance'!B286</f>
        <v>5016-Distribution Station Equipment - Operation Labour</v>
      </c>
      <c r="B94" s="304">
        <f>'Trial Balance'!J286</f>
        <v>40138.18</v>
      </c>
    </row>
    <row r="95" spans="1:2" ht="15" customHeight="1">
      <c r="A95" s="25" t="str">
        <f>'Trial Balance'!A287&amp;"-"&amp;'Trial Balance'!B287</f>
        <v>5017-Distribution Station Equipment - Operation Supplies and Expenses</v>
      </c>
      <c r="B95" s="304">
        <f>'Trial Balance'!J287</f>
        <v>13567.74</v>
      </c>
    </row>
    <row r="96" spans="1:2" ht="15" customHeight="1">
      <c r="A96" s="25" t="str">
        <f>'Trial Balance'!A288&amp;"-"&amp;'Trial Balance'!B288</f>
        <v>5020-Overhead Distribution Lines and Feeders - Operation Labour</v>
      </c>
      <c r="B96" s="304">
        <f>'Trial Balance'!J288</f>
        <v>32594.250000000004</v>
      </c>
    </row>
    <row r="97" spans="1:2" ht="15" customHeight="1">
      <c r="A97" s="25" t="str">
        <f>'Trial Balance'!A289&amp;"-"&amp;'Trial Balance'!B289</f>
        <v>5025-Overhead Distribution Lines and Feeders - Operation Supplies and Expenses</v>
      </c>
      <c r="B97" s="304">
        <f>'Trial Balance'!J289</f>
        <v>7635.860000000001</v>
      </c>
    </row>
    <row r="98" spans="1:2" ht="15" customHeight="1">
      <c r="A98" s="25" t="str">
        <f>'Trial Balance'!A290&amp;"-"&amp;'Trial Balance'!B290</f>
        <v>5030-Overhead Subtransmission Feeders - Operation</v>
      </c>
      <c r="B98" s="304">
        <f>'Trial Balance'!J290</f>
        <v>0</v>
      </c>
    </row>
    <row r="99" spans="1:2" ht="15" customHeight="1">
      <c r="A99" s="25" t="str">
        <f>'Trial Balance'!A291&amp;"-"&amp;'Trial Balance'!B291</f>
        <v>5035-Overhead Distribution Transformers - Operation</v>
      </c>
      <c r="B99" s="304">
        <f>'Trial Balance'!J291</f>
        <v>3904.5899999999997</v>
      </c>
    </row>
    <row r="100" spans="1:2" ht="15" customHeight="1">
      <c r="A100" s="25" t="str">
        <f>'Trial Balance'!A292&amp;"-"&amp;'Trial Balance'!B292</f>
        <v>5040-Underground Distribution Lines and Feeders - Operation Labour</v>
      </c>
      <c r="B100" s="304">
        <f>'Trial Balance'!J292</f>
        <v>16231.17</v>
      </c>
    </row>
    <row r="101" spans="1:2" ht="15" customHeight="1">
      <c r="A101" s="25" t="str">
        <f>'Trial Balance'!A293&amp;"-"&amp;'Trial Balance'!B293</f>
        <v>5045-Underground Distribution Lines and Feeders - Operation Supplies and Expenses</v>
      </c>
      <c r="B101" s="304">
        <f>'Trial Balance'!J293</f>
        <v>4498.12</v>
      </c>
    </row>
    <row r="102" spans="1:2" ht="15" customHeight="1">
      <c r="A102" s="25" t="str">
        <f>'Trial Balance'!A294&amp;"-"&amp;'Trial Balance'!B294</f>
        <v>5050-Underground Subtransmission Feeders - Operation</v>
      </c>
      <c r="B102" s="304">
        <f>'Trial Balance'!J294</f>
        <v>0</v>
      </c>
    </row>
    <row r="103" spans="1:2" ht="15" customHeight="1">
      <c r="A103" s="25" t="str">
        <f>'Trial Balance'!A295&amp;"-"&amp;'Trial Balance'!B295</f>
        <v>5055-Underground Distribution Transformers - Operation</v>
      </c>
      <c r="B103" s="304">
        <f>'Trial Balance'!J295</f>
        <v>113.28999999999999</v>
      </c>
    </row>
    <row r="104" spans="1:2" ht="15" customHeight="1">
      <c r="A104" s="25" t="str">
        <f>'Trial Balance'!A296&amp;"-"&amp;'Trial Balance'!B296</f>
        <v>5060-Street Lighting and Signal System Expense</v>
      </c>
      <c r="B104" s="304">
        <f>'Trial Balance'!J296</f>
        <v>0</v>
      </c>
    </row>
    <row r="105" spans="1:2" ht="15" customHeight="1">
      <c r="A105" s="25" t="str">
        <f>'Trial Balance'!A297&amp;"-"&amp;'Trial Balance'!B297</f>
        <v>5065-Meter Expense</v>
      </c>
      <c r="B105" s="304">
        <f>'Trial Balance'!J297</f>
        <v>108822.07</v>
      </c>
    </row>
    <row r="106" spans="1:2" ht="15" customHeight="1">
      <c r="A106" s="25" t="str">
        <f>'Trial Balance'!A298&amp;"-"&amp;'Trial Balance'!B298</f>
        <v>5070-Customer Premises - Operation Labour</v>
      </c>
      <c r="B106" s="304">
        <f>'Trial Balance'!J298</f>
        <v>49764.64</v>
      </c>
    </row>
    <row r="107" spans="1:2" ht="15" customHeight="1">
      <c r="A107" s="25" t="str">
        <f>'Trial Balance'!A299&amp;"-"&amp;'Trial Balance'!B299</f>
        <v>5075-Customer Premises - Materials and Expenses</v>
      </c>
      <c r="B107" s="304">
        <f>'Trial Balance'!J299</f>
        <v>7212.36</v>
      </c>
    </row>
    <row r="108" spans="1:2" ht="15" customHeight="1">
      <c r="A108" s="25" t="str">
        <f>'Trial Balance'!A300&amp;"-"&amp;'Trial Balance'!B300</f>
        <v>5085-Miscellaneous Distribution Expense</v>
      </c>
      <c r="B108" s="304">
        <f>'Trial Balance'!J300</f>
        <v>158828.84</v>
      </c>
    </row>
    <row r="109" spans="1:2" ht="15" customHeight="1">
      <c r="A109" s="25" t="str">
        <f>'Trial Balance'!A301&amp;"-"&amp;'Trial Balance'!B301</f>
        <v>5090-Underground Distribution Lines and Feeders - Rental Paid</v>
      </c>
      <c r="B109" s="304">
        <f>'Trial Balance'!J301</f>
        <v>0</v>
      </c>
    </row>
    <row r="110" spans="1:2" ht="15" customHeight="1">
      <c r="A110" s="25" t="str">
        <f>'Trial Balance'!A302&amp;"-"&amp;'Trial Balance'!B302</f>
        <v>5095-Overhead Distribution Lines and Feeders - Rental Paid</v>
      </c>
      <c r="B110" s="304">
        <f>'Trial Balance'!J302</f>
        <v>1669.61</v>
      </c>
    </row>
    <row r="111" spans="1:2" ht="15" customHeight="1" thickBot="1">
      <c r="A111" s="25" t="str">
        <f>'Trial Balance'!A303&amp;"-"&amp;'Trial Balance'!B303</f>
        <v>5096-Other Rent</v>
      </c>
      <c r="B111" s="304">
        <f>'Trial Balance'!J303</f>
        <v>0</v>
      </c>
    </row>
    <row r="112" spans="1:2" ht="15" customHeight="1" thickBot="1">
      <c r="A112" s="30" t="s">
        <v>543</v>
      </c>
      <c r="B112" s="313">
        <f>SUM(B89:B111)</f>
        <v>719297.4799999999</v>
      </c>
    </row>
    <row r="113" spans="1:2" s="18" customFormat="1" ht="15" customHeight="1">
      <c r="A113" s="643"/>
      <c r="B113" s="644"/>
    </row>
    <row r="114" spans="1:2" s="18" customFormat="1" ht="15" customHeight="1">
      <c r="A114" s="639" t="s">
        <v>544</v>
      </c>
      <c r="B114" s="639"/>
    </row>
    <row r="115" spans="1:2" ht="15" customHeight="1">
      <c r="A115" s="25" t="str">
        <f>'Trial Balance'!A305&amp;"-"&amp;'Trial Balance'!B305</f>
        <v>5105-Maintenance Supervision and Engineering</v>
      </c>
      <c r="B115" s="304">
        <f>'Trial Balance'!J305</f>
        <v>77867.73999999999</v>
      </c>
    </row>
    <row r="116" spans="1:2" ht="15" customHeight="1">
      <c r="A116" s="25" t="str">
        <f>'Trial Balance'!A306&amp;"-"&amp;'Trial Balance'!B306</f>
        <v>5110-Maintenance of Structures</v>
      </c>
      <c r="B116" s="304">
        <f>'Trial Balance'!J306</f>
        <v>4623.25</v>
      </c>
    </row>
    <row r="117" spans="1:2" ht="15" customHeight="1">
      <c r="A117" s="25" t="str">
        <f>'Trial Balance'!A307&amp;"-"&amp;'Trial Balance'!B307</f>
        <v>5112-Maintenance of Transformer Station Equipment</v>
      </c>
      <c r="B117" s="304">
        <f>'Trial Balance'!J307</f>
        <v>0</v>
      </c>
    </row>
    <row r="118" spans="1:2" ht="15" customHeight="1">
      <c r="A118" s="25" t="str">
        <f>'Trial Balance'!A308&amp;"-"&amp;'Trial Balance'!B308</f>
        <v>5114-Mtaint Dist Stn Equip</v>
      </c>
      <c r="B118" s="304">
        <f>'Trial Balance'!J308</f>
        <v>6462.38</v>
      </c>
    </row>
    <row r="119" spans="1:2" ht="15" customHeight="1">
      <c r="A119" s="25" t="str">
        <f>'Trial Balance'!A309&amp;"-"&amp;'Trial Balance'!B309</f>
        <v>5120-Maintenance of Poles, Towers and Fixtures</v>
      </c>
      <c r="B119" s="304">
        <f>'Trial Balance'!J309</f>
        <v>54083.729999999996</v>
      </c>
    </row>
    <row r="120" spans="1:2" ht="15" customHeight="1">
      <c r="A120" s="25" t="str">
        <f>'Trial Balance'!A310&amp;"-"&amp;'Trial Balance'!B310</f>
        <v>5125-Maintenance of Overhead Conductors and Devices</v>
      </c>
      <c r="B120" s="304">
        <f>'Trial Balance'!J310</f>
        <v>135773.51</v>
      </c>
    </row>
    <row r="121" spans="1:2" ht="15" customHeight="1">
      <c r="A121" s="25" t="str">
        <f>'Trial Balance'!A311&amp;"-"&amp;'Trial Balance'!B311</f>
        <v>5130-Maintenance of Overhead Services</v>
      </c>
      <c r="B121" s="304">
        <f>'Trial Balance'!J311</f>
        <v>61691.02</v>
      </c>
    </row>
    <row r="122" spans="1:2" ht="15" customHeight="1">
      <c r="A122" s="25" t="str">
        <f>'Trial Balance'!A312&amp;"-"&amp;'Trial Balance'!B312</f>
        <v>5135-Overhead Distribution Lines and Feeders - Right of Way</v>
      </c>
      <c r="B122" s="304">
        <f>'Trial Balance'!J312</f>
        <v>111006.47</v>
      </c>
    </row>
    <row r="123" spans="1:2" ht="15" customHeight="1">
      <c r="A123" s="25" t="str">
        <f>'Trial Balance'!A313&amp;"-"&amp;'Trial Balance'!B313</f>
        <v>5145-Maintenance of Underground Conduit</v>
      </c>
      <c r="B123" s="304">
        <f>'Trial Balance'!J313</f>
        <v>9422.01</v>
      </c>
    </row>
    <row r="124" spans="1:2" ht="15" customHeight="1">
      <c r="A124" s="25" t="str">
        <f>'Trial Balance'!A314&amp;"-"&amp;'Trial Balance'!B314</f>
        <v>5150-Maintenance of Underground Conductors and Devices</v>
      </c>
      <c r="B124" s="304">
        <f>'Trial Balance'!J314</f>
        <v>37547.19</v>
      </c>
    </row>
    <row r="125" spans="1:2" ht="15" customHeight="1">
      <c r="A125" s="25" t="str">
        <f>'Trial Balance'!A315&amp;"-"&amp;'Trial Balance'!B315</f>
        <v>5155-Maintenance of Underground Services</v>
      </c>
      <c r="B125" s="304">
        <f>'Trial Balance'!J315</f>
        <v>66608.37</v>
      </c>
    </row>
    <row r="126" spans="1:2" ht="15" customHeight="1">
      <c r="A126" s="25" t="str">
        <f>'Trial Balance'!A316&amp;"-"&amp;'Trial Balance'!B316</f>
        <v>5160-Maintenance of Line Transformers</v>
      </c>
      <c r="B126" s="304">
        <f>'Trial Balance'!J316</f>
        <v>65224.54</v>
      </c>
    </row>
    <row r="127" spans="1:2" ht="15" customHeight="1">
      <c r="A127" s="25" t="str">
        <f>'Trial Balance'!A317&amp;"-"&amp;'Trial Balance'!B317</f>
        <v>5165-Maintenance of Street Lighting and Signal Systems</v>
      </c>
      <c r="B127" s="304">
        <f>'Trial Balance'!J317</f>
        <v>0</v>
      </c>
    </row>
    <row r="128" spans="1:2" ht="15" customHeight="1">
      <c r="A128" s="25" t="str">
        <f>'Trial Balance'!A318&amp;"-"&amp;'Trial Balance'!B318</f>
        <v>5170-Sentinel Lights - Labour</v>
      </c>
      <c r="B128" s="304">
        <f>'Trial Balance'!J318</f>
        <v>0</v>
      </c>
    </row>
    <row r="129" spans="1:2" ht="15" customHeight="1">
      <c r="A129" s="25" t="str">
        <f>'Trial Balance'!A319&amp;"-"&amp;'Trial Balance'!B319</f>
        <v>5172-Sentinel Lights - Materials and Expenses</v>
      </c>
      <c r="B129" s="304">
        <f>'Trial Balance'!J319</f>
        <v>0</v>
      </c>
    </row>
    <row r="130" spans="1:2" ht="15" customHeight="1">
      <c r="A130" s="25" t="str">
        <f>'Trial Balance'!A320&amp;"-"&amp;'Trial Balance'!B320</f>
        <v>5175-Maintenance of Meters</v>
      </c>
      <c r="B130" s="304">
        <f>'Trial Balance'!J320</f>
        <v>0</v>
      </c>
    </row>
    <row r="131" spans="1:2" ht="15" customHeight="1">
      <c r="A131" s="25" t="str">
        <f>'Trial Balance'!A321&amp;"-"&amp;'Trial Balance'!B321</f>
        <v>5178-Customer Installations Expenses - Leased Property</v>
      </c>
      <c r="B131" s="304">
        <f>'Trial Balance'!J321</f>
        <v>0</v>
      </c>
    </row>
    <row r="132" spans="1:2" ht="15" customHeight="1" thickBot="1">
      <c r="A132" s="25" t="str">
        <f>'Trial Balance'!A322&amp;"-"&amp;'Trial Balance'!B322</f>
        <v>5195-Maintenance of Other Installations on Customer Premises</v>
      </c>
      <c r="B132" s="304">
        <f>'Trial Balance'!J322</f>
        <v>0</v>
      </c>
    </row>
    <row r="133" spans="1:2" ht="15" customHeight="1" thickBot="1">
      <c r="A133" s="30" t="s">
        <v>89</v>
      </c>
      <c r="B133" s="313">
        <f>SUM(B115:B132)</f>
        <v>630310.21</v>
      </c>
    </row>
    <row r="134" spans="1:2" s="18" customFormat="1" ht="15" customHeight="1">
      <c r="A134" s="643"/>
      <c r="B134" s="644"/>
    </row>
    <row r="135" spans="1:2" s="18" customFormat="1" ht="15" customHeight="1">
      <c r="A135" s="641" t="s">
        <v>90</v>
      </c>
      <c r="B135" s="642"/>
    </row>
    <row r="136" spans="1:2" ht="15" customHeight="1">
      <c r="A136" s="25" t="str">
        <f>'Trial Balance'!A328&amp;"-"&amp;'Trial Balance'!B328</f>
        <v>5305-Supervision</v>
      </c>
      <c r="B136" s="304">
        <f>'Trial Balance'!J328</f>
        <v>53994.749999999985</v>
      </c>
    </row>
    <row r="137" spans="1:2" ht="15" customHeight="1">
      <c r="A137" s="25" t="str">
        <f>'Trial Balance'!A329&amp;"-"&amp;'Trial Balance'!B329</f>
        <v>5310-Meter Reading Expense</v>
      </c>
      <c r="B137" s="304">
        <f>'Trial Balance'!J329</f>
        <v>113547.18000000001</v>
      </c>
    </row>
    <row r="138" spans="1:2" ht="15" customHeight="1">
      <c r="A138" s="25" t="str">
        <f>'Trial Balance'!A330&amp;"-"&amp;'Trial Balance'!B330</f>
        <v>5315-Customer Billing</v>
      </c>
      <c r="B138" s="304">
        <f>'Trial Balance'!J330</f>
        <v>237091.82</v>
      </c>
    </row>
    <row r="139" spans="1:2" ht="15" customHeight="1">
      <c r="A139" s="25" t="str">
        <f>'Trial Balance'!A331&amp;"-"&amp;'Trial Balance'!B331</f>
        <v>5320-Collecting</v>
      </c>
      <c r="B139" s="304">
        <f>'Trial Balance'!J331</f>
        <v>114787.19999999998</v>
      </c>
    </row>
    <row r="140" spans="1:2" ht="15" customHeight="1">
      <c r="A140" s="25" t="str">
        <f>'Trial Balance'!A332&amp;"-"&amp;'Trial Balance'!B332</f>
        <v>5325-Collecting - Cash Over and Short</v>
      </c>
      <c r="B140" s="304">
        <f>'Trial Balance'!J332</f>
        <v>-441.98</v>
      </c>
    </row>
    <row r="141" spans="1:2" ht="15" customHeight="1">
      <c r="A141" s="25" t="str">
        <f>'Trial Balance'!A333&amp;"-"&amp;'Trial Balance'!B333</f>
        <v>5330-Collection Charges</v>
      </c>
      <c r="B141" s="304">
        <f>'Trial Balance'!J333</f>
        <v>-794.72</v>
      </c>
    </row>
    <row r="142" spans="1:2" ht="15" customHeight="1">
      <c r="A142" s="25" t="str">
        <f>'Trial Balance'!A334&amp;"-"&amp;'Trial Balance'!B334</f>
        <v>5335-Bad Debt Expense</v>
      </c>
      <c r="B142" s="304">
        <f>'Trial Balance'!J334</f>
        <v>28152.789999999997</v>
      </c>
    </row>
    <row r="143" spans="1:2" ht="15" customHeight="1" thickBot="1">
      <c r="A143" s="25" t="str">
        <f>'Trial Balance'!A335&amp;"-"&amp;'Trial Balance'!B335</f>
        <v>5340-Miscellaneous Customer Accounts Expenses</v>
      </c>
      <c r="B143" s="304">
        <f>'Trial Balance'!J335</f>
        <v>2091.0099999999998</v>
      </c>
    </row>
    <row r="144" spans="1:2" ht="15" customHeight="1" thickBot="1">
      <c r="A144" s="30" t="s">
        <v>99</v>
      </c>
      <c r="B144" s="313">
        <f>SUM(B136:B143)</f>
        <v>548428.05</v>
      </c>
    </row>
    <row r="145" spans="1:2" s="18" customFormat="1" ht="15" customHeight="1">
      <c r="A145" s="643"/>
      <c r="B145" s="644"/>
    </row>
    <row r="146" spans="1:2" s="18" customFormat="1" ht="15" customHeight="1">
      <c r="A146" s="641" t="s">
        <v>100</v>
      </c>
      <c r="B146" s="642"/>
    </row>
    <row r="147" spans="1:2" ht="15" customHeight="1">
      <c r="A147" s="25" t="str">
        <f>'Trial Balance'!A337&amp;"-"&amp;'Trial Balance'!B337</f>
        <v>5405-Supervision</v>
      </c>
      <c r="B147" s="304">
        <f>'Trial Balance'!J337</f>
        <v>2887.24</v>
      </c>
    </row>
    <row r="148" spans="1:2" ht="15" customHeight="1">
      <c r="A148" s="25" t="str">
        <f>'Trial Balance'!A338&amp;"-"&amp;'Trial Balance'!B338</f>
        <v>5410-Community Relations - Sundry</v>
      </c>
      <c r="B148" s="304">
        <f>'Trial Balance'!J338</f>
        <v>10419.16</v>
      </c>
    </row>
    <row r="149" spans="1:2" ht="15" customHeight="1">
      <c r="A149" s="25" t="str">
        <f>'Trial Balance'!A339&amp;"-"&amp;'Trial Balance'!B339</f>
        <v>5415-Energy Conservation</v>
      </c>
      <c r="B149" s="304">
        <f>'Trial Balance'!J339</f>
        <v>5688.12</v>
      </c>
    </row>
    <row r="150" spans="1:2" ht="15" customHeight="1">
      <c r="A150" s="25" t="str">
        <f>'Trial Balance'!A340&amp;"-"&amp;'Trial Balance'!B340</f>
        <v>5420-Community Safety Program</v>
      </c>
      <c r="B150" s="304">
        <f>'Trial Balance'!J340</f>
        <v>5093.0599999999995</v>
      </c>
    </row>
    <row r="151" spans="1:2" ht="15" customHeight="1" thickBot="1">
      <c r="A151" s="25" t="str">
        <f>'Trial Balance'!A341&amp;"-"&amp;'Trial Balance'!B341</f>
        <v>5425-Miscellaneous Customer Service and Informational Expenses</v>
      </c>
      <c r="B151" s="304">
        <f>'Trial Balance'!J341</f>
        <v>0</v>
      </c>
    </row>
    <row r="152" spans="1:2" ht="15" customHeight="1" thickBot="1">
      <c r="A152" s="30" t="s">
        <v>101</v>
      </c>
      <c r="B152" s="313">
        <f>SUM(B147:B151)</f>
        <v>24087.58</v>
      </c>
    </row>
    <row r="153" spans="1:2" s="18" customFormat="1" ht="15" customHeight="1">
      <c r="A153" s="643"/>
      <c r="B153" s="644"/>
    </row>
    <row r="154" spans="1:2" s="18" customFormat="1" ht="15" customHeight="1">
      <c r="A154" s="641" t="s">
        <v>102</v>
      </c>
      <c r="B154" s="642"/>
    </row>
    <row r="155" spans="1:2" ht="15" customHeight="1">
      <c r="A155" s="25" t="str">
        <f>'Trial Balance'!A348&amp;"-"&amp;'Trial Balance'!B348</f>
        <v>5605-Executive Salaries and Expenses</v>
      </c>
      <c r="B155" s="304">
        <f>'Trial Balance'!J348</f>
        <v>154820.54</v>
      </c>
    </row>
    <row r="156" spans="1:2" ht="15" customHeight="1">
      <c r="A156" s="25" t="str">
        <f>'Trial Balance'!A349&amp;"-"&amp;'Trial Balance'!B349</f>
        <v>5610-Management Salaries and Expenses</v>
      </c>
      <c r="B156" s="304">
        <f>'Trial Balance'!J349</f>
        <v>236832.65</v>
      </c>
    </row>
    <row r="157" spans="1:2" ht="15" customHeight="1">
      <c r="A157" s="25" t="str">
        <f>'Trial Balance'!A350&amp;"-"&amp;'Trial Balance'!B350</f>
        <v>5615-General Administrative Salaries and Expenses</v>
      </c>
      <c r="B157" s="304">
        <f>'Trial Balance'!J350</f>
        <v>435258.13</v>
      </c>
    </row>
    <row r="158" spans="1:2" ht="15" customHeight="1">
      <c r="A158" s="25" t="str">
        <f>'Trial Balance'!A351&amp;"-"&amp;'Trial Balance'!B351</f>
        <v>5620-Office Supplies and Expenses</v>
      </c>
      <c r="B158" s="304">
        <f>'Trial Balance'!J351</f>
        <v>74605.73000000001</v>
      </c>
    </row>
    <row r="159" spans="1:2" ht="15" customHeight="1">
      <c r="A159" s="25" t="str">
        <f>'Trial Balance'!A352&amp;"-"&amp;'Trial Balance'!B352</f>
        <v>5625-Administrative Expense Transferred-Credit</v>
      </c>
      <c r="B159" s="304">
        <f>'Trial Balance'!J352</f>
        <v>-129004.17000000001</v>
      </c>
    </row>
    <row r="160" spans="1:2" ht="15" customHeight="1">
      <c r="A160" s="25" t="str">
        <f>'Trial Balance'!A353&amp;"-"&amp;'Trial Balance'!B353</f>
        <v>5630-Outside Services Employed</v>
      </c>
      <c r="B160" s="304">
        <f>'Trial Balance'!J353</f>
        <v>98608.79</v>
      </c>
    </row>
    <row r="161" spans="1:2" ht="15" customHeight="1">
      <c r="A161" s="25" t="str">
        <f>'Trial Balance'!A354&amp;"-"&amp;'Trial Balance'!B354</f>
        <v>5635-Property Insurance</v>
      </c>
      <c r="B161" s="304">
        <f>'Trial Balance'!J354</f>
        <v>29470.719999999994</v>
      </c>
    </row>
    <row r="162" spans="1:2" ht="15" customHeight="1">
      <c r="A162" s="25" t="str">
        <f>'Trial Balance'!A355&amp;"-"&amp;'Trial Balance'!B355</f>
        <v>5640-Injuries and Damages</v>
      </c>
      <c r="B162" s="304">
        <f>'Trial Balance'!J355</f>
        <v>54133.76</v>
      </c>
    </row>
    <row r="163" spans="1:2" ht="15" customHeight="1">
      <c r="A163" s="25" t="str">
        <f>'Trial Balance'!A356&amp;"-"&amp;'Trial Balance'!B356</f>
        <v>5645-Employee Pensions and Benefits</v>
      </c>
      <c r="B163" s="304">
        <f>'Trial Balance'!J356</f>
        <v>31778.2</v>
      </c>
    </row>
    <row r="164" spans="1:2" ht="15" customHeight="1">
      <c r="A164" s="25" t="str">
        <f>'Trial Balance'!A357&amp;"-"&amp;'Trial Balance'!B357</f>
        <v>5650-Franchise Requirements</v>
      </c>
      <c r="B164" s="304">
        <f>'Trial Balance'!J357</f>
        <v>0</v>
      </c>
    </row>
    <row r="165" spans="1:2" ht="15" customHeight="1">
      <c r="A165" s="25" t="str">
        <f>'Trial Balance'!A358&amp;"-"&amp;'Trial Balance'!B358</f>
        <v>5655-Regulatory Expenses</v>
      </c>
      <c r="B165" s="304">
        <f>'Trial Balance'!J358</f>
        <v>47037.41</v>
      </c>
    </row>
    <row r="166" spans="1:2" ht="15" customHeight="1">
      <c r="A166" s="25" t="str">
        <f>'Trial Balance'!A359&amp;"-"&amp;'Trial Balance'!B359</f>
        <v>5660-General Advertising Expenses</v>
      </c>
      <c r="B166" s="304">
        <f>'Trial Balance'!J359</f>
        <v>3933.22</v>
      </c>
    </row>
    <row r="167" spans="1:2" ht="15" customHeight="1">
      <c r="A167" s="25" t="str">
        <f>'Trial Balance'!A360&amp;"-"&amp;'Trial Balance'!B360</f>
        <v>5665-Miscellaneous Expenses</v>
      </c>
      <c r="B167" s="304">
        <f>'Trial Balance'!J360</f>
        <v>123590.31999999999</v>
      </c>
    </row>
    <row r="168" spans="1:2" ht="15" customHeight="1">
      <c r="A168" s="25" t="str">
        <f>'Trial Balance'!A361&amp;"-"&amp;'Trial Balance'!B361</f>
        <v>5670-Rent  </v>
      </c>
      <c r="B168" s="304">
        <f>'Trial Balance'!J361</f>
        <v>0</v>
      </c>
    </row>
    <row r="169" spans="1:2" ht="15" customHeight="1">
      <c r="A169" s="25" t="str">
        <f>'Trial Balance'!A362&amp;"-"&amp;'Trial Balance'!B362</f>
        <v>5675-Maintenance of General Plant</v>
      </c>
      <c r="B169" s="304">
        <f>'Trial Balance'!J362</f>
        <v>235048.8</v>
      </c>
    </row>
    <row r="170" spans="1:2" ht="15" customHeight="1">
      <c r="A170" s="25" t="str">
        <f>'Trial Balance'!A363&amp;"-"&amp;'Trial Balance'!B363</f>
        <v>5680-Electrical Safety Authority Fees</v>
      </c>
      <c r="B170" s="304">
        <f>'Trial Balance'!J363</f>
        <v>7402.97</v>
      </c>
    </row>
    <row r="171" spans="1:2" ht="15" customHeight="1">
      <c r="A171" s="25" t="str">
        <f>'Trial Balance'!A364&amp;"-"&amp;'Trial Balance'!B364</f>
        <v>5681- Special Purpose Charge Expense</v>
      </c>
      <c r="B171" s="304">
        <f>'Trial Balance'!J364</f>
        <v>0</v>
      </c>
    </row>
    <row r="172" spans="1:2" ht="15" customHeight="1">
      <c r="A172" s="25" t="str">
        <f>'Trial Balance'!A365&amp;"-"&amp;'Trial Balance'!B365</f>
        <v>5685-Independent Market Operator Fees and Penalties</v>
      </c>
      <c r="B172" s="304">
        <f>'Trial Balance'!J365</f>
        <v>0</v>
      </c>
    </row>
    <row r="173" spans="1:2" ht="15" customHeight="1" thickBot="1">
      <c r="A173" s="25" t="str">
        <f>'Trial Balance'!A366&amp;"-"&amp;'Trial Balance'!B366</f>
        <v>5695-OM&amp;A Contra Account</v>
      </c>
      <c r="B173" s="304">
        <f>'Trial Balance'!J366</f>
        <v>0</v>
      </c>
    </row>
    <row r="174" spans="1:2" ht="15" customHeight="1" thickBot="1">
      <c r="A174" s="30" t="s">
        <v>76</v>
      </c>
      <c r="B174" s="313">
        <f>SUM(B155:B173)</f>
        <v>1403517.07</v>
      </c>
    </row>
    <row r="175" spans="1:2" s="18" customFormat="1" ht="15" customHeight="1">
      <c r="A175" s="643"/>
      <c r="B175" s="644"/>
    </row>
    <row r="176" spans="1:2" s="18" customFormat="1" ht="15" customHeight="1">
      <c r="A176" s="641" t="s">
        <v>77</v>
      </c>
      <c r="B176" s="642"/>
    </row>
    <row r="177" spans="1:2" s="18" customFormat="1" ht="15" customHeight="1">
      <c r="A177" s="25" t="str">
        <f>'Trial Balance'!A368&amp;"-"&amp;'Trial Balance'!B368</f>
        <v>5705-Amortization Expense - Property, Plant and Equipment</v>
      </c>
      <c r="B177" s="304">
        <f>'Trial Balance'!J368</f>
        <v>1870898.9499999997</v>
      </c>
    </row>
    <row r="178" spans="1:2" s="18" customFormat="1" ht="15" customHeight="1">
      <c r="A178" s="25" t="str">
        <f>'Trial Balance'!A369&amp;"-"&amp;'Trial Balance'!B369</f>
        <v>5710-Amortization of Limited Term Electric Plant</v>
      </c>
      <c r="B178" s="304">
        <f>'Trial Balance'!J369</f>
        <v>0</v>
      </c>
    </row>
    <row r="179" spans="1:2" s="18" customFormat="1" ht="15" customHeight="1">
      <c r="A179" s="25" t="str">
        <f>'Trial Balance'!A370&amp;"-"&amp;'Trial Balance'!B370</f>
        <v>5715-Amortization of Intangibles and Other Electric Plant</v>
      </c>
      <c r="B179" s="304">
        <f>'Trial Balance'!J370</f>
        <v>0</v>
      </c>
    </row>
    <row r="180" spans="1:2" s="18" customFormat="1" ht="15" customHeight="1">
      <c r="A180" s="25" t="str">
        <f>'Trial Balance'!A371&amp;"-"&amp;'Trial Balance'!B371</f>
        <v>5720-Amortization of Electric Plant Acquisition Adjustments</v>
      </c>
      <c r="B180" s="304">
        <f>'Trial Balance'!J371</f>
        <v>0</v>
      </c>
    </row>
    <row r="181" spans="1:2" s="18" customFormat="1" ht="15" customHeight="1">
      <c r="A181" s="25" t="str">
        <f>'Trial Balance'!A372&amp;"-"&amp;'Trial Balance'!B372</f>
        <v>5725-Miscellaneous Amortization</v>
      </c>
      <c r="B181" s="304">
        <f>'Trial Balance'!J372</f>
        <v>0</v>
      </c>
    </row>
    <row r="182" spans="1:2" s="18" customFormat="1" ht="15" customHeight="1">
      <c r="A182" s="25" t="str">
        <f>'Trial Balance'!A373&amp;"-"&amp;'Trial Balance'!B373</f>
        <v>5730-Amortization of Unrecovered Plant and Regulatory Study Costs</v>
      </c>
      <c r="B182" s="304">
        <f>'Trial Balance'!J373</f>
        <v>0</v>
      </c>
    </row>
    <row r="183" spans="1:2" s="18" customFormat="1" ht="15" customHeight="1">
      <c r="A183" s="25" t="str">
        <f>'Trial Balance'!A374&amp;"-"&amp;'Trial Balance'!B374</f>
        <v>5735-Amortization of Deferred Development Costs</v>
      </c>
      <c r="B183" s="304">
        <f>'Trial Balance'!J374</f>
        <v>0</v>
      </c>
    </row>
    <row r="184" spans="1:2" ht="15" customHeight="1" thickBot="1">
      <c r="A184" s="25" t="str">
        <f>'Trial Balance'!A375&amp;"-"&amp;'Trial Balance'!B375</f>
        <v>5740-Amortization of Deferred Charges</v>
      </c>
      <c r="B184" s="304">
        <f>'Trial Balance'!J375</f>
        <v>0</v>
      </c>
    </row>
    <row r="185" spans="1:2" ht="15" customHeight="1" thickBot="1">
      <c r="A185" s="30" t="s">
        <v>78</v>
      </c>
      <c r="B185" s="313">
        <f>SUM(B177:B184)</f>
        <v>1870898.9499999997</v>
      </c>
    </row>
    <row r="186" spans="1:2" s="18" customFormat="1" ht="15" customHeight="1">
      <c r="A186" s="643"/>
      <c r="B186" s="644"/>
    </row>
    <row r="187" spans="1:2" s="18" customFormat="1" ht="15" customHeight="1">
      <c r="A187" s="641" t="s">
        <v>79</v>
      </c>
      <c r="B187" s="642"/>
    </row>
    <row r="188" spans="1:2" ht="15" customHeight="1">
      <c r="A188" s="25" t="str">
        <f>'Trial Balance'!A377&amp;"-"&amp;'Trial Balance'!B377</f>
        <v>6005-Interest on Long Term Debt</v>
      </c>
      <c r="B188" s="304">
        <f>'Trial Balance'!J377</f>
        <v>544318.25</v>
      </c>
    </row>
    <row r="189" spans="1:2" ht="15" customHeight="1">
      <c r="A189" s="25" t="str">
        <f>'Trial Balance'!A378&amp;"-"&amp;'Trial Balance'!B378</f>
        <v>6010-Amortization of Debt Discount and Expense</v>
      </c>
      <c r="B189" s="304">
        <f>'Trial Balance'!J378</f>
        <v>0</v>
      </c>
    </row>
    <row r="190" spans="1:2" ht="15" customHeight="1">
      <c r="A190" s="25" t="str">
        <f>'Trial Balance'!A379&amp;"-"&amp;'Trial Balance'!B379</f>
        <v>6015-Amortization of Premium on Debt-Credit</v>
      </c>
      <c r="B190" s="304">
        <f>'Trial Balance'!J379</f>
        <v>0</v>
      </c>
    </row>
    <row r="191" spans="1:2" ht="15" customHeight="1">
      <c r="A191" s="25" t="str">
        <f>'Trial Balance'!A380&amp;"-"&amp;'Trial Balance'!B380</f>
        <v>6020-Amortization of Loss on Reacquired Debt</v>
      </c>
      <c r="B191" s="304">
        <f>'Trial Balance'!J380</f>
        <v>0</v>
      </c>
    </row>
    <row r="192" spans="1:2" ht="15" customHeight="1">
      <c r="A192" s="25" t="str">
        <f>'Trial Balance'!A381&amp;"-"&amp;'Trial Balance'!B381</f>
        <v>6025-Amortization of Gain on Reacquired Debt-Credit</v>
      </c>
      <c r="B192" s="304">
        <f>'Trial Balance'!J381</f>
        <v>0</v>
      </c>
    </row>
    <row r="193" spans="1:2" ht="15" customHeight="1">
      <c r="A193" s="25" t="str">
        <f>'Trial Balance'!A382&amp;"-"&amp;'Trial Balance'!B382</f>
        <v>6030-Interest on Debt to Associated Companies</v>
      </c>
      <c r="B193" s="304">
        <f>'Trial Balance'!J382</f>
        <v>0</v>
      </c>
    </row>
    <row r="194" spans="1:2" ht="15" customHeight="1">
      <c r="A194" s="25" t="str">
        <f>'Trial Balance'!A383&amp;"-"&amp;'Trial Balance'!B383</f>
        <v>6035-Other Interest Expense</v>
      </c>
      <c r="B194" s="304">
        <f>'Trial Balance'!J383</f>
        <v>36716.189999999995</v>
      </c>
    </row>
    <row r="195" spans="1:2" ht="15" customHeight="1">
      <c r="A195" s="25" t="str">
        <f>'Trial Balance'!A384&amp;"-"&amp;'Trial Balance'!B384</f>
        <v>6040-Allowance for Borrowed Funds Used During Construction-Credit</v>
      </c>
      <c r="B195" s="304">
        <f>'Trial Balance'!J384</f>
        <v>0</v>
      </c>
    </row>
    <row r="196" spans="1:2" ht="15" customHeight="1">
      <c r="A196" s="25" t="str">
        <f>'Trial Balance'!A385&amp;"-"&amp;'Trial Balance'!B385</f>
        <v>6042-Allowance for Other Funds Used During Construction</v>
      </c>
      <c r="B196" s="304">
        <f>'Trial Balance'!J385</f>
        <v>0</v>
      </c>
    </row>
    <row r="197" spans="1:2" ht="15" customHeight="1" thickBot="1">
      <c r="A197" s="25" t="str">
        <f>'Trial Balance'!A386&amp;"-"&amp;'Trial Balance'!B386</f>
        <v>6045-Interest Expense on Capital Lease Obligations</v>
      </c>
      <c r="B197" s="304">
        <f>'Trial Balance'!J386</f>
        <v>0</v>
      </c>
    </row>
    <row r="198" spans="1:2" ht="15" customHeight="1" thickBot="1">
      <c r="A198" s="30" t="s">
        <v>541</v>
      </c>
      <c r="B198" s="313">
        <f>SUM(B188:B197)</f>
        <v>581034.44</v>
      </c>
    </row>
    <row r="199" spans="1:2" s="18" customFormat="1" ht="15" customHeight="1">
      <c r="A199" s="643"/>
      <c r="B199" s="644"/>
    </row>
    <row r="200" spans="1:2" s="18" customFormat="1" ht="15" customHeight="1">
      <c r="A200" s="641" t="s">
        <v>542</v>
      </c>
      <c r="B200" s="642"/>
    </row>
    <row r="201" spans="1:2" ht="15" customHeight="1" thickBot="1">
      <c r="A201" s="25" t="str">
        <f>'Trial Balance'!A388&amp;"-"&amp;'Trial Balance'!B388</f>
        <v>6105-Taxes Other Than Income Taxes</v>
      </c>
      <c r="B201" s="304">
        <f>'Trial Balance'!J388</f>
        <v>122776.08</v>
      </c>
    </row>
    <row r="202" spans="1:2" ht="15" customHeight="1" thickBot="1">
      <c r="A202" s="30" t="s">
        <v>545</v>
      </c>
      <c r="B202" s="313">
        <f>SUM(B201)</f>
        <v>122776.08</v>
      </c>
    </row>
    <row r="203" spans="1:2" s="18" customFormat="1" ht="15" customHeight="1">
      <c r="A203" s="643"/>
      <c r="B203" s="644"/>
    </row>
    <row r="204" spans="1:2" s="18" customFormat="1" ht="15" customHeight="1">
      <c r="A204" s="641" t="s">
        <v>546</v>
      </c>
      <c r="B204" s="642"/>
    </row>
    <row r="205" spans="1:2" ht="15" customHeight="1">
      <c r="A205" s="25" t="str">
        <f>'Trial Balance'!A389&amp;"-"&amp;'Trial Balance'!B389</f>
        <v>6110-Income Taxes</v>
      </c>
      <c r="B205" s="304">
        <f>'Trial Balance'!J389</f>
        <v>587559</v>
      </c>
    </row>
    <row r="206" spans="1:2" ht="15" customHeight="1" thickBot="1">
      <c r="A206" s="25" t="str">
        <f>'Trial Balance'!A390&amp;"-"&amp;'Trial Balance'!B390</f>
        <v>6115-Provision for Future Income Taxes</v>
      </c>
      <c r="B206" s="304">
        <f>'Trial Balance'!J390</f>
        <v>-174879.64</v>
      </c>
    </row>
    <row r="207" spans="1:2" ht="15" customHeight="1" thickBot="1">
      <c r="A207" s="30" t="s">
        <v>547</v>
      </c>
      <c r="B207" s="313">
        <f>SUM(B205:B206)</f>
        <v>412679.36</v>
      </c>
    </row>
    <row r="208" spans="1:2" s="18" customFormat="1" ht="15" customHeight="1">
      <c r="A208" s="643"/>
      <c r="B208" s="644"/>
    </row>
    <row r="209" spans="1:2" s="18" customFormat="1" ht="15" customHeight="1">
      <c r="A209" s="641" t="s">
        <v>528</v>
      </c>
      <c r="B209" s="642"/>
    </row>
    <row r="210" spans="1:2" ht="15" customHeight="1">
      <c r="A210" s="25" t="str">
        <f>'Trial Balance'!A392&amp;"-"&amp;'Trial Balance'!B392</f>
        <v>6205-Donations</v>
      </c>
      <c r="B210" s="304">
        <f>'Trial Balance'!J392</f>
        <v>500</v>
      </c>
    </row>
    <row r="211" spans="1:2" ht="15" customHeight="1">
      <c r="A211" s="25" t="str">
        <f>'Trial Balance'!A393&amp;"-"&amp;'Trial Balance'!B393</f>
        <v>6210-Life Insurance</v>
      </c>
      <c r="B211" s="304">
        <f>'Trial Balance'!J393</f>
        <v>0</v>
      </c>
    </row>
    <row r="212" spans="1:2" ht="15" customHeight="1">
      <c r="A212" s="25" t="str">
        <f>'Trial Balance'!A394&amp;"-"&amp;'Trial Balance'!B394</f>
        <v>6215-Penalties</v>
      </c>
      <c r="B212" s="304">
        <f>'Trial Balance'!J394</f>
        <v>0</v>
      </c>
    </row>
    <row r="213" spans="1:7" ht="15" customHeight="1" thickBot="1">
      <c r="A213" s="25" t="str">
        <f>'Trial Balance'!A395&amp;"-"&amp;'Trial Balance'!B395</f>
        <v>6225-Other Deductions</v>
      </c>
      <c r="B213" s="304">
        <f>'Trial Balance'!J395</f>
        <v>0</v>
      </c>
      <c r="D213" s="10"/>
      <c r="E213" s="10"/>
      <c r="F213" s="10"/>
      <c r="G213" s="10"/>
    </row>
    <row r="214" spans="1:2" ht="15" customHeight="1" thickBot="1">
      <c r="A214" s="30" t="s">
        <v>529</v>
      </c>
      <c r="B214" s="313">
        <f>SUM(B210:B213)</f>
        <v>500</v>
      </c>
    </row>
    <row r="215" spans="1:7" s="10" customFormat="1" ht="15" customHeight="1" thickBot="1">
      <c r="A215" s="643"/>
      <c r="B215" s="644"/>
      <c r="D215"/>
      <c r="E215"/>
      <c r="F215"/>
      <c r="G215"/>
    </row>
    <row r="216" spans="1:2" ht="18.75" customHeight="1" thickBot="1">
      <c r="A216" s="31" t="s">
        <v>801</v>
      </c>
      <c r="B216" s="314">
        <f>B24+B31+B43+B67+B72+B86+B112+B133+B144+B152+B174+B185+B198+B202+B207+B214</f>
        <v>-592093.8499999973</v>
      </c>
    </row>
    <row r="217" spans="1:2" ht="15">
      <c r="A217" s="9"/>
      <c r="B217" s="315"/>
    </row>
    <row r="218" spans="1:2" ht="13.5">
      <c r="A218" s="635" t="s">
        <v>905</v>
      </c>
      <c r="B218" s="636"/>
    </row>
    <row r="219" spans="1:2" ht="12.75">
      <c r="A219" s="387" t="s">
        <v>906</v>
      </c>
      <c r="B219" s="388">
        <f>B216</f>
        <v>-592093.8499999973</v>
      </c>
    </row>
    <row r="220" spans="1:2" ht="12.75">
      <c r="A220" s="389" t="s">
        <v>908</v>
      </c>
      <c r="B220" s="388">
        <v>416</v>
      </c>
    </row>
    <row r="221" spans="1:2" ht="12.75">
      <c r="A221" s="390" t="s">
        <v>907</v>
      </c>
      <c r="B221" s="391">
        <f>SUM(B219:B220)</f>
        <v>-591677.8499999973</v>
      </c>
    </row>
    <row r="222" spans="1:2" ht="15">
      <c r="A222" s="9"/>
      <c r="B222" s="315"/>
    </row>
    <row r="223" spans="1:2" ht="15">
      <c r="A223" s="9"/>
      <c r="B223" s="315"/>
    </row>
    <row r="224" spans="1:2" ht="15">
      <c r="A224" s="9"/>
      <c r="B224" s="315"/>
    </row>
    <row r="225" spans="1:2" ht="15">
      <c r="A225" s="9"/>
      <c r="B225" s="315"/>
    </row>
    <row r="226" spans="1:2" ht="15">
      <c r="A226" s="9"/>
      <c r="B226" s="315"/>
    </row>
    <row r="227" spans="1:2" ht="15">
      <c r="A227" s="9"/>
      <c r="B227" s="315"/>
    </row>
    <row r="228" spans="1:2" ht="15">
      <c r="A228" s="9"/>
      <c r="B228" s="315"/>
    </row>
    <row r="229" spans="1:2" ht="15">
      <c r="A229" s="9"/>
      <c r="B229" s="315"/>
    </row>
    <row r="230" spans="1:2" ht="15">
      <c r="A230" s="9"/>
      <c r="B230" s="315"/>
    </row>
    <row r="231" spans="1:2" ht="15">
      <c r="A231" s="9"/>
      <c r="B231" s="315"/>
    </row>
    <row r="232" spans="1:2" ht="15">
      <c r="A232" s="9"/>
      <c r="B232" s="315"/>
    </row>
    <row r="233" spans="1:2" ht="15">
      <c r="A233" s="9"/>
      <c r="B233" s="315"/>
    </row>
    <row r="234" spans="1:2" ht="15">
      <c r="A234" s="9"/>
      <c r="B234" s="315"/>
    </row>
    <row r="235" spans="1:2" ht="15">
      <c r="A235" s="9"/>
      <c r="B235" s="315"/>
    </row>
    <row r="236" spans="1:2" ht="15">
      <c r="A236" s="9"/>
      <c r="B236" s="315"/>
    </row>
    <row r="237" spans="1:2" ht="15">
      <c r="A237" s="9"/>
      <c r="B237" s="315"/>
    </row>
    <row r="238" spans="1:2" ht="15">
      <c r="A238" s="9"/>
      <c r="B238" s="315"/>
    </row>
    <row r="239" spans="1:2" ht="15">
      <c r="A239" s="9"/>
      <c r="B239" s="315"/>
    </row>
    <row r="240" spans="1:2" ht="15">
      <c r="A240" s="9"/>
      <c r="B240" s="315"/>
    </row>
    <row r="241" spans="1:2" ht="15">
      <c r="A241" s="9"/>
      <c r="B241" s="315"/>
    </row>
    <row r="242" spans="1:2" ht="15">
      <c r="A242" s="9"/>
      <c r="B242" s="315"/>
    </row>
    <row r="243" spans="1:2" ht="15">
      <c r="A243" s="9"/>
      <c r="B243" s="315"/>
    </row>
    <row r="244" spans="1:2" ht="15">
      <c r="A244" s="9"/>
      <c r="B244" s="315"/>
    </row>
    <row r="245" spans="1:2" ht="15">
      <c r="A245" s="9"/>
      <c r="B245" s="315"/>
    </row>
    <row r="246" spans="1:2" ht="15">
      <c r="A246" s="9"/>
      <c r="B246" s="315"/>
    </row>
    <row r="247" spans="1:2" ht="15">
      <c r="A247" s="9"/>
      <c r="B247" s="315"/>
    </row>
    <row r="248" spans="1:2" ht="15">
      <c r="A248" s="9"/>
      <c r="B248" s="315"/>
    </row>
    <row r="249" spans="1:2" ht="15">
      <c r="A249" s="9"/>
      <c r="B249" s="315"/>
    </row>
    <row r="250" spans="1:2" ht="15">
      <c r="A250" s="9"/>
      <c r="B250" s="315"/>
    </row>
    <row r="251" spans="1:2" ht="15">
      <c r="A251" s="9"/>
      <c r="B251" s="315"/>
    </row>
    <row r="252" spans="1:2" ht="15">
      <c r="A252" s="9"/>
      <c r="B252" s="315"/>
    </row>
    <row r="253" spans="1:2" ht="15">
      <c r="A253" s="9"/>
      <c r="B253" s="315"/>
    </row>
    <row r="254" spans="1:2" ht="15">
      <c r="A254" s="9"/>
      <c r="B254" s="315"/>
    </row>
    <row r="255" spans="1:2" ht="15">
      <c r="A255" s="9"/>
      <c r="B255" s="315"/>
    </row>
    <row r="256" spans="1:2" ht="15">
      <c r="A256" s="9"/>
      <c r="B256" s="315"/>
    </row>
    <row r="257" spans="1:2" ht="15">
      <c r="A257" s="9"/>
      <c r="B257" s="315"/>
    </row>
    <row r="258" spans="1:2" ht="15">
      <c r="A258" s="9"/>
      <c r="B258" s="315"/>
    </row>
    <row r="259" spans="1:2" ht="15">
      <c r="A259" s="9"/>
      <c r="B259" s="315"/>
    </row>
    <row r="260" spans="1:2" ht="15">
      <c r="A260" s="9"/>
      <c r="B260" s="315"/>
    </row>
    <row r="261" spans="1:2" ht="15">
      <c r="A261" s="9"/>
      <c r="B261" s="315"/>
    </row>
    <row r="262" spans="1:2" ht="15">
      <c r="A262" s="9"/>
      <c r="B262" s="315"/>
    </row>
    <row r="263" spans="1:2" ht="15">
      <c r="A263" s="9"/>
      <c r="B263" s="315"/>
    </row>
    <row r="264" spans="1:2" ht="15">
      <c r="A264" s="9"/>
      <c r="B264" s="315"/>
    </row>
    <row r="265" spans="1:2" ht="15">
      <c r="A265" s="9"/>
      <c r="B265" s="315"/>
    </row>
    <row r="266" spans="1:2" ht="15">
      <c r="A266" s="9"/>
      <c r="B266" s="315"/>
    </row>
    <row r="267" spans="1:2" ht="15">
      <c r="A267" s="9"/>
      <c r="B267" s="315"/>
    </row>
    <row r="268" spans="1:2" ht="15">
      <c r="A268" s="9"/>
      <c r="B268" s="315"/>
    </row>
    <row r="269" spans="1:2" ht="15">
      <c r="A269" s="9"/>
      <c r="B269" s="315"/>
    </row>
    <row r="270" spans="1:2" ht="15">
      <c r="A270" s="9"/>
      <c r="B270" s="315"/>
    </row>
    <row r="271" spans="1:2" ht="15">
      <c r="A271" s="9"/>
      <c r="B271" s="315"/>
    </row>
    <row r="272" spans="1:2" ht="15">
      <c r="A272" s="9"/>
      <c r="B272" s="315"/>
    </row>
    <row r="273" spans="1:2" ht="15">
      <c r="A273" s="9"/>
      <c r="B273" s="315"/>
    </row>
    <row r="274" spans="1:2" ht="15">
      <c r="A274" s="9"/>
      <c r="B274" s="315"/>
    </row>
    <row r="275" spans="1:2" ht="15">
      <c r="A275" s="9"/>
      <c r="B275" s="315"/>
    </row>
    <row r="276" spans="1:2" ht="15">
      <c r="A276" s="9"/>
      <c r="B276" s="315"/>
    </row>
    <row r="277" spans="1:2" ht="15">
      <c r="A277" s="9"/>
      <c r="B277" s="315"/>
    </row>
    <row r="278" spans="1:2" ht="15">
      <c r="A278" s="9"/>
      <c r="B278" s="315"/>
    </row>
    <row r="279" spans="1:2" ht="15">
      <c r="A279" s="9"/>
      <c r="B279" s="315"/>
    </row>
    <row r="280" spans="1:2" ht="15">
      <c r="A280" s="9"/>
      <c r="B280" s="315"/>
    </row>
    <row r="281" spans="1:2" ht="15">
      <c r="A281" s="9"/>
      <c r="B281" s="315"/>
    </row>
    <row r="282" spans="1:2" ht="15">
      <c r="A282" s="9"/>
      <c r="B282" s="315"/>
    </row>
    <row r="283" spans="1:2" ht="15">
      <c r="A283" s="9"/>
      <c r="B283" s="315"/>
    </row>
    <row r="284" spans="1:2" ht="15">
      <c r="A284" s="9"/>
      <c r="B284" s="315"/>
    </row>
    <row r="285" spans="1:2" ht="15">
      <c r="A285" s="9"/>
      <c r="B285" s="315"/>
    </row>
    <row r="286" spans="1:2" ht="15">
      <c r="A286" s="9"/>
      <c r="B286" s="315"/>
    </row>
    <row r="287" spans="1:2" ht="15">
      <c r="A287" s="9"/>
      <c r="B287" s="315"/>
    </row>
    <row r="288" spans="1:2" ht="15">
      <c r="A288" s="9"/>
      <c r="B288" s="315"/>
    </row>
    <row r="289" spans="1:2" ht="15">
      <c r="A289" s="9"/>
      <c r="B289" s="315"/>
    </row>
    <row r="290" spans="1:2" ht="15">
      <c r="A290" s="9"/>
      <c r="B290" s="315"/>
    </row>
    <row r="291" spans="1:2" ht="15">
      <c r="A291" s="9"/>
      <c r="B291" s="315"/>
    </row>
    <row r="292" spans="1:2" ht="15">
      <c r="A292" s="9"/>
      <c r="B292" s="315"/>
    </row>
    <row r="293" spans="1:2" ht="15">
      <c r="A293" s="9"/>
      <c r="B293" s="315"/>
    </row>
    <row r="294" spans="1:2" ht="15">
      <c r="A294" s="9"/>
      <c r="B294" s="315"/>
    </row>
    <row r="295" spans="1:2" ht="15">
      <c r="A295" s="9"/>
      <c r="B295" s="315"/>
    </row>
    <row r="296" spans="1:2" ht="15">
      <c r="A296" s="9"/>
      <c r="B296" s="315"/>
    </row>
    <row r="297" spans="1:2" ht="15">
      <c r="A297" s="9"/>
      <c r="B297" s="315"/>
    </row>
    <row r="298" spans="1:2" ht="15">
      <c r="A298" s="9"/>
      <c r="B298" s="315"/>
    </row>
    <row r="299" spans="1:2" ht="15">
      <c r="A299" s="9"/>
      <c r="B299" s="315"/>
    </row>
    <row r="300" spans="1:2" ht="15">
      <c r="A300" s="9"/>
      <c r="B300" s="315"/>
    </row>
    <row r="301" spans="1:2" ht="15">
      <c r="A301" s="9"/>
      <c r="B301" s="315"/>
    </row>
    <row r="302" spans="1:2" ht="15">
      <c r="A302" s="9"/>
      <c r="B302" s="315"/>
    </row>
    <row r="303" spans="1:2" ht="15">
      <c r="A303" s="9"/>
      <c r="B303" s="315"/>
    </row>
    <row r="304" spans="1:2" ht="15">
      <c r="A304" s="9"/>
      <c r="B304" s="315"/>
    </row>
    <row r="305" spans="1:2" ht="15">
      <c r="A305" s="9"/>
      <c r="B305" s="315"/>
    </row>
    <row r="306" spans="1:2" ht="15">
      <c r="A306" s="9"/>
      <c r="B306" s="315"/>
    </row>
    <row r="307" spans="1:2" ht="15">
      <c r="A307" s="9"/>
      <c r="B307" s="315"/>
    </row>
    <row r="308" spans="1:2" ht="15">
      <c r="A308" s="9"/>
      <c r="B308" s="315"/>
    </row>
    <row r="309" spans="1:2" ht="15">
      <c r="A309" s="9"/>
      <c r="B309" s="315"/>
    </row>
    <row r="310" spans="1:2" ht="15">
      <c r="A310" s="9"/>
      <c r="B310" s="315"/>
    </row>
    <row r="311" spans="1:2" ht="15">
      <c r="A311" s="9"/>
      <c r="B311" s="315"/>
    </row>
    <row r="312" spans="1:2" ht="15">
      <c r="A312" s="9"/>
      <c r="B312" s="315"/>
    </row>
    <row r="313" spans="1:2" ht="15">
      <c r="A313" s="9"/>
      <c r="B313" s="315"/>
    </row>
    <row r="314" spans="1:2" ht="15">
      <c r="A314" s="9"/>
      <c r="B314" s="315"/>
    </row>
    <row r="315" spans="1:2" ht="15">
      <c r="A315" s="9"/>
      <c r="B315" s="315"/>
    </row>
    <row r="316" spans="1:2" ht="15">
      <c r="A316" s="9"/>
      <c r="B316" s="315"/>
    </row>
    <row r="317" spans="1:2" ht="15">
      <c r="A317" s="9"/>
      <c r="B317" s="315"/>
    </row>
    <row r="318" spans="1:2" ht="15">
      <c r="A318" s="9"/>
      <c r="B318" s="315"/>
    </row>
    <row r="319" spans="1:2" ht="15">
      <c r="A319" s="9"/>
      <c r="B319" s="315"/>
    </row>
    <row r="320" spans="1:2" ht="15">
      <c r="A320" s="9"/>
      <c r="B320" s="315"/>
    </row>
    <row r="321" spans="1:2" ht="15">
      <c r="A321" s="9"/>
      <c r="B321" s="315"/>
    </row>
    <row r="322" spans="1:2" ht="15">
      <c r="A322" s="9"/>
      <c r="B322" s="315"/>
    </row>
    <row r="323" spans="1:2" ht="15">
      <c r="A323" s="9"/>
      <c r="B323" s="315"/>
    </row>
    <row r="324" spans="1:2" ht="15">
      <c r="A324" s="9"/>
      <c r="B324" s="315"/>
    </row>
    <row r="325" spans="1:2" ht="15">
      <c r="A325" s="9"/>
      <c r="B325" s="315"/>
    </row>
    <row r="326" spans="1:2" ht="15">
      <c r="A326" s="9"/>
      <c r="B326" s="315"/>
    </row>
    <row r="327" spans="1:2" ht="15">
      <c r="A327" s="9"/>
      <c r="B327" s="315"/>
    </row>
    <row r="328" spans="1:2" ht="15">
      <c r="A328" s="9"/>
      <c r="B328" s="315"/>
    </row>
    <row r="329" spans="1:2" ht="15">
      <c r="A329" s="9"/>
      <c r="B329" s="315"/>
    </row>
    <row r="330" spans="1:2" ht="15">
      <c r="A330" s="9"/>
      <c r="B330" s="315"/>
    </row>
    <row r="331" spans="1:2" ht="15">
      <c r="A331" s="9"/>
      <c r="B331" s="315"/>
    </row>
  </sheetData>
  <sheetProtection/>
  <mergeCells count="37">
    <mergeCell ref="A215:B215"/>
    <mergeCell ref="A203:B203"/>
    <mergeCell ref="A204:B204"/>
    <mergeCell ref="A208:B208"/>
    <mergeCell ref="A209:B209"/>
    <mergeCell ref="A186:B186"/>
    <mergeCell ref="A187:B187"/>
    <mergeCell ref="A199:B199"/>
    <mergeCell ref="A200:B200"/>
    <mergeCell ref="A175:B175"/>
    <mergeCell ref="A176:B176"/>
    <mergeCell ref="A154:B154"/>
    <mergeCell ref="A153:B153"/>
    <mergeCell ref="A73:B73"/>
    <mergeCell ref="A134:B134"/>
    <mergeCell ref="A145:B145"/>
    <mergeCell ref="A74:B74"/>
    <mergeCell ref="A87:B87"/>
    <mergeCell ref="A88:B88"/>
    <mergeCell ref="A113:B113"/>
    <mergeCell ref="A114:B114"/>
    <mergeCell ref="A218:B218"/>
    <mergeCell ref="A1:B1"/>
    <mergeCell ref="A2:B2"/>
    <mergeCell ref="A25:B25"/>
    <mergeCell ref="A26:B26"/>
    <mergeCell ref="A68:B68"/>
    <mergeCell ref="A44:B44"/>
    <mergeCell ref="A3:B3"/>
    <mergeCell ref="A4:B4"/>
    <mergeCell ref="A6:B6"/>
    <mergeCell ref="A32:B32"/>
    <mergeCell ref="A33:B33"/>
    <mergeCell ref="A45:B45"/>
    <mergeCell ref="A69:B69"/>
    <mergeCell ref="A146:B146"/>
    <mergeCell ref="A135:B135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portrait" scale="96" r:id="rId1"/>
  <headerFooter alignWithMargins="0">
    <oddFooter>&amp;L&amp;A</oddFooter>
  </headerFooter>
  <rowBreaks count="5" manualBreakCount="5">
    <brk id="44" max="255" man="1"/>
    <brk id="87" max="255" man="1"/>
    <brk id="113" max="255" man="1"/>
    <brk id="153" max="255" man="1"/>
    <brk id="18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354"/>
  <sheetViews>
    <sheetView showGridLines="0" zoomScalePageLayoutView="0" workbookViewId="0" topLeftCell="A4">
      <selection activeCell="A1" sqref="A1:IV3"/>
    </sheetView>
  </sheetViews>
  <sheetFormatPr defaultColWidth="9.140625" defaultRowHeight="12.75"/>
  <cols>
    <col min="1" max="1" width="73.28125" style="24" customWidth="1"/>
    <col min="2" max="2" width="20.8515625" style="326" customWidth="1"/>
  </cols>
  <sheetData>
    <row r="1" spans="1:2" ht="12.75" hidden="1">
      <c r="A1" s="614" t="str">
        <f>'Trial Balance'!A1:J1</f>
        <v>Woodstock Hydro Services Inc.</v>
      </c>
      <c r="B1" s="614"/>
    </row>
    <row r="2" spans="1:2" ht="12.75" hidden="1">
      <c r="A2" s="614" t="str">
        <f>'Trial Balance'!A2:J2</f>
        <v>, License Number ED-2003-0011, File Number EB-2010-0145</v>
      </c>
      <c r="B2" s="614"/>
    </row>
    <row r="3" spans="1:2" ht="15" hidden="1">
      <c r="A3" s="637" t="str">
        <f>Notes!B4</f>
        <v>Woodstock Hydro Services Inc.</v>
      </c>
      <c r="B3" s="637"/>
    </row>
    <row r="4" spans="1:2" ht="15">
      <c r="A4" s="637" t="s">
        <v>808</v>
      </c>
      <c r="B4" s="637"/>
    </row>
    <row r="5" spans="1:2" ht="15" customHeight="1">
      <c r="A5" s="59" t="s">
        <v>530</v>
      </c>
      <c r="B5" s="316" t="s">
        <v>154</v>
      </c>
    </row>
    <row r="6" spans="1:2" s="18" customFormat="1" ht="15" customHeight="1">
      <c r="A6" s="638" t="s">
        <v>149</v>
      </c>
      <c r="B6" s="638"/>
    </row>
    <row r="7" spans="1:2" ht="15" customHeight="1">
      <c r="A7" s="25" t="str">
        <f>'Trial Balance'!A8&amp;"-"&amp;'Trial Balance'!B8</f>
        <v>1005-Cash</v>
      </c>
      <c r="B7" s="317">
        <f>'Trial Balance'!L8</f>
        <v>3401823.0842212494</v>
      </c>
    </row>
    <row r="8" spans="1:2" ht="15" customHeight="1">
      <c r="A8" s="25" t="str">
        <f>'Trial Balance'!A9&amp;"-"&amp;'Trial Balance'!B9</f>
        <v>1010-Cash Advances and Working Funds</v>
      </c>
      <c r="B8" s="317">
        <f>'Trial Balance'!L9</f>
        <v>600</v>
      </c>
    </row>
    <row r="9" spans="1:2" ht="15" customHeight="1">
      <c r="A9" s="25" t="str">
        <f>'Trial Balance'!A10&amp;"-"&amp;'Trial Balance'!B10</f>
        <v>1020-Interest Special Deposits</v>
      </c>
      <c r="B9" s="317">
        <f>'Trial Balance'!L10</f>
        <v>0</v>
      </c>
    </row>
    <row r="10" spans="1:2" ht="15" customHeight="1">
      <c r="A10" s="25" t="str">
        <f>'Trial Balance'!A11&amp;"-"&amp;'Trial Balance'!B11</f>
        <v>1030-Dividend Special Deposits</v>
      </c>
      <c r="B10" s="317">
        <f>'Trial Balance'!L11</f>
        <v>0</v>
      </c>
    </row>
    <row r="11" spans="1:2" ht="15" customHeight="1">
      <c r="A11" s="25" t="str">
        <f>'Trial Balance'!A12&amp;"-"&amp;'Trial Balance'!B12</f>
        <v>1040-Other Special Deposits</v>
      </c>
      <c r="B11" s="317">
        <f>'Trial Balance'!L12</f>
        <v>0</v>
      </c>
    </row>
    <row r="12" spans="1:2" ht="15" customHeight="1">
      <c r="A12" s="25" t="str">
        <f>'Trial Balance'!A13&amp;"-"&amp;'Trial Balance'!B13</f>
        <v>1060-Term Deposits</v>
      </c>
      <c r="B12" s="317">
        <f>'Trial Balance'!L13</f>
        <v>0</v>
      </c>
    </row>
    <row r="13" spans="1:2" ht="15" customHeight="1">
      <c r="A13" s="25" t="str">
        <f>'Trial Balance'!A14&amp;"-"&amp;'Trial Balance'!B14</f>
        <v>1070-Current Investments</v>
      </c>
      <c r="B13" s="317">
        <f>'Trial Balance'!L14</f>
        <v>0</v>
      </c>
    </row>
    <row r="14" spans="1:2" ht="15" customHeight="1">
      <c r="A14" s="25" t="str">
        <f>'Trial Balance'!A15&amp;"-"&amp;'Trial Balance'!B15</f>
        <v>1100-Customer Accounts Receivable</v>
      </c>
      <c r="B14" s="317">
        <f>'Trial Balance'!L15</f>
        <v>3213994.2699999996</v>
      </c>
    </row>
    <row r="15" spans="1:2" ht="15" customHeight="1">
      <c r="A15" s="25" t="str">
        <f>'Trial Balance'!A16&amp;"-"&amp;'Trial Balance'!B16</f>
        <v>1102-Accounts Receivable - Services</v>
      </c>
      <c r="B15" s="317">
        <f>'Trial Balance'!L16</f>
        <v>40325.68999999999</v>
      </c>
    </row>
    <row r="16" spans="1:2" ht="15" customHeight="1">
      <c r="A16" s="25" t="str">
        <f>'Trial Balance'!A17&amp;"-"&amp;'Trial Balance'!B17</f>
        <v>1104-Accounts Receivable - Recoverable Work</v>
      </c>
      <c r="B16" s="317">
        <f>'Trial Balance'!L17</f>
        <v>219327.82000000007</v>
      </c>
    </row>
    <row r="17" spans="1:2" ht="15" customHeight="1">
      <c r="A17" s="25" t="str">
        <f>'Trial Balance'!A18&amp;"-"&amp;'Trial Balance'!B18</f>
        <v>1105-Accounts Receivable - Merchandise, Jobbing, etc.</v>
      </c>
      <c r="B17" s="317">
        <f>'Trial Balance'!L18</f>
        <v>0</v>
      </c>
    </row>
    <row r="18" spans="1:2" ht="15" customHeight="1">
      <c r="A18" s="25" t="str">
        <f>'Trial Balance'!A19&amp;"-"&amp;'Trial Balance'!B19</f>
        <v>1110-Other Accounts Receivable</v>
      </c>
      <c r="B18" s="317">
        <f>'Trial Balance'!L19</f>
        <v>100343.57000000002</v>
      </c>
    </row>
    <row r="19" spans="1:2" ht="15" customHeight="1">
      <c r="A19" s="25" t="str">
        <f>'Trial Balance'!A20&amp;"-"&amp;'Trial Balance'!B20</f>
        <v>1120-Accrued Utility Revenues</v>
      </c>
      <c r="B19" s="317">
        <f>'Trial Balance'!L20</f>
        <v>3606542.919999999</v>
      </c>
    </row>
    <row r="20" spans="1:2" ht="15" customHeight="1">
      <c r="A20" s="25" t="str">
        <f>'Trial Balance'!A21&amp;"-"&amp;'Trial Balance'!B21</f>
        <v>1130-Accumulated Provision for Uncollectable Accounts -- Credit</v>
      </c>
      <c r="B20" s="317">
        <f>'Trial Balance'!L21</f>
        <v>-45000</v>
      </c>
    </row>
    <row r="21" spans="1:2" ht="15" customHeight="1">
      <c r="A21" s="25" t="str">
        <f>'Trial Balance'!A22&amp;"-"&amp;'Trial Balance'!B22</f>
        <v>1140-Interest and Dividends Receivable</v>
      </c>
      <c r="B21" s="317">
        <f>'Trial Balance'!L22</f>
        <v>0</v>
      </c>
    </row>
    <row r="22" spans="1:2" ht="15" customHeight="1">
      <c r="A22" s="25" t="str">
        <f>'Trial Balance'!A23&amp;"-"&amp;'Trial Balance'!B23</f>
        <v>1150-Rents Receivable</v>
      </c>
      <c r="B22" s="317">
        <f>'Trial Balance'!L23</f>
        <v>5565.149999999998</v>
      </c>
    </row>
    <row r="23" spans="1:2" ht="15" customHeight="1">
      <c r="A23" s="25" t="str">
        <f>'Trial Balance'!A24&amp;"-"&amp;'Trial Balance'!B24</f>
        <v>1170-Notes Receivable</v>
      </c>
      <c r="B23" s="317">
        <f>'Trial Balance'!L24</f>
        <v>0</v>
      </c>
    </row>
    <row r="24" spans="1:2" ht="15" customHeight="1">
      <c r="A24" s="25" t="str">
        <f>'Trial Balance'!A25&amp;"-"&amp;'Trial Balance'!B25</f>
        <v>1180-Prepayments</v>
      </c>
      <c r="B24" s="317">
        <f>'Trial Balance'!L25</f>
        <v>140730.95999999996</v>
      </c>
    </row>
    <row r="25" spans="1:2" ht="15" customHeight="1">
      <c r="A25" s="25" t="str">
        <f>'Trial Balance'!A26&amp;"-"&amp;'Trial Balance'!B26</f>
        <v>1190-Miscellaneous Current and Accrued Assets</v>
      </c>
      <c r="B25" s="317">
        <f>'Trial Balance'!L26</f>
        <v>0</v>
      </c>
    </row>
    <row r="26" spans="1:2" ht="15" customHeight="1">
      <c r="A26" s="25" t="str">
        <f>'Trial Balance'!A27&amp;"-"&amp;'Trial Balance'!B27</f>
        <v>1200-Accounts Receivable from Associated Companies</v>
      </c>
      <c r="B26" s="317">
        <f>'Trial Balance'!L27</f>
        <v>121214.2</v>
      </c>
    </row>
    <row r="27" spans="1:2" ht="15" customHeight="1" thickBot="1">
      <c r="A27" s="25" t="str">
        <f>'Trial Balance'!A28&amp;"-"&amp;'Trial Balance'!B28</f>
        <v>1210-Notes  Receivable from Associated Companies</v>
      </c>
      <c r="B27" s="317">
        <f>'Trial Balance'!L28</f>
        <v>0</v>
      </c>
    </row>
    <row r="28" spans="1:2" ht="15" customHeight="1" thickBot="1">
      <c r="A28" s="26" t="s">
        <v>150</v>
      </c>
      <c r="B28" s="318">
        <f>SUM(B7:B27)</f>
        <v>10805467.66422125</v>
      </c>
    </row>
    <row r="29" spans="1:2" s="18" customFormat="1" ht="8.25" customHeight="1">
      <c r="A29" s="646"/>
      <c r="B29" s="646"/>
    </row>
    <row r="30" spans="1:2" s="18" customFormat="1" ht="15" customHeight="1">
      <c r="A30" s="645" t="s">
        <v>151</v>
      </c>
      <c r="B30" s="645"/>
    </row>
    <row r="31" spans="1:2" ht="15" customHeight="1">
      <c r="A31" s="25" t="str">
        <f>'Trial Balance'!A30&amp;"-"&amp;'Trial Balance'!B30</f>
        <v>1305-Fuel Stock</v>
      </c>
      <c r="B31" s="317">
        <f>'Trial Balance'!L30</f>
        <v>0</v>
      </c>
    </row>
    <row r="32" spans="1:2" ht="15" customHeight="1">
      <c r="A32" s="25" t="str">
        <f>'Trial Balance'!A31&amp;"-"&amp;'Trial Balance'!B31</f>
        <v>1330-Plant Materials and Operating Supplies</v>
      </c>
      <c r="B32" s="317">
        <f>'Trial Balance'!L31</f>
        <v>558643.7</v>
      </c>
    </row>
    <row r="33" spans="1:2" ht="15" customHeight="1">
      <c r="A33" s="25" t="str">
        <f>'Trial Balance'!A32&amp;"-"&amp;'Trial Balance'!B32</f>
        <v>1340-Merchandise</v>
      </c>
      <c r="B33" s="317">
        <f>'Trial Balance'!L32</f>
        <v>0</v>
      </c>
    </row>
    <row r="34" spans="1:2" ht="15" customHeight="1" thickBot="1">
      <c r="A34" s="25" t="str">
        <f>'Trial Balance'!A33&amp;"-"&amp;'Trial Balance'!B33</f>
        <v>1350-Other Material and Supplies</v>
      </c>
      <c r="B34" s="317">
        <f>'Trial Balance'!L33</f>
        <v>0</v>
      </c>
    </row>
    <row r="35" spans="1:2" ht="15" customHeight="1" thickBot="1">
      <c r="A35" s="27" t="s">
        <v>103</v>
      </c>
      <c r="B35" s="318">
        <f>SUM(B31:B34)</f>
        <v>558643.7</v>
      </c>
    </row>
    <row r="36" spans="1:2" s="18" customFormat="1" ht="15" customHeight="1">
      <c r="A36" s="22"/>
      <c r="B36" s="319"/>
    </row>
    <row r="37" spans="1:2" s="18" customFormat="1" ht="15" customHeight="1">
      <c r="A37" s="645" t="s">
        <v>104</v>
      </c>
      <c r="B37" s="645"/>
    </row>
    <row r="38" spans="1:2" ht="15" customHeight="1">
      <c r="A38" s="25" t="str">
        <f>'Trial Balance'!A35&amp;"-"&amp;'Trial Balance'!B35</f>
        <v>1405-Long Term Investments in Non-Associated Companies</v>
      </c>
      <c r="B38" s="317">
        <f>'Trial Balance'!L35</f>
        <v>0</v>
      </c>
    </row>
    <row r="39" spans="1:2" ht="15" customHeight="1">
      <c r="A39" s="25" t="str">
        <f>'Trial Balance'!A36&amp;"-"&amp;'Trial Balance'!B36</f>
        <v>1408-Long Term Receivable - Street Lighting Transfer</v>
      </c>
      <c r="B39" s="317">
        <f>'Trial Balance'!L36</f>
        <v>0</v>
      </c>
    </row>
    <row r="40" spans="1:2" ht="15" customHeight="1">
      <c r="A40" s="25" t="str">
        <f>'Trial Balance'!A37&amp;"-"&amp;'Trial Balance'!B37</f>
        <v>1410-Other Special or Collateral Funds</v>
      </c>
      <c r="B40" s="317">
        <f>'Trial Balance'!L37</f>
        <v>0</v>
      </c>
    </row>
    <row r="41" spans="1:2" ht="15" customHeight="1">
      <c r="A41" s="25" t="str">
        <f>'Trial Balance'!A38&amp;"-"&amp;'Trial Balance'!B38</f>
        <v>1415-Sinking Funds</v>
      </c>
      <c r="B41" s="317">
        <f>'Trial Balance'!L38</f>
        <v>0</v>
      </c>
    </row>
    <row r="42" spans="1:2" ht="15" customHeight="1">
      <c r="A42" s="25" t="str">
        <f>'Trial Balance'!A39&amp;"-"&amp;'Trial Balance'!B39</f>
        <v>1425-Unamortized Debt Expense</v>
      </c>
      <c r="B42" s="317">
        <f>'Trial Balance'!L39</f>
        <v>0</v>
      </c>
    </row>
    <row r="43" spans="1:2" ht="15" customHeight="1">
      <c r="A43" s="25" t="str">
        <f>'Trial Balance'!A40&amp;"-"&amp;'Trial Balance'!B40</f>
        <v>1445-Unamortized Discount on Long-Term Debt--Debit</v>
      </c>
      <c r="B43" s="317">
        <f>'Trial Balance'!L40</f>
        <v>0</v>
      </c>
    </row>
    <row r="44" spans="1:2" ht="15" customHeight="1">
      <c r="A44" s="25" t="str">
        <f>'Trial Balance'!A41&amp;"-"&amp;'Trial Balance'!B41</f>
        <v>1455-Unamortized Deferred Foreign Currency Translation Gains and Losses</v>
      </c>
      <c r="B44" s="317">
        <f>'Trial Balance'!L41</f>
        <v>0</v>
      </c>
    </row>
    <row r="45" spans="1:2" ht="15" customHeight="1">
      <c r="A45" s="25" t="str">
        <f>'Trial Balance'!A42&amp;"-"&amp;'Trial Balance'!B42</f>
        <v>1460-Other Non-Current Assets</v>
      </c>
      <c r="B45" s="317">
        <f>'Trial Balance'!L42</f>
        <v>0</v>
      </c>
    </row>
    <row r="46" spans="1:2" ht="15" customHeight="1">
      <c r="A46" s="25" t="str">
        <f>'Trial Balance'!A43&amp;"-"&amp;'Trial Balance'!B43</f>
        <v>1465-O.M.E.R.S. Past Service Costs</v>
      </c>
      <c r="B46" s="317">
        <f>'Trial Balance'!L43</f>
        <v>0</v>
      </c>
    </row>
    <row r="47" spans="1:2" ht="15" customHeight="1">
      <c r="A47" s="25" t="str">
        <f>'Trial Balance'!A44&amp;"-"&amp;'Trial Balance'!B44</f>
        <v>1470-Past Service Costs - Employee Future Benefits</v>
      </c>
      <c r="B47" s="317">
        <f>'Trial Balance'!L44</f>
        <v>0</v>
      </c>
    </row>
    <row r="48" spans="1:2" ht="15" customHeight="1">
      <c r="A48" s="25" t="str">
        <f>'Trial Balance'!A45&amp;"-"&amp;'Trial Balance'!B45</f>
        <v>1475-Past Service Costs -Other Pension Plans</v>
      </c>
      <c r="B48" s="317">
        <f>'Trial Balance'!L45</f>
        <v>0</v>
      </c>
    </row>
    <row r="49" spans="1:2" ht="15" customHeight="1">
      <c r="A49" s="25" t="str">
        <f>'Trial Balance'!A46&amp;"-"&amp;'Trial Balance'!B46</f>
        <v>1480-Portfolio Investments - Associated Companies</v>
      </c>
      <c r="B49" s="317">
        <f>'Trial Balance'!L46</f>
        <v>0</v>
      </c>
    </row>
    <row r="50" spans="1:2" ht="15" customHeight="1">
      <c r="A50" s="25" t="str">
        <f>'Trial Balance'!A47&amp;"-"&amp;'Trial Balance'!B47</f>
        <v>1485-Investment In Subsidiary Companies - Significant Influence</v>
      </c>
      <c r="B50" s="317">
        <f>'Trial Balance'!L47</f>
        <v>0</v>
      </c>
    </row>
    <row r="51" spans="1:2" ht="15" customHeight="1" thickBot="1">
      <c r="A51" s="25" t="str">
        <f>'Trial Balance'!A48&amp;"-"&amp;'Trial Balance'!B48</f>
        <v>1490-Investment in Subsidiary Companies</v>
      </c>
      <c r="B51" s="317">
        <f>'Trial Balance'!L48</f>
        <v>0</v>
      </c>
    </row>
    <row r="52" spans="1:2" ht="15" customHeight="1" thickBot="1">
      <c r="A52" s="27" t="s">
        <v>105</v>
      </c>
      <c r="B52" s="318">
        <f>SUM(B38:B51)</f>
        <v>0</v>
      </c>
    </row>
    <row r="53" spans="1:2" s="18" customFormat="1" ht="15" customHeight="1">
      <c r="A53" s="22"/>
      <c r="B53" s="319"/>
    </row>
    <row r="54" spans="1:2" s="18" customFormat="1" ht="15" customHeight="1">
      <c r="A54" s="645" t="s">
        <v>106</v>
      </c>
      <c r="B54" s="645"/>
    </row>
    <row r="55" spans="1:2" ht="15" customHeight="1">
      <c r="A55" s="25" t="str">
        <f>'Trial Balance'!A50&amp;"-"&amp;'Trial Balance'!B50</f>
        <v>1505-Unrecovered Plant and Regulatory Study Costs</v>
      </c>
      <c r="B55" s="317">
        <f>'Trial Balance'!L50</f>
        <v>0</v>
      </c>
    </row>
    <row r="56" spans="1:2" ht="15" customHeight="1">
      <c r="A56" s="25" t="str">
        <f>'Trial Balance'!A51&amp;"-"&amp;'Trial Balance'!B51</f>
        <v>1508-Other Regulatory Assets</v>
      </c>
      <c r="B56" s="317">
        <f>'Trial Balance'!L51</f>
        <v>334658.0280931667</v>
      </c>
    </row>
    <row r="57" spans="1:2" ht="15" customHeight="1">
      <c r="A57" s="25" t="str">
        <f>'Trial Balance'!A52&amp;"-"&amp;'Trial Balance'!B52</f>
        <v>1510-Preliminary Survey and Investigation Charges</v>
      </c>
      <c r="B57" s="317">
        <f>'Trial Balance'!L52</f>
        <v>0</v>
      </c>
    </row>
    <row r="58" spans="1:2" ht="15" customHeight="1">
      <c r="A58" s="25" t="str">
        <f>'Trial Balance'!A53&amp;"-"&amp;'Trial Balance'!B53</f>
        <v>1515-Emission Allowance Inventory</v>
      </c>
      <c r="B58" s="317">
        <f>'Trial Balance'!L53</f>
        <v>0</v>
      </c>
    </row>
    <row r="59" spans="1:2" ht="15" customHeight="1">
      <c r="A59" s="25" t="str">
        <f>'Trial Balance'!A54&amp;"-"&amp;'Trial Balance'!B54</f>
        <v>1516-Emission Allowance Withheld</v>
      </c>
      <c r="B59" s="317">
        <f>'Trial Balance'!L54</f>
        <v>0</v>
      </c>
    </row>
    <row r="60" spans="1:2" ht="15" customHeight="1">
      <c r="A60" s="25" t="str">
        <f>'Trial Balance'!A55&amp;"-"&amp;'Trial Balance'!B55</f>
        <v>1518-RCVA Retail</v>
      </c>
      <c r="B60" s="317">
        <f>'Trial Balance'!L55</f>
        <v>0</v>
      </c>
    </row>
    <row r="61" spans="1:2" ht="15" customHeight="1">
      <c r="A61" s="25" t="str">
        <f>'Trial Balance'!A56&amp;"-"&amp;'Trial Balance'!B56</f>
        <v>1521- Special Purpose Charge Assessment</v>
      </c>
      <c r="B61" s="317">
        <f>'Trial Balance'!L56</f>
        <v>64495.82090396231</v>
      </c>
    </row>
    <row r="62" spans="1:2" ht="15" customHeight="1">
      <c r="A62" s="25" t="str">
        <f>'Trial Balance'!A57&amp;"-"&amp;'Trial Balance'!B57</f>
        <v>1522-  Late Payment  Settlement Recovery?</v>
      </c>
      <c r="B62" s="317">
        <f>'Trial Balance'!L57</f>
        <v>0</v>
      </c>
    </row>
    <row r="63" spans="1:2" ht="15" customHeight="1">
      <c r="A63" s="25" t="str">
        <f>'Trial Balance'!A58&amp;"-"&amp;'Trial Balance'!B58</f>
        <v>1525-Miscellaneous Deferred Debits</v>
      </c>
      <c r="B63" s="317">
        <f>'Trial Balance'!L58</f>
        <v>0</v>
      </c>
    </row>
    <row r="64" spans="1:2" ht="15" customHeight="1">
      <c r="A64" s="25" t="str">
        <f>'Trial Balance'!A59&amp;"-"&amp;'Trial Balance'!B59</f>
        <v>1530-Deferred Losses from Disposition of Utility Plant</v>
      </c>
      <c r="B64" s="317">
        <f>'Trial Balance'!L59</f>
        <v>0</v>
      </c>
    </row>
    <row r="65" spans="1:2" ht="15" customHeight="1">
      <c r="A65" s="25" t="str">
        <f>'Trial Balance'!A60&amp;"-"&amp;'Trial Balance'!B60</f>
        <v>1531-Renewable Connection Capital </v>
      </c>
      <c r="B65" s="317">
        <f>'Trial Balance'!L60</f>
        <v>0</v>
      </c>
    </row>
    <row r="66" spans="1:2" ht="15" customHeight="1">
      <c r="A66" s="25" t="str">
        <f>'Trial Balance'!A61&amp;"-"&amp;'Trial Balance'!B61</f>
        <v>1532-Renewable Connection OM&amp;A</v>
      </c>
      <c r="B66" s="317">
        <f>'Trial Balance'!L61</f>
        <v>15467.86</v>
      </c>
    </row>
    <row r="67" spans="1:2" ht="15" customHeight="1">
      <c r="A67" s="25" t="str">
        <f>'Trial Balance'!A62&amp;"-"&amp;'Trial Balance'!B62</f>
        <v>1534-Smart Grid Capital</v>
      </c>
      <c r="B67" s="317">
        <f>'Trial Balance'!L62</f>
        <v>0</v>
      </c>
    </row>
    <row r="68" spans="1:2" ht="15" customHeight="1">
      <c r="A68" s="25" t="str">
        <f>'Trial Balance'!A63&amp;"-"&amp;'Trial Balance'!B63</f>
        <v>1535-Smart Grid OM&amp;A</v>
      </c>
      <c r="B68" s="317">
        <f>'Trial Balance'!L63</f>
        <v>38997.62</v>
      </c>
    </row>
    <row r="69" spans="1:2" ht="15" customHeight="1">
      <c r="A69" s="25" t="str">
        <f>'Trial Balance'!A64&amp;"-"&amp;'Trial Balance'!B64</f>
        <v>1540-Deferred Losses from Disposition of Utility Plant</v>
      </c>
      <c r="B69" s="317">
        <f>'Trial Balance'!L64</f>
        <v>0</v>
      </c>
    </row>
    <row r="70" spans="1:2" ht="15" customHeight="1">
      <c r="A70" s="25" t="str">
        <f>'Trial Balance'!A65&amp;"-"&amp;'Trial Balance'!B65</f>
        <v>1545-Development Charge Deposits/ Receivables</v>
      </c>
      <c r="B70" s="317">
        <f>'Trial Balance'!L65</f>
        <v>0</v>
      </c>
    </row>
    <row r="71" spans="1:2" ht="15" customHeight="1">
      <c r="A71" s="25" t="str">
        <f>'Trial Balance'!A66&amp;"-"&amp;'Trial Balance'!B66</f>
        <v>1548-RCVA - Service Transaction Request (STR)</v>
      </c>
      <c r="B71" s="317">
        <f>'Trial Balance'!L66</f>
        <v>0</v>
      </c>
    </row>
    <row r="72" spans="1:2" ht="15" customHeight="1">
      <c r="A72" s="25" t="str">
        <f>'Trial Balance'!A67&amp;"-"&amp;'Trial Balance'!B67</f>
        <v>1550-LV Charges - Variance</v>
      </c>
      <c r="B72" s="317">
        <f>'Trial Balance'!L67</f>
        <v>0</v>
      </c>
    </row>
    <row r="73" spans="1:2" ht="15" customHeight="1">
      <c r="A73" s="25" t="str">
        <f>'Trial Balance'!A68&amp;"-"&amp;'Trial Balance'!B68</f>
        <v>1555-Smart Meters Recovery</v>
      </c>
      <c r="B73" s="317">
        <f>'Trial Balance'!L68</f>
        <v>1651915.0499999998</v>
      </c>
    </row>
    <row r="74" spans="1:2" ht="15" customHeight="1">
      <c r="A74" s="25" t="str">
        <f>'Trial Balance'!A69&amp;"-"&amp;'Trial Balance'!B69</f>
        <v>1556-Smart Meters OM &amp; A</v>
      </c>
      <c r="B74" s="317">
        <f>'Trial Balance'!L69</f>
        <v>292123.36</v>
      </c>
    </row>
    <row r="75" spans="1:2" ht="15" customHeight="1">
      <c r="A75" s="25" t="str">
        <f>'Trial Balance'!A70&amp;"-"&amp;'Trial Balance'!B70</f>
        <v>1562-Deferred PILs</v>
      </c>
      <c r="B75" s="317">
        <f>'Trial Balance'!L70</f>
        <v>307297.56</v>
      </c>
    </row>
    <row r="76" spans="1:2" ht="15" customHeight="1">
      <c r="A76" s="25" t="str">
        <f>'Trial Balance'!A71&amp;"-"&amp;'Trial Balance'!B71</f>
        <v>1563-Deferred PILs - Contra</v>
      </c>
      <c r="B76" s="317">
        <f>'Trial Balance'!L71</f>
        <v>0</v>
      </c>
    </row>
    <row r="77" spans="1:2" ht="15" customHeight="1">
      <c r="A77" s="25" t="str">
        <f>'Trial Balance'!A72&amp;"-"&amp;'Trial Balance'!B72</f>
        <v>1565-C &amp; DM Costs</v>
      </c>
      <c r="B77" s="317">
        <f>'Trial Balance'!L72</f>
        <v>0</v>
      </c>
    </row>
    <row r="78" spans="1:2" ht="15" customHeight="1">
      <c r="A78" s="25" t="str">
        <f>'Trial Balance'!A73&amp;"-"&amp;'Trial Balance'!B73</f>
        <v>1566-C &amp; DM Costs Contra</v>
      </c>
      <c r="B78" s="317">
        <f>'Trial Balance'!L73</f>
        <v>0</v>
      </c>
    </row>
    <row r="79" spans="1:2" ht="15" customHeight="1">
      <c r="A79" s="25" t="str">
        <f>'Trial Balance'!A74&amp;"-"&amp;'Trial Balance'!B74</f>
        <v>1570-Qualifying Transition Costs</v>
      </c>
      <c r="B79" s="317">
        <f>'Trial Balance'!L74</f>
        <v>0</v>
      </c>
    </row>
    <row r="80" spans="1:2" ht="15" customHeight="1">
      <c r="A80" s="25" t="str">
        <f>'Trial Balance'!A75&amp;"-"&amp;'Trial Balance'!B75</f>
        <v>1571-Pre Market CofP Variance</v>
      </c>
      <c r="B80" s="317">
        <f>'Trial Balance'!L75</f>
        <v>0</v>
      </c>
    </row>
    <row r="81" spans="1:2" ht="15" customHeight="1">
      <c r="A81" s="25" t="str">
        <f>'Trial Balance'!A76&amp;"-"&amp;'Trial Balance'!B76</f>
        <v>1572-Extraordinary Event Losses</v>
      </c>
      <c r="B81" s="317">
        <f>'Trial Balance'!L76</f>
        <v>0</v>
      </c>
    </row>
    <row r="82" spans="1:2" ht="15" customHeight="1">
      <c r="A82" s="25" t="str">
        <f>'Trial Balance'!A77&amp;"-"&amp;'Trial Balance'!B77</f>
        <v>1574-Deferred Rate Impact Amounts</v>
      </c>
      <c r="B82" s="317">
        <f>'Trial Balance'!L78</f>
        <v>-1278650.27</v>
      </c>
    </row>
    <row r="83" spans="1:2" ht="15" customHeight="1">
      <c r="A83" s="25" t="str">
        <f>'Trial Balance'!A78&amp;"-"&amp;'Trial Balance'!B78</f>
        <v>1580-RSVA - Wholesale Market Services</v>
      </c>
      <c r="B83" s="317">
        <f>'Trial Balance'!L79</f>
        <v>142020.93</v>
      </c>
    </row>
    <row r="84" spans="1:2" ht="15" customHeight="1">
      <c r="A84" s="25" t="str">
        <f>'Trial Balance'!A79&amp;"-"&amp;'Trial Balance'!B79</f>
        <v>1582-RSVA - One-Time</v>
      </c>
      <c r="B84" s="317">
        <f>'Trial Balance'!L80</f>
        <v>-390427.48000000004</v>
      </c>
    </row>
    <row r="85" spans="1:2" ht="15" customHeight="1">
      <c r="A85" s="25" t="str">
        <f>'Trial Balance'!A80&amp;"-"&amp;'Trial Balance'!B80</f>
        <v>1584-RSVA - Network Charges</v>
      </c>
      <c r="B85" s="317">
        <f>'Trial Balance'!L81</f>
        <v>-42537.819999999956</v>
      </c>
    </row>
    <row r="86" spans="1:2" ht="15" customHeight="1">
      <c r="A86" s="25" t="str">
        <f>'Trial Balance'!A81&amp;"-"&amp;'Trial Balance'!B81</f>
        <v>1586-RSVA - Connection Charges</v>
      </c>
      <c r="B86" s="317">
        <f>'Trial Balance'!L82</f>
        <v>-556402.1899999994</v>
      </c>
    </row>
    <row r="87" spans="1:2" ht="15" customHeight="1">
      <c r="A87" s="25" t="str">
        <f>'Trial Balance'!A82&amp;"-"&amp;'Trial Balance'!B82</f>
        <v>1588-RSVA - Commodity (Power)</v>
      </c>
      <c r="B87" s="317">
        <f>'Trial Balance'!L83</f>
        <v>34542.630000000005</v>
      </c>
    </row>
    <row r="88" spans="1:2" ht="15" customHeight="1">
      <c r="A88" s="25" t="str">
        <f>'Trial Balance'!A83&amp;"-"&amp;'Trial Balance'!B83</f>
        <v>1590-Recovery of Regulatory Assets (25% of 2002 bal.)</v>
      </c>
      <c r="B88" s="317">
        <f>'Trial Balance'!L84</f>
        <v>0</v>
      </c>
    </row>
    <row r="89" spans="1:2" ht="15" customHeight="1">
      <c r="A89" s="25" t="str">
        <f>'Trial Balance'!A84&amp;"-"&amp;'Trial Balance'!B84</f>
        <v>1592-PILs and Tax Variance for 2006 &amp; Subsequent Years</v>
      </c>
      <c r="B89" s="317">
        <f>'Trial Balance'!L85</f>
        <v>0</v>
      </c>
    </row>
    <row r="90" spans="1:2" ht="15" customHeight="1" thickBot="1">
      <c r="A90" s="25" t="str">
        <f>'Trial Balance'!A85&amp;"-"&amp;'Trial Balance'!B85</f>
        <v>1595-Disposition and Recovery of Regulatory Balances</v>
      </c>
      <c r="B90" s="317">
        <f>'Trial Balance'!L86</f>
        <v>0</v>
      </c>
    </row>
    <row r="91" spans="1:2" ht="15" customHeight="1" thickBot="1">
      <c r="A91" s="27" t="s">
        <v>155</v>
      </c>
      <c r="B91" s="318">
        <f>SUM(B55:B90)</f>
        <v>613501.0989971294</v>
      </c>
    </row>
    <row r="92" spans="1:2" s="18" customFormat="1" ht="15" customHeight="1">
      <c r="A92" s="22"/>
      <c r="B92" s="319"/>
    </row>
    <row r="93" spans="1:2" s="18" customFormat="1" ht="15" customHeight="1">
      <c r="A93" s="645" t="s">
        <v>156</v>
      </c>
      <c r="B93" s="645"/>
    </row>
    <row r="94" spans="1:2" ht="15" customHeight="1">
      <c r="A94" s="25" t="str">
        <f>'Trial Balance'!A87&amp;"-"&amp;'Trial Balance'!B87</f>
        <v>1805-Land</v>
      </c>
      <c r="B94" s="317">
        <f>'Trial Balance'!L87</f>
        <v>21835.64</v>
      </c>
    </row>
    <row r="95" spans="1:2" ht="15" customHeight="1">
      <c r="A95" s="25" t="str">
        <f>'Trial Balance'!A88&amp;"-"&amp;'Trial Balance'!B88</f>
        <v>1806-Land Rights</v>
      </c>
      <c r="B95" s="317">
        <f>'Trial Balance'!L88</f>
        <v>0</v>
      </c>
    </row>
    <row r="96" spans="1:2" ht="15" customHeight="1">
      <c r="A96" s="25" t="str">
        <f>'Trial Balance'!A89&amp;"-"&amp;'Trial Balance'!B89</f>
        <v>1808-Buildings and Fixtures</v>
      </c>
      <c r="B96" s="317">
        <f>'Trial Balance'!L89</f>
        <v>190773.89</v>
      </c>
    </row>
    <row r="97" spans="1:2" ht="15" customHeight="1">
      <c r="A97" s="25" t="str">
        <f>'Trial Balance'!A90&amp;"-"&amp;'Trial Balance'!B90</f>
        <v>1810-Leasehold Improvements</v>
      </c>
      <c r="B97" s="317">
        <f>'Trial Balance'!L90</f>
        <v>0</v>
      </c>
    </row>
    <row r="98" spans="1:2" ht="15" customHeight="1">
      <c r="A98" s="25" t="str">
        <f>'Trial Balance'!A91&amp;"-"&amp;'Trial Balance'!B91</f>
        <v>1815-Transformer Station Equipment - Normally Primary above 50 kV</v>
      </c>
      <c r="B98" s="317">
        <f>'Trial Balance'!L91</f>
        <v>0</v>
      </c>
    </row>
    <row r="99" spans="1:2" ht="15" customHeight="1">
      <c r="A99" s="25" t="str">
        <f>'Trial Balance'!A92&amp;"-"&amp;'Trial Balance'!B92</f>
        <v>1820-Distribution Station Equipment - Normally Primary below 50 kV</v>
      </c>
      <c r="B99" s="317">
        <f>'Trial Balance'!L92</f>
        <v>647560.04</v>
      </c>
    </row>
    <row r="100" spans="1:2" ht="15" customHeight="1">
      <c r="A100" s="25" t="str">
        <f>'Trial Balance'!A93&amp;"-"&amp;'Trial Balance'!B93</f>
        <v>1825-Storage Battery Equipment</v>
      </c>
      <c r="B100" s="317">
        <f>'Trial Balance'!L93</f>
        <v>0</v>
      </c>
    </row>
    <row r="101" spans="1:2" ht="15" customHeight="1">
      <c r="A101" s="25" t="str">
        <f>'Trial Balance'!A94&amp;"-"&amp;'Trial Balance'!B94</f>
        <v>1830-Poles, Towers and Fixtures</v>
      </c>
      <c r="B101" s="317">
        <f>'Trial Balance'!L94</f>
        <v>8098921.959212702</v>
      </c>
    </row>
    <row r="102" spans="1:2" ht="15" customHeight="1">
      <c r="A102" s="25" t="str">
        <f>'Trial Balance'!A95&amp;"-"&amp;'Trial Balance'!B95</f>
        <v>1835-Overhead Conductors and Devices</v>
      </c>
      <c r="B102" s="317">
        <f>'Trial Balance'!L95</f>
        <v>3778125.512283604</v>
      </c>
    </row>
    <row r="103" spans="1:2" ht="15" customHeight="1">
      <c r="A103" s="25" t="str">
        <f>'Trial Balance'!A96&amp;"-"&amp;'Trial Balance'!B96</f>
        <v>1840-Underground Conduit</v>
      </c>
      <c r="B103" s="317">
        <f>'Trial Balance'!L96</f>
        <v>4125340.8163810936</v>
      </c>
    </row>
    <row r="104" spans="1:2" ht="15" customHeight="1">
      <c r="A104" s="25" t="str">
        <f>'Trial Balance'!A97&amp;"-"&amp;'Trial Balance'!B97</f>
        <v>1845-Underground Conductors and Devices</v>
      </c>
      <c r="B104" s="317">
        <f>'Trial Balance'!L97</f>
        <v>5019500.822048744</v>
      </c>
    </row>
    <row r="105" spans="1:2" ht="15" customHeight="1">
      <c r="A105" s="25" t="str">
        <f>'Trial Balance'!A98&amp;"-"&amp;'Trial Balance'!B98</f>
        <v>1850-Line Transformers</v>
      </c>
      <c r="B105" s="317">
        <f>'Trial Balance'!L98</f>
        <v>7351088.084254061</v>
      </c>
    </row>
    <row r="106" spans="1:2" ht="15" customHeight="1">
      <c r="A106" s="25" t="str">
        <f>'Trial Balance'!A99&amp;"-"&amp;'Trial Balance'!B99</f>
        <v>1855-Services</v>
      </c>
      <c r="B106" s="317">
        <f>'Trial Balance'!L99</f>
        <v>2616950.914889217</v>
      </c>
    </row>
    <row r="107" spans="1:2" ht="15" customHeight="1">
      <c r="A107" s="25" t="str">
        <f>'Trial Balance'!A100&amp;"-"&amp;'Trial Balance'!B100</f>
        <v>1860-Meters</v>
      </c>
      <c r="B107" s="317">
        <f>'Trial Balance'!L100</f>
        <v>4422227.16</v>
      </c>
    </row>
    <row r="108" spans="1:2" ht="15" customHeight="1" thickBot="1">
      <c r="A108" s="25" t="str">
        <f>'Trial Balance'!A101&amp;"-"&amp;'Trial Balance'!B101</f>
        <v>1865-Other Installations on Customer's Premises</v>
      </c>
      <c r="B108" s="317">
        <f>'Trial Balance'!L101</f>
        <v>0</v>
      </c>
    </row>
    <row r="109" spans="1:2" ht="15" customHeight="1" thickBot="1">
      <c r="A109" s="28" t="s">
        <v>80</v>
      </c>
      <c r="B109" s="318">
        <f>SUM(B94:B108)</f>
        <v>36272324.83906942</v>
      </c>
    </row>
    <row r="110" spans="1:2" s="18" customFormat="1" ht="15" customHeight="1">
      <c r="A110" s="21"/>
      <c r="B110" s="319"/>
    </row>
    <row r="111" spans="1:2" s="18" customFormat="1" ht="15" customHeight="1">
      <c r="A111" s="645" t="s">
        <v>81</v>
      </c>
      <c r="B111" s="645"/>
    </row>
    <row r="112" spans="1:2" ht="15" customHeight="1">
      <c r="A112" s="25" t="str">
        <f>'Trial Balance'!A102&amp;"-"&amp;'Trial Balance'!B102</f>
        <v>1905-Land</v>
      </c>
      <c r="B112" s="317">
        <f>'Trial Balance'!L102</f>
        <v>17529.54</v>
      </c>
    </row>
    <row r="113" spans="1:2" ht="15" customHeight="1">
      <c r="A113" s="25" t="str">
        <f>'Trial Balance'!A103&amp;"-"&amp;'Trial Balance'!B103</f>
        <v>1906-Land Rights</v>
      </c>
      <c r="B113" s="317">
        <f>'Trial Balance'!L103</f>
        <v>0</v>
      </c>
    </row>
    <row r="114" spans="1:2" ht="15" customHeight="1">
      <c r="A114" s="25" t="str">
        <f>'Trial Balance'!A104&amp;"-"&amp;'Trial Balance'!B104</f>
        <v>1908-Buildings and Fixtures</v>
      </c>
      <c r="B114" s="317">
        <f>'Trial Balance'!L104</f>
        <v>983723.1</v>
      </c>
    </row>
    <row r="115" spans="1:2" ht="15" customHeight="1">
      <c r="A115" s="25" t="str">
        <f>'Trial Balance'!A105&amp;"-"&amp;'Trial Balance'!B105</f>
        <v>1910-Leasehold Improvements</v>
      </c>
      <c r="B115" s="317">
        <f>'Trial Balance'!L105</f>
        <v>0</v>
      </c>
    </row>
    <row r="116" spans="1:2" ht="15" customHeight="1">
      <c r="A116" s="25" t="str">
        <f>'Trial Balance'!A106&amp;"-"&amp;'Trial Balance'!B106</f>
        <v>1915-Office Furniture and Equipment</v>
      </c>
      <c r="B116" s="317">
        <f>'Trial Balance'!L106</f>
        <v>240941.27000000002</v>
      </c>
    </row>
    <row r="117" spans="1:2" ht="15" customHeight="1">
      <c r="A117" s="25" t="str">
        <f>'Trial Balance'!A107&amp;"-"&amp;'Trial Balance'!B107</f>
        <v>1920-Computer Equipment - Hardware</v>
      </c>
      <c r="B117" s="317">
        <f>'Trial Balance'!L107</f>
        <v>1149475.29</v>
      </c>
    </row>
    <row r="118" spans="1:2" ht="15" customHeight="1">
      <c r="A118" s="25" t="str">
        <f>'Trial Balance'!A108&amp;"-"&amp;'Trial Balance'!B108</f>
        <v>1925-Computer Software</v>
      </c>
      <c r="B118" s="317">
        <f>'Trial Balance'!L108</f>
        <v>1294867.6400000001</v>
      </c>
    </row>
    <row r="119" spans="1:2" ht="15" customHeight="1">
      <c r="A119" s="25" t="str">
        <f>'Trial Balance'!A109&amp;"-"&amp;'Trial Balance'!B109</f>
        <v>1930-Transportation Equipment</v>
      </c>
      <c r="B119" s="317">
        <f>'Trial Balance'!L109</f>
        <v>1355849.3599999999</v>
      </c>
    </row>
    <row r="120" spans="1:2" ht="15" customHeight="1">
      <c r="A120" s="25" t="str">
        <f>'Trial Balance'!A110&amp;"-"&amp;'Trial Balance'!B110</f>
        <v>1935-Stores Equipment</v>
      </c>
      <c r="B120" s="317">
        <f>'Trial Balance'!L110</f>
        <v>76838.82999999999</v>
      </c>
    </row>
    <row r="121" spans="1:2" ht="15" customHeight="1">
      <c r="A121" s="25" t="str">
        <f>'Trial Balance'!A111&amp;"-"&amp;'Trial Balance'!B111</f>
        <v>1940-Tools, Shop and Garage Equipment</v>
      </c>
      <c r="B121" s="317">
        <f>'Trial Balance'!L111</f>
        <v>270235.57000000007</v>
      </c>
    </row>
    <row r="122" spans="1:2" ht="15" customHeight="1">
      <c r="A122" s="25" t="str">
        <f>'Trial Balance'!A112&amp;"-"&amp;'Trial Balance'!B112</f>
        <v>1945-Measurement and Testing Equipment</v>
      </c>
      <c r="B122" s="317">
        <f>'Trial Balance'!L112</f>
        <v>121963.01</v>
      </c>
    </row>
    <row r="123" spans="1:2" ht="15" customHeight="1">
      <c r="A123" s="25" t="str">
        <f>'Trial Balance'!A113&amp;"-"&amp;'Trial Balance'!B113</f>
        <v>1950-Power Operated Equipment</v>
      </c>
      <c r="B123" s="317">
        <f>'Trial Balance'!L113</f>
        <v>0</v>
      </c>
    </row>
    <row r="124" spans="1:2" ht="15" customHeight="1">
      <c r="A124" s="25" t="str">
        <f>'Trial Balance'!A114&amp;"-"&amp;'Trial Balance'!B114</f>
        <v>1955-Communication Equipment</v>
      </c>
      <c r="B124" s="317">
        <f>'Trial Balance'!L114</f>
        <v>29759.15</v>
      </c>
    </row>
    <row r="125" spans="1:2" ht="15" customHeight="1">
      <c r="A125" s="25" t="str">
        <f>'Trial Balance'!A115&amp;"-"&amp;'Trial Balance'!B115</f>
        <v>1960-Miscellaneous Equipment</v>
      </c>
      <c r="B125" s="317">
        <f>'Trial Balance'!L115</f>
        <v>1905.09</v>
      </c>
    </row>
    <row r="126" spans="1:2" ht="15" customHeight="1">
      <c r="A126" s="25" t="str">
        <f>'Trial Balance'!A116&amp;"-"&amp;'Trial Balance'!B116</f>
        <v>1970-Load Management Controls - Customer Premises </v>
      </c>
      <c r="B126" s="317">
        <f>'Trial Balance'!L116</f>
        <v>0</v>
      </c>
    </row>
    <row r="127" spans="1:2" ht="15" customHeight="1">
      <c r="A127" s="25" t="str">
        <f>'Trial Balance'!A117&amp;"-"&amp;'Trial Balance'!B117</f>
        <v>1975-Load Management Controls - Utility Premises</v>
      </c>
      <c r="B127" s="317">
        <f>'Trial Balance'!L117</f>
        <v>0</v>
      </c>
    </row>
    <row r="128" spans="1:2" ht="15" customHeight="1">
      <c r="A128" s="25" t="str">
        <f>'Trial Balance'!A118&amp;"-"&amp;'Trial Balance'!B118</f>
        <v>1980-System Supervisory Equipment</v>
      </c>
      <c r="B128" s="317">
        <f>'Trial Balance'!L118</f>
        <v>336972.6</v>
      </c>
    </row>
    <row r="129" spans="1:2" ht="15" customHeight="1">
      <c r="A129" s="25" t="str">
        <f>'Trial Balance'!A119&amp;"-"&amp;'Trial Balance'!B119</f>
        <v>1985-Sentinel Lighting Rentals</v>
      </c>
      <c r="B129" s="317">
        <f>'Trial Balance'!L119</f>
        <v>0</v>
      </c>
    </row>
    <row r="130" spans="1:2" ht="15" customHeight="1">
      <c r="A130" s="25" t="str">
        <f>'Trial Balance'!A120&amp;"-"&amp;'Trial Balance'!B120</f>
        <v>1990-Other Tangible Property</v>
      </c>
      <c r="B130" s="317">
        <f>'Trial Balance'!L120</f>
        <v>0</v>
      </c>
    </row>
    <row r="131" spans="1:2" s="372" customFormat="1" ht="15" customHeight="1">
      <c r="A131" s="25" t="str">
        <f>'Trial Balance'!A121&amp;"-"&amp;'Trial Balance'!B121</f>
        <v>1995-Contributions and Grants</v>
      </c>
      <c r="B131" s="317">
        <f>'Trial Balance'!L121</f>
        <v>-3848275.591196455</v>
      </c>
    </row>
    <row r="132" spans="1:2" ht="15" customHeight="1" thickBot="1">
      <c r="A132" s="25" t="str">
        <f>'Trial Balance'!A122&amp;"-"&amp;'Trial Balance'!B122</f>
        <v>1996-Contributions - Commerce Way TS</v>
      </c>
      <c r="B132" s="317">
        <f>'Trial Balance'!L122</f>
        <v>2500000</v>
      </c>
    </row>
    <row r="133" spans="1:2" ht="15" customHeight="1" thickBot="1">
      <c r="A133" s="28" t="s">
        <v>145</v>
      </c>
      <c r="B133" s="318">
        <f>SUM(B112:B132)</f>
        <v>4531784.858803545</v>
      </c>
    </row>
    <row r="134" spans="1:2" s="18" customFormat="1" ht="15" customHeight="1">
      <c r="A134" s="21"/>
      <c r="B134" s="319"/>
    </row>
    <row r="135" spans="1:2" s="18" customFormat="1" ht="15" customHeight="1">
      <c r="A135" s="645" t="s">
        <v>146</v>
      </c>
      <c r="B135" s="645"/>
    </row>
    <row r="136" spans="1:2" ht="15" customHeight="1">
      <c r="A136" s="25" t="str">
        <f>'Trial Balance'!A124&amp;"-"&amp;'Trial Balance'!B124</f>
        <v>2005-Property Under Capital Leases</v>
      </c>
      <c r="B136" s="317">
        <f>'Trial Balance'!L124</f>
        <v>0</v>
      </c>
    </row>
    <row r="137" spans="1:2" ht="15" customHeight="1">
      <c r="A137" s="25" t="str">
        <f>'Trial Balance'!A125&amp;"-"&amp;'Trial Balance'!B125</f>
        <v>2010-Electric Plant Purchased or Sold</v>
      </c>
      <c r="B137" s="317">
        <f>'Trial Balance'!L125</f>
        <v>0</v>
      </c>
    </row>
    <row r="138" spans="1:2" ht="15" customHeight="1">
      <c r="A138" s="25" t="str">
        <f>'Trial Balance'!A126&amp;"-"&amp;'Trial Balance'!B126</f>
        <v>2020-Experimental Electric Plant Unclassified</v>
      </c>
      <c r="B138" s="317">
        <f>'Trial Balance'!L126</f>
        <v>0</v>
      </c>
    </row>
    <row r="139" spans="1:2" ht="15" customHeight="1">
      <c r="A139" s="25" t="str">
        <f>'Trial Balance'!A127&amp;"-"&amp;'Trial Balance'!B127</f>
        <v>2030-Electric Plant and Equipment Leased to Others</v>
      </c>
      <c r="B139" s="317">
        <f>'Trial Balance'!L127</f>
        <v>0</v>
      </c>
    </row>
    <row r="140" spans="1:2" ht="15" customHeight="1">
      <c r="A140" s="25" t="str">
        <f>'Trial Balance'!A128&amp;"-"&amp;'Trial Balance'!B128</f>
        <v>2040-Electric Plant Held for Future Use</v>
      </c>
      <c r="B140" s="317">
        <f>'Trial Balance'!L128</f>
        <v>0</v>
      </c>
    </row>
    <row r="141" spans="1:2" ht="15" customHeight="1">
      <c r="A141" s="25" t="str">
        <f>'Trial Balance'!A129&amp;"-"&amp;'Trial Balance'!B129</f>
        <v>2050-Completed Construction Not Classified--Electric</v>
      </c>
      <c r="B141" s="317">
        <f>'Trial Balance'!L129</f>
        <v>0</v>
      </c>
    </row>
    <row r="142" spans="1:2" ht="15" customHeight="1">
      <c r="A142" s="25" t="str">
        <f>'Trial Balance'!A130&amp;"-"&amp;'Trial Balance'!B130</f>
        <v>2055-Construction Work in Progress--Electric</v>
      </c>
      <c r="B142" s="317">
        <f>'Trial Balance'!L130</f>
        <v>0.07000000000698492</v>
      </c>
    </row>
    <row r="143" spans="1:2" ht="15" customHeight="1">
      <c r="A143" s="25" t="str">
        <f>'Trial Balance'!A131&amp;"-"&amp;'Trial Balance'!B131</f>
        <v>2060-Electric Plant Acquisition Adjustment</v>
      </c>
      <c r="B143" s="317">
        <f>'Trial Balance'!L131</f>
        <v>0</v>
      </c>
    </row>
    <row r="144" spans="1:2" ht="15" customHeight="1">
      <c r="A144" s="25" t="str">
        <f>'Trial Balance'!A132&amp;"-"&amp;'Trial Balance'!B132</f>
        <v>2065-Other Electric Plant Adjustment</v>
      </c>
      <c r="B144" s="317">
        <f>'Trial Balance'!L132</f>
        <v>0</v>
      </c>
    </row>
    <row r="145" spans="1:2" ht="15" customHeight="1">
      <c r="A145" s="25" t="str">
        <f>'Trial Balance'!A133&amp;"-"&amp;'Trial Balance'!B133</f>
        <v>2070-Other Utility Plant</v>
      </c>
      <c r="B145" s="317">
        <f>'Trial Balance'!L133</f>
        <v>0</v>
      </c>
    </row>
    <row r="146" spans="1:2" ht="15" customHeight="1" thickBot="1">
      <c r="A146" s="25" t="str">
        <f>'Trial Balance'!A134&amp;"-"&amp;'Trial Balance'!B134</f>
        <v>2075-Non-Utility Property Owned or Under Capital Lease</v>
      </c>
      <c r="B146" s="317">
        <f>'Trial Balance'!L134</f>
        <v>0</v>
      </c>
    </row>
    <row r="147" spans="1:2" ht="15" customHeight="1" thickBot="1">
      <c r="A147" s="28" t="s">
        <v>147</v>
      </c>
      <c r="B147" s="318">
        <f>SUM(B136:B146)</f>
        <v>0.07000000000698492</v>
      </c>
    </row>
    <row r="148" spans="1:2" s="18" customFormat="1" ht="15" customHeight="1">
      <c r="A148" s="21"/>
      <c r="B148" s="319"/>
    </row>
    <row r="149" spans="1:2" s="18" customFormat="1" ht="15" customHeight="1">
      <c r="A149" s="645" t="s">
        <v>148</v>
      </c>
      <c r="B149" s="645"/>
    </row>
    <row r="150" spans="1:2" ht="15" customHeight="1">
      <c r="A150" s="25" t="str">
        <f>'Trial Balance'!A136&amp;"-"&amp;'Trial Balance'!B136</f>
        <v>2105-Accumulated Amortization of Electric Utility Plant - Property, Plant and Equipment</v>
      </c>
      <c r="B150" s="317">
        <f>'Trial Balance'!L136</f>
        <v>-17169244.985076074</v>
      </c>
    </row>
    <row r="151" spans="1:2" ht="15" customHeight="1">
      <c r="A151" s="25" t="str">
        <f>'Trial Balance'!A137&amp;"-"&amp;'Trial Balance'!B137</f>
        <v>2120-Accumulated Amortization of Electric Utility Plant - Intangibles</v>
      </c>
      <c r="B151" s="317">
        <f>'Trial Balance'!L137</f>
        <v>0</v>
      </c>
    </row>
    <row r="152" spans="1:2" ht="15" customHeight="1">
      <c r="A152" s="25" t="str">
        <f>'Trial Balance'!A138&amp;"-"&amp;'Trial Balance'!B138</f>
        <v>2140-Accumulated Amortization of Electric Plant Acquisition Adjustment</v>
      </c>
      <c r="B152" s="317">
        <f>'Trial Balance'!L138</f>
        <v>0</v>
      </c>
    </row>
    <row r="153" spans="1:2" ht="15" customHeight="1">
      <c r="A153" s="25" t="str">
        <f>'Trial Balance'!A139&amp;"-"&amp;'Trial Balance'!B139</f>
        <v>2160-Accumulated Amortization of Other Utility Plant</v>
      </c>
      <c r="B153" s="317">
        <f>'Trial Balance'!L139</f>
        <v>0</v>
      </c>
    </row>
    <row r="154" spans="1:2" ht="15" customHeight="1" thickBot="1">
      <c r="A154" s="25" t="str">
        <f>'Trial Balance'!A140&amp;"-"&amp;'Trial Balance'!B140</f>
        <v>2180-Accumulated Amortization of Non-Utility Property</v>
      </c>
      <c r="B154" s="317">
        <f>'Trial Balance'!L140</f>
        <v>0</v>
      </c>
    </row>
    <row r="155" spans="1:2" ht="15" customHeight="1" thickBot="1">
      <c r="A155" s="199" t="s">
        <v>152</v>
      </c>
      <c r="B155" s="320">
        <f>SUM(B150:B154)</f>
        <v>-17169244.985076074</v>
      </c>
    </row>
    <row r="156" spans="1:2" ht="15" customHeight="1" thickBot="1">
      <c r="A156" s="196"/>
      <c r="B156" s="319"/>
    </row>
    <row r="157" spans="1:2" ht="15" customHeight="1" thickBot="1">
      <c r="A157" s="197" t="s">
        <v>265</v>
      </c>
      <c r="B157" s="321">
        <f>B28+B35+B52+B91+B109+B133+B147+B155</f>
        <v>35612477.246015266</v>
      </c>
    </row>
    <row r="158" spans="1:2" s="18" customFormat="1" ht="15" customHeight="1">
      <c r="A158" s="22"/>
      <c r="B158" s="319"/>
    </row>
    <row r="159" spans="1:2" s="18" customFormat="1" ht="15" customHeight="1">
      <c r="A159" s="645" t="s">
        <v>153</v>
      </c>
      <c r="B159" s="645"/>
    </row>
    <row r="160" spans="1:2" ht="15" customHeight="1">
      <c r="A160" s="25" t="str">
        <f>'Trial Balance'!A142&amp;"-"&amp;'Trial Balance'!B142</f>
        <v>2205-Accounts Payable</v>
      </c>
      <c r="B160" s="317">
        <f>-'Trial Balance'!L142</f>
        <v>1761549.5599999991</v>
      </c>
    </row>
    <row r="161" spans="1:2" ht="15" customHeight="1">
      <c r="A161" s="25" t="str">
        <f>'Trial Balance'!A143&amp;"-"&amp;'Trial Balance'!B143</f>
        <v>2208-Customer Credit Balances</v>
      </c>
      <c r="B161" s="317">
        <f>-'Trial Balance'!L143</f>
        <v>0</v>
      </c>
    </row>
    <row r="162" spans="1:2" ht="15" customHeight="1">
      <c r="A162" s="25" t="str">
        <f>'Trial Balance'!A144&amp;"-"&amp;'Trial Balance'!B144</f>
        <v>2210-Current Portion of Customer Deposits </v>
      </c>
      <c r="B162" s="317">
        <f>-'Trial Balance'!L144</f>
        <v>316459.2800000001</v>
      </c>
    </row>
    <row r="163" spans="1:2" ht="15" customHeight="1">
      <c r="A163" s="25" t="str">
        <f>'Trial Balance'!A145&amp;"-"&amp;'Trial Balance'!B145</f>
        <v>2215-Dividends Declared</v>
      </c>
      <c r="B163" s="317">
        <f>-'Trial Balance'!L145</f>
        <v>0</v>
      </c>
    </row>
    <row r="164" spans="1:2" ht="15" customHeight="1">
      <c r="A164" s="25" t="str">
        <f>'Trial Balance'!A146&amp;"-"&amp;'Trial Balance'!B146</f>
        <v>2220-Miscellaneous Current and Accrued Liabilities</v>
      </c>
      <c r="B164" s="317">
        <f>-'Trial Balance'!L146</f>
        <v>1217623.0300000003</v>
      </c>
    </row>
    <row r="165" spans="1:2" ht="15" customHeight="1">
      <c r="A165" s="25" t="str">
        <f>'Trial Balance'!A147&amp;"-"&amp;'Trial Balance'!B147</f>
        <v>2225-Notes and Loans Payable</v>
      </c>
      <c r="B165" s="317">
        <f>-'Trial Balance'!L147</f>
        <v>0</v>
      </c>
    </row>
    <row r="166" spans="1:2" ht="15" customHeight="1">
      <c r="A166" s="25" t="str">
        <f>'Trial Balance'!A148&amp;"-"&amp;'Trial Balance'!B148</f>
        <v>2240-Accounts Payable to Associated Companies</v>
      </c>
      <c r="B166" s="317">
        <f>-'Trial Balance'!L148</f>
        <v>0</v>
      </c>
    </row>
    <row r="167" spans="1:2" ht="15" customHeight="1">
      <c r="A167" s="25" t="str">
        <f>'Trial Balance'!A149&amp;"-"&amp;'Trial Balance'!B149</f>
        <v>2242-Notes Payable to Associated Companies</v>
      </c>
      <c r="B167" s="317">
        <f>-'Trial Balance'!L149</f>
        <v>0</v>
      </c>
    </row>
    <row r="168" spans="1:2" ht="15" customHeight="1">
      <c r="A168" s="25" t="str">
        <f>'Trial Balance'!A150&amp;"-"&amp;'Trial Balance'!B150</f>
        <v>2250-Debt Retirement  Charges (DRC) Payable</v>
      </c>
      <c r="B168" s="317">
        <f>-'Trial Balance'!L150</f>
        <v>13295.339999999851</v>
      </c>
    </row>
    <row r="169" spans="1:2" ht="15" customHeight="1">
      <c r="A169" s="25" t="str">
        <f>'Trial Balance'!A151&amp;"-"&amp;'Trial Balance'!B151</f>
        <v>2252-Transmission Charges Payable</v>
      </c>
      <c r="B169" s="317">
        <f>-'Trial Balance'!L151</f>
        <v>0</v>
      </c>
    </row>
    <row r="170" spans="1:2" ht="15" customHeight="1">
      <c r="A170" s="25" t="str">
        <f>'Trial Balance'!A152&amp;"-"&amp;'Trial Balance'!B152</f>
        <v>2254-Electric Safety Authority Fees Payable</v>
      </c>
      <c r="B170" s="317">
        <f>-'Trial Balance'!L152</f>
        <v>0</v>
      </c>
    </row>
    <row r="171" spans="1:2" ht="15" customHeight="1">
      <c r="A171" s="25" t="str">
        <f>'Trial Balance'!A153&amp;"-"&amp;'Trial Balance'!B153</f>
        <v>2256-Independent Market Operator Fees and Penalties Payable</v>
      </c>
      <c r="B171" s="317">
        <f>-'Trial Balance'!L153</f>
        <v>2762516.6400000006</v>
      </c>
    </row>
    <row r="172" spans="1:2" ht="15" customHeight="1">
      <c r="A172" s="25" t="str">
        <f>'Trial Balance'!A154&amp;"-"&amp;'Trial Balance'!B154</f>
        <v>2260-Current Portion of Long Term Debt</v>
      </c>
      <c r="B172" s="317">
        <f>-'Trial Balance'!L154</f>
        <v>0</v>
      </c>
    </row>
    <row r="173" spans="1:2" ht="15" customHeight="1">
      <c r="A173" s="25" t="str">
        <f>'Trial Balance'!A155&amp;"-"&amp;'Trial Balance'!B155</f>
        <v>2262-Ontario Hydro Debt - Current Portion</v>
      </c>
      <c r="B173" s="317">
        <f>-'Trial Balance'!L155</f>
        <v>0</v>
      </c>
    </row>
    <row r="174" spans="1:2" ht="15" customHeight="1">
      <c r="A174" s="25" t="str">
        <f>'Trial Balance'!A156&amp;"-"&amp;'Trial Balance'!B156</f>
        <v>2264-Pensions and Employee Benefits - Current Portion</v>
      </c>
      <c r="B174" s="317">
        <f>-'Trial Balance'!L156</f>
        <v>0</v>
      </c>
    </row>
    <row r="175" spans="1:2" ht="15" customHeight="1">
      <c r="A175" s="25" t="str">
        <f>'Trial Balance'!A157&amp;"-"&amp;'Trial Balance'!B157</f>
        <v>2268-Accrued Interest on Long Term Debt</v>
      </c>
      <c r="B175" s="317">
        <f>-'Trial Balance'!L157</f>
        <v>0</v>
      </c>
    </row>
    <row r="176" spans="1:2" ht="15" customHeight="1">
      <c r="A176" s="25" t="str">
        <f>'Trial Balance'!A158&amp;"-"&amp;'Trial Balance'!B158</f>
        <v>2270-Matured Long Term Debt</v>
      </c>
      <c r="B176" s="317">
        <f>-'Trial Balance'!L158</f>
        <v>0</v>
      </c>
    </row>
    <row r="177" spans="1:2" ht="15" customHeight="1">
      <c r="A177" s="25" t="str">
        <f>'Trial Balance'!A159&amp;"-"&amp;'Trial Balance'!B159</f>
        <v>2272-Matured Interest on Long Term Debt</v>
      </c>
      <c r="B177" s="317">
        <f>-'Trial Balance'!L159</f>
        <v>0</v>
      </c>
    </row>
    <row r="178" spans="1:2" ht="15" customHeight="1">
      <c r="A178" s="25" t="str">
        <f>'Trial Balance'!A160&amp;"-"&amp;'Trial Balance'!B160</f>
        <v>2285-Obligations Under Capital Leases--Current</v>
      </c>
      <c r="B178" s="317">
        <f>-'Trial Balance'!L160</f>
        <v>0</v>
      </c>
    </row>
    <row r="179" spans="1:2" ht="15" customHeight="1">
      <c r="A179" s="25" t="str">
        <f>'Trial Balance'!A161&amp;"-"&amp;'Trial Balance'!B161</f>
        <v>2290-Commodity Taxes</v>
      </c>
      <c r="B179" s="317">
        <f>-'Trial Balance'!L161</f>
        <v>31116.289999999746</v>
      </c>
    </row>
    <row r="180" spans="1:2" ht="15" customHeight="1">
      <c r="A180" s="25" t="str">
        <f>'Trial Balance'!A162&amp;"-"&amp;'Trial Balance'!B162</f>
        <v>2292-Payroll Deductions / Expenses Payable</v>
      </c>
      <c r="B180" s="317">
        <f>-'Trial Balance'!L162</f>
        <v>37999.04000000001</v>
      </c>
    </row>
    <row r="181" spans="1:2" ht="15" customHeight="1">
      <c r="A181" s="25" t="str">
        <f>'Trial Balance'!A163&amp;"-"&amp;'Trial Balance'!B163</f>
        <v>2294-Accrual for Taxes, "Payments in Lieu" of Taxes, Etc.</v>
      </c>
      <c r="B181" s="317">
        <f>-'Trial Balance'!L163</f>
        <v>-123073</v>
      </c>
    </row>
    <row r="182" spans="1:2" ht="15" customHeight="1" thickBot="1">
      <c r="A182" s="25" t="str">
        <f>'Trial Balance'!A164&amp;"-"&amp;'Trial Balance'!B164</f>
        <v>2296-Future Income Taxes - Current</v>
      </c>
      <c r="B182" s="317">
        <f>-'Trial Balance'!L164</f>
        <v>0</v>
      </c>
    </row>
    <row r="183" spans="1:2" ht="15" customHeight="1" thickBot="1">
      <c r="A183" s="28" t="s">
        <v>526</v>
      </c>
      <c r="B183" s="318">
        <f>SUM(B160:B182)</f>
        <v>6017486.18</v>
      </c>
    </row>
    <row r="184" spans="1:2" s="18" customFormat="1" ht="15" customHeight="1">
      <c r="A184" s="21"/>
      <c r="B184" s="319"/>
    </row>
    <row r="185" spans="1:2" s="18" customFormat="1" ht="15" customHeight="1">
      <c r="A185" s="645" t="s">
        <v>527</v>
      </c>
      <c r="B185" s="645"/>
    </row>
    <row r="186" spans="1:2" ht="15" customHeight="1">
      <c r="A186" s="25" t="str">
        <f>'Trial Balance'!A166&amp;"-"&amp;'Trial Balance'!B166</f>
        <v>2305-Accumulated Provision for Injuries and Damages</v>
      </c>
      <c r="B186" s="317">
        <f>-'Trial Balance'!L166</f>
        <v>0</v>
      </c>
    </row>
    <row r="187" spans="1:2" ht="15" customHeight="1">
      <c r="A187" s="25" t="str">
        <f>'Trial Balance'!A167&amp;"-"&amp;'Trial Balance'!B167</f>
        <v>2306-Employee Future Benefits</v>
      </c>
      <c r="B187" s="317">
        <f>-'Trial Balance'!L167</f>
        <v>1018833</v>
      </c>
    </row>
    <row r="188" spans="1:2" ht="15" customHeight="1">
      <c r="A188" s="25" t="str">
        <f>'Trial Balance'!A168&amp;"-"&amp;'Trial Balance'!B168</f>
        <v>2308-Other Pensions - Past Service Liability</v>
      </c>
      <c r="B188" s="317">
        <f>-'Trial Balance'!L168</f>
        <v>0</v>
      </c>
    </row>
    <row r="189" spans="1:2" ht="15" customHeight="1">
      <c r="A189" s="25" t="str">
        <f>'Trial Balance'!A169&amp;"-"&amp;'Trial Balance'!B169</f>
        <v>2310-Vested Sick Leave Liability</v>
      </c>
      <c r="B189" s="317">
        <f>-'Trial Balance'!L169</f>
        <v>100052.03</v>
      </c>
    </row>
    <row r="190" spans="1:2" ht="15" customHeight="1">
      <c r="A190" s="25" t="str">
        <f>'Trial Balance'!A170&amp;"-"&amp;'Trial Balance'!B170</f>
        <v>2315-Accumulated Provision for Rate Refunds</v>
      </c>
      <c r="B190" s="317">
        <f>-'Trial Balance'!L170</f>
        <v>0</v>
      </c>
    </row>
    <row r="191" spans="1:2" ht="15" customHeight="1">
      <c r="A191" s="25" t="str">
        <f>'Trial Balance'!A171&amp;"-"&amp;'Trial Balance'!B171</f>
        <v>2320-Other Miscellaneous Non-Current Liabilities</v>
      </c>
      <c r="B191" s="317">
        <f>-'Trial Balance'!L171</f>
        <v>0</v>
      </c>
    </row>
    <row r="192" spans="1:2" ht="15" customHeight="1">
      <c r="A192" s="25" t="str">
        <f>'Trial Balance'!A172&amp;"-"&amp;'Trial Balance'!B172</f>
        <v>2325-Obligations Under Capital Lease--Non-Current</v>
      </c>
      <c r="B192" s="317">
        <f>-'Trial Balance'!L172</f>
        <v>0</v>
      </c>
    </row>
    <row r="193" spans="1:2" ht="15" customHeight="1">
      <c r="A193" s="25" t="str">
        <f>'Trial Balance'!A173&amp;"-"&amp;'Trial Balance'!B173</f>
        <v>2330-Devolpment Charge Fund</v>
      </c>
      <c r="B193" s="317">
        <f>-'Trial Balance'!L173</f>
        <v>0</v>
      </c>
    </row>
    <row r="194" spans="1:2" ht="15" customHeight="1">
      <c r="A194" s="25" t="str">
        <f>'Trial Balance'!A174&amp;"-"&amp;'Trial Balance'!B174</f>
        <v>2335-Long Term Customer Deposits</v>
      </c>
      <c r="B194" s="317">
        <f>-'Trial Balance'!L174</f>
        <v>1027310.8199999998</v>
      </c>
    </row>
    <row r="195" spans="1:2" ht="15" customHeight="1">
      <c r="A195" s="25" t="str">
        <f>'Trial Balance'!A175&amp;"-"&amp;'Trial Balance'!B175</f>
        <v>2340-Collateral Funds Liability</v>
      </c>
      <c r="B195" s="317">
        <f>-'Trial Balance'!L175</f>
        <v>0</v>
      </c>
    </row>
    <row r="196" spans="1:2" ht="15" customHeight="1">
      <c r="A196" s="25" t="str">
        <f>'Trial Balance'!A176&amp;"-"&amp;'Trial Balance'!B176</f>
        <v>2345-Unamortized Premium on Long Term Debt</v>
      </c>
      <c r="B196" s="317">
        <f>-'Trial Balance'!L176</f>
        <v>0</v>
      </c>
    </row>
    <row r="197" spans="1:2" ht="15" customHeight="1">
      <c r="A197" s="25" t="str">
        <f>'Trial Balance'!A177&amp;"-"&amp;'Trial Balance'!B177</f>
        <v>2348-O.M.E.R.S. - Past Service Liability - Long Term Portion</v>
      </c>
      <c r="B197" s="317">
        <f>-'Trial Balance'!L177</f>
        <v>0</v>
      </c>
    </row>
    <row r="198" spans="1:2" ht="15" customHeight="1">
      <c r="A198" s="25" t="str">
        <f>'Trial Balance'!A178&amp;"-"&amp;'Trial Balance'!B178</f>
        <v>2350-Future Income Tax - Non-Current</v>
      </c>
      <c r="B198" s="317">
        <f>-'Trial Balance'!L178</f>
        <v>-2460100</v>
      </c>
    </row>
    <row r="199" spans="1:2" ht="15" customHeight="1">
      <c r="A199" s="25" t="str">
        <f>'Trial Balance'!A180&amp;"-"&amp;'Trial Balance'!B180</f>
        <v>2405-Other Regulatory Liabilities</v>
      </c>
      <c r="B199" s="317">
        <f>-'Trial Balance'!L180</f>
        <v>0</v>
      </c>
    </row>
    <row r="200" spans="1:2" ht="15" customHeight="1">
      <c r="A200" s="25" t="str">
        <f>'Trial Balance'!A181&amp;"-"&amp;'Trial Balance'!B181</f>
        <v>2410-Deferred Gains From Disposition of Utility Plant</v>
      </c>
      <c r="B200" s="317">
        <f>-'Trial Balance'!L181</f>
        <v>0</v>
      </c>
    </row>
    <row r="201" spans="1:2" ht="15" customHeight="1">
      <c r="A201" s="25" t="str">
        <f>'Trial Balance'!A182&amp;"-"&amp;'Trial Balance'!B182</f>
        <v>2415-Unamortized Gain on Reacquired Debt</v>
      </c>
      <c r="B201" s="317">
        <f>-'Trial Balance'!L182</f>
        <v>0</v>
      </c>
    </row>
    <row r="202" spans="1:2" ht="15" customHeight="1">
      <c r="A202" s="25" t="str">
        <f>'Trial Balance'!A183&amp;"-"&amp;'Trial Balance'!B183</f>
        <v>2425-Other Deferred Credits</v>
      </c>
      <c r="B202" s="317">
        <f>-'Trial Balance'!L183</f>
        <v>0</v>
      </c>
    </row>
    <row r="203" spans="1:2" ht="15" customHeight="1" thickBot="1">
      <c r="A203" s="25" t="str">
        <f>'Trial Balance'!A184&amp;"-"&amp;'Trial Balance'!B184</f>
        <v>2435-Accrued Rate-Payer Benefit</v>
      </c>
      <c r="B203" s="317">
        <f>-'Trial Balance'!L184</f>
        <v>0</v>
      </c>
    </row>
    <row r="204" spans="1:2" ht="15" customHeight="1" thickBot="1">
      <c r="A204" s="28" t="s">
        <v>157</v>
      </c>
      <c r="B204" s="318">
        <f>SUM(B186:B203)</f>
        <v>-313904.1500000004</v>
      </c>
    </row>
    <row r="205" spans="1:2" s="18" customFormat="1" ht="15" customHeight="1">
      <c r="A205" s="21"/>
      <c r="B205" s="319"/>
    </row>
    <row r="206" spans="1:2" s="18" customFormat="1" ht="15" customHeight="1">
      <c r="A206" s="645" t="s">
        <v>158</v>
      </c>
      <c r="B206" s="645"/>
    </row>
    <row r="207" spans="1:2" s="18" customFormat="1" ht="15" customHeight="1">
      <c r="A207" s="25" t="str">
        <f>'Trial Balance'!A186&amp;"-"&amp;'Trial Balance'!B186</f>
        <v>2505-Debentures Outstanding - Long Term Portion</v>
      </c>
      <c r="B207" s="317">
        <f>-'Trial Balance'!L186</f>
        <v>1800000</v>
      </c>
    </row>
    <row r="208" spans="1:2" s="18" customFormat="1" ht="15" customHeight="1">
      <c r="A208" s="25" t="str">
        <f>'Trial Balance'!A187&amp;"-"&amp;'Trial Balance'!B187</f>
        <v>2510-Debenture Advances</v>
      </c>
      <c r="B208" s="317">
        <f>-'Trial Balance'!L187</f>
        <v>0</v>
      </c>
    </row>
    <row r="209" spans="1:2" s="18" customFormat="1" ht="15" customHeight="1">
      <c r="A209" s="25" t="str">
        <f>'Trial Balance'!A188&amp;"-"&amp;'Trial Balance'!B188</f>
        <v>2515-Required Bonds</v>
      </c>
      <c r="B209" s="317">
        <f>-'Trial Balance'!L188</f>
        <v>0</v>
      </c>
    </row>
    <row r="210" spans="1:2" s="18" customFormat="1" ht="15" customHeight="1">
      <c r="A210" s="25" t="str">
        <f>'Trial Balance'!A189&amp;"-"&amp;'Trial Balance'!B189</f>
        <v>2520-Other Long Term Debt</v>
      </c>
      <c r="B210" s="317">
        <f>-'Trial Balance'!L189</f>
        <v>13441862</v>
      </c>
    </row>
    <row r="211" spans="1:2" s="18" customFormat="1" ht="15" customHeight="1">
      <c r="A211" s="25" t="str">
        <f>'Trial Balance'!A190&amp;"-"&amp;'Trial Balance'!B190</f>
        <v>2525-Term Bank Loans - Long Term Portion</v>
      </c>
      <c r="B211" s="317">
        <f>-'Trial Balance'!L190</f>
        <v>0</v>
      </c>
    </row>
    <row r="212" spans="1:2" s="18" customFormat="1" ht="15" customHeight="1">
      <c r="A212" s="25" t="str">
        <f>'Trial Balance'!A191&amp;"-"&amp;'Trial Balance'!B191</f>
        <v>2530-Ontario Hydro Debt Outstanding - Long Term Portion</v>
      </c>
      <c r="B212" s="317">
        <f>-'Trial Balance'!L191</f>
        <v>0</v>
      </c>
    </row>
    <row r="213" spans="1:2" ht="15" customHeight="1" thickBot="1">
      <c r="A213" s="25" t="str">
        <f>'Trial Balance'!A192&amp;"-"&amp;'Trial Balance'!B192</f>
        <v>2550-Advances from Associated Companies</v>
      </c>
      <c r="B213" s="317">
        <f>-'Trial Balance'!L192</f>
        <v>0</v>
      </c>
    </row>
    <row r="214" spans="1:2" ht="15" customHeight="1" thickBot="1">
      <c r="A214" s="28" t="s">
        <v>159</v>
      </c>
      <c r="B214" s="318">
        <f>SUM(B207:B213)</f>
        <v>15241862</v>
      </c>
    </row>
    <row r="215" spans="1:2" s="18" customFormat="1" ht="15" customHeight="1">
      <c r="A215" s="21"/>
      <c r="B215" s="319"/>
    </row>
    <row r="216" spans="1:2" s="18" customFormat="1" ht="15" customHeight="1">
      <c r="A216" s="645" t="s">
        <v>160</v>
      </c>
      <c r="B216" s="645"/>
    </row>
    <row r="217" spans="1:2" ht="15" customHeight="1">
      <c r="A217" s="25" t="str">
        <f>'Trial Balance'!A194&amp;"-"&amp;'Trial Balance'!B194</f>
        <v>3005-Common Shares Issued</v>
      </c>
      <c r="B217" s="317">
        <f>-'Trial Balance'!L194</f>
        <v>10941862.09</v>
      </c>
    </row>
    <row r="218" spans="1:2" ht="15" customHeight="1">
      <c r="A218" s="25" t="str">
        <f>'Trial Balance'!A195&amp;"-"&amp;'Trial Balance'!B195</f>
        <v>3008-Preference Shares Issued</v>
      </c>
      <c r="B218" s="317">
        <f>-'Trial Balance'!L195</f>
        <v>0</v>
      </c>
    </row>
    <row r="219" spans="1:2" ht="15" customHeight="1">
      <c r="A219" s="25" t="str">
        <f>'Trial Balance'!A196&amp;"-"&amp;'Trial Balance'!B196</f>
        <v>3010-Contributed Surplus</v>
      </c>
      <c r="B219" s="317">
        <f>-'Trial Balance'!L196</f>
        <v>0</v>
      </c>
    </row>
    <row r="220" spans="1:2" ht="15" customHeight="1">
      <c r="A220" s="25" t="str">
        <f>'Trial Balance'!A197&amp;"-"&amp;'Trial Balance'!B197</f>
        <v>3020-Donations Received</v>
      </c>
      <c r="B220" s="317">
        <f>-'Trial Balance'!L197</f>
        <v>0</v>
      </c>
    </row>
    <row r="221" spans="1:2" ht="15" customHeight="1">
      <c r="A221" s="25" t="str">
        <f>'Trial Balance'!A198&amp;"-"&amp;'Trial Balance'!B198</f>
        <v>3022-Devolpment Charges Transferred to Equity</v>
      </c>
      <c r="B221" s="317">
        <f>-'Trial Balance'!L198</f>
        <v>0</v>
      </c>
    </row>
    <row r="222" spans="1:2" ht="15" customHeight="1">
      <c r="A222" s="25" t="str">
        <f>'Trial Balance'!A199&amp;"-"&amp;'Trial Balance'!B199</f>
        <v>3026-Capital Stock Held in Treasury</v>
      </c>
      <c r="B222" s="317">
        <f>-'Trial Balance'!L199</f>
        <v>0</v>
      </c>
    </row>
    <row r="223" spans="1:2" ht="15" customHeight="1">
      <c r="A223" s="25" t="str">
        <f>'Trial Balance'!A200&amp;"-"&amp;'Trial Balance'!B200</f>
        <v>3030-Miscellaneous Paid-In Capital</v>
      </c>
      <c r="B223" s="317">
        <f>-'Trial Balance'!L200</f>
        <v>0</v>
      </c>
    </row>
    <row r="224" spans="1:2" ht="15" customHeight="1">
      <c r="A224" s="25" t="str">
        <f>'Trial Balance'!A201&amp;"-"&amp;'Trial Balance'!B201</f>
        <v>3035-Installments Received on Capital Stock</v>
      </c>
      <c r="B224" s="317">
        <f>-'Trial Balance'!L201</f>
        <v>0</v>
      </c>
    </row>
    <row r="225" spans="1:2" ht="15" customHeight="1">
      <c r="A225" s="25" t="str">
        <f>'Trial Balance'!A202&amp;"-"&amp;'Trial Balance'!B202</f>
        <v>3040-Appropriated Retained Earnings</v>
      </c>
      <c r="B225" s="317">
        <f>-'Trial Balance'!L202</f>
        <v>0</v>
      </c>
    </row>
    <row r="226" spans="1:2" ht="15" customHeight="1">
      <c r="A226" s="25" t="str">
        <f>'Trial Balance'!A203&amp;"-"&amp;'Trial Balance'!B203</f>
        <v>3045-Unappropriated Retained Earnings</v>
      </c>
      <c r="B226" s="317">
        <f>-'Trial Balance'!L203</f>
        <v>3562568.96</v>
      </c>
    </row>
    <row r="227" spans="1:2" ht="15" customHeight="1">
      <c r="A227" s="25" t="s">
        <v>548</v>
      </c>
      <c r="B227" s="322">
        <f>-'2010 Income Statement'!B216</f>
        <v>162602.16601528387</v>
      </c>
    </row>
    <row r="228" spans="1:2" ht="15" customHeight="1">
      <c r="A228" s="25" t="str">
        <f>'Trial Balance'!A205&amp;"-"&amp;'Trial Balance'!B205</f>
        <v>3047-Appropriations of Retained Earnings - Current Period</v>
      </c>
      <c r="B228" s="317">
        <f>-'Trial Balance'!L205</f>
        <v>0</v>
      </c>
    </row>
    <row r="229" spans="1:2" ht="15" customHeight="1">
      <c r="A229" s="25" t="str">
        <f>'Trial Balance'!A206&amp;"-"&amp;'Trial Balance'!B206</f>
        <v>3048-Dividends Payable-Preference Shares</v>
      </c>
      <c r="B229" s="317">
        <f>-'Trial Balance'!L206</f>
        <v>0</v>
      </c>
    </row>
    <row r="230" spans="1:2" ht="15" customHeight="1">
      <c r="A230" s="25" t="str">
        <f>'Trial Balance'!A207&amp;"-"&amp;'Trial Balance'!B207</f>
        <v>3049-Dividends Payable-Common Shares</v>
      </c>
      <c r="B230" s="317">
        <f>-'Trial Balance'!L207</f>
        <v>0</v>
      </c>
    </row>
    <row r="231" spans="1:2" ht="15" customHeight="1">
      <c r="A231" s="25" t="str">
        <f>'Trial Balance'!A208&amp;"-"&amp;'Trial Balance'!B208</f>
        <v>3055-Adjustment to Retained Earnings                 </v>
      </c>
      <c r="B231" s="317">
        <f>-'Trial Balance'!L208</f>
        <v>0</v>
      </c>
    </row>
    <row r="232" spans="1:2" ht="15" customHeight="1" thickBot="1">
      <c r="A232" s="25" t="str">
        <f>'Trial Balance'!A209&amp;"-"&amp;'Trial Balance'!B209</f>
        <v>3065-Unappropriated Undistributed Subsidiary Earnings</v>
      </c>
      <c r="B232" s="317">
        <f>-'Trial Balance'!L209</f>
        <v>0</v>
      </c>
    </row>
    <row r="233" spans="1:2" ht="15" customHeight="1" thickBot="1">
      <c r="A233" s="26" t="s">
        <v>549</v>
      </c>
      <c r="B233" s="318">
        <f>SUM(B217:B232)</f>
        <v>14667033.216015285</v>
      </c>
    </row>
    <row r="234" spans="1:2" s="10" customFormat="1" ht="15" customHeight="1">
      <c r="A234" s="22"/>
      <c r="B234" s="319"/>
    </row>
    <row r="235" spans="1:2" s="10" customFormat="1" ht="15" customHeight="1">
      <c r="A235" s="198" t="s">
        <v>274</v>
      </c>
      <c r="B235" s="323">
        <f>B183+B204+B214+B233</f>
        <v>35612477.24601529</v>
      </c>
    </row>
    <row r="236" spans="1:2" s="10" customFormat="1" ht="15" customHeight="1" thickBot="1">
      <c r="A236" s="22"/>
      <c r="B236" s="319"/>
    </row>
    <row r="237" spans="1:2" ht="15" customHeight="1" thickBot="1">
      <c r="A237" s="29" t="s">
        <v>273</v>
      </c>
      <c r="B237" s="324">
        <f>B157-B235</f>
        <v>0</v>
      </c>
    </row>
    <row r="238" spans="1:2" ht="15">
      <c r="A238" s="23"/>
      <c r="B238" s="325"/>
    </row>
    <row r="239" spans="1:2" ht="13.5">
      <c r="A239" s="635" t="s">
        <v>915</v>
      </c>
      <c r="B239" s="636"/>
    </row>
    <row r="240" spans="1:2" ht="12.75">
      <c r="A240" s="381"/>
      <c r="B240" s="382">
        <f>B237</f>
        <v>0</v>
      </c>
    </row>
    <row r="241" spans="1:2" ht="12.75">
      <c r="A241" s="383"/>
      <c r="B241" s="384"/>
    </row>
    <row r="242" spans="1:2" ht="12.75">
      <c r="A242" s="383"/>
      <c r="B242" s="384"/>
    </row>
    <row r="243" spans="1:2" ht="12.75">
      <c r="A243" s="385"/>
      <c r="B243" s="392">
        <f>SUM(B240:B242)</f>
        <v>0</v>
      </c>
    </row>
    <row r="244" spans="1:2" ht="15">
      <c r="A244" s="23"/>
      <c r="B244" s="325"/>
    </row>
    <row r="245" spans="1:2" ht="15">
      <c r="A245" s="23"/>
      <c r="B245" s="325"/>
    </row>
    <row r="246" spans="1:2" ht="15">
      <c r="A246" s="23"/>
      <c r="B246" s="325"/>
    </row>
    <row r="247" spans="1:2" ht="15">
      <c r="A247" s="23"/>
      <c r="B247" s="325"/>
    </row>
    <row r="248" spans="1:2" ht="15">
      <c r="A248" s="23"/>
      <c r="B248" s="325"/>
    </row>
    <row r="249" spans="1:2" ht="15">
      <c r="A249" s="23"/>
      <c r="B249" s="325"/>
    </row>
    <row r="250" spans="1:2" ht="15">
      <c r="A250" s="23"/>
      <c r="B250" s="325"/>
    </row>
    <row r="251" spans="1:2" ht="15">
      <c r="A251" s="23"/>
      <c r="B251" s="325"/>
    </row>
    <row r="252" spans="1:2" ht="15">
      <c r="A252" s="23"/>
      <c r="B252" s="325"/>
    </row>
    <row r="253" spans="1:2" ht="15">
      <c r="A253" s="23"/>
      <c r="B253" s="325"/>
    </row>
    <row r="254" spans="1:2" ht="15">
      <c r="A254" s="23"/>
      <c r="B254" s="325"/>
    </row>
    <row r="255" spans="1:2" ht="15">
      <c r="A255" s="23"/>
      <c r="B255" s="325"/>
    </row>
    <row r="256" spans="1:2" ht="15">
      <c r="A256" s="23"/>
      <c r="B256" s="325"/>
    </row>
    <row r="257" spans="1:2" ht="15">
      <c r="A257" s="23"/>
      <c r="B257" s="325"/>
    </row>
    <row r="258" spans="1:2" ht="15">
      <c r="A258" s="23"/>
      <c r="B258" s="325"/>
    </row>
    <row r="259" spans="1:2" ht="15">
      <c r="A259" s="23"/>
      <c r="B259" s="325"/>
    </row>
    <row r="260" spans="1:2" ht="15">
      <c r="A260" s="23"/>
      <c r="B260" s="325"/>
    </row>
    <row r="261" spans="1:2" ht="15">
      <c r="A261" s="23"/>
      <c r="B261" s="325"/>
    </row>
    <row r="262" spans="1:2" ht="15">
      <c r="A262" s="23"/>
      <c r="B262" s="325"/>
    </row>
    <row r="263" spans="1:2" ht="15">
      <c r="A263" s="23"/>
      <c r="B263" s="325"/>
    </row>
    <row r="264" spans="1:2" ht="15">
      <c r="A264" s="23"/>
      <c r="B264" s="325"/>
    </row>
    <row r="265" spans="1:2" ht="15">
      <c r="A265" s="23"/>
      <c r="B265" s="325"/>
    </row>
    <row r="266" spans="1:2" ht="15">
      <c r="A266" s="23"/>
      <c r="B266" s="325"/>
    </row>
    <row r="267" spans="1:2" ht="15">
      <c r="A267" s="23"/>
      <c r="B267" s="325"/>
    </row>
    <row r="268" spans="1:2" ht="15">
      <c r="A268" s="23"/>
      <c r="B268" s="325"/>
    </row>
    <row r="269" spans="1:2" ht="15">
      <c r="A269" s="23"/>
      <c r="B269" s="325"/>
    </row>
    <row r="270" spans="1:2" ht="15">
      <c r="A270" s="23"/>
      <c r="B270" s="325"/>
    </row>
    <row r="271" spans="1:2" ht="15">
      <c r="A271" s="23"/>
      <c r="B271" s="325"/>
    </row>
    <row r="272" spans="1:2" ht="15">
      <c r="A272" s="23"/>
      <c r="B272" s="325"/>
    </row>
    <row r="273" spans="1:2" ht="15">
      <c r="A273" s="23"/>
      <c r="B273" s="325"/>
    </row>
    <row r="274" spans="1:2" ht="15">
      <c r="A274" s="23"/>
      <c r="B274" s="325"/>
    </row>
    <row r="275" spans="1:2" ht="15">
      <c r="A275" s="23"/>
      <c r="B275" s="325"/>
    </row>
    <row r="276" spans="1:2" ht="15">
      <c r="A276" s="23"/>
      <c r="B276" s="325"/>
    </row>
    <row r="277" spans="1:2" ht="15">
      <c r="A277" s="23"/>
      <c r="B277" s="325"/>
    </row>
    <row r="278" spans="1:2" ht="15">
      <c r="A278" s="23"/>
      <c r="B278" s="325"/>
    </row>
    <row r="279" spans="1:2" ht="15">
      <c r="A279" s="23"/>
      <c r="B279" s="325"/>
    </row>
    <row r="280" spans="1:2" ht="15">
      <c r="A280" s="23"/>
      <c r="B280" s="325"/>
    </row>
    <row r="281" spans="1:2" ht="15">
      <c r="A281" s="23"/>
      <c r="B281" s="325"/>
    </row>
    <row r="282" spans="1:2" ht="15">
      <c r="A282" s="23"/>
      <c r="B282" s="325"/>
    </row>
    <row r="283" spans="1:2" ht="15">
      <c r="A283" s="23"/>
      <c r="B283" s="325"/>
    </row>
    <row r="284" spans="1:2" ht="15">
      <c r="A284" s="23"/>
      <c r="B284" s="325"/>
    </row>
    <row r="285" spans="1:2" ht="15">
      <c r="A285" s="23"/>
      <c r="B285" s="325"/>
    </row>
    <row r="286" spans="1:2" ht="15">
      <c r="A286" s="23"/>
      <c r="B286" s="325"/>
    </row>
    <row r="287" spans="1:2" ht="15">
      <c r="A287" s="23"/>
      <c r="B287" s="325"/>
    </row>
    <row r="288" spans="1:2" ht="15">
      <c r="A288" s="23"/>
      <c r="B288" s="325"/>
    </row>
    <row r="289" spans="1:2" ht="15">
      <c r="A289" s="23"/>
      <c r="B289" s="325"/>
    </row>
    <row r="290" spans="1:2" ht="15">
      <c r="A290" s="23"/>
      <c r="B290" s="325"/>
    </row>
    <row r="291" spans="1:2" ht="15">
      <c r="A291" s="23"/>
      <c r="B291" s="325"/>
    </row>
    <row r="292" spans="1:2" ht="15">
      <c r="A292" s="23"/>
      <c r="B292" s="325"/>
    </row>
    <row r="293" spans="1:2" ht="15">
      <c r="A293" s="23"/>
      <c r="B293" s="325"/>
    </row>
    <row r="294" spans="1:2" ht="15">
      <c r="A294" s="23"/>
      <c r="B294" s="325"/>
    </row>
    <row r="295" spans="1:2" ht="15">
      <c r="A295" s="23"/>
      <c r="B295" s="325"/>
    </row>
    <row r="296" spans="1:2" ht="15">
      <c r="A296" s="23"/>
      <c r="B296" s="325"/>
    </row>
    <row r="297" spans="1:2" ht="15">
      <c r="A297" s="23"/>
      <c r="B297" s="325"/>
    </row>
    <row r="298" spans="1:2" ht="15">
      <c r="A298" s="23"/>
      <c r="B298" s="325"/>
    </row>
    <row r="299" spans="1:2" ht="15">
      <c r="A299" s="23"/>
      <c r="B299" s="325"/>
    </row>
    <row r="300" spans="1:2" ht="15">
      <c r="A300" s="23"/>
      <c r="B300" s="325"/>
    </row>
    <row r="301" spans="1:2" ht="15">
      <c r="A301" s="23"/>
      <c r="B301" s="325"/>
    </row>
    <row r="302" spans="1:2" ht="15">
      <c r="A302" s="23"/>
      <c r="B302" s="325"/>
    </row>
    <row r="303" spans="1:2" ht="15">
      <c r="A303" s="23"/>
      <c r="B303" s="325"/>
    </row>
    <row r="304" spans="1:2" ht="15">
      <c r="A304" s="23"/>
      <c r="B304" s="325"/>
    </row>
    <row r="305" spans="1:2" ht="15">
      <c r="A305" s="23"/>
      <c r="B305" s="325"/>
    </row>
    <row r="306" spans="1:2" ht="15">
      <c r="A306" s="23"/>
      <c r="B306" s="325"/>
    </row>
    <row r="307" spans="1:2" ht="15">
      <c r="A307" s="23"/>
      <c r="B307" s="325"/>
    </row>
    <row r="308" spans="1:2" ht="15">
      <c r="A308" s="23"/>
      <c r="B308" s="325"/>
    </row>
    <row r="309" spans="1:2" ht="15">
      <c r="A309" s="23"/>
      <c r="B309" s="325"/>
    </row>
    <row r="310" spans="1:2" ht="15">
      <c r="A310" s="23"/>
      <c r="B310" s="325"/>
    </row>
    <row r="311" spans="1:2" ht="15">
      <c r="A311" s="23"/>
      <c r="B311" s="325"/>
    </row>
    <row r="312" spans="1:2" ht="15">
      <c r="A312" s="23"/>
      <c r="B312" s="325"/>
    </row>
    <row r="313" spans="1:2" ht="15">
      <c r="A313" s="23"/>
      <c r="B313" s="325"/>
    </row>
    <row r="314" spans="1:2" ht="15">
      <c r="A314" s="23"/>
      <c r="B314" s="325"/>
    </row>
    <row r="315" spans="1:2" ht="15">
      <c r="A315" s="23"/>
      <c r="B315" s="325"/>
    </row>
    <row r="316" spans="1:2" ht="15">
      <c r="A316" s="23"/>
      <c r="B316" s="325"/>
    </row>
    <row r="317" spans="1:2" ht="15">
      <c r="A317" s="23"/>
      <c r="B317" s="325"/>
    </row>
    <row r="318" spans="1:2" ht="15">
      <c r="A318" s="23"/>
      <c r="B318" s="325"/>
    </row>
    <row r="319" spans="1:2" ht="15">
      <c r="A319" s="23"/>
      <c r="B319" s="325"/>
    </row>
    <row r="320" spans="1:2" ht="15">
      <c r="A320" s="23"/>
      <c r="B320" s="325"/>
    </row>
    <row r="321" spans="1:2" ht="15">
      <c r="A321" s="23"/>
      <c r="B321" s="325"/>
    </row>
    <row r="322" spans="1:2" ht="15">
      <c r="A322" s="23"/>
      <c r="B322" s="325"/>
    </row>
    <row r="323" spans="1:2" ht="15">
      <c r="A323" s="23"/>
      <c r="B323" s="325"/>
    </row>
    <row r="324" spans="1:2" ht="15">
      <c r="A324" s="23"/>
      <c r="B324" s="325"/>
    </row>
    <row r="325" spans="1:2" ht="15">
      <c r="A325" s="23"/>
      <c r="B325" s="325"/>
    </row>
    <row r="326" spans="1:2" ht="15">
      <c r="A326" s="23"/>
      <c r="B326" s="325"/>
    </row>
    <row r="327" spans="1:2" ht="15">
      <c r="A327" s="23"/>
      <c r="B327" s="325"/>
    </row>
    <row r="328" spans="1:2" ht="15">
      <c r="A328" s="23"/>
      <c r="B328" s="325"/>
    </row>
    <row r="329" spans="1:2" ht="15">
      <c r="A329" s="23"/>
      <c r="B329" s="325"/>
    </row>
    <row r="330" spans="1:2" ht="15">
      <c r="A330" s="23"/>
      <c r="B330" s="325"/>
    </row>
    <row r="331" spans="1:2" ht="15">
      <c r="A331" s="23"/>
      <c r="B331" s="325"/>
    </row>
    <row r="332" spans="1:2" ht="15">
      <c r="A332" s="23"/>
      <c r="B332" s="325"/>
    </row>
    <row r="333" spans="1:2" ht="15">
      <c r="A333" s="23"/>
      <c r="B333" s="325"/>
    </row>
    <row r="334" spans="1:2" ht="15">
      <c r="A334" s="23"/>
      <c r="B334" s="325"/>
    </row>
    <row r="335" spans="1:2" ht="15">
      <c r="A335" s="23"/>
      <c r="B335" s="325"/>
    </row>
    <row r="336" spans="1:2" ht="15">
      <c r="A336" s="23"/>
      <c r="B336" s="325"/>
    </row>
    <row r="337" spans="1:2" ht="15">
      <c r="A337" s="23"/>
      <c r="B337" s="325"/>
    </row>
    <row r="338" spans="1:2" ht="15">
      <c r="A338" s="23"/>
      <c r="B338" s="325"/>
    </row>
    <row r="339" spans="1:2" ht="15">
      <c r="A339" s="23"/>
      <c r="B339" s="325"/>
    </row>
    <row r="340" spans="1:2" ht="15">
      <c r="A340" s="23"/>
      <c r="B340" s="325"/>
    </row>
    <row r="341" spans="1:2" ht="15">
      <c r="A341" s="23"/>
      <c r="B341" s="325"/>
    </row>
    <row r="342" spans="1:2" ht="15">
      <c r="A342" s="23"/>
      <c r="B342" s="325"/>
    </row>
    <row r="343" spans="1:2" ht="15">
      <c r="A343" s="23"/>
      <c r="B343" s="325"/>
    </row>
    <row r="344" spans="1:2" ht="15">
      <c r="A344" s="23"/>
      <c r="B344" s="325"/>
    </row>
    <row r="345" spans="1:2" ht="15">
      <c r="A345" s="23"/>
      <c r="B345" s="325"/>
    </row>
    <row r="346" spans="1:2" ht="15">
      <c r="A346" s="23"/>
      <c r="B346" s="325"/>
    </row>
    <row r="347" spans="1:2" ht="15">
      <c r="A347" s="23"/>
      <c r="B347" s="325"/>
    </row>
    <row r="348" spans="1:2" ht="15">
      <c r="A348" s="23"/>
      <c r="B348" s="325"/>
    </row>
    <row r="349" spans="1:2" ht="15">
      <c r="A349" s="23"/>
      <c r="B349" s="325"/>
    </row>
    <row r="350" spans="1:2" ht="15">
      <c r="A350" s="23"/>
      <c r="B350" s="325"/>
    </row>
    <row r="351" spans="1:2" ht="15">
      <c r="A351" s="23"/>
      <c r="B351" s="325"/>
    </row>
    <row r="352" spans="1:2" ht="15">
      <c r="A352" s="23"/>
      <c r="B352" s="325"/>
    </row>
    <row r="353" spans="1:2" ht="15">
      <c r="A353" s="23"/>
      <c r="B353" s="325"/>
    </row>
    <row r="354" spans="1:2" ht="15">
      <c r="A354" s="23"/>
      <c r="B354" s="325"/>
    </row>
  </sheetData>
  <sheetProtection/>
  <mergeCells count="18">
    <mergeCell ref="A30:B30"/>
    <mergeCell ref="A1:B1"/>
    <mergeCell ref="A2:B2"/>
    <mergeCell ref="A37:B37"/>
    <mergeCell ref="A3:B3"/>
    <mergeCell ref="A4:B4"/>
    <mergeCell ref="A6:B6"/>
    <mergeCell ref="A29:B29"/>
    <mergeCell ref="A239:B239"/>
    <mergeCell ref="A54:B54"/>
    <mergeCell ref="A93:B93"/>
    <mergeCell ref="A111:B111"/>
    <mergeCell ref="A135:B135"/>
    <mergeCell ref="A216:B216"/>
    <mergeCell ref="A149:B149"/>
    <mergeCell ref="A159:B159"/>
    <mergeCell ref="A185:B185"/>
    <mergeCell ref="A206:B206"/>
  </mergeCells>
  <printOptions horizontalCentered="1"/>
  <pageMargins left="0.4724409448818898" right="0.7480314960629921" top="0.984251968503937" bottom="0.984251968503937" header="0.5118110236220472" footer="0.5118110236220472"/>
  <pageSetup fitToHeight="5" horizontalDpi="355" verticalDpi="355" orientation="portrait" scale="77" r:id="rId1"/>
  <headerFooter alignWithMargins="0">
    <oddHeader>&amp;C&amp;"Arial,Bold"&amp;12WOODSTOCK HYDRO SERVICES INC
2010 PRO FORMA FINANCIAL STATEMENTS</oddHeader>
    <oddFooter>&amp;L&amp;A</oddFooter>
  </headerFooter>
  <rowBreaks count="4" manualBreakCount="4">
    <brk id="53" max="255" man="1"/>
    <brk id="110" max="255" man="1"/>
    <brk id="158" max="255" man="1"/>
    <brk id="20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332"/>
  <sheetViews>
    <sheetView zoomScalePageLayoutView="0" workbookViewId="0" topLeftCell="A20">
      <selection activeCell="J35" sqref="J35"/>
    </sheetView>
  </sheetViews>
  <sheetFormatPr defaultColWidth="9.140625" defaultRowHeight="12.75"/>
  <cols>
    <col min="1" max="1" width="72.28125" style="0" customWidth="1"/>
    <col min="2" max="2" width="21.8515625" style="284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 hidden="1">
      <c r="A1" s="614" t="str">
        <f>'Trial Balance'!A1:J1</f>
        <v>Woodstock Hydro Services Inc.</v>
      </c>
      <c r="B1" s="614"/>
    </row>
    <row r="2" spans="1:2" ht="12.75" hidden="1">
      <c r="A2" s="614" t="str">
        <f>'Trial Balance'!A2:J2</f>
        <v>, License Number ED-2003-0011, File Number EB-2010-0145</v>
      </c>
      <c r="B2" s="614"/>
    </row>
    <row r="3" spans="1:2" s="20" customFormat="1" ht="15" hidden="1">
      <c r="A3" s="637" t="str">
        <f>Notes!B4</f>
        <v>Woodstock Hydro Services Inc.</v>
      </c>
      <c r="B3" s="637"/>
    </row>
    <row r="4" spans="1:2" s="20" customFormat="1" ht="15">
      <c r="A4" s="640" t="s">
        <v>809</v>
      </c>
      <c r="B4" s="640"/>
    </row>
    <row r="5" spans="1:2" ht="15" customHeight="1">
      <c r="A5" s="60" t="s">
        <v>530</v>
      </c>
      <c r="B5" s="312" t="s">
        <v>154</v>
      </c>
    </row>
    <row r="6" spans="1:2" ht="15" customHeight="1">
      <c r="A6" s="639" t="s">
        <v>142</v>
      </c>
      <c r="B6" s="639"/>
    </row>
    <row r="7" spans="1:7" ht="15" customHeight="1">
      <c r="A7" s="25" t="str">
        <f>'Trial Balance'!A211&amp;"-"&amp;'Trial Balance'!B211</f>
        <v>4006-Residential Energy Sales</v>
      </c>
      <c r="B7" s="304">
        <f>'Trial Balance'!L211</f>
        <v>-7881095.371351087</v>
      </c>
      <c r="D7" s="11"/>
      <c r="E7" s="12"/>
      <c r="F7" s="13"/>
      <c r="G7" s="15"/>
    </row>
    <row r="8" spans="1:7" ht="15" customHeight="1">
      <c r="A8" s="25" t="str">
        <f>'Trial Balance'!A212&amp;"-"&amp;'Trial Balance'!B212</f>
        <v>4010-Commercial Energy Sales</v>
      </c>
      <c r="B8" s="304">
        <f>'Trial Balance'!L212</f>
        <v>0</v>
      </c>
      <c r="D8" s="11"/>
      <c r="E8" s="12"/>
      <c r="F8" s="13"/>
      <c r="G8" s="15"/>
    </row>
    <row r="9" spans="1:7" ht="15" customHeight="1">
      <c r="A9" s="25" t="str">
        <f>'Trial Balance'!A213&amp;"-"&amp;'Trial Balance'!B213</f>
        <v>4015-Industrial Energy Sales</v>
      </c>
      <c r="B9" s="304">
        <f>'Trial Balance'!L213</f>
        <v>0</v>
      </c>
      <c r="D9" s="11"/>
      <c r="E9" s="12"/>
      <c r="F9" s="13"/>
      <c r="G9" s="15"/>
    </row>
    <row r="10" spans="1:7" ht="15" customHeight="1">
      <c r="A10" s="25" t="str">
        <f>'Trial Balance'!A214&amp;"-"&amp;'Trial Balance'!B214</f>
        <v>4020-Energy Sales to Large Users</v>
      </c>
      <c r="B10" s="304">
        <f>'Trial Balance'!L214</f>
        <v>0</v>
      </c>
      <c r="D10" s="11"/>
      <c r="E10" s="12"/>
      <c r="F10" s="13"/>
      <c r="G10" s="15"/>
    </row>
    <row r="11" spans="1:7" ht="15" customHeight="1">
      <c r="A11" s="25" t="str">
        <f>'Trial Balance'!A215&amp;"-"&amp;'Trial Balance'!B215</f>
        <v>4025-Street Lighting Energy Sales</v>
      </c>
      <c r="B11" s="304">
        <f>'Trial Balance'!L215</f>
        <v>-172263.00803888525</v>
      </c>
      <c r="D11" s="11"/>
      <c r="E11" s="12"/>
      <c r="F11" s="13"/>
      <c r="G11" s="15"/>
    </row>
    <row r="12" spans="1:7" ht="15" customHeight="1">
      <c r="A12" s="25" t="str">
        <f>'Trial Balance'!A216&amp;"-"&amp;'Trial Balance'!B216</f>
        <v>4030-Sentinel Energy Sales</v>
      </c>
      <c r="B12" s="304">
        <f>'Trial Balance'!L216</f>
        <v>0</v>
      </c>
      <c r="D12" s="11"/>
      <c r="E12" s="12"/>
      <c r="F12" s="13"/>
      <c r="G12" s="15"/>
    </row>
    <row r="13" spans="1:7" ht="15" customHeight="1">
      <c r="A13" s="25" t="str">
        <f>'Trial Balance'!A217&amp;"-"&amp;'Trial Balance'!B217</f>
        <v>4035-General Energy Sales</v>
      </c>
      <c r="B13" s="304">
        <f>'Trial Balance'!L217</f>
        <v>-16243379.041053075</v>
      </c>
      <c r="D13" s="11"/>
      <c r="E13" s="12"/>
      <c r="F13" s="13"/>
      <c r="G13" s="15"/>
    </row>
    <row r="14" spans="1:7" ht="15" customHeight="1">
      <c r="A14" s="25" t="str">
        <f>'Trial Balance'!A218&amp;"-"&amp;'Trial Balance'!B218</f>
        <v>4040-Other Energy Sales to Public Authorities</v>
      </c>
      <c r="B14" s="304">
        <f>'Trial Balance'!L218</f>
        <v>0</v>
      </c>
      <c r="D14" s="11"/>
      <c r="E14" s="12"/>
      <c r="F14" s="13"/>
      <c r="G14" s="15"/>
    </row>
    <row r="15" spans="1:7" ht="15" customHeight="1">
      <c r="A15" s="25" t="str">
        <f>'Trial Balance'!A219&amp;"-"&amp;'Trial Balance'!B219</f>
        <v>4045-Energy Sales to Railroads and Railways</v>
      </c>
      <c r="B15" s="304">
        <f>'Trial Balance'!L219</f>
        <v>0</v>
      </c>
      <c r="D15" s="11"/>
      <c r="E15" s="12"/>
      <c r="F15" s="13"/>
      <c r="G15" s="15"/>
    </row>
    <row r="16" spans="1:7" ht="15" customHeight="1">
      <c r="A16" s="25" t="str">
        <f>'Trial Balance'!A220&amp;"-"&amp;'Trial Balance'!B220</f>
        <v>4050-Revenue Adjustment</v>
      </c>
      <c r="B16" s="304">
        <f>'Trial Balance'!L220</f>
        <v>0</v>
      </c>
      <c r="D16" s="11"/>
      <c r="E16" s="12"/>
      <c r="F16" s="13"/>
      <c r="G16" s="15"/>
    </row>
    <row r="17" spans="1:7" ht="15" customHeight="1">
      <c r="A17" s="25" t="str">
        <f>'Trial Balance'!A221&amp;"-"&amp;'Trial Balance'!B221</f>
        <v>4055-Energy Sales for Resale</v>
      </c>
      <c r="B17" s="304">
        <f>'Trial Balance'!L221</f>
        <v>0</v>
      </c>
      <c r="D17" s="11"/>
      <c r="E17" s="14"/>
      <c r="F17" s="13"/>
      <c r="G17" s="15"/>
    </row>
    <row r="18" spans="1:7" ht="15" customHeight="1">
      <c r="A18" s="25" t="str">
        <f>'Trial Balance'!A222&amp;"-"&amp;'Trial Balance'!B222</f>
        <v>4060-Interdepartmental Energy Sales</v>
      </c>
      <c r="B18" s="304">
        <f>'Trial Balance'!L222</f>
        <v>0</v>
      </c>
      <c r="D18" s="11"/>
      <c r="E18" s="12"/>
      <c r="F18" s="13"/>
      <c r="G18" s="15"/>
    </row>
    <row r="19" spans="1:7" ht="15" customHeight="1">
      <c r="A19" s="25" t="str">
        <f>'Trial Balance'!A223&amp;"-"&amp;'Trial Balance'!B223</f>
        <v>4062-WMS</v>
      </c>
      <c r="B19" s="304">
        <f>'Trial Balance'!L223</f>
        <v>-2380058.6728392164</v>
      </c>
      <c r="D19" s="11"/>
      <c r="E19" s="12"/>
      <c r="F19" s="13"/>
      <c r="G19" s="15"/>
    </row>
    <row r="20" spans="1:7" ht="15" customHeight="1">
      <c r="A20" s="25" t="str">
        <f>'Trial Balance'!A224&amp;"-"&amp;'Trial Balance'!B224</f>
        <v>4064-Billed WMS-One Time</v>
      </c>
      <c r="B20" s="304">
        <f>'Trial Balance'!L224</f>
        <v>0</v>
      </c>
      <c r="D20" s="11"/>
      <c r="E20" s="12"/>
      <c r="F20" s="13"/>
      <c r="G20" s="15"/>
    </row>
    <row r="21" spans="1:7" ht="15" customHeight="1">
      <c r="A21" s="25" t="str">
        <f>'Trial Balance'!A225&amp;"-"&amp;'Trial Balance'!B225</f>
        <v>4066-NS</v>
      </c>
      <c r="B21" s="304">
        <f>'Trial Balance'!L225</f>
        <v>-2260186.362943545</v>
      </c>
      <c r="D21" s="11"/>
      <c r="E21" s="12"/>
      <c r="F21" s="13"/>
      <c r="G21" s="15"/>
    </row>
    <row r="22" spans="1:7" ht="15" customHeight="1">
      <c r="A22" s="25" t="str">
        <f>'Trial Balance'!A226&amp;"-"&amp;'Trial Balance'!B226</f>
        <v>4068-CS</v>
      </c>
      <c r="B22" s="304">
        <f>'Trial Balance'!L226</f>
        <v>-1769920.3464559633</v>
      </c>
      <c r="D22" s="11"/>
      <c r="E22" s="12"/>
      <c r="F22" s="13"/>
      <c r="G22" s="15"/>
    </row>
    <row r="23" spans="1:7" ht="15" customHeight="1" thickBot="1">
      <c r="A23" s="25" t="str">
        <f>'Trial Balance'!A227&amp;"-"&amp;'Trial Balance'!B227</f>
        <v>4075-LV Charges</v>
      </c>
      <c r="B23" s="304">
        <f>'Trial Balance'!L227</f>
        <v>0</v>
      </c>
      <c r="D23" s="11"/>
      <c r="E23" s="12"/>
      <c r="F23" s="13"/>
      <c r="G23" s="15"/>
    </row>
    <row r="24" spans="1:7" ht="15" customHeight="1" thickBot="1">
      <c r="A24" s="30" t="s">
        <v>143</v>
      </c>
      <c r="B24" s="313">
        <f>SUM(B7:B23)</f>
        <v>-30706902.802681774</v>
      </c>
      <c r="D24" s="11"/>
      <c r="E24" s="14"/>
      <c r="F24" s="13"/>
      <c r="G24" s="15"/>
    </row>
    <row r="25" spans="1:7" s="18" customFormat="1" ht="15" customHeight="1">
      <c r="A25" s="643"/>
      <c r="B25" s="644"/>
      <c r="D25" s="19"/>
      <c r="E25" s="12"/>
      <c r="F25" s="15"/>
      <c r="G25" s="15"/>
    </row>
    <row r="26" spans="1:7" s="18" customFormat="1" ht="15" customHeight="1">
      <c r="A26" s="639" t="s">
        <v>144</v>
      </c>
      <c r="B26" s="639"/>
      <c r="D26" s="19"/>
      <c r="E26" s="12"/>
      <c r="F26" s="15"/>
      <c r="G26" s="15"/>
    </row>
    <row r="27" spans="1:7" ht="15" customHeight="1">
      <c r="A27" s="25" t="str">
        <f>'Trial Balance'!A229&amp;"-"&amp;'Trial Balance'!B229</f>
        <v>4080-Distribution Services Revenue</v>
      </c>
      <c r="B27" s="304">
        <f>'Trial Balance'!L229</f>
        <v>-6324330.398946558</v>
      </c>
      <c r="D27" s="11"/>
      <c r="E27" s="14"/>
      <c r="F27" s="13"/>
      <c r="G27" s="15"/>
    </row>
    <row r="28" spans="1:7" ht="15" customHeight="1">
      <c r="A28" s="25" t="str">
        <f>'Trial Balance'!A230&amp;"-"&amp;'Trial Balance'!B230</f>
        <v>4082-RS Rev</v>
      </c>
      <c r="B28" s="304">
        <f>'Trial Balance'!L230</f>
        <v>-25400</v>
      </c>
      <c r="D28" s="11"/>
      <c r="E28" s="14"/>
      <c r="F28" s="13"/>
      <c r="G28" s="15"/>
    </row>
    <row r="29" spans="1:7" ht="15" customHeight="1">
      <c r="A29" s="25" t="str">
        <f>'Trial Balance'!A231&amp;"-"&amp;'Trial Balance'!B231</f>
        <v>4084-Serv Tx Requests</v>
      </c>
      <c r="B29" s="304">
        <f>'Trial Balance'!L231</f>
        <v>-1000</v>
      </c>
      <c r="D29" s="11"/>
      <c r="E29" s="14"/>
      <c r="F29" s="13"/>
      <c r="G29" s="15"/>
    </row>
    <row r="30" spans="1:7" ht="15" customHeight="1" thickBot="1">
      <c r="A30" s="25" t="str">
        <f>'Trial Balance'!A232&amp;"-"&amp;'Trial Balance'!B232</f>
        <v>4090-Electric Services Incidental to Energy Sales</v>
      </c>
      <c r="B30" s="304">
        <f>'Trial Balance'!L232</f>
        <v>0</v>
      </c>
      <c r="D30" s="11"/>
      <c r="E30" s="14"/>
      <c r="F30" s="13"/>
      <c r="G30" s="15"/>
    </row>
    <row r="31" spans="1:7" ht="15" customHeight="1" thickBot="1">
      <c r="A31" s="30" t="s">
        <v>74</v>
      </c>
      <c r="B31" s="313">
        <f>SUM(B27:B30)</f>
        <v>-6350730.398946558</v>
      </c>
      <c r="D31" s="11"/>
      <c r="E31" s="12"/>
      <c r="F31" s="13"/>
      <c r="G31" s="15"/>
    </row>
    <row r="32" spans="1:7" s="18" customFormat="1" ht="15" customHeight="1">
      <c r="A32" s="643"/>
      <c r="B32" s="644"/>
      <c r="D32" s="19"/>
      <c r="E32" s="12"/>
      <c r="F32" s="15"/>
      <c r="G32" s="15"/>
    </row>
    <row r="33" spans="1:7" s="18" customFormat="1" ht="15" customHeight="1">
      <c r="A33" s="639" t="s">
        <v>75</v>
      </c>
      <c r="B33" s="639"/>
      <c r="D33" s="19"/>
      <c r="E33" s="12"/>
      <c r="F33" s="15"/>
      <c r="G33" s="15"/>
    </row>
    <row r="34" spans="1:7" ht="15" customHeight="1">
      <c r="A34" s="25" t="str">
        <f>'Trial Balance'!A234&amp;"-"&amp;'Trial Balance'!B234</f>
        <v>4205-Interdepartmental Rents</v>
      </c>
      <c r="B34" s="304">
        <f>'Trial Balance'!L234</f>
        <v>0</v>
      </c>
      <c r="D34" s="11"/>
      <c r="E34" s="14"/>
      <c r="F34" s="13"/>
      <c r="G34" s="15"/>
    </row>
    <row r="35" spans="1:2" ht="15" customHeight="1">
      <c r="A35" s="25" t="str">
        <f>'Trial Balance'!A235&amp;"-"&amp;'Trial Balance'!B235</f>
        <v>4210-Rent from Electric Property</v>
      </c>
      <c r="B35" s="304">
        <f>'Trial Balance'!L235</f>
        <v>-40885</v>
      </c>
    </row>
    <row r="36" spans="1:2" ht="15" customHeight="1">
      <c r="A36" s="25" t="str">
        <f>'Trial Balance'!A236&amp;"-"&amp;'Trial Balance'!B236</f>
        <v>4215-Other Utility Operating Income</v>
      </c>
      <c r="B36" s="304">
        <f>'Trial Balance'!L236</f>
        <v>0</v>
      </c>
    </row>
    <row r="37" spans="1:2" ht="15" customHeight="1">
      <c r="A37" s="25" t="str">
        <f>'Trial Balance'!A237&amp;"-"&amp;'Trial Balance'!B237</f>
        <v>4220-Other Electric Revenues</v>
      </c>
      <c r="B37" s="304">
        <f>'Trial Balance'!L237</f>
        <v>0</v>
      </c>
    </row>
    <row r="38" spans="1:2" ht="15" customHeight="1">
      <c r="A38" s="25" t="str">
        <f>'Trial Balance'!A238&amp;"-"&amp;'Trial Balance'!B238</f>
        <v>4225-Late Payment Charges</v>
      </c>
      <c r="B38" s="304">
        <f>'Trial Balance'!L238</f>
        <v>-50235.03</v>
      </c>
    </row>
    <row r="39" spans="1:2" ht="15" customHeight="1">
      <c r="A39" s="25" t="str">
        <f>'Trial Balance'!A239&amp;"-"&amp;'Trial Balance'!B239</f>
        <v>4230-Sales of Water and Water Power</v>
      </c>
      <c r="B39" s="304">
        <f>'Trial Balance'!L239</f>
        <v>0</v>
      </c>
    </row>
    <row r="40" spans="1:2" ht="15" customHeight="1">
      <c r="A40" s="25" t="str">
        <f>'Trial Balance'!A240&amp;"-"&amp;'Trial Balance'!B240</f>
        <v>4235-Miscellaneous Service Revenues</v>
      </c>
      <c r="B40" s="304">
        <f>'Trial Balance'!L240</f>
        <v>-148875</v>
      </c>
    </row>
    <row r="41" spans="1:2" ht="15" customHeight="1">
      <c r="A41" s="25" t="str">
        <f>'Trial Balance'!A241&amp;"-"&amp;'Trial Balance'!B241</f>
        <v>4240-Provision for Rate Refunds</v>
      </c>
      <c r="B41" s="304">
        <f>'Trial Balance'!L241</f>
        <v>0</v>
      </c>
    </row>
    <row r="42" spans="1:2" ht="15" customHeight="1" thickBot="1">
      <c r="A42" s="25" t="str">
        <f>'Trial Balance'!A242&amp;"-"&amp;'Trial Balance'!B242</f>
        <v>4245-Government Assistance Directly Credited to Income</v>
      </c>
      <c r="B42" s="304">
        <f>'Trial Balance'!L242</f>
        <v>0</v>
      </c>
    </row>
    <row r="43" spans="1:2" ht="15" customHeight="1" thickBot="1">
      <c r="A43" s="30" t="s">
        <v>87</v>
      </c>
      <c r="B43" s="313">
        <f>SUM(B34:B42)</f>
        <v>-239995.03</v>
      </c>
    </row>
    <row r="44" spans="1:2" s="18" customFormat="1" ht="15" customHeight="1">
      <c r="A44" s="643"/>
      <c r="B44" s="644"/>
    </row>
    <row r="45" spans="1:2" s="18" customFormat="1" ht="15" customHeight="1">
      <c r="A45" s="639" t="s">
        <v>88</v>
      </c>
      <c r="B45" s="639"/>
    </row>
    <row r="46" spans="1:2" ht="15" customHeight="1">
      <c r="A46" s="25" t="str">
        <f>'Trial Balance'!A244&amp;"-"&amp;'Trial Balance'!B244</f>
        <v>4305-Regulatory Debits</v>
      </c>
      <c r="B46" s="304">
        <f>'Trial Balance'!L244</f>
        <v>0</v>
      </c>
    </row>
    <row r="47" spans="1:2" ht="15" customHeight="1">
      <c r="A47" s="25" t="str">
        <f>'Trial Balance'!A245&amp;"-"&amp;'Trial Balance'!B245</f>
        <v>4310-Regulatory Credits</v>
      </c>
      <c r="B47" s="304">
        <f>'Trial Balance'!L245</f>
        <v>0</v>
      </c>
    </row>
    <row r="48" spans="1:2" ht="15" customHeight="1">
      <c r="A48" s="25" t="str">
        <f>'Trial Balance'!A246&amp;"-"&amp;'Trial Balance'!B246</f>
        <v>4315-Revenues from Electric Plant Leased to Others</v>
      </c>
      <c r="B48" s="304">
        <f>'Trial Balance'!L246</f>
        <v>0</v>
      </c>
    </row>
    <row r="49" spans="1:2" ht="15" customHeight="1">
      <c r="A49" s="25" t="str">
        <f>'Trial Balance'!A247&amp;"-"&amp;'Trial Balance'!B247</f>
        <v>4320-Expenses of Electric Plant Leased to Others</v>
      </c>
      <c r="B49" s="304">
        <f>'Trial Balance'!L247</f>
        <v>0</v>
      </c>
    </row>
    <row r="50" spans="1:2" ht="15" customHeight="1">
      <c r="A50" s="25" t="str">
        <f>'Trial Balance'!A248&amp;"-"&amp;'Trial Balance'!B248</f>
        <v>4324-Special Purpose Charge Recovery - Billed</v>
      </c>
      <c r="B50" s="304">
        <f>'Trial Balance'!L248</f>
        <v>0</v>
      </c>
    </row>
    <row r="51" spans="1:2" ht="15" customHeight="1">
      <c r="A51" s="25" t="str">
        <f>'Trial Balance'!A249&amp;"-"&amp;'Trial Balance'!B249</f>
        <v>4325-Revenues from Merchandise, Jobbing, Etc.</v>
      </c>
      <c r="B51" s="304">
        <f>'Trial Balance'!L249</f>
        <v>0</v>
      </c>
    </row>
    <row r="52" spans="1:2" ht="15" customHeight="1">
      <c r="A52" s="25" t="str">
        <f>'Trial Balance'!A250&amp;"-"&amp;'Trial Balance'!B250</f>
        <v>4330-Costs and Expenses of Merchandising, Jobbing, Etc</v>
      </c>
      <c r="B52" s="304">
        <f>'Trial Balance'!L250</f>
        <v>0</v>
      </c>
    </row>
    <row r="53" spans="1:2" ht="15" customHeight="1">
      <c r="A53" s="25" t="str">
        <f>'Trial Balance'!A251&amp;"-"&amp;'Trial Balance'!B251</f>
        <v>4335-Profits and Losses from Financial Instrument Hedges</v>
      </c>
      <c r="B53" s="304">
        <f>'Trial Balance'!L251</f>
        <v>0</v>
      </c>
    </row>
    <row r="54" spans="1:2" ht="15" customHeight="1">
      <c r="A54" s="25" t="str">
        <f>'Trial Balance'!A252&amp;"-"&amp;'Trial Balance'!B252</f>
        <v>4340-Profits and Losses from Financial Instrument Investments</v>
      </c>
      <c r="B54" s="304">
        <f>'Trial Balance'!L252</f>
        <v>0</v>
      </c>
    </row>
    <row r="55" spans="1:2" ht="15" customHeight="1">
      <c r="A55" s="25" t="str">
        <f>'Trial Balance'!A253&amp;"-"&amp;'Trial Balance'!B253</f>
        <v>4345-Gains from Disposition of Future Use Utility Plant</v>
      </c>
      <c r="B55" s="304">
        <f>'Trial Balance'!L253</f>
        <v>0</v>
      </c>
    </row>
    <row r="56" spans="1:2" ht="15" customHeight="1">
      <c r="A56" s="25" t="str">
        <f>'Trial Balance'!A254&amp;"-"&amp;'Trial Balance'!B254</f>
        <v>4350-Losses from Disposition of Future Use Utility Plant</v>
      </c>
      <c r="B56" s="304">
        <f>'Trial Balance'!L254</f>
        <v>0</v>
      </c>
    </row>
    <row r="57" spans="1:2" ht="15" customHeight="1">
      <c r="A57" s="25" t="str">
        <f>'Trial Balance'!A255&amp;"-"&amp;'Trial Balance'!B255</f>
        <v>4355-Gain on Disposition of Utility and Other Property</v>
      </c>
      <c r="B57" s="304">
        <f>'Trial Balance'!L255</f>
        <v>-1000</v>
      </c>
    </row>
    <row r="58" spans="1:2" ht="15" customHeight="1">
      <c r="A58" s="25" t="str">
        <f>'Trial Balance'!A256&amp;"-"&amp;'Trial Balance'!B256</f>
        <v>4360-Loss on Disposition of Utility and Other Property</v>
      </c>
      <c r="B58" s="304">
        <f>'Trial Balance'!L256</f>
        <v>0</v>
      </c>
    </row>
    <row r="59" spans="1:2" ht="15" customHeight="1">
      <c r="A59" s="25" t="str">
        <f>'Trial Balance'!A257&amp;"-"&amp;'Trial Balance'!B257</f>
        <v>4365-Gains from Disposition of Allowances for Emission</v>
      </c>
      <c r="B59" s="304">
        <f>'Trial Balance'!L257</f>
        <v>0</v>
      </c>
    </row>
    <row r="60" spans="1:2" ht="15" customHeight="1">
      <c r="A60" s="25" t="str">
        <f>'Trial Balance'!A258&amp;"-"&amp;'Trial Balance'!B258</f>
        <v>4370-Losses from Disposition of Allowances for Emission</v>
      </c>
      <c r="B60" s="304">
        <f>'Trial Balance'!L258</f>
        <v>0</v>
      </c>
    </row>
    <row r="61" spans="1:2" ht="15" customHeight="1">
      <c r="A61" s="25" t="str">
        <f>'Trial Balance'!A259&amp;"-"&amp;'Trial Balance'!B259</f>
        <v>4375-Revenues from Non-Utility Operations</v>
      </c>
      <c r="B61" s="304">
        <f>'Trial Balance'!L259</f>
        <v>-793005</v>
      </c>
    </row>
    <row r="62" spans="1:2" ht="15" customHeight="1">
      <c r="A62" s="25" t="str">
        <f>'Trial Balance'!A260&amp;"-"&amp;'Trial Balance'!B260</f>
        <v>4380-Expenses of Non-Utility Operations</v>
      </c>
      <c r="B62" s="304">
        <f>'Trial Balance'!L260</f>
        <v>717977.6950309041</v>
      </c>
    </row>
    <row r="63" spans="1:2" ht="15" customHeight="1">
      <c r="A63" s="25" t="str">
        <f>'Trial Balance'!A261&amp;"-"&amp;'Trial Balance'!B261</f>
        <v>4385-Expenses of Non-Utility Operations</v>
      </c>
      <c r="B63" s="304">
        <f>'Trial Balance'!L261</f>
        <v>0</v>
      </c>
    </row>
    <row r="64" spans="1:2" ht="15" customHeight="1">
      <c r="A64" s="25" t="str">
        <f>'Trial Balance'!A262&amp;"-"&amp;'Trial Balance'!B262</f>
        <v>4390-Miscellaneous Non-Operating Income</v>
      </c>
      <c r="B64" s="304">
        <f>'Trial Balance'!L262</f>
        <v>-25350</v>
      </c>
    </row>
    <row r="65" spans="1:2" ht="15" customHeight="1">
      <c r="A65" s="25" t="str">
        <f>'Trial Balance'!A263&amp;"-"&amp;'Trial Balance'!B263</f>
        <v>4395-Rate-Payer Benefit Including Interest</v>
      </c>
      <c r="B65" s="304">
        <f>'Trial Balance'!L263</f>
        <v>0</v>
      </c>
    </row>
    <row r="66" spans="1:2" ht="15" customHeight="1" thickBot="1">
      <c r="A66" s="25" t="str">
        <f>'Trial Balance'!A264&amp;"-"&amp;'Trial Balance'!B264</f>
        <v>4398-Foreign Exchange Gains and Losses, Including Amortization</v>
      </c>
      <c r="B66" s="304">
        <f>'Trial Balance'!L264</f>
        <v>0</v>
      </c>
    </row>
    <row r="67" spans="1:2" ht="15" customHeight="1" thickBot="1">
      <c r="A67" s="30" t="s">
        <v>83</v>
      </c>
      <c r="B67" s="313">
        <f>SUM(B46:B66)</f>
        <v>-101377.30496909586</v>
      </c>
    </row>
    <row r="68" spans="1:2" s="18" customFormat="1" ht="15" customHeight="1">
      <c r="A68" s="643"/>
      <c r="B68" s="644"/>
    </row>
    <row r="69" spans="1:2" s="18" customFormat="1" ht="15" customHeight="1">
      <c r="A69" s="639" t="s">
        <v>84</v>
      </c>
      <c r="B69" s="639"/>
    </row>
    <row r="70" spans="1:2" s="18" customFormat="1" ht="15" customHeight="1">
      <c r="A70" s="25" t="str">
        <f>'Trial Balance'!A266&amp;"-"&amp;'Trial Balance'!B266</f>
        <v>4405-Interest and Dividend Income</v>
      </c>
      <c r="B70" s="304">
        <f>'Trial Balance'!L266</f>
        <v>-42955.82</v>
      </c>
    </row>
    <row r="71" spans="1:2" ht="15" customHeight="1" thickBot="1">
      <c r="A71" s="25" t="str">
        <f>'Trial Balance'!A267&amp;"-"&amp;'Trial Balance'!B267</f>
        <v>4415-Equity in Earnings of Subsidiary Companies</v>
      </c>
      <c r="B71" s="304">
        <f>'Trial Balance'!L267</f>
        <v>0</v>
      </c>
    </row>
    <row r="72" spans="1:2" ht="15" customHeight="1" thickBot="1">
      <c r="A72" s="30" t="s">
        <v>85</v>
      </c>
      <c r="B72" s="313">
        <f>SUM(B70:B71)</f>
        <v>-42955.82</v>
      </c>
    </row>
    <row r="73" spans="1:2" s="18" customFormat="1" ht="15" customHeight="1">
      <c r="A73" s="643"/>
      <c r="B73" s="644"/>
    </row>
    <row r="74" spans="1:2" s="18" customFormat="1" ht="15" customHeight="1">
      <c r="A74" s="639" t="s">
        <v>86</v>
      </c>
      <c r="B74" s="639"/>
    </row>
    <row r="75" spans="1:2" ht="15" customHeight="1">
      <c r="A75" s="25" t="str">
        <f>'Trial Balance'!A269&amp;"-"&amp;'Trial Balance'!B269</f>
        <v>4705-Power Purchased</v>
      </c>
      <c r="B75" s="304">
        <f>'Trial Balance'!L269</f>
        <v>24296737.420960955</v>
      </c>
    </row>
    <row r="76" spans="1:2" ht="15" customHeight="1">
      <c r="A76" s="25" t="str">
        <f>'Trial Balance'!A270&amp;"-"&amp;'Trial Balance'!B270</f>
        <v>4708-WMS</v>
      </c>
      <c r="B76" s="304">
        <f>'Trial Balance'!L270</f>
        <v>2380058.6728392164</v>
      </c>
    </row>
    <row r="77" spans="1:2" ht="15" customHeight="1">
      <c r="A77" s="25" t="str">
        <f>'Trial Balance'!A271&amp;"-"&amp;'Trial Balance'!B271</f>
        <v>4710-Cost of Power Adjustments</v>
      </c>
      <c r="B77" s="304">
        <f>'Trial Balance'!L271</f>
        <v>0</v>
      </c>
    </row>
    <row r="78" spans="1:2" ht="15" customHeight="1">
      <c r="A78" s="25" t="str">
        <f>'Trial Balance'!A272&amp;"-"&amp;'Trial Balance'!B272</f>
        <v>4712-0</v>
      </c>
      <c r="B78" s="304">
        <f>'Trial Balance'!L272</f>
        <v>0</v>
      </c>
    </row>
    <row r="79" spans="1:2" ht="15" customHeight="1">
      <c r="A79" s="25" t="str">
        <f>'Trial Balance'!A273&amp;"-"&amp;'Trial Balance'!B273</f>
        <v>4714-NW</v>
      </c>
      <c r="B79" s="304">
        <f>'Trial Balance'!L273</f>
        <v>2260186.362943545</v>
      </c>
    </row>
    <row r="80" spans="1:2" ht="15" customHeight="1">
      <c r="A80" s="25" t="str">
        <f>'Trial Balance'!A274&amp;"-"&amp;'Trial Balance'!B274</f>
        <v>4715-System Control and Load Dispatching</v>
      </c>
      <c r="B80" s="304">
        <f>'Trial Balance'!L274</f>
        <v>0</v>
      </c>
    </row>
    <row r="81" spans="1:2" ht="15" customHeight="1">
      <c r="A81" s="25" t="str">
        <f>'Trial Balance'!A275&amp;"-"&amp;'Trial Balance'!B275</f>
        <v>4716-NCN</v>
      </c>
      <c r="B81" s="304">
        <f>'Trial Balance'!L275</f>
        <v>1769920.3464559633</v>
      </c>
    </row>
    <row r="82" spans="1:2" ht="15" customHeight="1">
      <c r="A82" s="25" t="str">
        <f>'Trial Balance'!A276&amp;"-"&amp;'Trial Balance'!B276</f>
        <v>4720-Other Expenses</v>
      </c>
      <c r="B82" s="304">
        <f>'Trial Balance'!L276</f>
        <v>0</v>
      </c>
    </row>
    <row r="83" spans="1:2" ht="15" customHeight="1">
      <c r="A83" s="25" t="str">
        <f>'Trial Balance'!A277&amp;"-"&amp;'Trial Balance'!B277</f>
        <v>4725-Competition Transition Expense</v>
      </c>
      <c r="B83" s="304">
        <f>'Trial Balance'!L277</f>
        <v>0</v>
      </c>
    </row>
    <row r="84" spans="1:2" ht="15" customHeight="1">
      <c r="A84" s="25" t="str">
        <f>'Trial Balance'!A278&amp;"-"&amp;'Trial Balance'!B278</f>
        <v>4730-Rural Rate Assistance Expense</v>
      </c>
      <c r="B84" s="304">
        <f>'Trial Balance'!L278</f>
        <v>0</v>
      </c>
    </row>
    <row r="85" spans="1:2" ht="15" customHeight="1" thickBot="1">
      <c r="A85" s="25" t="str">
        <f>'Trial Balance'!A279&amp;"-"&amp;'Trial Balance'!B279</f>
        <v>4750-LV Charges</v>
      </c>
      <c r="B85" s="304">
        <f>'Trial Balance'!L279</f>
        <v>0</v>
      </c>
    </row>
    <row r="86" spans="1:2" ht="15" customHeight="1" thickBot="1">
      <c r="A86" s="30" t="s">
        <v>539</v>
      </c>
      <c r="B86" s="313">
        <f>SUM(B75:B85)</f>
        <v>30706902.80319968</v>
      </c>
    </row>
    <row r="87" spans="1:2" s="18" customFormat="1" ht="15" customHeight="1">
      <c r="A87" s="643"/>
      <c r="B87" s="644"/>
    </row>
    <row r="88" spans="1:2" s="18" customFormat="1" ht="15" customHeight="1">
      <c r="A88" s="639" t="s">
        <v>540</v>
      </c>
      <c r="B88" s="639"/>
    </row>
    <row r="89" spans="1:2" ht="15" customHeight="1">
      <c r="A89" s="25" t="str">
        <f>'Trial Balance'!A281&amp;"-"&amp;'Trial Balance'!B281</f>
        <v>5005-Operation Supervision and Engineering</v>
      </c>
      <c r="B89" s="304">
        <f>'Trial Balance'!L281</f>
        <v>205500</v>
      </c>
    </row>
    <row r="90" spans="1:2" ht="15" customHeight="1">
      <c r="A90" s="25" t="str">
        <f>'Trial Balance'!A282&amp;"-"&amp;'Trial Balance'!B282</f>
        <v>5010-Load Dispatching</v>
      </c>
      <c r="B90" s="304">
        <f>'Trial Balance'!L282</f>
        <v>40500</v>
      </c>
    </row>
    <row r="91" spans="1:2" ht="15" customHeight="1">
      <c r="A91" s="25" t="str">
        <f>'Trial Balance'!A283&amp;"-"&amp;'Trial Balance'!B283</f>
        <v>5012-Station Buildings and Fixtures Expense</v>
      </c>
      <c r="B91" s="304">
        <f>'Trial Balance'!L283</f>
        <v>36300</v>
      </c>
    </row>
    <row r="92" spans="1:2" ht="15" customHeight="1">
      <c r="A92" s="25" t="str">
        <f>'Trial Balance'!A284&amp;"-"&amp;'Trial Balance'!B284</f>
        <v>5014-Transformer Station Equipment - Operation Labour</v>
      </c>
      <c r="B92" s="304">
        <f>'Trial Balance'!L284</f>
        <v>0</v>
      </c>
    </row>
    <row r="93" spans="1:2" ht="15" customHeight="1">
      <c r="A93" s="25" t="str">
        <f>'Trial Balance'!A285&amp;"-"&amp;'Trial Balance'!B285</f>
        <v>5015-Transformer Station Equipment - Operation Supplies and Expenses</v>
      </c>
      <c r="B93" s="304">
        <f>'Trial Balance'!L285</f>
        <v>0</v>
      </c>
    </row>
    <row r="94" spans="1:2" ht="15" customHeight="1">
      <c r="A94" s="25" t="str">
        <f>'Trial Balance'!A286&amp;"-"&amp;'Trial Balance'!B286</f>
        <v>5016-Distribution Station Equipment - Operation Labour</v>
      </c>
      <c r="B94" s="304">
        <f>'Trial Balance'!L286</f>
        <v>45000</v>
      </c>
    </row>
    <row r="95" spans="1:2" ht="15" customHeight="1">
      <c r="A95" s="25" t="str">
        <f>'Trial Balance'!A287&amp;"-"&amp;'Trial Balance'!B287</f>
        <v>5017-Distribution Station Equipment - Operation Supplies and Expenses</v>
      </c>
      <c r="B95" s="304">
        <f>'Trial Balance'!L287</f>
        <v>12611</v>
      </c>
    </row>
    <row r="96" spans="1:2" ht="15" customHeight="1">
      <c r="A96" s="25" t="str">
        <f>'Trial Balance'!A288&amp;"-"&amp;'Trial Balance'!B288</f>
        <v>5020-Overhead Distribution Lines and Feeders - Operation Labour</v>
      </c>
      <c r="B96" s="304">
        <f>'Trial Balance'!L288</f>
        <v>36000</v>
      </c>
    </row>
    <row r="97" spans="1:2" ht="15" customHeight="1">
      <c r="A97" s="25" t="str">
        <f>'Trial Balance'!A289&amp;"-"&amp;'Trial Balance'!B289</f>
        <v>5025-Overhead Distribution Lines and Feeders - Operation Supplies and Expenses</v>
      </c>
      <c r="B97" s="304">
        <f>'Trial Balance'!L289</f>
        <v>3600</v>
      </c>
    </row>
    <row r="98" spans="1:2" ht="15" customHeight="1">
      <c r="A98" s="25" t="str">
        <f>'Trial Balance'!A290&amp;"-"&amp;'Trial Balance'!B290</f>
        <v>5030-Overhead Subtransmission Feeders - Operation</v>
      </c>
      <c r="B98" s="304">
        <f>'Trial Balance'!L290</f>
        <v>0</v>
      </c>
    </row>
    <row r="99" spans="1:2" ht="15" customHeight="1">
      <c r="A99" s="25" t="str">
        <f>'Trial Balance'!A291&amp;"-"&amp;'Trial Balance'!B291</f>
        <v>5035-Overhead Distribution Transformers - Operation</v>
      </c>
      <c r="B99" s="304">
        <f>'Trial Balance'!L291</f>
        <v>3300</v>
      </c>
    </row>
    <row r="100" spans="1:2" ht="15" customHeight="1">
      <c r="A100" s="25" t="str">
        <f>'Trial Balance'!A292&amp;"-"&amp;'Trial Balance'!B292</f>
        <v>5040-Underground Distribution Lines and Feeders - Operation Labour</v>
      </c>
      <c r="B100" s="304">
        <f>'Trial Balance'!L292</f>
        <v>22000</v>
      </c>
    </row>
    <row r="101" spans="1:2" ht="15" customHeight="1">
      <c r="A101" s="25" t="str">
        <f>'Trial Balance'!A293&amp;"-"&amp;'Trial Balance'!B293</f>
        <v>5045-Underground Distribution Lines and Feeders - Operation Supplies and Expenses</v>
      </c>
      <c r="B101" s="304">
        <f>'Trial Balance'!L293</f>
        <v>17120</v>
      </c>
    </row>
    <row r="102" spans="1:2" ht="15" customHeight="1">
      <c r="A102" s="25" t="str">
        <f>'Trial Balance'!A294&amp;"-"&amp;'Trial Balance'!B294</f>
        <v>5050-Underground Subtransmission Feeders - Operation</v>
      </c>
      <c r="B102" s="304">
        <f>'Trial Balance'!L294</f>
        <v>0</v>
      </c>
    </row>
    <row r="103" spans="1:2" ht="15" customHeight="1">
      <c r="A103" s="25" t="str">
        <f>'Trial Balance'!A295&amp;"-"&amp;'Trial Balance'!B295</f>
        <v>5055-Underground Distribution Transformers - Operation</v>
      </c>
      <c r="B103" s="304">
        <f>'Trial Balance'!L295</f>
        <v>0</v>
      </c>
    </row>
    <row r="104" spans="1:2" ht="15" customHeight="1">
      <c r="A104" s="25" t="str">
        <f>'Trial Balance'!A296&amp;"-"&amp;'Trial Balance'!B296</f>
        <v>5060-Street Lighting and Signal System Expense</v>
      </c>
      <c r="B104" s="304">
        <f>'Trial Balance'!L296</f>
        <v>0</v>
      </c>
    </row>
    <row r="105" spans="1:2" ht="15" customHeight="1">
      <c r="A105" s="25" t="str">
        <f>'Trial Balance'!A297&amp;"-"&amp;'Trial Balance'!B297</f>
        <v>5065-Meter Expense</v>
      </c>
      <c r="B105" s="304">
        <f>'Trial Balance'!L297</f>
        <v>160000</v>
      </c>
    </row>
    <row r="106" spans="1:2" ht="15" customHeight="1">
      <c r="A106" s="25" t="str">
        <f>'Trial Balance'!A298&amp;"-"&amp;'Trial Balance'!B298</f>
        <v>5070-Customer Premises - Operation Labour</v>
      </c>
      <c r="B106" s="304">
        <f>'Trial Balance'!L298</f>
        <v>70000</v>
      </c>
    </row>
    <row r="107" spans="1:2" ht="15" customHeight="1">
      <c r="A107" s="25" t="str">
        <f>'Trial Balance'!A299&amp;"-"&amp;'Trial Balance'!B299</f>
        <v>5075-Customer Premises - Materials and Expenses</v>
      </c>
      <c r="B107" s="304">
        <f>'Trial Balance'!L299</f>
        <v>6000</v>
      </c>
    </row>
    <row r="108" spans="1:2" ht="15" customHeight="1">
      <c r="A108" s="25" t="str">
        <f>'Trial Balance'!A300&amp;"-"&amp;'Trial Balance'!B300</f>
        <v>5085-Miscellaneous Distribution Expense</v>
      </c>
      <c r="B108" s="304">
        <f>'Trial Balance'!L300</f>
        <v>168548</v>
      </c>
    </row>
    <row r="109" spans="1:2" ht="15" customHeight="1">
      <c r="A109" s="25" t="str">
        <f>'Trial Balance'!A301&amp;"-"&amp;'Trial Balance'!B301</f>
        <v>5090-Underground Distribution Lines and Feeders - Rental Paid</v>
      </c>
      <c r="B109" s="304">
        <f>'Trial Balance'!L301</f>
        <v>0</v>
      </c>
    </row>
    <row r="110" spans="1:2" ht="15" customHeight="1">
      <c r="A110" s="25" t="str">
        <f>'Trial Balance'!A302&amp;"-"&amp;'Trial Balance'!B302</f>
        <v>5095-Overhead Distribution Lines and Feeders - Rental Paid</v>
      </c>
      <c r="B110" s="304">
        <f>'Trial Balance'!L302</f>
        <v>3775</v>
      </c>
    </row>
    <row r="111" spans="1:2" ht="15" customHeight="1" thickBot="1">
      <c r="A111" s="25" t="str">
        <f>'Trial Balance'!A303&amp;"-"&amp;'Trial Balance'!B303</f>
        <v>5096-Other Rent</v>
      </c>
      <c r="B111" s="304">
        <f>'Trial Balance'!L303</f>
        <v>0</v>
      </c>
    </row>
    <row r="112" spans="1:2" ht="15" customHeight="1" thickBot="1">
      <c r="A112" s="30" t="s">
        <v>543</v>
      </c>
      <c r="B112" s="313">
        <f>SUM(B89:B111)</f>
        <v>830254</v>
      </c>
    </row>
    <row r="113" spans="1:2" s="18" customFormat="1" ht="15" customHeight="1">
      <c r="A113" s="643"/>
      <c r="B113" s="644"/>
    </row>
    <row r="114" spans="1:2" s="18" customFormat="1" ht="15" customHeight="1">
      <c r="A114" s="639" t="s">
        <v>544</v>
      </c>
      <c r="B114" s="639"/>
    </row>
    <row r="115" spans="1:2" ht="15" customHeight="1">
      <c r="A115" s="25" t="str">
        <f>'Trial Balance'!A305&amp;"-"&amp;'Trial Balance'!B305</f>
        <v>5105-Maintenance Supervision and Engineering</v>
      </c>
      <c r="B115" s="304">
        <f>'Trial Balance'!L305</f>
        <v>78200</v>
      </c>
    </row>
    <row r="116" spans="1:2" ht="15" customHeight="1">
      <c r="A116" s="25" t="str">
        <f>'Trial Balance'!A306&amp;"-"&amp;'Trial Balance'!B306</f>
        <v>5110-Maintenance of Structures</v>
      </c>
      <c r="B116" s="304">
        <f>'Trial Balance'!L306</f>
        <v>0</v>
      </c>
    </row>
    <row r="117" spans="1:2" ht="15" customHeight="1">
      <c r="A117" s="25" t="str">
        <f>'Trial Balance'!A307&amp;"-"&amp;'Trial Balance'!B307</f>
        <v>5112-Maintenance of Transformer Station Equipment</v>
      </c>
      <c r="B117" s="304">
        <f>'Trial Balance'!L307</f>
        <v>0</v>
      </c>
    </row>
    <row r="118" spans="1:2" ht="15" customHeight="1">
      <c r="A118" s="25" t="str">
        <f>'Trial Balance'!A308&amp;"-"&amp;'Trial Balance'!B308</f>
        <v>5114-Mtaint Dist Stn Equip</v>
      </c>
      <c r="B118" s="304">
        <f>'Trial Balance'!L308</f>
        <v>10000</v>
      </c>
    </row>
    <row r="119" spans="1:2" ht="15" customHeight="1">
      <c r="A119" s="25" t="str">
        <f>'Trial Balance'!A309&amp;"-"&amp;'Trial Balance'!B309</f>
        <v>5120-Maintenance of Poles, Towers and Fixtures</v>
      </c>
      <c r="B119" s="304">
        <f>'Trial Balance'!L309</f>
        <v>85692</v>
      </c>
    </row>
    <row r="120" spans="1:2" ht="15" customHeight="1">
      <c r="A120" s="25" t="str">
        <f>'Trial Balance'!A310&amp;"-"&amp;'Trial Balance'!B310</f>
        <v>5125-Maintenance of Overhead Conductors and Devices</v>
      </c>
      <c r="B120" s="304">
        <f>'Trial Balance'!L310</f>
        <v>94000</v>
      </c>
    </row>
    <row r="121" spans="1:2" ht="15" customHeight="1">
      <c r="A121" s="25" t="str">
        <f>'Trial Balance'!A311&amp;"-"&amp;'Trial Balance'!B311</f>
        <v>5130-Maintenance of Overhead Services</v>
      </c>
      <c r="B121" s="304">
        <f>'Trial Balance'!L311</f>
        <v>72000</v>
      </c>
    </row>
    <row r="122" spans="1:2" ht="15" customHeight="1">
      <c r="A122" s="25" t="str">
        <f>'Trial Balance'!A312&amp;"-"&amp;'Trial Balance'!B312</f>
        <v>5135-Overhead Distribution Lines and Feeders - Right of Way</v>
      </c>
      <c r="B122" s="304">
        <f>'Trial Balance'!L312</f>
        <v>106700</v>
      </c>
    </row>
    <row r="123" spans="1:2" ht="15" customHeight="1">
      <c r="A123" s="25" t="str">
        <f>'Trial Balance'!A313&amp;"-"&amp;'Trial Balance'!B313</f>
        <v>5145-Maintenance of Underground Conduit</v>
      </c>
      <c r="B123" s="304">
        <f>'Trial Balance'!L313</f>
        <v>6300</v>
      </c>
    </row>
    <row r="124" spans="1:2" ht="15" customHeight="1">
      <c r="A124" s="25" t="str">
        <f>'Trial Balance'!A314&amp;"-"&amp;'Trial Balance'!B314</f>
        <v>5150-Maintenance of Underground Conductors and Devices</v>
      </c>
      <c r="B124" s="304">
        <f>'Trial Balance'!L314</f>
        <v>39000</v>
      </c>
    </row>
    <row r="125" spans="1:2" ht="15" customHeight="1">
      <c r="A125" s="25" t="str">
        <f>'Trial Balance'!A315&amp;"-"&amp;'Trial Balance'!B315</f>
        <v>5155-Maintenance of Underground Services</v>
      </c>
      <c r="B125" s="304">
        <f>'Trial Balance'!L315</f>
        <v>70000</v>
      </c>
    </row>
    <row r="126" spans="1:2" ht="15" customHeight="1">
      <c r="A126" s="25" t="str">
        <f>'Trial Balance'!A316&amp;"-"&amp;'Trial Balance'!B316</f>
        <v>5160-Maintenance of Line Transformers</v>
      </c>
      <c r="B126" s="304">
        <f>'Trial Balance'!L316</f>
        <v>82000</v>
      </c>
    </row>
    <row r="127" spans="1:2" ht="15" customHeight="1">
      <c r="A127" s="25" t="str">
        <f>'Trial Balance'!A317&amp;"-"&amp;'Trial Balance'!B317</f>
        <v>5165-Maintenance of Street Lighting and Signal Systems</v>
      </c>
      <c r="B127" s="304">
        <f>'Trial Balance'!L317</f>
        <v>0</v>
      </c>
    </row>
    <row r="128" spans="1:2" ht="15" customHeight="1">
      <c r="A128" s="25" t="str">
        <f>'Trial Balance'!A318&amp;"-"&amp;'Trial Balance'!B318</f>
        <v>5170-Sentinel Lights - Labour</v>
      </c>
      <c r="B128" s="304">
        <f>'Trial Balance'!L318</f>
        <v>0</v>
      </c>
    </row>
    <row r="129" spans="1:2" ht="15" customHeight="1">
      <c r="A129" s="25" t="str">
        <f>'Trial Balance'!A319&amp;"-"&amp;'Trial Balance'!B319</f>
        <v>5172-Sentinel Lights - Materials and Expenses</v>
      </c>
      <c r="B129" s="304">
        <f>'Trial Balance'!L319</f>
        <v>0</v>
      </c>
    </row>
    <row r="130" spans="1:2" ht="15" customHeight="1">
      <c r="A130" s="25" t="str">
        <f>'Trial Balance'!A320&amp;"-"&amp;'Trial Balance'!B320</f>
        <v>5175-Maintenance of Meters</v>
      </c>
      <c r="B130" s="304">
        <f>'Trial Balance'!L320</f>
        <v>0</v>
      </c>
    </row>
    <row r="131" spans="1:2" ht="15" customHeight="1">
      <c r="A131" s="25" t="str">
        <f>'Trial Balance'!A321&amp;"-"&amp;'Trial Balance'!B321</f>
        <v>5178-Customer Installations Expenses - Leased Property</v>
      </c>
      <c r="B131" s="304">
        <f>'Trial Balance'!L321</f>
        <v>0</v>
      </c>
    </row>
    <row r="132" spans="1:2" ht="15" customHeight="1" thickBot="1">
      <c r="A132" s="25" t="str">
        <f>'Trial Balance'!A322&amp;"-"&amp;'Trial Balance'!B322</f>
        <v>5195-Maintenance of Other Installations on Customer Premises</v>
      </c>
      <c r="B132" s="304">
        <f>'Trial Balance'!L322</f>
        <v>0</v>
      </c>
    </row>
    <row r="133" spans="1:2" ht="15" customHeight="1" thickBot="1">
      <c r="A133" s="30" t="s">
        <v>89</v>
      </c>
      <c r="B133" s="313">
        <f>SUM(B115:B132)</f>
        <v>643892</v>
      </c>
    </row>
    <row r="134" spans="1:2" s="18" customFormat="1" ht="15" customHeight="1">
      <c r="A134" s="643"/>
      <c r="B134" s="644"/>
    </row>
    <row r="135" spans="1:2" s="18" customFormat="1" ht="15" customHeight="1">
      <c r="A135" s="641" t="s">
        <v>90</v>
      </c>
      <c r="B135" s="642"/>
    </row>
    <row r="136" spans="1:2" ht="15" customHeight="1">
      <c r="A136" s="25" t="str">
        <f>'Trial Balance'!A328&amp;"-"&amp;'Trial Balance'!B328</f>
        <v>5305-Supervision</v>
      </c>
      <c r="B136" s="304">
        <f>'Trial Balance'!L328</f>
        <v>50434.14038515211</v>
      </c>
    </row>
    <row r="137" spans="1:2" ht="15" customHeight="1">
      <c r="A137" s="25" t="str">
        <f>'Trial Balance'!A329&amp;"-"&amp;'Trial Balance'!B329</f>
        <v>5310-Meter Reading Expense</v>
      </c>
      <c r="B137" s="304">
        <f>'Trial Balance'!L329</f>
        <v>132248.2517339351</v>
      </c>
    </row>
    <row r="138" spans="1:2" ht="15" customHeight="1">
      <c r="A138" s="25" t="str">
        <f>'Trial Balance'!A330&amp;"-"&amp;'Trial Balance'!B330</f>
        <v>5315-Customer Billing</v>
      </c>
      <c r="B138" s="304">
        <f>'Trial Balance'!L330</f>
        <v>219244.6306295533</v>
      </c>
    </row>
    <row r="139" spans="1:2" ht="15" customHeight="1">
      <c r="A139" s="25" t="str">
        <f>'Trial Balance'!A331&amp;"-"&amp;'Trial Balance'!B331</f>
        <v>5320-Collecting</v>
      </c>
      <c r="B139" s="304">
        <f>'Trial Balance'!L331</f>
        <v>117054.71797045539</v>
      </c>
    </row>
    <row r="140" spans="1:2" ht="15" customHeight="1">
      <c r="A140" s="25" t="str">
        <f>'Trial Balance'!A332&amp;"-"&amp;'Trial Balance'!B332</f>
        <v>5325-Collecting - Cash Over and Short</v>
      </c>
      <c r="B140" s="304">
        <f>'Trial Balance'!L332</f>
        <v>100</v>
      </c>
    </row>
    <row r="141" spans="1:2" ht="15" customHeight="1">
      <c r="A141" s="25" t="str">
        <f>'Trial Balance'!A333&amp;"-"&amp;'Trial Balance'!B333</f>
        <v>5330-Collection Charges</v>
      </c>
      <c r="B141" s="304">
        <f>'Trial Balance'!L333</f>
        <v>-4000</v>
      </c>
    </row>
    <row r="142" spans="1:2" ht="15" customHeight="1">
      <c r="A142" s="25" t="str">
        <f>'Trial Balance'!A334&amp;"-"&amp;'Trial Balance'!B334</f>
        <v>5335-Bad Debt Expense</v>
      </c>
      <c r="B142" s="304">
        <f>'Trial Balance'!L334</f>
        <v>45000</v>
      </c>
    </row>
    <row r="143" spans="1:2" ht="15" customHeight="1" thickBot="1">
      <c r="A143" s="25" t="str">
        <f>'Trial Balance'!A335&amp;"-"&amp;'Trial Balance'!B335</f>
        <v>5340-Miscellaneous Customer Accounts Expenses</v>
      </c>
      <c r="B143" s="304">
        <f>'Trial Balance'!L335</f>
        <v>2200</v>
      </c>
    </row>
    <row r="144" spans="1:2" ht="15" customHeight="1" thickBot="1">
      <c r="A144" s="30" t="s">
        <v>99</v>
      </c>
      <c r="B144" s="313">
        <f>SUM(B136:B143)</f>
        <v>562281.7407190959</v>
      </c>
    </row>
    <row r="145" spans="1:2" s="18" customFormat="1" ht="15" customHeight="1">
      <c r="A145" s="643"/>
      <c r="B145" s="644"/>
    </row>
    <row r="146" spans="1:2" s="18" customFormat="1" ht="15" customHeight="1">
      <c r="A146" s="641" t="s">
        <v>100</v>
      </c>
      <c r="B146" s="642"/>
    </row>
    <row r="147" spans="1:2" ht="15" customHeight="1">
      <c r="A147" s="25" t="str">
        <f>'Trial Balance'!A337&amp;"-"&amp;'Trial Balance'!B337</f>
        <v>5405-Supervision</v>
      </c>
      <c r="B147" s="304">
        <f>'Trial Balance'!L337</f>
        <v>3250</v>
      </c>
    </row>
    <row r="148" spans="1:2" ht="15" customHeight="1">
      <c r="A148" s="25" t="str">
        <f>'Trial Balance'!A338&amp;"-"&amp;'Trial Balance'!B338</f>
        <v>5410-Community Relations - Sundry</v>
      </c>
      <c r="B148" s="304">
        <f>'Trial Balance'!L338</f>
        <v>17750</v>
      </c>
    </row>
    <row r="149" spans="1:2" ht="15" customHeight="1">
      <c r="A149" s="25" t="str">
        <f>'Trial Balance'!A339&amp;"-"&amp;'Trial Balance'!B339</f>
        <v>5415-Energy Conservation</v>
      </c>
      <c r="B149" s="304">
        <f>'Trial Balance'!L339</f>
        <v>5300</v>
      </c>
    </row>
    <row r="150" spans="1:2" ht="15" customHeight="1">
      <c r="A150" s="25" t="str">
        <f>'Trial Balance'!A340&amp;"-"&amp;'Trial Balance'!B340</f>
        <v>5420-Community Safety Program</v>
      </c>
      <c r="B150" s="304">
        <f>'Trial Balance'!L340</f>
        <v>10000</v>
      </c>
    </row>
    <row r="151" spans="1:2" ht="15" customHeight="1" thickBot="1">
      <c r="A151" s="25" t="str">
        <f>'Trial Balance'!A341&amp;"-"&amp;'Trial Balance'!B341</f>
        <v>5425-Miscellaneous Customer Service and Informational Expenses</v>
      </c>
      <c r="B151" s="304">
        <f>'Trial Balance'!L341</f>
        <v>0</v>
      </c>
    </row>
    <row r="152" spans="1:2" ht="15" customHeight="1" thickBot="1">
      <c r="A152" s="30" t="s">
        <v>101</v>
      </c>
      <c r="B152" s="313">
        <f>SUM(B147:B151)</f>
        <v>36300</v>
      </c>
    </row>
    <row r="153" spans="1:2" s="18" customFormat="1" ht="15" customHeight="1">
      <c r="A153" s="643"/>
      <c r="B153" s="644"/>
    </row>
    <row r="154" spans="1:2" s="18" customFormat="1" ht="15" customHeight="1">
      <c r="A154" s="641" t="s">
        <v>102</v>
      </c>
      <c r="B154" s="642"/>
    </row>
    <row r="155" spans="1:2" ht="15" customHeight="1">
      <c r="A155" s="25" t="str">
        <f>'Trial Balance'!A348&amp;"-"&amp;'Trial Balance'!B348</f>
        <v>5605-Executive Salaries and Expenses</v>
      </c>
      <c r="B155" s="304">
        <f>'Trial Balance'!L348</f>
        <v>182478</v>
      </c>
    </row>
    <row r="156" spans="1:2" ht="15" customHeight="1">
      <c r="A156" s="25" t="str">
        <f>'Trial Balance'!A349&amp;"-"&amp;'Trial Balance'!B349</f>
        <v>5610-Management Salaries and Expenses</v>
      </c>
      <c r="B156" s="304">
        <f>'Trial Balance'!L349</f>
        <v>261655</v>
      </c>
    </row>
    <row r="157" spans="1:2" ht="15" customHeight="1">
      <c r="A157" s="25" t="str">
        <f>'Trial Balance'!A350&amp;"-"&amp;'Trial Balance'!B350</f>
        <v>5615-General Administrative Salaries and Expenses</v>
      </c>
      <c r="B157" s="304">
        <f>'Trial Balance'!L350</f>
        <v>500000</v>
      </c>
    </row>
    <row r="158" spans="1:2" ht="15" customHeight="1">
      <c r="A158" s="25" t="str">
        <f>'Trial Balance'!A351&amp;"-"&amp;'Trial Balance'!B351</f>
        <v>5620-Office Supplies and Expenses</v>
      </c>
      <c r="B158" s="304">
        <f>'Trial Balance'!L351</f>
        <v>82305</v>
      </c>
    </row>
    <row r="159" spans="1:2" ht="15" customHeight="1">
      <c r="A159" s="25" t="str">
        <f>'Trial Balance'!A352&amp;"-"&amp;'Trial Balance'!B352</f>
        <v>5625-Administrative Expense Transferred-Credit</v>
      </c>
      <c r="B159" s="304">
        <f>'Trial Balance'!L352</f>
        <v>-52105.3895</v>
      </c>
    </row>
    <row r="160" spans="1:2" ht="15" customHeight="1">
      <c r="A160" s="25" t="str">
        <f>'Trial Balance'!A353&amp;"-"&amp;'Trial Balance'!B353</f>
        <v>5630-Outside Services Employed</v>
      </c>
      <c r="B160" s="304">
        <f>'Trial Balance'!L353</f>
        <v>134437</v>
      </c>
    </row>
    <row r="161" spans="1:2" ht="15" customHeight="1">
      <c r="A161" s="25" t="str">
        <f>'Trial Balance'!A354&amp;"-"&amp;'Trial Balance'!B354</f>
        <v>5635-Property Insurance</v>
      </c>
      <c r="B161" s="304">
        <f>'Trial Balance'!L354</f>
        <v>30695</v>
      </c>
    </row>
    <row r="162" spans="1:2" ht="15" customHeight="1">
      <c r="A162" s="25" t="str">
        <f>'Trial Balance'!A355&amp;"-"&amp;'Trial Balance'!B355</f>
        <v>5640-Injuries and Damages</v>
      </c>
      <c r="B162" s="304">
        <f>'Trial Balance'!L355</f>
        <v>67000</v>
      </c>
    </row>
    <row r="163" spans="1:2" ht="15" customHeight="1">
      <c r="A163" s="25" t="str">
        <f>'Trial Balance'!A356&amp;"-"&amp;'Trial Balance'!B356</f>
        <v>5645-Employee Pensions and Benefits</v>
      </c>
      <c r="B163" s="304">
        <f>'Trial Balance'!L356</f>
        <v>18150</v>
      </c>
    </row>
    <row r="164" spans="1:2" ht="15" customHeight="1">
      <c r="A164" s="25" t="str">
        <f>'Trial Balance'!A357&amp;"-"&amp;'Trial Balance'!B357</f>
        <v>5650-Franchise Requirements</v>
      </c>
      <c r="B164" s="304">
        <f>'Trial Balance'!L357</f>
        <v>0</v>
      </c>
    </row>
    <row r="165" spans="1:2" ht="15" customHeight="1">
      <c r="A165" s="25" t="str">
        <f>'Trial Balance'!A358&amp;"-"&amp;'Trial Balance'!B358</f>
        <v>5655-Regulatory Expenses</v>
      </c>
      <c r="B165" s="304">
        <f>'Trial Balance'!L358</f>
        <v>55000</v>
      </c>
    </row>
    <row r="166" spans="1:2" ht="15" customHeight="1">
      <c r="A166" s="25" t="str">
        <f>'Trial Balance'!A359&amp;"-"&amp;'Trial Balance'!B359</f>
        <v>5660-General Advertising Expenses</v>
      </c>
      <c r="B166" s="304">
        <f>'Trial Balance'!L359</f>
        <v>5500</v>
      </c>
    </row>
    <row r="167" spans="1:2" ht="15" customHeight="1">
      <c r="A167" s="25" t="str">
        <f>'Trial Balance'!A360&amp;"-"&amp;'Trial Balance'!B360</f>
        <v>5665-Miscellaneous Expenses</v>
      </c>
      <c r="B167" s="304">
        <f>'Trial Balance'!L360</f>
        <v>147380</v>
      </c>
    </row>
    <row r="168" spans="1:2" ht="15" customHeight="1">
      <c r="A168" s="25" t="str">
        <f>'Trial Balance'!A361&amp;"-"&amp;'Trial Balance'!B361</f>
        <v>5670-Rent  </v>
      </c>
      <c r="B168" s="304">
        <f>'Trial Balance'!L361</f>
        <v>0</v>
      </c>
    </row>
    <row r="169" spans="1:2" ht="15" customHeight="1">
      <c r="A169" s="25" t="str">
        <f>'Trial Balance'!A362&amp;"-"&amp;'Trial Balance'!B362</f>
        <v>5675-Maintenance of General Plant</v>
      </c>
      <c r="B169" s="304">
        <f>'Trial Balance'!L362</f>
        <v>255175.2</v>
      </c>
    </row>
    <row r="170" spans="1:2" ht="15" customHeight="1">
      <c r="A170" s="25" t="str">
        <f>'Trial Balance'!A363&amp;"-"&amp;'Trial Balance'!B363</f>
        <v>5680-Electrical Safety Authority Fees</v>
      </c>
      <c r="B170" s="304">
        <f>'Trial Balance'!L363</f>
        <v>7350</v>
      </c>
    </row>
    <row r="171" spans="1:2" ht="15" customHeight="1">
      <c r="A171" s="25" t="str">
        <f>'Trial Balance'!A364&amp;"-"&amp;'Trial Balance'!B364</f>
        <v>5681- Special Purpose Charge Expense</v>
      </c>
      <c r="B171" s="304">
        <f>'Trial Balance'!L364</f>
        <v>0</v>
      </c>
    </row>
    <row r="172" spans="1:2" ht="15" customHeight="1">
      <c r="A172" s="25" t="str">
        <f>'Trial Balance'!A365&amp;"-"&amp;'Trial Balance'!B365</f>
        <v>5685-Independent Market Operator Fees and Penalties</v>
      </c>
      <c r="B172" s="304">
        <f>'Trial Balance'!L365</f>
        <v>0</v>
      </c>
    </row>
    <row r="173" spans="1:2" ht="15" customHeight="1" thickBot="1">
      <c r="A173" s="25" t="str">
        <f>'Trial Balance'!A366&amp;"-"&amp;'Trial Balance'!B366</f>
        <v>5695-OM&amp;A Contra Account</v>
      </c>
      <c r="B173" s="304">
        <f>'Trial Balance'!L366</f>
        <v>0</v>
      </c>
    </row>
    <row r="174" spans="1:2" ht="15" customHeight="1" thickBot="1">
      <c r="A174" s="30" t="s">
        <v>76</v>
      </c>
      <c r="B174" s="313">
        <f>SUM(B155:B173)</f>
        <v>1695019.8105</v>
      </c>
    </row>
    <row r="175" spans="1:2" s="18" customFormat="1" ht="15" customHeight="1">
      <c r="A175" s="643"/>
      <c r="B175" s="644"/>
    </row>
    <row r="176" spans="1:2" s="18" customFormat="1" ht="15" customHeight="1">
      <c r="A176" s="641" t="s">
        <v>77</v>
      </c>
      <c r="B176" s="642"/>
    </row>
    <row r="177" spans="1:2" s="18" customFormat="1" ht="15" customHeight="1">
      <c r="A177" s="25" t="str">
        <f>'Trial Balance'!A368&amp;"-"&amp;'Trial Balance'!B368</f>
        <v>5705-Amortization Expense - Property, Plant and Equipment</v>
      </c>
      <c r="B177" s="304">
        <f>'Trial Balance'!L368</f>
        <v>1865396.6750760712</v>
      </c>
    </row>
    <row r="178" spans="1:2" s="18" customFormat="1" ht="15" customHeight="1">
      <c r="A178" s="25" t="str">
        <f>'Trial Balance'!A369&amp;"-"&amp;'Trial Balance'!B369</f>
        <v>5710-Amortization of Limited Term Electric Plant</v>
      </c>
      <c r="B178" s="304">
        <f>'Trial Balance'!L369</f>
        <v>0</v>
      </c>
    </row>
    <row r="179" spans="1:2" s="18" customFormat="1" ht="15" customHeight="1">
      <c r="A179" s="25" t="str">
        <f>'Trial Balance'!A370&amp;"-"&amp;'Trial Balance'!B370</f>
        <v>5715-Amortization of Intangibles and Other Electric Plant</v>
      </c>
      <c r="B179" s="304">
        <f>'Trial Balance'!L370</f>
        <v>0</v>
      </c>
    </row>
    <row r="180" spans="1:2" s="18" customFormat="1" ht="15" customHeight="1">
      <c r="A180" s="25" t="str">
        <f>'Trial Balance'!A371&amp;"-"&amp;'Trial Balance'!B371</f>
        <v>5720-Amortization of Electric Plant Acquisition Adjustments</v>
      </c>
      <c r="B180" s="304">
        <f>'Trial Balance'!L371</f>
        <v>0</v>
      </c>
    </row>
    <row r="181" spans="1:2" s="18" customFormat="1" ht="15" customHeight="1">
      <c r="A181" s="25" t="str">
        <f>'Trial Balance'!A372&amp;"-"&amp;'Trial Balance'!B372</f>
        <v>5725-Miscellaneous Amortization</v>
      </c>
      <c r="B181" s="304">
        <f>'Trial Balance'!L372</f>
        <v>0</v>
      </c>
    </row>
    <row r="182" spans="1:2" s="18" customFormat="1" ht="15" customHeight="1">
      <c r="A182" s="25" t="str">
        <f>'Trial Balance'!A373&amp;"-"&amp;'Trial Balance'!B373</f>
        <v>5730-Amortization of Unrecovered Plant and Regulatory Study Costs</v>
      </c>
      <c r="B182" s="304">
        <f>'Trial Balance'!L373</f>
        <v>0</v>
      </c>
    </row>
    <row r="183" spans="1:2" s="18" customFormat="1" ht="15" customHeight="1">
      <c r="A183" s="25" t="str">
        <f>'Trial Balance'!A374&amp;"-"&amp;'Trial Balance'!B374</f>
        <v>5735-Amortization of Deferred Development Costs</v>
      </c>
      <c r="B183" s="304">
        <f>'Trial Balance'!L374</f>
        <v>0</v>
      </c>
    </row>
    <row r="184" spans="1:2" ht="15" customHeight="1" thickBot="1">
      <c r="A184" s="25" t="str">
        <f>'Trial Balance'!A375&amp;"-"&amp;'Trial Balance'!B375</f>
        <v>5740-Amortization of Deferred Charges</v>
      </c>
      <c r="B184" s="304">
        <f>'Trial Balance'!L375</f>
        <v>0</v>
      </c>
    </row>
    <row r="185" spans="1:2" ht="15" customHeight="1" thickBot="1">
      <c r="A185" s="30" t="s">
        <v>78</v>
      </c>
      <c r="B185" s="313">
        <f>SUM(B177:B184)</f>
        <v>1865396.6750760712</v>
      </c>
    </row>
    <row r="186" spans="1:2" s="18" customFormat="1" ht="15" customHeight="1">
      <c r="A186" s="643"/>
      <c r="B186" s="644"/>
    </row>
    <row r="187" spans="1:2" s="18" customFormat="1" ht="15" customHeight="1">
      <c r="A187" s="641" t="s">
        <v>79</v>
      </c>
      <c r="B187" s="642"/>
    </row>
    <row r="188" spans="1:2" ht="15" customHeight="1">
      <c r="A188" s="25" t="str">
        <f>'Trial Balance'!A377&amp;"-"&amp;'Trial Balance'!B377</f>
        <v>6005-Interest on Long Term Debt</v>
      </c>
      <c r="B188" s="304">
        <f>'Trial Balance'!L377</f>
        <v>623752.0975342466</v>
      </c>
    </row>
    <row r="189" spans="1:2" ht="15" customHeight="1">
      <c r="A189" s="25" t="str">
        <f>'Trial Balance'!A378&amp;"-"&amp;'Trial Balance'!B378</f>
        <v>6010-Amortization of Debt Discount and Expense</v>
      </c>
      <c r="B189" s="304">
        <f>'Trial Balance'!L378</f>
        <v>0</v>
      </c>
    </row>
    <row r="190" spans="1:2" ht="15" customHeight="1">
      <c r="A190" s="25" t="str">
        <f>'Trial Balance'!A379&amp;"-"&amp;'Trial Balance'!B379</f>
        <v>6015-Amortization of Premium on Debt-Credit</v>
      </c>
      <c r="B190" s="304">
        <f>'Trial Balance'!L379</f>
        <v>0</v>
      </c>
    </row>
    <row r="191" spans="1:2" ht="15" customHeight="1">
      <c r="A191" s="25" t="str">
        <f>'Trial Balance'!A380&amp;"-"&amp;'Trial Balance'!B380</f>
        <v>6020-Amortization of Loss on Reacquired Debt</v>
      </c>
      <c r="B191" s="304">
        <f>'Trial Balance'!L380</f>
        <v>0</v>
      </c>
    </row>
    <row r="192" spans="1:2" ht="15" customHeight="1">
      <c r="A192" s="25" t="str">
        <f>'Trial Balance'!A381&amp;"-"&amp;'Trial Balance'!B381</f>
        <v>6025-Amortization of Gain on Reacquired Debt-Credit</v>
      </c>
      <c r="B192" s="304">
        <f>'Trial Balance'!L381</f>
        <v>0</v>
      </c>
    </row>
    <row r="193" spans="1:2" ht="15" customHeight="1">
      <c r="A193" s="25" t="str">
        <f>'Trial Balance'!A382&amp;"-"&amp;'Trial Balance'!B382</f>
        <v>6030-Interest on Debt to Associated Companies</v>
      </c>
      <c r="B193" s="304">
        <f>'Trial Balance'!L382</f>
        <v>0</v>
      </c>
    </row>
    <row r="194" spans="1:2" ht="15" customHeight="1">
      <c r="A194" s="25" t="str">
        <f>'Trial Balance'!A383&amp;"-"&amp;'Trial Balance'!B383</f>
        <v>6035-Other Interest Expense</v>
      </c>
      <c r="B194" s="304">
        <f>'Trial Balance'!L383</f>
        <v>78226.04000000001</v>
      </c>
    </row>
    <row r="195" spans="1:2" ht="15" customHeight="1">
      <c r="A195" s="25" t="str">
        <f>'Trial Balance'!A384&amp;"-"&amp;'Trial Balance'!B384</f>
        <v>6040-Allowance for Borrowed Funds Used During Construction-Credit</v>
      </c>
      <c r="B195" s="304">
        <f>'Trial Balance'!L384</f>
        <v>0</v>
      </c>
    </row>
    <row r="196" spans="1:2" ht="15" customHeight="1">
      <c r="A196" s="25" t="str">
        <f>'Trial Balance'!A385&amp;"-"&amp;'Trial Balance'!B385</f>
        <v>6042-Allowance for Other Funds Used During Construction</v>
      </c>
      <c r="B196" s="304">
        <f>'Trial Balance'!L385</f>
        <v>0</v>
      </c>
    </row>
    <row r="197" spans="1:2" ht="15" customHeight="1" thickBot="1">
      <c r="A197" s="25" t="str">
        <f>'Trial Balance'!A386&amp;"-"&amp;'Trial Balance'!B386</f>
        <v>6045-Interest Expense on Capital Lease Obligations</v>
      </c>
      <c r="B197" s="304">
        <f>'Trial Balance'!L386</f>
        <v>0</v>
      </c>
    </row>
    <row r="198" spans="1:2" ht="15" customHeight="1" thickBot="1">
      <c r="A198" s="30" t="s">
        <v>541</v>
      </c>
      <c r="B198" s="313">
        <f>SUM(B188:B197)</f>
        <v>701978.1375342467</v>
      </c>
    </row>
    <row r="199" spans="1:2" s="18" customFormat="1" ht="15" customHeight="1">
      <c r="A199" s="643"/>
      <c r="B199" s="644"/>
    </row>
    <row r="200" spans="1:2" s="18" customFormat="1" ht="15" customHeight="1">
      <c r="A200" s="641" t="s">
        <v>542</v>
      </c>
      <c r="B200" s="642"/>
    </row>
    <row r="201" spans="1:2" ht="15" customHeight="1" thickBot="1">
      <c r="A201" s="25" t="str">
        <f>'Trial Balance'!A388&amp;"-"&amp;'Trial Balance'!B388</f>
        <v>6105-Taxes Other Than Income Taxes</v>
      </c>
      <c r="B201" s="304">
        <f>'Trial Balance'!L388</f>
        <v>123852.05000000002</v>
      </c>
    </row>
    <row r="202" spans="1:2" ht="15" customHeight="1" thickBot="1">
      <c r="A202" s="30" t="s">
        <v>545</v>
      </c>
      <c r="B202" s="313">
        <f>SUM(B201)</f>
        <v>123852.05000000002</v>
      </c>
    </row>
    <row r="203" spans="1:2" s="18" customFormat="1" ht="15" customHeight="1">
      <c r="A203" s="643"/>
      <c r="B203" s="644"/>
    </row>
    <row r="204" spans="1:2" s="18" customFormat="1" ht="15" customHeight="1">
      <c r="A204" s="641" t="s">
        <v>546</v>
      </c>
      <c r="B204" s="642"/>
    </row>
    <row r="205" spans="1:2" ht="15" customHeight="1">
      <c r="A205" s="25" t="str">
        <f>'Trial Balance'!A389&amp;"-"&amp;'Trial Balance'!B389</f>
        <v>6110-Income Taxes</v>
      </c>
      <c r="B205" s="304">
        <f>'Trial Balance'!L389</f>
        <v>112981.97355305511</v>
      </c>
    </row>
    <row r="206" spans="1:2" ht="15" customHeight="1" thickBot="1">
      <c r="A206" s="25" t="str">
        <f>'Trial Balance'!A390&amp;"-"&amp;'Trial Balance'!B390</f>
        <v>6115-Provision for Future Income Taxes</v>
      </c>
      <c r="B206" s="304">
        <f>'Trial Balance'!L390</f>
        <v>0</v>
      </c>
    </row>
    <row r="207" spans="1:2" ht="15" customHeight="1" thickBot="1">
      <c r="A207" s="30" t="s">
        <v>547</v>
      </c>
      <c r="B207" s="313">
        <f>SUM(B205:B206)</f>
        <v>112981.97355305511</v>
      </c>
    </row>
    <row r="208" spans="1:2" s="18" customFormat="1" ht="15" customHeight="1">
      <c r="A208" s="643"/>
      <c r="B208" s="644"/>
    </row>
    <row r="209" spans="1:2" s="18" customFormat="1" ht="15" customHeight="1">
      <c r="A209" s="641" t="s">
        <v>528</v>
      </c>
      <c r="B209" s="642"/>
    </row>
    <row r="210" spans="1:2" ht="15" customHeight="1">
      <c r="A210" s="25" t="str">
        <f>'Trial Balance'!A392&amp;"-"&amp;'Trial Balance'!B392</f>
        <v>6205-Donations</v>
      </c>
      <c r="B210" s="304">
        <f>'Trial Balance'!L392</f>
        <v>500</v>
      </c>
    </row>
    <row r="211" spans="1:2" ht="15" customHeight="1">
      <c r="A211" s="25" t="str">
        <f>'Trial Balance'!A393&amp;"-"&amp;'Trial Balance'!B393</f>
        <v>6210-Life Insurance</v>
      </c>
      <c r="B211" s="304">
        <f>'Trial Balance'!L393</f>
        <v>0</v>
      </c>
    </row>
    <row r="212" spans="1:2" ht="15" customHeight="1">
      <c r="A212" s="25" t="str">
        <f>'Trial Balance'!A394&amp;"-"&amp;'Trial Balance'!B394</f>
        <v>6215-Penalties</v>
      </c>
      <c r="B212" s="304">
        <f>'Trial Balance'!L394</f>
        <v>0</v>
      </c>
    </row>
    <row r="213" spans="1:7" ht="15" customHeight="1" thickBot="1">
      <c r="A213" s="25" t="str">
        <f>'Trial Balance'!A395&amp;"-"&amp;'Trial Balance'!B395</f>
        <v>6225-Other Deductions</v>
      </c>
      <c r="B213" s="304">
        <f>'Trial Balance'!L395</f>
        <v>0</v>
      </c>
      <c r="D213" s="10"/>
      <c r="E213" s="10"/>
      <c r="F213" s="10"/>
      <c r="G213" s="10"/>
    </row>
    <row r="214" spans="1:2" ht="15" customHeight="1" thickBot="1">
      <c r="A214" s="30" t="s">
        <v>529</v>
      </c>
      <c r="B214" s="313">
        <f>SUM(B210:B213)</f>
        <v>500</v>
      </c>
    </row>
    <row r="215" spans="1:7" s="10" customFormat="1" ht="15" customHeight="1" thickBot="1">
      <c r="A215" s="643"/>
      <c r="B215" s="644"/>
      <c r="D215"/>
      <c r="E215"/>
      <c r="F215"/>
      <c r="G215"/>
    </row>
    <row r="216" spans="1:2" ht="18.75" customHeight="1" thickBot="1">
      <c r="A216" s="31" t="s">
        <v>801</v>
      </c>
      <c r="B216" s="314">
        <f>B24+B31+B43+B67+B72+B86+B112+B133+B144+B152+B174+B185+B198+B202+B207+B214</f>
        <v>-162602.16601528387</v>
      </c>
    </row>
    <row r="217" spans="1:2" ht="15">
      <c r="A217" s="9"/>
      <c r="B217" s="315"/>
    </row>
    <row r="218" spans="1:2" ht="15">
      <c r="A218" s="9"/>
      <c r="B218" s="315"/>
    </row>
    <row r="219" spans="1:2" ht="15">
      <c r="A219" s="9"/>
      <c r="B219" s="315"/>
    </row>
    <row r="220" spans="1:2" ht="15">
      <c r="A220" s="9"/>
      <c r="B220" s="315"/>
    </row>
    <row r="221" spans="1:2" ht="15">
      <c r="A221" s="9"/>
      <c r="B221" s="315"/>
    </row>
    <row r="222" spans="1:2" ht="15">
      <c r="A222" s="9"/>
      <c r="B222" s="315"/>
    </row>
    <row r="223" spans="1:2" ht="15">
      <c r="A223" s="9"/>
      <c r="B223" s="315"/>
    </row>
    <row r="224" spans="1:2" ht="15">
      <c r="A224" s="9"/>
      <c r="B224" s="315"/>
    </row>
    <row r="225" spans="1:2" ht="15">
      <c r="A225" s="9"/>
      <c r="B225" s="315"/>
    </row>
    <row r="226" spans="1:2" ht="15">
      <c r="A226" s="9"/>
      <c r="B226" s="315"/>
    </row>
    <row r="227" spans="1:2" ht="15">
      <c r="A227" s="9"/>
      <c r="B227" s="315"/>
    </row>
    <row r="228" spans="1:2" ht="15">
      <c r="A228" s="9"/>
      <c r="B228" s="315"/>
    </row>
    <row r="229" spans="1:2" ht="15">
      <c r="A229" s="9"/>
      <c r="B229" s="315"/>
    </row>
    <row r="230" spans="1:2" ht="15">
      <c r="A230" s="9"/>
      <c r="B230" s="315"/>
    </row>
    <row r="231" spans="1:2" ht="15">
      <c r="A231" s="9"/>
      <c r="B231" s="315"/>
    </row>
    <row r="232" spans="1:2" ht="15">
      <c r="A232" s="9"/>
      <c r="B232" s="315"/>
    </row>
    <row r="233" spans="1:2" ht="15">
      <c r="A233" s="9"/>
      <c r="B233" s="315"/>
    </row>
    <row r="234" spans="1:2" ht="15">
      <c r="A234" s="9"/>
      <c r="B234" s="315"/>
    </row>
    <row r="235" spans="1:2" ht="15">
      <c r="A235" s="9"/>
      <c r="B235" s="315"/>
    </row>
    <row r="236" spans="1:2" ht="15">
      <c r="A236" s="9"/>
      <c r="B236" s="315"/>
    </row>
    <row r="237" spans="1:2" ht="15">
      <c r="A237" s="9"/>
      <c r="B237" s="315"/>
    </row>
    <row r="238" spans="1:2" ht="15">
      <c r="A238" s="9"/>
      <c r="B238" s="315"/>
    </row>
    <row r="239" spans="1:2" ht="15">
      <c r="A239" s="9"/>
      <c r="B239" s="315"/>
    </row>
    <row r="240" spans="1:2" ht="15">
      <c r="A240" s="9"/>
      <c r="B240" s="315"/>
    </row>
    <row r="241" spans="1:2" ht="15">
      <c r="A241" s="9"/>
      <c r="B241" s="315"/>
    </row>
    <row r="242" spans="1:2" ht="15">
      <c r="A242" s="9"/>
      <c r="B242" s="315"/>
    </row>
    <row r="243" spans="1:2" ht="15">
      <c r="A243" s="9"/>
      <c r="B243" s="315"/>
    </row>
    <row r="244" spans="1:2" ht="15">
      <c r="A244" s="9"/>
      <c r="B244" s="315"/>
    </row>
    <row r="245" spans="1:2" ht="15">
      <c r="A245" s="9"/>
      <c r="B245" s="315"/>
    </row>
    <row r="246" spans="1:2" ht="15">
      <c r="A246" s="9"/>
      <c r="B246" s="315"/>
    </row>
    <row r="247" spans="1:2" ht="15">
      <c r="A247" s="9"/>
      <c r="B247" s="315"/>
    </row>
    <row r="248" spans="1:2" ht="15">
      <c r="A248" s="9"/>
      <c r="B248" s="315"/>
    </row>
    <row r="249" spans="1:2" ht="15">
      <c r="A249" s="9"/>
      <c r="B249" s="315"/>
    </row>
    <row r="250" spans="1:2" ht="15">
      <c r="A250" s="9"/>
      <c r="B250" s="315"/>
    </row>
    <row r="251" spans="1:2" ht="15">
      <c r="A251" s="9"/>
      <c r="B251" s="315"/>
    </row>
    <row r="252" spans="1:2" ht="15">
      <c r="A252" s="9"/>
      <c r="B252" s="315"/>
    </row>
    <row r="253" spans="1:2" ht="15">
      <c r="A253" s="9"/>
      <c r="B253" s="315"/>
    </row>
    <row r="254" spans="1:2" ht="15">
      <c r="A254" s="9"/>
      <c r="B254" s="315"/>
    </row>
    <row r="255" spans="1:2" ht="15">
      <c r="A255" s="9"/>
      <c r="B255" s="315"/>
    </row>
    <row r="256" spans="1:2" ht="15">
      <c r="A256" s="9"/>
      <c r="B256" s="315"/>
    </row>
    <row r="257" spans="1:2" ht="15">
      <c r="A257" s="9"/>
      <c r="B257" s="315"/>
    </row>
    <row r="258" spans="1:2" ht="15">
      <c r="A258" s="9"/>
      <c r="B258" s="315"/>
    </row>
    <row r="259" spans="1:2" ht="15">
      <c r="A259" s="9"/>
      <c r="B259" s="315"/>
    </row>
    <row r="260" spans="1:2" ht="15">
      <c r="A260" s="9"/>
      <c r="B260" s="315"/>
    </row>
    <row r="261" spans="1:2" ht="15">
      <c r="A261" s="9"/>
      <c r="B261" s="315"/>
    </row>
    <row r="262" spans="1:2" ht="15">
      <c r="A262" s="9"/>
      <c r="B262" s="315"/>
    </row>
    <row r="263" spans="1:2" ht="15">
      <c r="A263" s="9"/>
      <c r="B263" s="315"/>
    </row>
    <row r="264" spans="1:2" ht="15">
      <c r="A264" s="9"/>
      <c r="B264" s="315"/>
    </row>
    <row r="265" spans="1:2" ht="15">
      <c r="A265" s="9"/>
      <c r="B265" s="315"/>
    </row>
    <row r="266" spans="1:2" ht="15">
      <c r="A266" s="9"/>
      <c r="B266" s="315"/>
    </row>
    <row r="267" spans="1:2" ht="15">
      <c r="A267" s="9"/>
      <c r="B267" s="315"/>
    </row>
    <row r="268" spans="1:2" ht="15">
      <c r="A268" s="9"/>
      <c r="B268" s="315"/>
    </row>
    <row r="269" spans="1:2" ht="15">
      <c r="A269" s="9"/>
      <c r="B269" s="315"/>
    </row>
    <row r="270" spans="1:2" ht="15">
      <c r="A270" s="9"/>
      <c r="B270" s="315"/>
    </row>
    <row r="271" spans="1:2" ht="15">
      <c r="A271" s="9"/>
      <c r="B271" s="315"/>
    </row>
    <row r="272" spans="1:2" ht="15">
      <c r="A272" s="9"/>
      <c r="B272" s="315"/>
    </row>
    <row r="273" spans="1:2" ht="15">
      <c r="A273" s="9"/>
      <c r="B273" s="315"/>
    </row>
    <row r="274" spans="1:2" ht="15">
      <c r="A274" s="9"/>
      <c r="B274" s="315"/>
    </row>
    <row r="275" spans="1:2" ht="15">
      <c r="A275" s="9"/>
      <c r="B275" s="315"/>
    </row>
    <row r="276" spans="1:2" ht="15">
      <c r="A276" s="9"/>
      <c r="B276" s="315"/>
    </row>
    <row r="277" spans="1:2" ht="15">
      <c r="A277" s="9"/>
      <c r="B277" s="315"/>
    </row>
    <row r="278" spans="1:2" ht="15">
      <c r="A278" s="9"/>
      <c r="B278" s="315"/>
    </row>
    <row r="279" spans="1:2" ht="15">
      <c r="A279" s="9"/>
      <c r="B279" s="315"/>
    </row>
    <row r="280" spans="1:2" ht="15">
      <c r="A280" s="9"/>
      <c r="B280" s="315"/>
    </row>
    <row r="281" spans="1:2" ht="15">
      <c r="A281" s="9"/>
      <c r="B281" s="315"/>
    </row>
    <row r="282" spans="1:2" ht="15">
      <c r="A282" s="9"/>
      <c r="B282" s="315"/>
    </row>
    <row r="283" spans="1:2" ht="15">
      <c r="A283" s="9"/>
      <c r="B283" s="315"/>
    </row>
    <row r="284" spans="1:2" ht="15">
      <c r="A284" s="9"/>
      <c r="B284" s="315"/>
    </row>
    <row r="285" spans="1:2" ht="15">
      <c r="A285" s="9"/>
      <c r="B285" s="315"/>
    </row>
    <row r="286" spans="1:2" ht="15">
      <c r="A286" s="9"/>
      <c r="B286" s="315"/>
    </row>
    <row r="287" spans="1:2" ht="15">
      <c r="A287" s="9"/>
      <c r="B287" s="315"/>
    </row>
    <row r="288" spans="1:2" ht="15">
      <c r="A288" s="9"/>
      <c r="B288" s="315"/>
    </row>
    <row r="289" spans="1:2" ht="15">
      <c r="A289" s="9"/>
      <c r="B289" s="315"/>
    </row>
    <row r="290" spans="1:2" ht="15">
      <c r="A290" s="9"/>
      <c r="B290" s="315"/>
    </row>
    <row r="291" spans="1:2" ht="15">
      <c r="A291" s="9"/>
      <c r="B291" s="315"/>
    </row>
    <row r="292" spans="1:2" ht="15">
      <c r="A292" s="9"/>
      <c r="B292" s="315"/>
    </row>
    <row r="293" spans="1:2" ht="15">
      <c r="A293" s="9"/>
      <c r="B293" s="315"/>
    </row>
    <row r="294" spans="1:2" ht="15">
      <c r="A294" s="9"/>
      <c r="B294" s="315"/>
    </row>
    <row r="295" spans="1:2" ht="15">
      <c r="A295" s="9"/>
      <c r="B295" s="315"/>
    </row>
    <row r="296" spans="1:2" ht="15">
      <c r="A296" s="9"/>
      <c r="B296" s="315"/>
    </row>
    <row r="297" spans="1:2" ht="15">
      <c r="A297" s="9"/>
      <c r="B297" s="315"/>
    </row>
    <row r="298" spans="1:2" ht="15">
      <c r="A298" s="9"/>
      <c r="B298" s="315"/>
    </row>
    <row r="299" spans="1:2" ht="15">
      <c r="A299" s="9"/>
      <c r="B299" s="315"/>
    </row>
    <row r="300" spans="1:2" ht="15">
      <c r="A300" s="9"/>
      <c r="B300" s="315"/>
    </row>
    <row r="301" spans="1:2" ht="15">
      <c r="A301" s="9"/>
      <c r="B301" s="315"/>
    </row>
    <row r="302" spans="1:2" ht="15">
      <c r="A302" s="9"/>
      <c r="B302" s="315"/>
    </row>
    <row r="303" spans="1:2" ht="15">
      <c r="A303" s="9"/>
      <c r="B303" s="315"/>
    </row>
    <row r="304" spans="1:2" ht="15">
      <c r="A304" s="9"/>
      <c r="B304" s="315"/>
    </row>
    <row r="305" spans="1:2" ht="15">
      <c r="A305" s="9"/>
      <c r="B305" s="315"/>
    </row>
    <row r="306" spans="1:2" ht="15">
      <c r="A306" s="9"/>
      <c r="B306" s="315"/>
    </row>
    <row r="307" spans="1:2" ht="15">
      <c r="A307" s="9"/>
      <c r="B307" s="315"/>
    </row>
    <row r="308" spans="1:2" ht="15">
      <c r="A308" s="9"/>
      <c r="B308" s="315"/>
    </row>
    <row r="309" spans="1:2" ht="15">
      <c r="A309" s="9"/>
      <c r="B309" s="315"/>
    </row>
    <row r="310" spans="1:2" ht="15">
      <c r="A310" s="9"/>
      <c r="B310" s="315"/>
    </row>
    <row r="311" spans="1:2" ht="15">
      <c r="A311" s="9"/>
      <c r="B311" s="315"/>
    </row>
    <row r="312" spans="1:2" ht="15">
      <c r="A312" s="9"/>
      <c r="B312" s="315"/>
    </row>
    <row r="313" spans="1:2" ht="15">
      <c r="A313" s="9"/>
      <c r="B313" s="315"/>
    </row>
    <row r="314" spans="1:2" ht="15">
      <c r="A314" s="9"/>
      <c r="B314" s="315"/>
    </row>
    <row r="315" spans="1:2" ht="15">
      <c r="A315" s="9"/>
      <c r="B315" s="315"/>
    </row>
    <row r="316" spans="1:2" ht="15">
      <c r="A316" s="9"/>
      <c r="B316" s="315"/>
    </row>
    <row r="317" spans="1:2" ht="15">
      <c r="A317" s="9"/>
      <c r="B317" s="315"/>
    </row>
    <row r="318" spans="1:2" ht="15">
      <c r="A318" s="9"/>
      <c r="B318" s="315"/>
    </row>
    <row r="319" spans="1:2" ht="15">
      <c r="A319" s="9"/>
      <c r="B319" s="315"/>
    </row>
    <row r="320" spans="1:2" ht="15">
      <c r="A320" s="9"/>
      <c r="B320" s="315"/>
    </row>
    <row r="321" spans="1:2" ht="15">
      <c r="A321" s="9"/>
      <c r="B321" s="315"/>
    </row>
    <row r="322" spans="1:2" ht="15">
      <c r="A322" s="9"/>
      <c r="B322" s="315"/>
    </row>
    <row r="323" spans="1:2" ht="15">
      <c r="A323" s="9"/>
      <c r="B323" s="315"/>
    </row>
    <row r="324" spans="1:2" ht="15">
      <c r="A324" s="9"/>
      <c r="B324" s="315"/>
    </row>
    <row r="325" spans="1:2" ht="15">
      <c r="A325" s="9"/>
      <c r="B325" s="315"/>
    </row>
    <row r="326" spans="1:2" ht="15">
      <c r="A326" s="9"/>
      <c r="B326" s="315"/>
    </row>
    <row r="327" spans="1:2" ht="15">
      <c r="A327" s="9"/>
      <c r="B327" s="315"/>
    </row>
    <row r="328" spans="1:2" ht="15">
      <c r="A328" s="9"/>
      <c r="B328" s="315"/>
    </row>
    <row r="329" spans="1:2" ht="15">
      <c r="A329" s="9"/>
      <c r="B329" s="315"/>
    </row>
    <row r="330" spans="1:2" ht="15">
      <c r="A330" s="9"/>
      <c r="B330" s="315"/>
    </row>
    <row r="331" spans="1:2" ht="15">
      <c r="A331" s="9"/>
      <c r="B331" s="315"/>
    </row>
    <row r="332" spans="1:2" ht="15">
      <c r="A332" s="9"/>
      <c r="B332" s="315"/>
    </row>
  </sheetData>
  <sheetProtection/>
  <mergeCells count="36">
    <mergeCell ref="A25:B25"/>
    <mergeCell ref="A26:B26"/>
    <mergeCell ref="A88:B88"/>
    <mergeCell ref="A113:B113"/>
    <mergeCell ref="A1:B1"/>
    <mergeCell ref="A2:B2"/>
    <mergeCell ref="A69:B69"/>
    <mergeCell ref="A73:B73"/>
    <mergeCell ref="A45:B45"/>
    <mergeCell ref="A3:B3"/>
    <mergeCell ref="A4:B4"/>
    <mergeCell ref="A6:B6"/>
    <mergeCell ref="A32:B32"/>
    <mergeCell ref="A33:B33"/>
    <mergeCell ref="A44:B44"/>
    <mergeCell ref="A68:B68"/>
    <mergeCell ref="A74:B74"/>
    <mergeCell ref="A87:B87"/>
    <mergeCell ref="A114:B114"/>
    <mergeCell ref="A153:B153"/>
    <mergeCell ref="A175:B175"/>
    <mergeCell ref="A176:B176"/>
    <mergeCell ref="A146:B146"/>
    <mergeCell ref="A135:B135"/>
    <mergeCell ref="A154:B154"/>
    <mergeCell ref="A134:B134"/>
    <mergeCell ref="A145:B145"/>
    <mergeCell ref="A186:B186"/>
    <mergeCell ref="A187:B187"/>
    <mergeCell ref="A199:B199"/>
    <mergeCell ref="A200:B200"/>
    <mergeCell ref="A215:B215"/>
    <mergeCell ref="A203:B203"/>
    <mergeCell ref="A204:B204"/>
    <mergeCell ref="A208:B208"/>
    <mergeCell ref="A209:B209"/>
  </mergeCells>
  <printOptions horizontalCentered="1"/>
  <pageMargins left="0.7480314960629921" right="0.7480314960629921" top="0.984251968503937" bottom="0.984251968503937" header="0.5118110236220472" footer="0.5118110236220472"/>
  <pageSetup fitToHeight="5" horizontalDpi="355" verticalDpi="355" orientation="portrait" scale="96" r:id="rId1"/>
  <headerFooter alignWithMargins="0">
    <oddHeader>&amp;C&amp;"Arial,Bold"&amp;12WOODSTOCK HYDRO SERVICES INC
2010 PRO FORMA FINANCIAL STATEMENTS</oddHeader>
    <oddFooter>&amp;L&amp;A</oddFooter>
  </headerFooter>
  <rowBreaks count="5" manualBreakCount="5">
    <brk id="44" max="255" man="1"/>
    <brk id="87" max="255" man="1"/>
    <brk id="113" max="255" man="1"/>
    <brk id="153" max="255" man="1"/>
    <brk id="18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357"/>
  <sheetViews>
    <sheetView showGridLines="0" zoomScalePageLayoutView="0" workbookViewId="0" topLeftCell="A4">
      <selection activeCell="A3" sqref="A3:IV3"/>
    </sheetView>
  </sheetViews>
  <sheetFormatPr defaultColWidth="9.140625" defaultRowHeight="12.75"/>
  <cols>
    <col min="1" max="1" width="73.28125" style="24" customWidth="1"/>
    <col min="2" max="2" width="20.8515625" style="326" customWidth="1"/>
  </cols>
  <sheetData>
    <row r="1" spans="1:2" ht="12.75" hidden="1">
      <c r="A1" s="614" t="str">
        <f>'Trial Balance'!A1:J1</f>
        <v>Woodstock Hydro Services Inc.</v>
      </c>
      <c r="B1" s="614"/>
    </row>
    <row r="2" spans="1:2" ht="12.75" hidden="1">
      <c r="A2" s="614" t="str">
        <f>'Trial Balance'!A2:J2</f>
        <v>, License Number ED-2003-0011, File Number EB-2010-0145</v>
      </c>
      <c r="B2" s="614"/>
    </row>
    <row r="3" spans="1:2" ht="15" hidden="1">
      <c r="A3" s="637" t="str">
        <f>Notes!B4</f>
        <v>Woodstock Hydro Services Inc.</v>
      </c>
      <c r="B3" s="637"/>
    </row>
    <row r="4" spans="1:2" ht="15">
      <c r="A4" s="637" t="s">
        <v>808</v>
      </c>
      <c r="B4" s="637"/>
    </row>
    <row r="5" spans="1:2" ht="15" customHeight="1">
      <c r="A5" s="59" t="s">
        <v>530</v>
      </c>
      <c r="B5" s="316" t="s">
        <v>154</v>
      </c>
    </row>
    <row r="6" spans="1:2" s="18" customFormat="1" ht="15" customHeight="1">
      <c r="A6" s="638" t="s">
        <v>149</v>
      </c>
      <c r="B6" s="638"/>
    </row>
    <row r="7" spans="1:2" ht="15" customHeight="1">
      <c r="A7" s="25" t="str">
        <f>'Trial Balance'!A8&amp;"-"&amp;'Trial Balance'!B8</f>
        <v>1005-Cash</v>
      </c>
      <c r="B7" s="317">
        <f>'Trial Balance'!N8</f>
        <v>1849837.3503143652</v>
      </c>
    </row>
    <row r="8" spans="1:2" ht="15" customHeight="1">
      <c r="A8" s="25" t="str">
        <f>'Trial Balance'!A9&amp;"-"&amp;'Trial Balance'!B9</f>
        <v>1010-Cash Advances and Working Funds</v>
      </c>
      <c r="B8" s="317">
        <f>'Trial Balance'!N9</f>
        <v>600</v>
      </c>
    </row>
    <row r="9" spans="1:2" ht="15" customHeight="1">
      <c r="A9" s="25" t="str">
        <f>'Trial Balance'!A10&amp;"-"&amp;'Trial Balance'!B10</f>
        <v>1020-Interest Special Deposits</v>
      </c>
      <c r="B9" s="317">
        <f>'Trial Balance'!N10</f>
        <v>0</v>
      </c>
    </row>
    <row r="10" spans="1:2" ht="15" customHeight="1">
      <c r="A10" s="25" t="str">
        <f>'Trial Balance'!A11&amp;"-"&amp;'Trial Balance'!B11</f>
        <v>1030-Dividend Special Deposits</v>
      </c>
      <c r="B10" s="317">
        <f>'Trial Balance'!N11</f>
        <v>0</v>
      </c>
    </row>
    <row r="11" spans="1:2" ht="15" customHeight="1">
      <c r="A11" s="25" t="str">
        <f>'Trial Balance'!A12&amp;"-"&amp;'Trial Balance'!B12</f>
        <v>1040-Other Special Deposits</v>
      </c>
      <c r="B11" s="317">
        <f>'Trial Balance'!N12</f>
        <v>0</v>
      </c>
    </row>
    <row r="12" spans="1:2" ht="15" customHeight="1">
      <c r="A12" s="25" t="str">
        <f>'Trial Balance'!A13&amp;"-"&amp;'Trial Balance'!B13</f>
        <v>1060-Term Deposits</v>
      </c>
      <c r="B12" s="317">
        <f>'Trial Balance'!N13</f>
        <v>0</v>
      </c>
    </row>
    <row r="13" spans="1:2" ht="15" customHeight="1">
      <c r="A13" s="25" t="str">
        <f>'Trial Balance'!A14&amp;"-"&amp;'Trial Balance'!B14</f>
        <v>1070-Current Investments</v>
      </c>
      <c r="B13" s="317">
        <f>'Trial Balance'!N14</f>
        <v>0</v>
      </c>
    </row>
    <row r="14" spans="1:2" ht="15" customHeight="1">
      <c r="A14" s="25" t="str">
        <f>'Trial Balance'!A15&amp;"-"&amp;'Trial Balance'!B15</f>
        <v>1100-Customer Accounts Receivable</v>
      </c>
      <c r="B14" s="317">
        <f>'Trial Balance'!N15</f>
        <v>3213994.2699999996</v>
      </c>
    </row>
    <row r="15" spans="1:2" ht="15" customHeight="1">
      <c r="A15" s="25" t="str">
        <f>'Trial Balance'!A16&amp;"-"&amp;'Trial Balance'!B16</f>
        <v>1102-Accounts Receivable - Services</v>
      </c>
      <c r="B15" s="317">
        <f>'Trial Balance'!N16</f>
        <v>40325.68999999999</v>
      </c>
    </row>
    <row r="16" spans="1:2" ht="15" customHeight="1">
      <c r="A16" s="25" t="str">
        <f>'Trial Balance'!A17&amp;"-"&amp;'Trial Balance'!B17</f>
        <v>1104-Accounts Receivable - Recoverable Work</v>
      </c>
      <c r="B16" s="317">
        <f>'Trial Balance'!N17</f>
        <v>219327.82000000012</v>
      </c>
    </row>
    <row r="17" spans="1:2" ht="15" customHeight="1">
      <c r="A17" s="25" t="str">
        <f>'Trial Balance'!A18&amp;"-"&amp;'Trial Balance'!B18</f>
        <v>1105-Accounts Receivable - Merchandise, Jobbing, etc.</v>
      </c>
      <c r="B17" s="317">
        <f>'Trial Balance'!N18</f>
        <v>0</v>
      </c>
    </row>
    <row r="18" spans="1:2" ht="15" customHeight="1">
      <c r="A18" s="25" t="str">
        <f>'Trial Balance'!A19&amp;"-"&amp;'Trial Balance'!B19</f>
        <v>1110-Other Accounts Receivable</v>
      </c>
      <c r="B18" s="317">
        <f>'Trial Balance'!N19</f>
        <v>100343.56999999998</v>
      </c>
    </row>
    <row r="19" spans="1:2" ht="15" customHeight="1">
      <c r="A19" s="25" t="str">
        <f>'Trial Balance'!A20&amp;"-"&amp;'Trial Balance'!B20</f>
        <v>1120-Accrued Utility Revenues</v>
      </c>
      <c r="B19" s="317">
        <f>'Trial Balance'!N20</f>
        <v>3606542.919999999</v>
      </c>
    </row>
    <row r="20" spans="1:2" ht="15" customHeight="1">
      <c r="A20" s="25" t="str">
        <f>'Trial Balance'!A21&amp;"-"&amp;'Trial Balance'!B21</f>
        <v>1130-Accumulated Provision for Uncollectable Accounts -- Credit</v>
      </c>
      <c r="B20" s="317">
        <f>'Trial Balance'!N21</f>
        <v>-50000</v>
      </c>
    </row>
    <row r="21" spans="1:2" ht="15" customHeight="1">
      <c r="A21" s="25" t="str">
        <f>'Trial Balance'!A22&amp;"-"&amp;'Trial Balance'!B22</f>
        <v>1140-Interest and Dividends Receivable</v>
      </c>
      <c r="B21" s="317">
        <f>'Trial Balance'!N22</f>
        <v>0</v>
      </c>
    </row>
    <row r="22" spans="1:2" ht="15" customHeight="1">
      <c r="A22" s="25" t="str">
        <f>'Trial Balance'!A23&amp;"-"&amp;'Trial Balance'!B23</f>
        <v>1150-Rents Receivable</v>
      </c>
      <c r="B22" s="317">
        <f>'Trial Balance'!N23</f>
        <v>5565.149999999998</v>
      </c>
    </row>
    <row r="23" spans="1:2" ht="15" customHeight="1">
      <c r="A23" s="25" t="str">
        <f>'Trial Balance'!A24&amp;"-"&amp;'Trial Balance'!B24</f>
        <v>1170-Notes Receivable</v>
      </c>
      <c r="B23" s="317">
        <f>'Trial Balance'!N24</f>
        <v>0</v>
      </c>
    </row>
    <row r="24" spans="1:2" ht="15" customHeight="1">
      <c r="A24" s="25" t="str">
        <f>'Trial Balance'!A25&amp;"-"&amp;'Trial Balance'!B25</f>
        <v>1180-Prepayments</v>
      </c>
      <c r="B24" s="317">
        <f>'Trial Balance'!N25</f>
        <v>140730.95999999996</v>
      </c>
    </row>
    <row r="25" spans="1:2" ht="15" customHeight="1">
      <c r="A25" s="25" t="str">
        <f>'Trial Balance'!A26&amp;"-"&amp;'Trial Balance'!B26</f>
        <v>1190-Miscellaneous Current and Accrued Assets</v>
      </c>
      <c r="B25" s="317">
        <f>'Trial Balance'!N26</f>
        <v>0</v>
      </c>
    </row>
    <row r="26" spans="1:2" ht="15" customHeight="1">
      <c r="A26" s="25" t="str">
        <f>'Trial Balance'!A27&amp;"-"&amp;'Trial Balance'!B27</f>
        <v>1200-Accounts Receivable from Associated Companies</v>
      </c>
      <c r="B26" s="317">
        <f>'Trial Balance'!N27</f>
        <v>121214.2</v>
      </c>
    </row>
    <row r="27" spans="1:2" ht="15" customHeight="1" thickBot="1">
      <c r="A27" s="25" t="str">
        <f>'Trial Balance'!A28&amp;"-"&amp;'Trial Balance'!B28</f>
        <v>1210-Notes  Receivable from Associated Companies</v>
      </c>
      <c r="B27" s="317">
        <f>'Trial Balance'!N28</f>
        <v>0</v>
      </c>
    </row>
    <row r="28" spans="1:2" ht="15" customHeight="1" thickBot="1">
      <c r="A28" s="26" t="s">
        <v>150</v>
      </c>
      <c r="B28" s="318">
        <f>SUM(B7:B27)</f>
        <v>9248481.930314366</v>
      </c>
    </row>
    <row r="29" spans="1:2" s="18" customFormat="1" ht="8.25" customHeight="1">
      <c r="A29" s="646"/>
      <c r="B29" s="646"/>
    </row>
    <row r="30" spans="1:2" s="18" customFormat="1" ht="15" customHeight="1">
      <c r="A30" s="645" t="s">
        <v>151</v>
      </c>
      <c r="B30" s="645"/>
    </row>
    <row r="31" spans="1:2" ht="15" customHeight="1">
      <c r="A31" s="25" t="str">
        <f>'Trial Balance'!A30&amp;"-"&amp;'Trial Balance'!B30</f>
        <v>1305-Fuel Stock</v>
      </c>
      <c r="B31" s="317">
        <f>'Trial Balance'!N30</f>
        <v>0</v>
      </c>
    </row>
    <row r="32" spans="1:2" ht="15" customHeight="1">
      <c r="A32" s="25" t="str">
        <f>'Trial Balance'!A31&amp;"-"&amp;'Trial Balance'!B31</f>
        <v>1330-Plant Materials and Operating Supplies</v>
      </c>
      <c r="B32" s="317">
        <f>'Trial Balance'!N31</f>
        <v>558643.7</v>
      </c>
    </row>
    <row r="33" spans="1:2" ht="15" customHeight="1">
      <c r="A33" s="25" t="str">
        <f>'Trial Balance'!A32&amp;"-"&amp;'Trial Balance'!B32</f>
        <v>1340-Merchandise</v>
      </c>
      <c r="B33" s="317">
        <f>'Trial Balance'!N32</f>
        <v>0</v>
      </c>
    </row>
    <row r="34" spans="1:2" ht="15" customHeight="1" thickBot="1">
      <c r="A34" s="25" t="str">
        <f>'Trial Balance'!A33&amp;"-"&amp;'Trial Balance'!B33</f>
        <v>1350-Other Material and Supplies</v>
      </c>
      <c r="B34" s="317">
        <f>'Trial Balance'!N33</f>
        <v>0</v>
      </c>
    </row>
    <row r="35" spans="1:2" ht="15" customHeight="1" thickBot="1">
      <c r="A35" s="27" t="s">
        <v>103</v>
      </c>
      <c r="B35" s="318">
        <f>SUM(B31:B34)</f>
        <v>558643.7</v>
      </c>
    </row>
    <row r="36" spans="1:2" s="18" customFormat="1" ht="15" customHeight="1">
      <c r="A36" s="22"/>
      <c r="B36" s="319"/>
    </row>
    <row r="37" spans="1:2" s="18" customFormat="1" ht="15" customHeight="1">
      <c r="A37" s="645" t="s">
        <v>104</v>
      </c>
      <c r="B37" s="645"/>
    </row>
    <row r="38" spans="1:2" ht="15" customHeight="1">
      <c r="A38" s="25" t="str">
        <f>'Trial Balance'!A35&amp;"-"&amp;'Trial Balance'!B35</f>
        <v>1405-Long Term Investments in Non-Associated Companies</v>
      </c>
      <c r="B38" s="317">
        <f>'Trial Balance'!N35</f>
        <v>0</v>
      </c>
    </row>
    <row r="39" spans="1:2" ht="15" customHeight="1">
      <c r="A39" s="25" t="str">
        <f>'Trial Balance'!A36&amp;"-"&amp;'Trial Balance'!B36</f>
        <v>1408-Long Term Receivable - Street Lighting Transfer</v>
      </c>
      <c r="B39" s="317">
        <f>'Trial Balance'!N36</f>
        <v>0</v>
      </c>
    </row>
    <row r="40" spans="1:2" ht="15" customHeight="1">
      <c r="A40" s="25" t="str">
        <f>'Trial Balance'!A37&amp;"-"&amp;'Trial Balance'!B37</f>
        <v>1410-Other Special or Collateral Funds</v>
      </c>
      <c r="B40" s="317">
        <f>'Trial Balance'!N37</f>
        <v>0</v>
      </c>
    </row>
    <row r="41" spans="1:2" ht="15" customHeight="1">
      <c r="A41" s="25" t="str">
        <f>'Trial Balance'!A38&amp;"-"&amp;'Trial Balance'!B38</f>
        <v>1415-Sinking Funds</v>
      </c>
      <c r="B41" s="317">
        <f>'Trial Balance'!N38</f>
        <v>0</v>
      </c>
    </row>
    <row r="42" spans="1:2" ht="15" customHeight="1">
      <c r="A42" s="25" t="str">
        <f>'Trial Balance'!A39&amp;"-"&amp;'Trial Balance'!B39</f>
        <v>1425-Unamortized Debt Expense</v>
      </c>
      <c r="B42" s="317">
        <f>'Trial Balance'!N39</f>
        <v>0</v>
      </c>
    </row>
    <row r="43" spans="1:2" ht="15" customHeight="1">
      <c r="A43" s="25" t="str">
        <f>'Trial Balance'!A40&amp;"-"&amp;'Trial Balance'!B40</f>
        <v>1445-Unamortized Discount on Long-Term Debt--Debit</v>
      </c>
      <c r="B43" s="317">
        <f>'Trial Balance'!N40</f>
        <v>0</v>
      </c>
    </row>
    <row r="44" spans="1:2" ht="15" customHeight="1">
      <c r="A44" s="25" t="str">
        <f>'Trial Balance'!A41&amp;"-"&amp;'Trial Balance'!B41</f>
        <v>1455-Unamortized Deferred Foreign Currency Translation Gains and Losses</v>
      </c>
      <c r="B44" s="317">
        <f>'Trial Balance'!N41</f>
        <v>0</v>
      </c>
    </row>
    <row r="45" spans="1:2" ht="15" customHeight="1">
      <c r="A45" s="25" t="str">
        <f>'Trial Balance'!A42&amp;"-"&amp;'Trial Balance'!B42</f>
        <v>1460-Other Non-Current Assets</v>
      </c>
      <c r="B45" s="317">
        <f>'Trial Balance'!N42</f>
        <v>0</v>
      </c>
    </row>
    <row r="46" spans="1:2" ht="15" customHeight="1">
      <c r="A46" s="25" t="str">
        <f>'Trial Balance'!A43&amp;"-"&amp;'Trial Balance'!B43</f>
        <v>1465-O.M.E.R.S. Past Service Costs</v>
      </c>
      <c r="B46" s="317">
        <f>'Trial Balance'!N43</f>
        <v>0</v>
      </c>
    </row>
    <row r="47" spans="1:2" ht="15" customHeight="1">
      <c r="A47" s="25" t="str">
        <f>'Trial Balance'!A44&amp;"-"&amp;'Trial Balance'!B44</f>
        <v>1470-Past Service Costs - Employee Future Benefits</v>
      </c>
      <c r="B47" s="317">
        <f>'Trial Balance'!N44</f>
        <v>0</v>
      </c>
    </row>
    <row r="48" spans="1:2" ht="15" customHeight="1">
      <c r="A48" s="25" t="str">
        <f>'Trial Balance'!A45&amp;"-"&amp;'Trial Balance'!B45</f>
        <v>1475-Past Service Costs -Other Pension Plans</v>
      </c>
      <c r="B48" s="317">
        <f>'Trial Balance'!N45</f>
        <v>0</v>
      </c>
    </row>
    <row r="49" spans="1:2" ht="15" customHeight="1">
      <c r="A49" s="25" t="str">
        <f>'Trial Balance'!A46&amp;"-"&amp;'Trial Balance'!B46</f>
        <v>1480-Portfolio Investments - Associated Companies</v>
      </c>
      <c r="B49" s="317">
        <f>'Trial Balance'!N46</f>
        <v>0</v>
      </c>
    </row>
    <row r="50" spans="1:2" ht="15" customHeight="1">
      <c r="A50" s="25" t="str">
        <f>'Trial Balance'!A47&amp;"-"&amp;'Trial Balance'!B47</f>
        <v>1485-Investment In Subsidiary Companies - Significant Influence</v>
      </c>
      <c r="B50" s="317">
        <f>'Trial Balance'!N47</f>
        <v>0</v>
      </c>
    </row>
    <row r="51" spans="1:2" ht="15" customHeight="1" thickBot="1">
      <c r="A51" s="25" t="str">
        <f>'Trial Balance'!A48&amp;"-"&amp;'Trial Balance'!B48</f>
        <v>1490-Investment in Subsidiary Companies</v>
      </c>
      <c r="B51" s="317">
        <f>'Trial Balance'!N48</f>
        <v>0</v>
      </c>
    </row>
    <row r="52" spans="1:2" ht="15" customHeight="1" thickBot="1">
      <c r="A52" s="27" t="s">
        <v>105</v>
      </c>
      <c r="B52" s="318">
        <f>SUM(B38:B51)</f>
        <v>0</v>
      </c>
    </row>
    <row r="53" spans="1:2" s="18" customFormat="1" ht="15" customHeight="1">
      <c r="A53" s="22"/>
      <c r="B53" s="319"/>
    </row>
    <row r="54" spans="1:2" s="18" customFormat="1" ht="15" customHeight="1">
      <c r="A54" s="645" t="s">
        <v>106</v>
      </c>
      <c r="B54" s="645"/>
    </row>
    <row r="55" spans="1:2" ht="15" customHeight="1">
      <c r="A55" s="25" t="str">
        <f>'Trial Balance'!A50&amp;"-"&amp;'Trial Balance'!B50</f>
        <v>1505-Unrecovered Plant and Regulatory Study Costs</v>
      </c>
      <c r="B55" s="317">
        <f>'Trial Balance'!N50</f>
        <v>0</v>
      </c>
    </row>
    <row r="56" spans="1:2" ht="15" customHeight="1">
      <c r="A56" s="25" t="str">
        <f>'Trial Balance'!A51&amp;"-"&amp;'Trial Balance'!B51</f>
        <v>1508-Other Regulatory Assets</v>
      </c>
      <c r="B56" s="317">
        <f>'Trial Balance'!N51</f>
        <v>337317.1076151667</v>
      </c>
    </row>
    <row r="57" spans="1:2" ht="15" customHeight="1">
      <c r="A57" s="25" t="str">
        <f>'Trial Balance'!A52&amp;"-"&amp;'Trial Balance'!B52</f>
        <v>1510-Preliminary Survey and Investigation Charges</v>
      </c>
      <c r="B57" s="317">
        <f>'Trial Balance'!N52</f>
        <v>0</v>
      </c>
    </row>
    <row r="58" spans="1:2" ht="15" customHeight="1">
      <c r="A58" s="25" t="str">
        <f>'Trial Balance'!A53&amp;"-"&amp;'Trial Balance'!B53</f>
        <v>1515-Emission Allowance Inventory</v>
      </c>
      <c r="B58" s="317">
        <f>'Trial Balance'!N53</f>
        <v>0</v>
      </c>
    </row>
    <row r="59" spans="1:2" ht="15" customHeight="1">
      <c r="A59" s="25" t="str">
        <f>'Trial Balance'!A54&amp;"-"&amp;'Trial Balance'!B54</f>
        <v>1516-Emission Allowance Withheld</v>
      </c>
      <c r="B59" s="317">
        <f>'Trial Balance'!N54</f>
        <v>0</v>
      </c>
    </row>
    <row r="60" spans="1:2" ht="15" customHeight="1">
      <c r="A60" s="25" t="str">
        <f>'Trial Balance'!A55&amp;"-"&amp;'Trial Balance'!B55</f>
        <v>1518-RCVA Retail</v>
      </c>
      <c r="B60" s="317">
        <f>'Trial Balance'!N55</f>
        <v>0</v>
      </c>
    </row>
    <row r="61" spans="1:2" ht="15" customHeight="1">
      <c r="A61" s="25" t="str">
        <f>'Trial Balance'!A56&amp;"-"&amp;'Trial Balance'!B56</f>
        <v>1521- Special Purpose Charge Assessment</v>
      </c>
      <c r="B61" s="317">
        <f>'Trial Balance'!N56</f>
        <v>20448.334517152703</v>
      </c>
    </row>
    <row r="62" spans="1:2" ht="15" customHeight="1">
      <c r="A62" s="25" t="str">
        <f>'Trial Balance'!A57&amp;"-"&amp;'Trial Balance'!B57</f>
        <v>1522-  Late Payment  Settlement Recovery?</v>
      </c>
      <c r="B62" s="317">
        <f>'Trial Balance'!N57</f>
        <v>0</v>
      </c>
    </row>
    <row r="63" spans="1:2" ht="15" customHeight="1">
      <c r="A63" s="25" t="str">
        <f>'Trial Balance'!A58&amp;"-"&amp;'Trial Balance'!B58</f>
        <v>1525-Miscellaneous Deferred Debits</v>
      </c>
      <c r="B63" s="317">
        <f>'Trial Balance'!N58</f>
        <v>0</v>
      </c>
    </row>
    <row r="64" spans="1:2" ht="15" customHeight="1">
      <c r="A64" s="25" t="str">
        <f>'Trial Balance'!A59&amp;"-"&amp;'Trial Balance'!B59</f>
        <v>1530-Deferred Losses from Disposition of Utility Plant</v>
      </c>
      <c r="B64" s="317">
        <f>'Trial Balance'!N59</f>
        <v>0</v>
      </c>
    </row>
    <row r="65" spans="1:2" ht="15" customHeight="1">
      <c r="A65" s="25" t="str">
        <f>'Trial Balance'!A60&amp;"-"&amp;'Trial Balance'!B60</f>
        <v>1531-Renewable Connection Capital </v>
      </c>
      <c r="B65" s="317">
        <f>'Trial Balance'!N60</f>
        <v>0</v>
      </c>
    </row>
    <row r="66" spans="1:2" ht="15" customHeight="1">
      <c r="A66" s="25" t="str">
        <f>'Trial Balance'!A61&amp;"-"&amp;'Trial Balance'!B61</f>
        <v>1532-Renewable Connection OM&amp;A</v>
      </c>
      <c r="B66" s="317">
        <f>'Trial Balance'!N61</f>
        <v>49241.06655758567</v>
      </c>
    </row>
    <row r="67" spans="1:2" ht="15" customHeight="1">
      <c r="A67" s="25" t="str">
        <f>'Trial Balance'!A62&amp;"-"&amp;'Trial Balance'!B62</f>
        <v>1534-Smart Grid Capital</v>
      </c>
      <c r="B67" s="317">
        <f>'Trial Balance'!N62</f>
        <v>0</v>
      </c>
    </row>
    <row r="68" spans="1:2" ht="15" customHeight="1">
      <c r="A68" s="25" t="str">
        <f>'Trial Balance'!A63&amp;"-"&amp;'Trial Balance'!B63</f>
        <v>1535-Smart Grid OM&amp;A</v>
      </c>
      <c r="B68" s="317">
        <f>'Trial Balance'!N63</f>
        <v>45003.082445137275</v>
      </c>
    </row>
    <row r="69" spans="1:2" ht="15" customHeight="1">
      <c r="A69" s="25" t="str">
        <f>'Trial Balance'!A64&amp;"-"&amp;'Trial Balance'!B64</f>
        <v>1540-Deferred Losses from Disposition of Utility Plant</v>
      </c>
      <c r="B69" s="317">
        <f>'Trial Balance'!N64</f>
        <v>0</v>
      </c>
    </row>
    <row r="70" spans="1:2" ht="15" customHeight="1">
      <c r="A70" s="25" t="str">
        <f>'Trial Balance'!A65&amp;"-"&amp;'Trial Balance'!B65</f>
        <v>1545-Development Charge Deposits/ Receivables</v>
      </c>
      <c r="B70" s="317">
        <f>'Trial Balance'!N65</f>
        <v>0</v>
      </c>
    </row>
    <row r="71" spans="1:2" ht="15" customHeight="1">
      <c r="A71" s="25" t="str">
        <f>'Trial Balance'!A66&amp;"-"&amp;'Trial Balance'!B66</f>
        <v>1548-RCVA - Service Transaction Request (STR)</v>
      </c>
      <c r="B71" s="317">
        <f>'Trial Balance'!N66</f>
        <v>0</v>
      </c>
    </row>
    <row r="72" spans="1:2" ht="15" customHeight="1">
      <c r="A72" s="25" t="str">
        <f>'Trial Balance'!A67&amp;"-"&amp;'Trial Balance'!B67</f>
        <v>1550-LV Charges - Variance</v>
      </c>
      <c r="B72" s="317">
        <f>'Trial Balance'!N67</f>
        <v>0</v>
      </c>
    </row>
    <row r="73" spans="1:2" ht="15" customHeight="1">
      <c r="A73" s="25" t="str">
        <f>'Trial Balance'!A68&amp;"-"&amp;'Trial Balance'!B68</f>
        <v>1555-Smart Meters Recovery</v>
      </c>
      <c r="B73" s="317">
        <f>'Trial Balance'!N68</f>
        <v>633048.0099999999</v>
      </c>
    </row>
    <row r="74" spans="1:2" ht="15" customHeight="1">
      <c r="A74" s="25" t="str">
        <f>'Trial Balance'!A69&amp;"-"&amp;'Trial Balance'!B69</f>
        <v>1556-Smart Meters OM &amp; A</v>
      </c>
      <c r="B74" s="317">
        <f>'Trial Balance'!N69</f>
        <v>232584.29380783602</v>
      </c>
    </row>
    <row r="75" spans="1:2" ht="15" customHeight="1">
      <c r="A75" s="25" t="str">
        <f>'Trial Balance'!A70&amp;"-"&amp;'Trial Balance'!B70</f>
        <v>1562-Deferred PILs</v>
      </c>
      <c r="B75" s="317">
        <f>'Trial Balance'!N70</f>
        <v>307297.56</v>
      </c>
    </row>
    <row r="76" spans="1:2" ht="15" customHeight="1">
      <c r="A76" s="25" t="str">
        <f>'Trial Balance'!A71&amp;"-"&amp;'Trial Balance'!B71</f>
        <v>1563-Deferred PILs - Contra</v>
      </c>
      <c r="B76" s="317">
        <f>'Trial Balance'!N71</f>
        <v>0</v>
      </c>
    </row>
    <row r="77" spans="1:2" ht="15" customHeight="1">
      <c r="A77" s="25" t="str">
        <f>'Trial Balance'!A72&amp;"-"&amp;'Trial Balance'!B72</f>
        <v>1565-C &amp; DM Costs</v>
      </c>
      <c r="B77" s="317">
        <f>'Trial Balance'!N72</f>
        <v>0</v>
      </c>
    </row>
    <row r="78" spans="1:2" ht="15" customHeight="1">
      <c r="A78" s="25" t="str">
        <f>'Trial Balance'!A73&amp;"-"&amp;'Trial Balance'!B73</f>
        <v>1566-C &amp; DM Costs Contra</v>
      </c>
      <c r="B78" s="317">
        <f>'Trial Balance'!N73</f>
        <v>0</v>
      </c>
    </row>
    <row r="79" spans="1:2" ht="15" customHeight="1">
      <c r="A79" s="25" t="str">
        <f>'Trial Balance'!A74&amp;"-"&amp;'Trial Balance'!B74</f>
        <v>1570-Qualifying Transition Costs</v>
      </c>
      <c r="B79" s="317">
        <f>'Trial Balance'!N74</f>
        <v>0</v>
      </c>
    </row>
    <row r="80" spans="1:2" ht="15" customHeight="1">
      <c r="A80" s="25" t="str">
        <f>'Trial Balance'!A75&amp;"-"&amp;'Trial Balance'!B75</f>
        <v>1571-Pre Market CofP Variance</v>
      </c>
      <c r="B80" s="317">
        <f>'Trial Balance'!N75</f>
        <v>0</v>
      </c>
    </row>
    <row r="81" spans="1:2" ht="15" customHeight="1">
      <c r="A81" s="25" t="str">
        <f>'Trial Balance'!A76&amp;"-"&amp;'Trial Balance'!B76</f>
        <v>1572-Extraordinary Event Losses</v>
      </c>
      <c r="B81" s="317">
        <f>'Trial Balance'!N76</f>
        <v>0</v>
      </c>
    </row>
    <row r="82" spans="1:2" ht="15" customHeight="1">
      <c r="A82" s="25" t="str">
        <f>'Trial Balance'!A77&amp;"-"&amp;'Trial Balance'!B77</f>
        <v>1574-Deferred Rate Impact Amounts</v>
      </c>
      <c r="B82" s="317">
        <f>'Trial Balance'!N78</f>
        <v>-1278650.27</v>
      </c>
    </row>
    <row r="83" spans="1:2" ht="15" customHeight="1">
      <c r="A83" s="25" t="str">
        <f>'Trial Balance'!A78&amp;"-"&amp;'Trial Balance'!B78</f>
        <v>1580-RSVA - Wholesale Market Services</v>
      </c>
      <c r="B83" s="317">
        <f>'Trial Balance'!N79</f>
        <v>142020.93</v>
      </c>
    </row>
    <row r="84" spans="1:2" ht="15" customHeight="1">
      <c r="A84" s="25" t="str">
        <f>'Trial Balance'!A79&amp;"-"&amp;'Trial Balance'!B79</f>
        <v>1582-RSVA - One-Time</v>
      </c>
      <c r="B84" s="317">
        <f>'Trial Balance'!N80</f>
        <v>-390427.48000000004</v>
      </c>
    </row>
    <row r="85" spans="1:2" ht="15" customHeight="1">
      <c r="A85" s="25" t="str">
        <f>'Trial Balance'!A80&amp;"-"&amp;'Trial Balance'!B80</f>
        <v>1584-RSVA - Network Charges</v>
      </c>
      <c r="B85" s="317">
        <f>'Trial Balance'!N81</f>
        <v>-42537.819999999956</v>
      </c>
    </row>
    <row r="86" spans="1:2" ht="15" customHeight="1">
      <c r="A86" s="25" t="str">
        <f>'Trial Balance'!A81&amp;"-"&amp;'Trial Balance'!B81</f>
        <v>1586-RSVA - Connection Charges</v>
      </c>
      <c r="B86" s="317">
        <f>'Trial Balance'!N82</f>
        <v>-556402.1899999994</v>
      </c>
    </row>
    <row r="87" spans="1:2" ht="15" customHeight="1">
      <c r="A87" s="25" t="str">
        <f>'Trial Balance'!A82&amp;"-"&amp;'Trial Balance'!B82</f>
        <v>1588-RSVA - Commodity (Power)</v>
      </c>
      <c r="B87" s="317">
        <f>'Trial Balance'!N83</f>
        <v>34542.630000000005</v>
      </c>
    </row>
    <row r="88" spans="1:2" ht="15" customHeight="1">
      <c r="A88" s="25" t="str">
        <f>'Trial Balance'!A83&amp;"-"&amp;'Trial Balance'!B83</f>
        <v>1590-Recovery of Regulatory Assets (25% of 2002 bal.)</v>
      </c>
      <c r="B88" s="317">
        <f>'Trial Balance'!N84</f>
        <v>0</v>
      </c>
    </row>
    <row r="89" spans="1:2" ht="15" customHeight="1">
      <c r="A89" s="25" t="str">
        <f>'Trial Balance'!A84&amp;"-"&amp;'Trial Balance'!B84</f>
        <v>1592-PILs and Tax Variance for 2006 &amp; Subsequent Years</v>
      </c>
      <c r="B89" s="317">
        <f>'Trial Balance'!N85</f>
        <v>0</v>
      </c>
    </row>
    <row r="90" spans="1:2" ht="15" customHeight="1" thickBot="1">
      <c r="A90" s="25" t="str">
        <f>'Trial Balance'!A85&amp;"-"&amp;'Trial Balance'!B85</f>
        <v>1595-Disposition and Recovery of Regulatory Balances</v>
      </c>
      <c r="B90" s="317">
        <f>'Trial Balance'!N86</f>
        <v>0</v>
      </c>
    </row>
    <row r="91" spans="1:2" ht="15" customHeight="1" thickBot="1">
      <c r="A91" s="27" t="s">
        <v>155</v>
      </c>
      <c r="B91" s="318">
        <f>SUM(B55:B90)</f>
        <v>-466514.74505712104</v>
      </c>
    </row>
    <row r="92" spans="1:2" s="18" customFormat="1" ht="15" customHeight="1">
      <c r="A92" s="22"/>
      <c r="B92" s="319"/>
    </row>
    <row r="93" spans="1:2" s="18" customFormat="1" ht="15" customHeight="1">
      <c r="A93" s="645" t="s">
        <v>156</v>
      </c>
      <c r="B93" s="645"/>
    </row>
    <row r="94" spans="1:2" ht="15" customHeight="1">
      <c r="A94" s="25" t="str">
        <f>'Trial Balance'!A87&amp;"-"&amp;'Trial Balance'!B87</f>
        <v>1805-Land</v>
      </c>
      <c r="B94" s="317">
        <f>'Trial Balance'!N87</f>
        <v>21835.64</v>
      </c>
    </row>
    <row r="95" spans="1:2" ht="15" customHeight="1">
      <c r="A95" s="25" t="str">
        <f>'Trial Balance'!A88&amp;"-"&amp;'Trial Balance'!B88</f>
        <v>1806-Land Rights</v>
      </c>
      <c r="B95" s="317">
        <f>'Trial Balance'!N88</f>
        <v>0</v>
      </c>
    </row>
    <row r="96" spans="1:2" ht="15" customHeight="1">
      <c r="A96" s="25" t="str">
        <f>'Trial Balance'!A89&amp;"-"&amp;'Trial Balance'!B89</f>
        <v>1808-Buildings and Fixtures</v>
      </c>
      <c r="B96" s="317">
        <f>'Trial Balance'!N89</f>
        <v>190773.89</v>
      </c>
    </row>
    <row r="97" spans="1:2" ht="15" customHeight="1">
      <c r="A97" s="25" t="str">
        <f>'Trial Balance'!A90&amp;"-"&amp;'Trial Balance'!B90</f>
        <v>1810-Leasehold Improvements</v>
      </c>
      <c r="B97" s="317">
        <f>'Trial Balance'!N90</f>
        <v>0</v>
      </c>
    </row>
    <row r="98" spans="1:2" ht="15" customHeight="1">
      <c r="A98" s="25" t="str">
        <f>'Trial Balance'!A91&amp;"-"&amp;'Trial Balance'!B91</f>
        <v>1815-Transformer Station Equipment - Normally Primary above 50 kV</v>
      </c>
      <c r="B98" s="317">
        <f>'Trial Balance'!N91</f>
        <v>0</v>
      </c>
    </row>
    <row r="99" spans="1:2" ht="15" customHeight="1">
      <c r="A99" s="25" t="str">
        <f>'Trial Balance'!A92&amp;"-"&amp;'Trial Balance'!B92</f>
        <v>1820-Distribution Station Equipment - Normally Primary below 50 kV</v>
      </c>
      <c r="B99" s="317">
        <f>'Trial Balance'!N92</f>
        <v>647560.04</v>
      </c>
    </row>
    <row r="100" spans="1:2" ht="15" customHeight="1">
      <c r="A100" s="25" t="str">
        <f>'Trial Balance'!A93&amp;"-"&amp;'Trial Balance'!B93</f>
        <v>1825-Storage Battery Equipment</v>
      </c>
      <c r="B100" s="317">
        <f>'Trial Balance'!N93</f>
        <v>0</v>
      </c>
    </row>
    <row r="101" spans="1:2" ht="15" customHeight="1">
      <c r="A101" s="25" t="str">
        <f>'Trial Balance'!A94&amp;"-"&amp;'Trial Balance'!B94</f>
        <v>1830-Poles, Towers and Fixtures</v>
      </c>
      <c r="B101" s="317">
        <f>'Trial Balance'!N94</f>
        <v>8701848.583456129</v>
      </c>
    </row>
    <row r="102" spans="1:2" ht="15" customHeight="1">
      <c r="A102" s="25" t="str">
        <f>'Trial Balance'!A95&amp;"-"&amp;'Trial Balance'!B95</f>
        <v>1835-Overhead Conductors and Devices</v>
      </c>
      <c r="B102" s="317">
        <f>'Trial Balance'!N95</f>
        <v>4307891.002741506</v>
      </c>
    </row>
    <row r="103" spans="1:2" ht="15" customHeight="1">
      <c r="A103" s="25" t="str">
        <f>'Trial Balance'!A96&amp;"-"&amp;'Trial Balance'!B96</f>
        <v>1840-Underground Conduit</v>
      </c>
      <c r="B103" s="317">
        <f>'Trial Balance'!N96</f>
        <v>4597853.9516839</v>
      </c>
    </row>
    <row r="104" spans="1:2" ht="15" customHeight="1">
      <c r="A104" s="25" t="str">
        <f>'Trial Balance'!A97&amp;"-"&amp;'Trial Balance'!B97</f>
        <v>1845-Underground Conductors and Devices</v>
      </c>
      <c r="B104" s="317">
        <f>'Trial Balance'!N97</f>
        <v>5392776.244471196</v>
      </c>
    </row>
    <row r="105" spans="1:2" ht="15" customHeight="1">
      <c r="A105" s="25" t="str">
        <f>'Trial Balance'!A98&amp;"-"&amp;'Trial Balance'!B98</f>
        <v>1850-Line Transformers</v>
      </c>
      <c r="B105" s="317">
        <f>'Trial Balance'!N98</f>
        <v>7858815.241122599</v>
      </c>
    </row>
    <row r="106" spans="1:2" ht="15" customHeight="1">
      <c r="A106" s="25" t="str">
        <f>'Trial Balance'!A99&amp;"-"&amp;'Trial Balance'!B99</f>
        <v>1855-Services</v>
      </c>
      <c r="B106" s="317">
        <f>'Trial Balance'!N99</f>
        <v>2816764.473929099</v>
      </c>
    </row>
    <row r="107" spans="1:2" ht="15" customHeight="1">
      <c r="A107" s="25" t="str">
        <f>'Trial Balance'!A100&amp;"-"&amp;'Trial Balance'!B100</f>
        <v>1860-Meters</v>
      </c>
      <c r="B107" s="317">
        <f>'Trial Balance'!N100</f>
        <v>5933997.42</v>
      </c>
    </row>
    <row r="108" spans="1:2" ht="15" customHeight="1" thickBot="1">
      <c r="A108" s="25" t="str">
        <f>'Trial Balance'!A101&amp;"-"&amp;'Trial Balance'!B101</f>
        <v>1865-Other Installations on Customer's Premises</v>
      </c>
      <c r="B108" s="317">
        <f>'Trial Balance'!N101</f>
        <v>0</v>
      </c>
    </row>
    <row r="109" spans="1:2" ht="15" customHeight="1" thickBot="1">
      <c r="A109" s="28" t="s">
        <v>80</v>
      </c>
      <c r="B109" s="318">
        <f>SUM(B94:B108)</f>
        <v>40470116.48740443</v>
      </c>
    </row>
    <row r="110" spans="1:2" s="18" customFormat="1" ht="15" customHeight="1">
      <c r="A110" s="21"/>
      <c r="B110" s="319"/>
    </row>
    <row r="111" spans="1:2" s="18" customFormat="1" ht="15" customHeight="1">
      <c r="A111" s="645" t="s">
        <v>81</v>
      </c>
      <c r="B111" s="645"/>
    </row>
    <row r="112" spans="1:2" ht="15" customHeight="1">
      <c r="A112" s="25" t="str">
        <f>'Trial Balance'!A102&amp;"-"&amp;'Trial Balance'!B102</f>
        <v>1905-Land</v>
      </c>
      <c r="B112" s="317">
        <f>'Trial Balance'!N102</f>
        <v>17529.54</v>
      </c>
    </row>
    <row r="113" spans="1:2" ht="15" customHeight="1">
      <c r="A113" s="25" t="str">
        <f>'Trial Balance'!A103&amp;"-"&amp;'Trial Balance'!B103</f>
        <v>1906-Land Rights</v>
      </c>
      <c r="B113" s="317">
        <f>'Trial Balance'!N103</f>
        <v>0</v>
      </c>
    </row>
    <row r="114" spans="1:2" ht="15" customHeight="1">
      <c r="A114" s="25" t="str">
        <f>'Trial Balance'!A104&amp;"-"&amp;'Trial Balance'!B104</f>
        <v>1908-Buildings and Fixtures</v>
      </c>
      <c r="B114" s="317">
        <f>'Trial Balance'!N104</f>
        <v>1073723.1</v>
      </c>
    </row>
    <row r="115" spans="1:2" ht="15" customHeight="1">
      <c r="A115" s="25" t="str">
        <f>'Trial Balance'!A105&amp;"-"&amp;'Trial Balance'!B105</f>
        <v>1910-Leasehold Improvements</v>
      </c>
      <c r="B115" s="317">
        <f>'Trial Balance'!N105</f>
        <v>0</v>
      </c>
    </row>
    <row r="116" spans="1:2" ht="15" customHeight="1">
      <c r="A116" s="25" t="str">
        <f>'Trial Balance'!A106&amp;"-"&amp;'Trial Balance'!B106</f>
        <v>1915-Office Furniture and Equipment</v>
      </c>
      <c r="B116" s="317">
        <f>'Trial Balance'!N106</f>
        <v>265941.27</v>
      </c>
    </row>
    <row r="117" spans="1:2" ht="15" customHeight="1">
      <c r="A117" s="25" t="str">
        <f>'Trial Balance'!A107&amp;"-"&amp;'Trial Balance'!B107</f>
        <v>1920-Computer Equipment - Hardware</v>
      </c>
      <c r="B117" s="317">
        <f>'Trial Balance'!N107</f>
        <v>1300172.6400000001</v>
      </c>
    </row>
    <row r="118" spans="1:2" ht="15" customHeight="1">
      <c r="A118" s="25" t="str">
        <f>'Trial Balance'!A108&amp;"-"&amp;'Trial Balance'!B108</f>
        <v>1925-Computer Software</v>
      </c>
      <c r="B118" s="317">
        <f>'Trial Balance'!N108</f>
        <v>1402122.6500000001</v>
      </c>
    </row>
    <row r="119" spans="1:2" ht="15" customHeight="1">
      <c r="A119" s="25" t="str">
        <f>'Trial Balance'!A109&amp;"-"&amp;'Trial Balance'!B109</f>
        <v>1930-Transportation Equipment</v>
      </c>
      <c r="B119" s="317">
        <f>'Trial Balance'!N109</f>
        <v>1626887.8099999998</v>
      </c>
    </row>
    <row r="120" spans="1:2" ht="15" customHeight="1">
      <c r="A120" s="25" t="str">
        <f>'Trial Balance'!A110&amp;"-"&amp;'Trial Balance'!B110</f>
        <v>1935-Stores Equipment</v>
      </c>
      <c r="B120" s="317">
        <f>'Trial Balance'!N110</f>
        <v>116838.82999999999</v>
      </c>
    </row>
    <row r="121" spans="1:2" ht="15" customHeight="1">
      <c r="A121" s="25" t="str">
        <f>'Trial Balance'!A111&amp;"-"&amp;'Trial Balance'!B111</f>
        <v>1940-Tools, Shop and Garage Equipment</v>
      </c>
      <c r="B121" s="317">
        <f>'Trial Balance'!N111</f>
        <v>290235.57000000007</v>
      </c>
    </row>
    <row r="122" spans="1:2" ht="15" customHeight="1">
      <c r="A122" s="25" t="str">
        <f>'Trial Balance'!A112&amp;"-"&amp;'Trial Balance'!B112</f>
        <v>1945-Measurement and Testing Equipment</v>
      </c>
      <c r="B122" s="317">
        <f>'Trial Balance'!N112</f>
        <v>131963.01</v>
      </c>
    </row>
    <row r="123" spans="1:2" ht="15" customHeight="1">
      <c r="A123" s="25" t="str">
        <f>'Trial Balance'!A113&amp;"-"&amp;'Trial Balance'!B113</f>
        <v>1950-Power Operated Equipment</v>
      </c>
      <c r="B123" s="317">
        <f>'Trial Balance'!N113</f>
        <v>0</v>
      </c>
    </row>
    <row r="124" spans="1:2" ht="15" customHeight="1">
      <c r="A124" s="25" t="str">
        <f>'Trial Balance'!A114&amp;"-"&amp;'Trial Balance'!B114</f>
        <v>1955-Communication Equipment</v>
      </c>
      <c r="B124" s="317">
        <f>'Trial Balance'!N114</f>
        <v>49759.15</v>
      </c>
    </row>
    <row r="125" spans="1:2" ht="15" customHeight="1">
      <c r="A125" s="25" t="str">
        <f>'Trial Balance'!A115&amp;"-"&amp;'Trial Balance'!B115</f>
        <v>1960-Miscellaneous Equipment</v>
      </c>
      <c r="B125" s="317">
        <f>'Trial Balance'!N115</f>
        <v>1905.09</v>
      </c>
    </row>
    <row r="126" spans="1:2" ht="15" customHeight="1">
      <c r="A126" s="25" t="str">
        <f>'Trial Balance'!A116&amp;"-"&amp;'Trial Balance'!B116</f>
        <v>1970-Load Management Controls - Customer Premises </v>
      </c>
      <c r="B126" s="317">
        <f>'Trial Balance'!N116</f>
        <v>0</v>
      </c>
    </row>
    <row r="127" spans="1:2" ht="15" customHeight="1">
      <c r="A127" s="25" t="str">
        <f>'Trial Balance'!A117&amp;"-"&amp;'Trial Balance'!B117</f>
        <v>1975-Load Management Controls - Utility Premises</v>
      </c>
      <c r="B127" s="317">
        <f>'Trial Balance'!N117</f>
        <v>0</v>
      </c>
    </row>
    <row r="128" spans="1:2" ht="15" customHeight="1">
      <c r="A128" s="25" t="str">
        <f>'Trial Balance'!A118&amp;"-"&amp;'Trial Balance'!B118</f>
        <v>1980-System Supervisory Equipment</v>
      </c>
      <c r="B128" s="317">
        <f>'Trial Balance'!N118</f>
        <v>356972.6</v>
      </c>
    </row>
    <row r="129" spans="1:2" ht="15" customHeight="1">
      <c r="A129" s="25" t="str">
        <f>'Trial Balance'!A119&amp;"-"&amp;'Trial Balance'!B119</f>
        <v>1985-Sentinel Lighting Rentals</v>
      </c>
      <c r="B129" s="317">
        <f>'Trial Balance'!N119</f>
        <v>0</v>
      </c>
    </row>
    <row r="130" spans="1:2" ht="15" customHeight="1">
      <c r="A130" s="25" t="str">
        <f>'Trial Balance'!A120&amp;"-"&amp;'Trial Balance'!B120</f>
        <v>1990-Other Tangible Property</v>
      </c>
      <c r="B130" s="317">
        <f>'Trial Balance'!N120</f>
        <v>0</v>
      </c>
    </row>
    <row r="131" spans="1:2" s="372" customFormat="1" ht="15" customHeight="1">
      <c r="A131" s="25" t="str">
        <f>'Trial Balance'!A121&amp;"-"&amp;'Trial Balance'!B121</f>
        <v>1995-Contributions and Grants</v>
      </c>
      <c r="B131" s="317">
        <f>'Trial Balance'!N121</f>
        <v>-4291188.341565731</v>
      </c>
    </row>
    <row r="132" spans="1:2" ht="15" customHeight="1" thickBot="1">
      <c r="A132" s="25" t="str">
        <f>'Trial Balance'!A122&amp;"-"&amp;'Trial Balance'!B122</f>
        <v>1996-Contributions - Commerce Way TS</v>
      </c>
      <c r="B132" s="317">
        <f>'Trial Balance'!N122</f>
        <v>4100000</v>
      </c>
    </row>
    <row r="133" spans="1:2" ht="15" customHeight="1" thickBot="1">
      <c r="A133" s="28" t="s">
        <v>145</v>
      </c>
      <c r="B133" s="318">
        <f>SUM(B112:B132)</f>
        <v>6442862.918434269</v>
      </c>
    </row>
    <row r="134" spans="1:2" s="18" customFormat="1" ht="15" customHeight="1">
      <c r="A134" s="21"/>
      <c r="B134" s="319"/>
    </row>
    <row r="135" spans="1:2" s="18" customFormat="1" ht="15" customHeight="1">
      <c r="A135" s="645" t="s">
        <v>146</v>
      </c>
      <c r="B135" s="645"/>
    </row>
    <row r="136" spans="1:2" ht="15" customHeight="1">
      <c r="A136" s="25" t="str">
        <f>'Trial Balance'!A124&amp;"-"&amp;'Trial Balance'!B124</f>
        <v>2005-Property Under Capital Leases</v>
      </c>
      <c r="B136" s="317">
        <f>'Trial Balance'!N124</f>
        <v>0</v>
      </c>
    </row>
    <row r="137" spans="1:2" ht="15" customHeight="1">
      <c r="A137" s="25" t="str">
        <f>'Trial Balance'!A125&amp;"-"&amp;'Trial Balance'!B125</f>
        <v>2010-Electric Plant Purchased or Sold</v>
      </c>
      <c r="B137" s="317">
        <f>'Trial Balance'!N125</f>
        <v>0</v>
      </c>
    </row>
    <row r="138" spans="1:2" ht="15" customHeight="1">
      <c r="A138" s="25" t="str">
        <f>'Trial Balance'!A126&amp;"-"&amp;'Trial Balance'!B126</f>
        <v>2020-Experimental Electric Plant Unclassified</v>
      </c>
      <c r="B138" s="317">
        <f>'Trial Balance'!N126</f>
        <v>0</v>
      </c>
    </row>
    <row r="139" spans="1:2" ht="15" customHeight="1">
      <c r="A139" s="25" t="str">
        <f>'Trial Balance'!A127&amp;"-"&amp;'Trial Balance'!B127</f>
        <v>2030-Electric Plant and Equipment Leased to Others</v>
      </c>
      <c r="B139" s="317">
        <f>'Trial Balance'!N127</f>
        <v>0</v>
      </c>
    </row>
    <row r="140" spans="1:2" ht="15" customHeight="1">
      <c r="A140" s="25" t="str">
        <f>'Trial Balance'!A128&amp;"-"&amp;'Trial Balance'!B128</f>
        <v>2040-Electric Plant Held for Future Use</v>
      </c>
      <c r="B140" s="317">
        <f>'Trial Balance'!N128</f>
        <v>0</v>
      </c>
    </row>
    <row r="141" spans="1:2" ht="15" customHeight="1">
      <c r="A141" s="25" t="str">
        <f>'Trial Balance'!A129&amp;"-"&amp;'Trial Balance'!B129</f>
        <v>2050-Completed Construction Not Classified--Electric</v>
      </c>
      <c r="B141" s="317">
        <f>'Trial Balance'!N129</f>
        <v>0</v>
      </c>
    </row>
    <row r="142" spans="1:2" ht="15" customHeight="1">
      <c r="A142" s="25" t="str">
        <f>'Trial Balance'!A130&amp;"-"&amp;'Trial Balance'!B130</f>
        <v>2055-Construction Work in Progress--Electric</v>
      </c>
      <c r="B142" s="317">
        <f>'Trial Balance'!N130</f>
        <v>0.07000000000698492</v>
      </c>
    </row>
    <row r="143" spans="1:2" ht="15" customHeight="1">
      <c r="A143" s="25" t="str">
        <f>'Trial Balance'!A131&amp;"-"&amp;'Trial Balance'!B131</f>
        <v>2060-Electric Plant Acquisition Adjustment</v>
      </c>
      <c r="B143" s="317">
        <f>'Trial Balance'!N131</f>
        <v>0</v>
      </c>
    </row>
    <row r="144" spans="1:2" ht="15" customHeight="1">
      <c r="A144" s="25" t="str">
        <f>'Trial Balance'!A132&amp;"-"&amp;'Trial Balance'!B132</f>
        <v>2065-Other Electric Plant Adjustment</v>
      </c>
      <c r="B144" s="317">
        <f>'Trial Balance'!N132</f>
        <v>0</v>
      </c>
    </row>
    <row r="145" spans="1:2" ht="15" customHeight="1">
      <c r="A145" s="25" t="str">
        <f>'Trial Balance'!A133&amp;"-"&amp;'Trial Balance'!B133</f>
        <v>2070-Other Utility Plant</v>
      </c>
      <c r="B145" s="317">
        <f>'Trial Balance'!N133</f>
        <v>0</v>
      </c>
    </row>
    <row r="146" spans="1:2" ht="15" customHeight="1" thickBot="1">
      <c r="A146" s="25" t="str">
        <f>'Trial Balance'!A134&amp;"-"&amp;'Trial Balance'!B134</f>
        <v>2075-Non-Utility Property Owned or Under Capital Lease</v>
      </c>
      <c r="B146" s="317">
        <f>'Trial Balance'!N134</f>
        <v>0</v>
      </c>
    </row>
    <row r="147" spans="1:2" ht="15" customHeight="1" thickBot="1">
      <c r="A147" s="28" t="s">
        <v>147</v>
      </c>
      <c r="B147" s="318">
        <f>SUM(B136:B146)</f>
        <v>0.07000000000698492</v>
      </c>
    </row>
    <row r="148" spans="1:2" s="18" customFormat="1" ht="15" customHeight="1">
      <c r="A148" s="21"/>
      <c r="B148" s="319"/>
    </row>
    <row r="149" spans="1:2" s="18" customFormat="1" ht="15" customHeight="1">
      <c r="A149" s="645" t="s">
        <v>148</v>
      </c>
      <c r="B149" s="645"/>
    </row>
    <row r="150" spans="1:2" ht="15" customHeight="1">
      <c r="A150" s="25" t="str">
        <f>'Trial Balance'!A136&amp;"-"&amp;'Trial Balance'!B136</f>
        <v>2105-Accumulated Amortization of Electric Utility Plant - Property, Plant and Equipment</v>
      </c>
      <c r="B150" s="317">
        <f>'Trial Balance'!N136</f>
        <v>-19146375.35438749</v>
      </c>
    </row>
    <row r="151" spans="1:2" ht="15" customHeight="1">
      <c r="A151" s="25" t="str">
        <f>'Trial Balance'!A137&amp;"-"&amp;'Trial Balance'!B137</f>
        <v>2120-Accumulated Amortization of Electric Utility Plant - Intangibles</v>
      </c>
      <c r="B151" s="317">
        <f>'Trial Balance'!N137</f>
        <v>0</v>
      </c>
    </row>
    <row r="152" spans="1:2" ht="15" customHeight="1">
      <c r="A152" s="25" t="str">
        <f>'Trial Balance'!A138&amp;"-"&amp;'Trial Balance'!B138</f>
        <v>2140-Accumulated Amortization of Electric Plant Acquisition Adjustment</v>
      </c>
      <c r="B152" s="317">
        <f>'Trial Balance'!N138</f>
        <v>0</v>
      </c>
    </row>
    <row r="153" spans="1:2" ht="15" customHeight="1">
      <c r="A153" s="25" t="str">
        <f>'Trial Balance'!A139&amp;"-"&amp;'Trial Balance'!B139</f>
        <v>2160-Accumulated Amortization of Other Utility Plant</v>
      </c>
      <c r="B153" s="317">
        <f>'Trial Balance'!N139</f>
        <v>0</v>
      </c>
    </row>
    <row r="154" spans="1:2" ht="15" customHeight="1" thickBot="1">
      <c r="A154" s="25" t="str">
        <f>'Trial Balance'!A140&amp;"-"&amp;'Trial Balance'!B140</f>
        <v>2180-Accumulated Amortization of Non-Utility Property</v>
      </c>
      <c r="B154" s="317">
        <f>'Trial Balance'!N140</f>
        <v>0</v>
      </c>
    </row>
    <row r="155" spans="1:2" ht="15" customHeight="1" thickBot="1">
      <c r="A155" s="199" t="s">
        <v>152</v>
      </c>
      <c r="B155" s="320">
        <f>SUM(B150:B154)</f>
        <v>-19146375.35438749</v>
      </c>
    </row>
    <row r="156" spans="1:2" ht="15" customHeight="1" thickBot="1">
      <c r="A156" s="196"/>
      <c r="B156" s="319"/>
    </row>
    <row r="157" spans="1:2" ht="15" customHeight="1" thickBot="1">
      <c r="A157" s="197" t="s">
        <v>265</v>
      </c>
      <c r="B157" s="321">
        <f>B28+B35+B52+B91+B109+B133+B147+B155</f>
        <v>37107215.00670846</v>
      </c>
    </row>
    <row r="158" spans="1:2" s="18" customFormat="1" ht="15" customHeight="1">
      <c r="A158" s="22"/>
      <c r="B158" s="319"/>
    </row>
    <row r="159" spans="1:2" s="18" customFormat="1" ht="15" customHeight="1">
      <c r="A159" s="645" t="s">
        <v>153</v>
      </c>
      <c r="B159" s="645"/>
    </row>
    <row r="160" spans="1:2" ht="15" customHeight="1">
      <c r="A160" s="25" t="str">
        <f>'Trial Balance'!A142&amp;"-"&amp;'Trial Balance'!B142</f>
        <v>2205-Accounts Payable</v>
      </c>
      <c r="B160" s="317">
        <f>-'Trial Balance'!N142</f>
        <v>1761549.5599999991</v>
      </c>
    </row>
    <row r="161" spans="1:2" ht="15" customHeight="1">
      <c r="A161" s="25" t="str">
        <f>'Trial Balance'!A143&amp;"-"&amp;'Trial Balance'!B143</f>
        <v>2208-Customer Credit Balances</v>
      </c>
      <c r="B161" s="317">
        <f>-'Trial Balance'!N143</f>
        <v>0</v>
      </c>
    </row>
    <row r="162" spans="1:2" ht="15" customHeight="1">
      <c r="A162" s="25" t="str">
        <f>'Trial Balance'!A144&amp;"-"&amp;'Trial Balance'!B144</f>
        <v>2210-Current Portion of Customer Deposits </v>
      </c>
      <c r="B162" s="317">
        <f>-'Trial Balance'!N144</f>
        <v>316459.2800000001</v>
      </c>
    </row>
    <row r="163" spans="1:2" ht="15" customHeight="1">
      <c r="A163" s="25" t="str">
        <f>'Trial Balance'!A145&amp;"-"&amp;'Trial Balance'!B145</f>
        <v>2215-Dividends Declared</v>
      </c>
      <c r="B163" s="317">
        <f>-'Trial Balance'!N145</f>
        <v>0</v>
      </c>
    </row>
    <row r="164" spans="1:2" ht="15" customHeight="1">
      <c r="A164" s="25" t="str">
        <f>'Trial Balance'!A146&amp;"-"&amp;'Trial Balance'!B146</f>
        <v>2220-Miscellaneous Current and Accrued Liabilities</v>
      </c>
      <c r="B164" s="317">
        <f>-'Trial Balance'!N146</f>
        <v>1217623.0300000003</v>
      </c>
    </row>
    <row r="165" spans="1:2" ht="15" customHeight="1">
      <c r="A165" s="25" t="str">
        <f>'Trial Balance'!A147&amp;"-"&amp;'Trial Balance'!B147</f>
        <v>2225-Notes and Loans Payable</v>
      </c>
      <c r="B165" s="317">
        <f>-'Trial Balance'!N147</f>
        <v>0</v>
      </c>
    </row>
    <row r="166" spans="1:2" ht="15" customHeight="1">
      <c r="A166" s="25" t="str">
        <f>'Trial Balance'!A148&amp;"-"&amp;'Trial Balance'!B148</f>
        <v>2240-Accounts Payable to Associated Companies</v>
      </c>
      <c r="B166" s="317">
        <f>-'Trial Balance'!N148</f>
        <v>0</v>
      </c>
    </row>
    <row r="167" spans="1:2" ht="15" customHeight="1">
      <c r="A167" s="25" t="str">
        <f>'Trial Balance'!A149&amp;"-"&amp;'Trial Balance'!B149</f>
        <v>2242-Notes Payable to Associated Companies</v>
      </c>
      <c r="B167" s="317">
        <f>-'Trial Balance'!N149</f>
        <v>0</v>
      </c>
    </row>
    <row r="168" spans="1:2" ht="15" customHeight="1">
      <c r="A168" s="25" t="str">
        <f>'Trial Balance'!A150&amp;"-"&amp;'Trial Balance'!B150</f>
        <v>2250-Debt Retirement  Charges (DRC) Payable</v>
      </c>
      <c r="B168" s="317">
        <f>-'Trial Balance'!N150</f>
        <v>13295.339999999851</v>
      </c>
    </row>
    <row r="169" spans="1:2" ht="15" customHeight="1">
      <c r="A169" s="25" t="str">
        <f>'Trial Balance'!A151&amp;"-"&amp;'Trial Balance'!B151</f>
        <v>2252-Transmission Charges Payable</v>
      </c>
      <c r="B169" s="317">
        <f>-'Trial Balance'!N151</f>
        <v>0</v>
      </c>
    </row>
    <row r="170" spans="1:2" ht="15" customHeight="1">
      <c r="A170" s="25" t="str">
        <f>'Trial Balance'!A152&amp;"-"&amp;'Trial Balance'!B152</f>
        <v>2254-Electric Safety Authority Fees Payable</v>
      </c>
      <c r="B170" s="317">
        <f>-'Trial Balance'!N152</f>
        <v>0</v>
      </c>
    </row>
    <row r="171" spans="1:2" ht="15" customHeight="1">
      <c r="A171" s="25" t="str">
        <f>'Trial Balance'!A153&amp;"-"&amp;'Trial Balance'!B153</f>
        <v>2256-Independent Market Operator Fees and Penalties Payable</v>
      </c>
      <c r="B171" s="317">
        <f>-'Trial Balance'!N153</f>
        <v>2762516.6400000006</v>
      </c>
    </row>
    <row r="172" spans="1:2" ht="15" customHeight="1">
      <c r="A172" s="25" t="str">
        <f>'Trial Balance'!A154&amp;"-"&amp;'Trial Balance'!B154</f>
        <v>2260-Current Portion of Long Term Debt</v>
      </c>
      <c r="B172" s="317">
        <f>-'Trial Balance'!N154</f>
        <v>0</v>
      </c>
    </row>
    <row r="173" spans="1:2" ht="15" customHeight="1">
      <c r="A173" s="25" t="str">
        <f>'Trial Balance'!A155&amp;"-"&amp;'Trial Balance'!B155</f>
        <v>2262-Ontario Hydro Debt - Current Portion</v>
      </c>
      <c r="B173" s="317">
        <f>-'Trial Balance'!N155</f>
        <v>0</v>
      </c>
    </row>
    <row r="174" spans="1:2" ht="15" customHeight="1">
      <c r="A174" s="25" t="str">
        <f>'Trial Balance'!A156&amp;"-"&amp;'Trial Balance'!B156</f>
        <v>2264-Pensions and Employee Benefits - Current Portion</v>
      </c>
      <c r="B174" s="317">
        <f>-'Trial Balance'!N156</f>
        <v>0</v>
      </c>
    </row>
    <row r="175" spans="1:2" ht="15" customHeight="1">
      <c r="A175" s="25" t="str">
        <f>'Trial Balance'!A157&amp;"-"&amp;'Trial Balance'!B157</f>
        <v>2268-Accrued Interest on Long Term Debt</v>
      </c>
      <c r="B175" s="317">
        <f>-'Trial Balance'!N157</f>
        <v>0</v>
      </c>
    </row>
    <row r="176" spans="1:2" ht="15" customHeight="1">
      <c r="A176" s="25" t="str">
        <f>'Trial Balance'!A158&amp;"-"&amp;'Trial Balance'!B158</f>
        <v>2270-Matured Long Term Debt</v>
      </c>
      <c r="B176" s="317">
        <f>-'Trial Balance'!N158</f>
        <v>0</v>
      </c>
    </row>
    <row r="177" spans="1:2" ht="15" customHeight="1">
      <c r="A177" s="25" t="str">
        <f>'Trial Balance'!A159&amp;"-"&amp;'Trial Balance'!B159</f>
        <v>2272-Matured Interest on Long Term Debt</v>
      </c>
      <c r="B177" s="317">
        <f>-'Trial Balance'!N159</f>
        <v>0</v>
      </c>
    </row>
    <row r="178" spans="1:2" ht="15" customHeight="1">
      <c r="A178" s="25" t="str">
        <f>'Trial Balance'!A160&amp;"-"&amp;'Trial Balance'!B160</f>
        <v>2285-Obligations Under Capital Leases--Current</v>
      </c>
      <c r="B178" s="317">
        <f>-'Trial Balance'!N160</f>
        <v>0</v>
      </c>
    </row>
    <row r="179" spans="1:2" ht="15" customHeight="1">
      <c r="A179" s="25" t="str">
        <f>'Trial Balance'!A161&amp;"-"&amp;'Trial Balance'!B161</f>
        <v>2290-Commodity Taxes</v>
      </c>
      <c r="B179" s="317">
        <f>-'Trial Balance'!N161</f>
        <v>31116.289999999746</v>
      </c>
    </row>
    <row r="180" spans="1:2" ht="15" customHeight="1">
      <c r="A180" s="25" t="str">
        <f>'Trial Balance'!A162&amp;"-"&amp;'Trial Balance'!B162</f>
        <v>2292-Payroll Deductions / Expenses Payable</v>
      </c>
      <c r="B180" s="317">
        <f>-'Trial Balance'!N162</f>
        <v>37999.04000000001</v>
      </c>
    </row>
    <row r="181" spans="1:2" ht="15" customHeight="1">
      <c r="A181" s="25" t="str">
        <f>'Trial Balance'!A163&amp;"-"&amp;'Trial Balance'!B163</f>
        <v>2294-Accrual for Taxes, "Payments in Lieu" of Taxes, Etc.</v>
      </c>
      <c r="B181" s="317">
        <f>-'Trial Balance'!N163</f>
        <v>-123073</v>
      </c>
    </row>
    <row r="182" spans="1:2" ht="15" customHeight="1" thickBot="1">
      <c r="A182" s="25" t="str">
        <f>'Trial Balance'!A164&amp;"-"&amp;'Trial Balance'!B164</f>
        <v>2296-Future Income Taxes - Current</v>
      </c>
      <c r="B182" s="317">
        <f>-'Trial Balance'!N164</f>
        <v>0</v>
      </c>
    </row>
    <row r="183" spans="1:2" ht="15" customHeight="1" thickBot="1">
      <c r="A183" s="28" t="s">
        <v>526</v>
      </c>
      <c r="B183" s="318">
        <f>SUM(B160:B182)</f>
        <v>6017486.18</v>
      </c>
    </row>
    <row r="184" spans="1:2" s="18" customFormat="1" ht="15" customHeight="1">
      <c r="A184" s="21"/>
      <c r="B184" s="319"/>
    </row>
    <row r="185" spans="1:2" s="18" customFormat="1" ht="15" customHeight="1">
      <c r="A185" s="645" t="s">
        <v>527</v>
      </c>
      <c r="B185" s="645"/>
    </row>
    <row r="186" spans="1:2" ht="15" customHeight="1">
      <c r="A186" s="25" t="str">
        <f>'Trial Balance'!A166&amp;"-"&amp;'Trial Balance'!B166</f>
        <v>2305-Accumulated Provision for Injuries and Damages</v>
      </c>
      <c r="B186" s="317">
        <f>-'Trial Balance'!N166</f>
        <v>0</v>
      </c>
    </row>
    <row r="187" spans="1:2" ht="15" customHeight="1">
      <c r="A187" s="25" t="str">
        <f>'Trial Balance'!A167&amp;"-"&amp;'Trial Balance'!B167</f>
        <v>2306-Employee Future Benefits</v>
      </c>
      <c r="B187" s="317">
        <f>-'Trial Balance'!N167</f>
        <v>1018833</v>
      </c>
    </row>
    <row r="188" spans="1:2" ht="15" customHeight="1">
      <c r="A188" s="25" t="str">
        <f>'Trial Balance'!A168&amp;"-"&amp;'Trial Balance'!B168</f>
        <v>2308-Other Pensions - Past Service Liability</v>
      </c>
      <c r="B188" s="317">
        <f>-'Trial Balance'!N168</f>
        <v>0</v>
      </c>
    </row>
    <row r="189" spans="1:2" ht="15" customHeight="1">
      <c r="A189" s="25" t="str">
        <f>'Trial Balance'!A169&amp;"-"&amp;'Trial Balance'!B169</f>
        <v>2310-Vested Sick Leave Liability</v>
      </c>
      <c r="B189" s="317">
        <f>-'Trial Balance'!N169</f>
        <v>100052.03</v>
      </c>
    </row>
    <row r="190" spans="1:2" ht="15" customHeight="1">
      <c r="A190" s="25" t="str">
        <f>'Trial Balance'!A170&amp;"-"&amp;'Trial Balance'!B170</f>
        <v>2315-Accumulated Provision for Rate Refunds</v>
      </c>
      <c r="B190" s="317">
        <f>-'Trial Balance'!N170</f>
        <v>0</v>
      </c>
    </row>
    <row r="191" spans="1:2" ht="15" customHeight="1">
      <c r="A191" s="25" t="str">
        <f>'Trial Balance'!A171&amp;"-"&amp;'Trial Balance'!B171</f>
        <v>2320-Other Miscellaneous Non-Current Liabilities</v>
      </c>
      <c r="B191" s="317">
        <f>-'Trial Balance'!N171</f>
        <v>0</v>
      </c>
    </row>
    <row r="192" spans="1:2" ht="15" customHeight="1">
      <c r="A192" s="25" t="str">
        <f>'Trial Balance'!A172&amp;"-"&amp;'Trial Balance'!B172</f>
        <v>2325-Obligations Under Capital Lease--Non-Current</v>
      </c>
      <c r="B192" s="317">
        <f>-'Trial Balance'!N172</f>
        <v>0</v>
      </c>
    </row>
    <row r="193" spans="1:2" ht="15" customHeight="1">
      <c r="A193" s="25" t="str">
        <f>'Trial Balance'!A173&amp;"-"&amp;'Trial Balance'!B173</f>
        <v>2330-Devolpment Charge Fund</v>
      </c>
      <c r="B193" s="317">
        <f>-'Trial Balance'!N173</f>
        <v>0</v>
      </c>
    </row>
    <row r="194" spans="1:2" ht="15" customHeight="1">
      <c r="A194" s="25" t="str">
        <f>'Trial Balance'!A174&amp;"-"&amp;'Trial Balance'!B174</f>
        <v>2335-Long Term Customer Deposits</v>
      </c>
      <c r="B194" s="317">
        <f>-'Trial Balance'!N174</f>
        <v>1027310.8199999998</v>
      </c>
    </row>
    <row r="195" spans="1:2" ht="15" customHeight="1">
      <c r="A195" s="25" t="str">
        <f>'Trial Balance'!A175&amp;"-"&amp;'Trial Balance'!B175</f>
        <v>2340-Collateral Funds Liability</v>
      </c>
      <c r="B195" s="317">
        <f>-'Trial Balance'!N175</f>
        <v>0</v>
      </c>
    </row>
    <row r="196" spans="1:2" ht="15" customHeight="1">
      <c r="A196" s="25" t="str">
        <f>'Trial Balance'!A176&amp;"-"&amp;'Trial Balance'!B176</f>
        <v>2345-Unamortized Premium on Long Term Debt</v>
      </c>
      <c r="B196" s="317">
        <f>-'Trial Balance'!N176</f>
        <v>0</v>
      </c>
    </row>
    <row r="197" spans="1:2" ht="15" customHeight="1">
      <c r="A197" s="25" t="str">
        <f>'Trial Balance'!A177&amp;"-"&amp;'Trial Balance'!B177</f>
        <v>2348-O.M.E.R.S. - Past Service Liability - Long Term Portion</v>
      </c>
      <c r="B197" s="317">
        <f>-'Trial Balance'!N177</f>
        <v>0</v>
      </c>
    </row>
    <row r="198" spans="1:2" ht="15" customHeight="1">
      <c r="A198" s="25" t="str">
        <f>'Trial Balance'!A178&amp;"-"&amp;'Trial Balance'!B178</f>
        <v>2350-Future Income Tax - Non-Current</v>
      </c>
      <c r="B198" s="317">
        <f>-'Trial Balance'!N178</f>
        <v>-2460100</v>
      </c>
    </row>
    <row r="199" spans="1:2" ht="15" customHeight="1">
      <c r="A199" s="25" t="str">
        <f>'Trial Balance'!A180&amp;"-"&amp;'Trial Balance'!B180</f>
        <v>2405-Other Regulatory Liabilities</v>
      </c>
      <c r="B199" s="317">
        <f>-'Trial Balance'!N180</f>
        <v>0</v>
      </c>
    </row>
    <row r="200" spans="1:2" ht="15" customHeight="1">
      <c r="A200" s="25" t="str">
        <f>'Trial Balance'!A181&amp;"-"&amp;'Trial Balance'!B181</f>
        <v>2410-Deferred Gains From Disposition of Utility Plant</v>
      </c>
      <c r="B200" s="317">
        <f>-'Trial Balance'!N181</f>
        <v>0</v>
      </c>
    </row>
    <row r="201" spans="1:2" ht="15" customHeight="1">
      <c r="A201" s="25" t="str">
        <f>'Trial Balance'!A182&amp;"-"&amp;'Trial Balance'!B182</f>
        <v>2415-Unamortized Gain on Reacquired Debt</v>
      </c>
      <c r="B201" s="317">
        <f>-'Trial Balance'!N182</f>
        <v>0</v>
      </c>
    </row>
    <row r="202" spans="1:2" ht="15" customHeight="1">
      <c r="A202" s="25" t="str">
        <f>'Trial Balance'!A183&amp;"-"&amp;'Trial Balance'!B183</f>
        <v>2425-Other Deferred Credits</v>
      </c>
      <c r="B202" s="317">
        <f>-'Trial Balance'!N183</f>
        <v>0</v>
      </c>
    </row>
    <row r="203" spans="1:2" ht="15" customHeight="1" thickBot="1">
      <c r="A203" s="25" t="str">
        <f>'Trial Balance'!A184&amp;"-"&amp;'Trial Balance'!B184</f>
        <v>2435-Accrued Rate-Payer Benefit</v>
      </c>
      <c r="B203" s="317">
        <f>-'Trial Balance'!N184</f>
        <v>0</v>
      </c>
    </row>
    <row r="204" spans="1:2" ht="15" customHeight="1" thickBot="1">
      <c r="A204" s="28" t="s">
        <v>157</v>
      </c>
      <c r="B204" s="318">
        <f>SUM(B186:B203)</f>
        <v>-313904.1500000004</v>
      </c>
    </row>
    <row r="205" spans="1:2" s="18" customFormat="1" ht="15" customHeight="1">
      <c r="A205" s="21"/>
      <c r="B205" s="319"/>
    </row>
    <row r="206" spans="1:2" s="18" customFormat="1" ht="15" customHeight="1">
      <c r="A206" s="645" t="s">
        <v>158</v>
      </c>
      <c r="B206" s="645"/>
    </row>
    <row r="207" spans="1:2" s="18" customFormat="1" ht="15" customHeight="1">
      <c r="A207" s="25" t="str">
        <f>'Trial Balance'!A186&amp;"-"&amp;'Trial Balance'!B186</f>
        <v>2505-Debentures Outstanding - Long Term Portion</v>
      </c>
      <c r="B207" s="317">
        <f>-'Trial Balance'!N186</f>
        <v>1800000</v>
      </c>
    </row>
    <row r="208" spans="1:2" s="18" customFormat="1" ht="15" customHeight="1">
      <c r="A208" s="25" t="str">
        <f>'Trial Balance'!A187&amp;"-"&amp;'Trial Balance'!B187</f>
        <v>2510-Debenture Advances</v>
      </c>
      <c r="B208" s="317">
        <f>-'Trial Balance'!N187</f>
        <v>0</v>
      </c>
    </row>
    <row r="209" spans="1:2" s="18" customFormat="1" ht="15" customHeight="1">
      <c r="A209" s="25" t="str">
        <f>'Trial Balance'!A188&amp;"-"&amp;'Trial Balance'!B188</f>
        <v>2515-Required Bonds</v>
      </c>
      <c r="B209" s="317">
        <f>-'Trial Balance'!N188</f>
        <v>0</v>
      </c>
    </row>
    <row r="210" spans="1:2" s="18" customFormat="1" ht="15" customHeight="1">
      <c r="A210" s="25" t="str">
        <f>'Trial Balance'!A189&amp;"-"&amp;'Trial Balance'!B189</f>
        <v>2520-Other Long Term Debt</v>
      </c>
      <c r="B210" s="317">
        <f>-'Trial Balance'!N189</f>
        <v>15041862</v>
      </c>
    </row>
    <row r="211" spans="1:2" s="18" customFormat="1" ht="15" customHeight="1">
      <c r="A211" s="25" t="str">
        <f>'Trial Balance'!A190&amp;"-"&amp;'Trial Balance'!B190</f>
        <v>2525-Term Bank Loans - Long Term Portion</v>
      </c>
      <c r="B211" s="317">
        <f>-'Trial Balance'!N190</f>
        <v>0</v>
      </c>
    </row>
    <row r="212" spans="1:2" s="18" customFormat="1" ht="15" customHeight="1">
      <c r="A212" s="25" t="str">
        <f>'Trial Balance'!A191&amp;"-"&amp;'Trial Balance'!B191</f>
        <v>2530-Ontario Hydro Debt Outstanding - Long Term Portion</v>
      </c>
      <c r="B212" s="317">
        <f>-'Trial Balance'!N191</f>
        <v>0</v>
      </c>
    </row>
    <row r="213" spans="1:2" ht="15" customHeight="1" thickBot="1">
      <c r="A213" s="25" t="str">
        <f>'Trial Balance'!A192&amp;"-"&amp;'Trial Balance'!B192</f>
        <v>2550-Advances from Associated Companies</v>
      </c>
      <c r="B213" s="317">
        <f>-'Trial Balance'!N192</f>
        <v>0</v>
      </c>
    </row>
    <row r="214" spans="1:2" ht="15" customHeight="1" thickBot="1">
      <c r="A214" s="28" t="s">
        <v>159</v>
      </c>
      <c r="B214" s="318">
        <f>SUM(B207:B213)</f>
        <v>16841862</v>
      </c>
    </row>
    <row r="215" spans="1:2" s="18" customFormat="1" ht="15" customHeight="1">
      <c r="A215" s="21"/>
      <c r="B215" s="319"/>
    </row>
    <row r="216" spans="1:2" s="18" customFormat="1" ht="15" customHeight="1">
      <c r="A216" s="645" t="s">
        <v>160</v>
      </c>
      <c r="B216" s="645"/>
    </row>
    <row r="217" spans="1:2" ht="15" customHeight="1">
      <c r="A217" s="25" t="str">
        <f>'Trial Balance'!A194&amp;"-"&amp;'Trial Balance'!B194</f>
        <v>3005-Common Shares Issued</v>
      </c>
      <c r="B217" s="317">
        <f>-'Trial Balance'!N194</f>
        <v>10941862.09</v>
      </c>
    </row>
    <row r="218" spans="1:2" ht="15" customHeight="1">
      <c r="A218" s="25" t="str">
        <f>'Trial Balance'!A195&amp;"-"&amp;'Trial Balance'!B195</f>
        <v>3008-Preference Shares Issued</v>
      </c>
      <c r="B218" s="317">
        <f>-'Trial Balance'!N195</f>
        <v>0</v>
      </c>
    </row>
    <row r="219" spans="1:2" ht="15" customHeight="1">
      <c r="A219" s="25" t="str">
        <f>'Trial Balance'!A196&amp;"-"&amp;'Trial Balance'!B196</f>
        <v>3010-Contributed Surplus</v>
      </c>
      <c r="B219" s="317">
        <f>-'Trial Balance'!N196</f>
        <v>0</v>
      </c>
    </row>
    <row r="220" spans="1:2" ht="15" customHeight="1">
      <c r="A220" s="25" t="str">
        <f>'Trial Balance'!A197&amp;"-"&amp;'Trial Balance'!B197</f>
        <v>3020-Donations Received</v>
      </c>
      <c r="B220" s="317">
        <f>-'Trial Balance'!N197</f>
        <v>0</v>
      </c>
    </row>
    <row r="221" spans="1:2" ht="15" customHeight="1">
      <c r="A221" s="25" t="str">
        <f>'Trial Balance'!A198&amp;"-"&amp;'Trial Balance'!B198</f>
        <v>3022-Devolpment Charges Transferred to Equity</v>
      </c>
      <c r="B221" s="317">
        <f>-'Trial Balance'!N198</f>
        <v>0</v>
      </c>
    </row>
    <row r="222" spans="1:2" ht="15" customHeight="1">
      <c r="A222" s="25" t="str">
        <f>'Trial Balance'!A199&amp;"-"&amp;'Trial Balance'!B199</f>
        <v>3026-Capital Stock Held in Treasury</v>
      </c>
      <c r="B222" s="317">
        <f>-'Trial Balance'!N199</f>
        <v>0</v>
      </c>
    </row>
    <row r="223" spans="1:2" ht="15" customHeight="1">
      <c r="A223" s="25" t="str">
        <f>'Trial Balance'!A200&amp;"-"&amp;'Trial Balance'!B200</f>
        <v>3030-Miscellaneous Paid-In Capital</v>
      </c>
      <c r="B223" s="317">
        <f>-'Trial Balance'!N200</f>
        <v>0</v>
      </c>
    </row>
    <row r="224" spans="1:2" ht="15" customHeight="1">
      <c r="A224" s="25" t="str">
        <f>'Trial Balance'!A201&amp;"-"&amp;'Trial Balance'!B201</f>
        <v>3035-Installments Received on Capital Stock</v>
      </c>
      <c r="B224" s="317">
        <f>-'Trial Balance'!N201</f>
        <v>0</v>
      </c>
    </row>
    <row r="225" spans="1:2" ht="15" customHeight="1">
      <c r="A225" s="25" t="str">
        <f>'Trial Balance'!A202&amp;"-"&amp;'Trial Balance'!B202</f>
        <v>3040-Appropriated Retained Earnings</v>
      </c>
      <c r="B225" s="317">
        <f>-'Trial Balance'!N202</f>
        <v>0</v>
      </c>
    </row>
    <row r="226" spans="1:2" ht="15" customHeight="1">
      <c r="A226" s="25" t="str">
        <f>'Trial Balance'!A203&amp;"-"&amp;'Trial Balance'!B203</f>
        <v>3045-Unappropriated Retained Earnings</v>
      </c>
      <c r="B226" s="317">
        <f>-'Trial Balance'!N203</f>
        <v>3683736.1853255993</v>
      </c>
    </row>
    <row r="227" spans="1:2" ht="15" customHeight="1">
      <c r="A227" s="25" t="s">
        <v>548</v>
      </c>
      <c r="B227" s="322">
        <f>-'2011 Income Statement'!B216</f>
        <v>-63827.29861713074</v>
      </c>
    </row>
    <row r="228" spans="1:2" ht="15" customHeight="1">
      <c r="A228" s="25" t="str">
        <f>'Trial Balance'!A205&amp;"-"&amp;'Trial Balance'!B205</f>
        <v>3047-Appropriations of Retained Earnings - Current Period</v>
      </c>
      <c r="B228" s="317">
        <f>-'Trial Balance'!N205</f>
        <v>0</v>
      </c>
    </row>
    <row r="229" spans="1:2" ht="15" customHeight="1">
      <c r="A229" s="25" t="str">
        <f>'Trial Balance'!A206&amp;"-"&amp;'Trial Balance'!B206</f>
        <v>3048-Dividends Payable-Preference Shares</v>
      </c>
      <c r="B229" s="317">
        <f>-'Trial Balance'!N206</f>
        <v>0</v>
      </c>
    </row>
    <row r="230" spans="1:2" ht="15" customHeight="1">
      <c r="A230" s="25" t="str">
        <f>'Trial Balance'!A207&amp;"-"&amp;'Trial Balance'!B207</f>
        <v>3049-Dividends Payable-Common Shares</v>
      </c>
      <c r="B230" s="317">
        <f>-'Trial Balance'!N207</f>
        <v>0</v>
      </c>
    </row>
    <row r="231" spans="1:2" ht="15" customHeight="1">
      <c r="A231" s="25" t="str">
        <f>'Trial Balance'!A208&amp;"-"&amp;'Trial Balance'!B208</f>
        <v>3055-Adjustment to Retained Earnings                 </v>
      </c>
      <c r="B231" s="317">
        <f>-'Trial Balance'!N208</f>
        <v>0</v>
      </c>
    </row>
    <row r="232" spans="1:2" ht="15" customHeight="1" thickBot="1">
      <c r="A232" s="25" t="str">
        <f>'Trial Balance'!A209&amp;"-"&amp;'Trial Balance'!B209</f>
        <v>3065-Unappropriated Undistributed Subsidiary Earnings</v>
      </c>
      <c r="B232" s="317">
        <f>-'Trial Balance'!N209</f>
        <v>0</v>
      </c>
    </row>
    <row r="233" spans="1:2" ht="15" customHeight="1" thickBot="1">
      <c r="A233" s="26" t="s">
        <v>549</v>
      </c>
      <c r="B233" s="318">
        <f>SUM(B217:B232)</f>
        <v>14561770.97670847</v>
      </c>
    </row>
    <row r="234" spans="1:2" s="10" customFormat="1" ht="15" customHeight="1">
      <c r="A234" s="22"/>
      <c r="B234" s="319"/>
    </row>
    <row r="235" spans="1:2" s="10" customFormat="1" ht="15" customHeight="1">
      <c r="A235" s="198" t="s">
        <v>274</v>
      </c>
      <c r="B235" s="323">
        <f>B183+B204+B214+B233</f>
        <v>37107215.00670847</v>
      </c>
    </row>
    <row r="236" spans="1:2" s="10" customFormat="1" ht="15" customHeight="1" thickBot="1">
      <c r="A236" s="22"/>
      <c r="B236" s="319"/>
    </row>
    <row r="237" spans="1:2" ht="15" customHeight="1" thickBot="1">
      <c r="A237" s="29" t="s">
        <v>273</v>
      </c>
      <c r="B237" s="324">
        <f>B157-B235</f>
        <v>0</v>
      </c>
    </row>
    <row r="238" spans="1:2" ht="15">
      <c r="A238" s="23"/>
      <c r="B238" s="325"/>
    </row>
    <row r="239" spans="1:2" ht="13.5" hidden="1">
      <c r="A239" s="635"/>
      <c r="B239" s="636"/>
    </row>
    <row r="240" spans="1:2" ht="12.75" hidden="1">
      <c r="A240" s="381"/>
      <c r="B240" s="382"/>
    </row>
    <row r="241" spans="1:2" ht="12.75" hidden="1">
      <c r="A241" s="383"/>
      <c r="B241" s="384"/>
    </row>
    <row r="242" spans="1:2" ht="12.75" hidden="1">
      <c r="A242" s="383"/>
      <c r="B242" s="384"/>
    </row>
    <row r="243" spans="1:2" s="413" customFormat="1" ht="12.75" hidden="1">
      <c r="A243" s="383"/>
      <c r="B243" s="384"/>
    </row>
    <row r="244" spans="1:2" ht="12.75" hidden="1">
      <c r="A244" s="385"/>
      <c r="B244" s="386">
        <f>SUM(B240:B242)</f>
        <v>0</v>
      </c>
    </row>
    <row r="245" spans="1:2" ht="15" hidden="1">
      <c r="A245" s="23"/>
      <c r="B245" s="325"/>
    </row>
    <row r="246" spans="1:2" ht="15">
      <c r="A246" s="23"/>
      <c r="B246" s="325"/>
    </row>
    <row r="247" spans="1:2" ht="15">
      <c r="A247" s="23"/>
      <c r="B247" s="325"/>
    </row>
    <row r="248" spans="1:2" ht="15">
      <c r="A248" s="23"/>
      <c r="B248" s="325"/>
    </row>
    <row r="249" spans="1:2" ht="15">
      <c r="A249" s="23"/>
      <c r="B249" s="325"/>
    </row>
    <row r="250" spans="1:2" ht="15">
      <c r="A250" s="23"/>
      <c r="B250" s="325"/>
    </row>
    <row r="251" spans="1:2" ht="15">
      <c r="A251" s="23"/>
      <c r="B251" s="325"/>
    </row>
    <row r="252" spans="1:2" ht="15">
      <c r="A252" s="23"/>
      <c r="B252" s="325"/>
    </row>
    <row r="253" spans="1:2" ht="15">
      <c r="A253" s="23"/>
      <c r="B253" s="325"/>
    </row>
    <row r="254" spans="1:2" ht="15">
      <c r="A254" s="23"/>
      <c r="B254" s="325"/>
    </row>
    <row r="255" spans="1:2" ht="15">
      <c r="A255" s="23"/>
      <c r="B255" s="325"/>
    </row>
    <row r="256" spans="1:2" ht="15">
      <c r="A256" s="23"/>
      <c r="B256" s="325"/>
    </row>
    <row r="257" spans="1:2" ht="15">
      <c r="A257" s="23"/>
      <c r="B257" s="325"/>
    </row>
    <row r="258" spans="1:2" ht="15">
      <c r="A258" s="23"/>
      <c r="B258" s="325"/>
    </row>
    <row r="259" spans="1:2" ht="15">
      <c r="A259" s="23"/>
      <c r="B259" s="325"/>
    </row>
    <row r="260" spans="1:2" ht="15">
      <c r="A260" s="23"/>
      <c r="B260" s="325"/>
    </row>
    <row r="261" spans="1:2" ht="15">
      <c r="A261" s="23"/>
      <c r="B261" s="325"/>
    </row>
    <row r="262" spans="1:2" ht="15">
      <c r="A262" s="23"/>
      <c r="B262" s="325"/>
    </row>
    <row r="263" spans="1:2" ht="15">
      <c r="A263" s="23"/>
      <c r="B263" s="325"/>
    </row>
    <row r="264" spans="1:2" ht="15">
      <c r="A264" s="23"/>
      <c r="B264" s="325"/>
    </row>
    <row r="265" spans="1:2" ht="15">
      <c r="A265" s="23"/>
      <c r="B265" s="325"/>
    </row>
    <row r="266" spans="1:2" ht="15">
      <c r="A266" s="23"/>
      <c r="B266" s="325"/>
    </row>
    <row r="267" spans="1:2" ht="15">
      <c r="A267" s="23"/>
      <c r="B267" s="325"/>
    </row>
    <row r="268" spans="1:2" ht="15">
      <c r="A268" s="23"/>
      <c r="B268" s="325"/>
    </row>
    <row r="269" spans="1:2" ht="15">
      <c r="A269" s="23"/>
      <c r="B269" s="325"/>
    </row>
    <row r="270" spans="1:2" ht="15">
      <c r="A270" s="23"/>
      <c r="B270" s="325"/>
    </row>
    <row r="271" spans="1:2" ht="15">
      <c r="A271" s="23"/>
      <c r="B271" s="325"/>
    </row>
    <row r="272" spans="1:2" ht="15">
      <c r="A272" s="23"/>
      <c r="B272" s="325"/>
    </row>
    <row r="273" spans="1:2" ht="15">
      <c r="A273" s="23"/>
      <c r="B273" s="325"/>
    </row>
    <row r="274" spans="1:2" ht="15">
      <c r="A274" s="23"/>
      <c r="B274" s="325"/>
    </row>
    <row r="275" spans="1:2" ht="15">
      <c r="A275" s="23"/>
      <c r="B275" s="325"/>
    </row>
    <row r="276" spans="1:2" ht="15">
      <c r="A276" s="23"/>
      <c r="B276" s="325"/>
    </row>
    <row r="277" spans="1:2" ht="15">
      <c r="A277" s="23"/>
      <c r="B277" s="325"/>
    </row>
    <row r="278" spans="1:2" ht="15">
      <c r="A278" s="23"/>
      <c r="B278" s="325"/>
    </row>
    <row r="279" spans="1:2" ht="15">
      <c r="A279" s="23"/>
      <c r="B279" s="325"/>
    </row>
    <row r="280" spans="1:2" ht="15">
      <c r="A280" s="23"/>
      <c r="B280" s="325"/>
    </row>
    <row r="281" spans="1:2" ht="15">
      <c r="A281" s="23"/>
      <c r="B281" s="325"/>
    </row>
    <row r="282" spans="1:2" ht="15">
      <c r="A282" s="23"/>
      <c r="B282" s="325"/>
    </row>
    <row r="283" spans="1:2" ht="15">
      <c r="A283" s="23"/>
      <c r="B283" s="325"/>
    </row>
    <row r="284" spans="1:2" ht="15">
      <c r="A284" s="23"/>
      <c r="B284" s="325"/>
    </row>
    <row r="285" spans="1:2" ht="15">
      <c r="A285" s="23"/>
      <c r="B285" s="325"/>
    </row>
    <row r="286" spans="1:2" ht="15">
      <c r="A286" s="23"/>
      <c r="B286" s="325"/>
    </row>
    <row r="287" spans="1:2" ht="15">
      <c r="A287" s="23"/>
      <c r="B287" s="325"/>
    </row>
    <row r="288" spans="1:2" ht="15">
      <c r="A288" s="23"/>
      <c r="B288" s="325"/>
    </row>
    <row r="289" spans="1:2" ht="15">
      <c r="A289" s="23"/>
      <c r="B289" s="325"/>
    </row>
    <row r="290" spans="1:2" ht="15">
      <c r="A290" s="23"/>
      <c r="B290" s="325"/>
    </row>
    <row r="291" spans="1:2" ht="15">
      <c r="A291" s="23"/>
      <c r="B291" s="325"/>
    </row>
    <row r="292" spans="1:2" ht="15">
      <c r="A292" s="23"/>
      <c r="B292" s="325"/>
    </row>
    <row r="293" spans="1:2" ht="15">
      <c r="A293" s="23"/>
      <c r="B293" s="325"/>
    </row>
    <row r="294" spans="1:2" ht="15">
      <c r="A294" s="23"/>
      <c r="B294" s="325"/>
    </row>
    <row r="295" spans="1:2" ht="15">
      <c r="A295" s="23"/>
      <c r="B295" s="325"/>
    </row>
    <row r="296" spans="1:2" ht="15">
      <c r="A296" s="23"/>
      <c r="B296" s="325"/>
    </row>
    <row r="297" spans="1:2" ht="15">
      <c r="A297" s="23"/>
      <c r="B297" s="325"/>
    </row>
    <row r="298" spans="1:2" ht="15">
      <c r="A298" s="23"/>
      <c r="B298" s="325"/>
    </row>
    <row r="299" spans="1:2" ht="15">
      <c r="A299" s="23"/>
      <c r="B299" s="325"/>
    </row>
    <row r="300" spans="1:2" ht="15">
      <c r="A300" s="23"/>
      <c r="B300" s="325"/>
    </row>
    <row r="301" spans="1:2" ht="15">
      <c r="A301" s="23"/>
      <c r="B301" s="325"/>
    </row>
    <row r="302" spans="1:2" ht="15">
      <c r="A302" s="23"/>
      <c r="B302" s="325"/>
    </row>
    <row r="303" spans="1:2" ht="15">
      <c r="A303" s="23"/>
      <c r="B303" s="325"/>
    </row>
    <row r="304" spans="1:2" ht="15">
      <c r="A304" s="23"/>
      <c r="B304" s="325"/>
    </row>
    <row r="305" spans="1:2" ht="15">
      <c r="A305" s="23"/>
      <c r="B305" s="325"/>
    </row>
    <row r="306" spans="1:2" ht="15">
      <c r="A306" s="23"/>
      <c r="B306" s="325"/>
    </row>
    <row r="307" spans="1:2" ht="15">
      <c r="A307" s="23"/>
      <c r="B307" s="325"/>
    </row>
    <row r="308" spans="1:2" ht="15">
      <c r="A308" s="23"/>
      <c r="B308" s="325"/>
    </row>
    <row r="309" spans="1:2" ht="15">
      <c r="A309" s="23"/>
      <c r="B309" s="325"/>
    </row>
    <row r="310" spans="1:2" ht="15">
      <c r="A310" s="23"/>
      <c r="B310" s="325"/>
    </row>
    <row r="311" spans="1:2" ht="15">
      <c r="A311" s="23"/>
      <c r="B311" s="325"/>
    </row>
    <row r="312" spans="1:2" ht="15">
      <c r="A312" s="23"/>
      <c r="B312" s="325"/>
    </row>
    <row r="313" spans="1:2" ht="15">
      <c r="A313" s="23"/>
      <c r="B313" s="325"/>
    </row>
    <row r="314" spans="1:2" ht="15">
      <c r="A314" s="23"/>
      <c r="B314" s="325"/>
    </row>
    <row r="315" spans="1:2" ht="15">
      <c r="A315" s="23"/>
      <c r="B315" s="325"/>
    </row>
    <row r="316" spans="1:2" ht="15">
      <c r="A316" s="23"/>
      <c r="B316" s="325"/>
    </row>
    <row r="317" spans="1:2" ht="15">
      <c r="A317" s="23"/>
      <c r="B317" s="325"/>
    </row>
    <row r="318" spans="1:2" ht="15">
      <c r="A318" s="23"/>
      <c r="B318" s="325"/>
    </row>
    <row r="319" spans="1:2" ht="15">
      <c r="A319" s="23"/>
      <c r="B319" s="325"/>
    </row>
    <row r="320" spans="1:2" ht="15">
      <c r="A320" s="23"/>
      <c r="B320" s="325"/>
    </row>
    <row r="321" spans="1:2" ht="15">
      <c r="A321" s="23"/>
      <c r="B321" s="325"/>
    </row>
    <row r="322" spans="1:2" ht="15">
      <c r="A322" s="23"/>
      <c r="B322" s="325"/>
    </row>
    <row r="323" spans="1:2" ht="15">
      <c r="A323" s="23"/>
      <c r="B323" s="325"/>
    </row>
    <row r="324" spans="1:2" ht="15">
      <c r="A324" s="23"/>
      <c r="B324" s="325"/>
    </row>
    <row r="325" spans="1:2" ht="15">
      <c r="A325" s="23"/>
      <c r="B325" s="325"/>
    </row>
    <row r="326" spans="1:2" ht="15">
      <c r="A326" s="23"/>
      <c r="B326" s="325"/>
    </row>
    <row r="327" spans="1:2" ht="15">
      <c r="A327" s="23"/>
      <c r="B327" s="325"/>
    </row>
    <row r="328" spans="1:2" ht="15">
      <c r="A328" s="23"/>
      <c r="B328" s="325"/>
    </row>
    <row r="329" spans="1:2" ht="15">
      <c r="A329" s="23"/>
      <c r="B329" s="325"/>
    </row>
    <row r="330" spans="1:2" ht="15">
      <c r="A330" s="23"/>
      <c r="B330" s="325"/>
    </row>
    <row r="331" spans="1:2" ht="15">
      <c r="A331" s="23"/>
      <c r="B331" s="325"/>
    </row>
    <row r="332" spans="1:2" ht="15">
      <c r="A332" s="23"/>
      <c r="B332" s="325"/>
    </row>
    <row r="333" spans="1:2" ht="15">
      <c r="A333" s="23"/>
      <c r="B333" s="325"/>
    </row>
    <row r="334" spans="1:2" ht="15">
      <c r="A334" s="23"/>
      <c r="B334" s="325"/>
    </row>
    <row r="335" spans="1:2" ht="15">
      <c r="A335" s="23"/>
      <c r="B335" s="325"/>
    </row>
    <row r="336" spans="1:2" ht="15">
      <c r="A336" s="23"/>
      <c r="B336" s="325"/>
    </row>
    <row r="337" spans="1:2" ht="15">
      <c r="A337" s="23"/>
      <c r="B337" s="325"/>
    </row>
    <row r="338" spans="1:2" ht="15">
      <c r="A338" s="23"/>
      <c r="B338" s="325"/>
    </row>
    <row r="339" spans="1:2" ht="15">
      <c r="A339" s="23"/>
      <c r="B339" s="325"/>
    </row>
    <row r="340" spans="1:2" ht="15">
      <c r="A340" s="23"/>
      <c r="B340" s="325"/>
    </row>
    <row r="341" spans="1:2" ht="15">
      <c r="A341" s="23"/>
      <c r="B341" s="325"/>
    </row>
    <row r="342" spans="1:2" ht="15">
      <c r="A342" s="23"/>
      <c r="B342" s="325"/>
    </row>
    <row r="343" spans="1:2" ht="15">
      <c r="A343" s="23"/>
      <c r="B343" s="325"/>
    </row>
    <row r="344" spans="1:2" ht="15">
      <c r="A344" s="23"/>
      <c r="B344" s="325"/>
    </row>
    <row r="345" spans="1:2" ht="15">
      <c r="A345" s="23"/>
      <c r="B345" s="325"/>
    </row>
    <row r="346" spans="1:2" ht="15">
      <c r="A346" s="23"/>
      <c r="B346" s="325"/>
    </row>
    <row r="347" spans="1:2" ht="15">
      <c r="A347" s="23"/>
      <c r="B347" s="325"/>
    </row>
    <row r="348" spans="1:2" ht="15">
      <c r="A348" s="23"/>
      <c r="B348" s="325"/>
    </row>
    <row r="349" spans="1:2" ht="15">
      <c r="A349" s="23"/>
      <c r="B349" s="325"/>
    </row>
    <row r="350" spans="1:2" ht="15">
      <c r="A350" s="23"/>
      <c r="B350" s="325"/>
    </row>
    <row r="351" spans="1:2" ht="15">
      <c r="A351" s="23"/>
      <c r="B351" s="325"/>
    </row>
    <row r="352" spans="1:2" ht="15">
      <c r="A352" s="23"/>
      <c r="B352" s="325"/>
    </row>
    <row r="353" spans="1:2" ht="15">
      <c r="A353" s="23"/>
      <c r="B353" s="325"/>
    </row>
    <row r="354" spans="1:2" ht="15">
      <c r="A354" s="23"/>
      <c r="B354" s="325"/>
    </row>
    <row r="355" spans="1:2" ht="15">
      <c r="A355" s="23"/>
      <c r="B355" s="325"/>
    </row>
    <row r="356" spans="1:2" ht="15">
      <c r="A356" s="23"/>
      <c r="B356" s="325"/>
    </row>
    <row r="357" spans="1:2" ht="15">
      <c r="A357" s="23"/>
      <c r="B357" s="325"/>
    </row>
  </sheetData>
  <sheetProtection/>
  <mergeCells count="18">
    <mergeCell ref="A54:B54"/>
    <mergeCell ref="A93:B93"/>
    <mergeCell ref="A111:B111"/>
    <mergeCell ref="A135:B135"/>
    <mergeCell ref="A30:B30"/>
    <mergeCell ref="A1:B1"/>
    <mergeCell ref="A2:B2"/>
    <mergeCell ref="A37:B37"/>
    <mergeCell ref="A3:B3"/>
    <mergeCell ref="A4:B4"/>
    <mergeCell ref="A6:B6"/>
    <mergeCell ref="A29:B29"/>
    <mergeCell ref="A149:B149"/>
    <mergeCell ref="A159:B159"/>
    <mergeCell ref="A185:B185"/>
    <mergeCell ref="A206:B206"/>
    <mergeCell ref="A239:B239"/>
    <mergeCell ref="A216:B216"/>
  </mergeCells>
  <printOptions horizontalCentered="1"/>
  <pageMargins left="0.4724409448818898" right="0.7480314960629921" top="0.984251968503937" bottom="0.984251968503937" header="0.5118110236220472" footer="0.5118110236220472"/>
  <pageSetup fitToHeight="5" horizontalDpi="355" verticalDpi="355" orientation="portrait" scale="77" r:id="rId1"/>
  <headerFooter alignWithMargins="0">
    <oddHeader>&amp;C&amp;"Arial,Bold"&amp;12WOODSTOCK HYDRO SERVICES INC
2011 PRO FORMA FINANCIAL STATEMENTS</oddHeader>
    <oddFooter>&amp;L&amp;A</oddFooter>
  </headerFooter>
  <rowBreaks count="4" manualBreakCount="4">
    <brk id="53" max="255" man="1"/>
    <brk id="110" max="255" man="1"/>
    <brk id="158" max="255" man="1"/>
    <brk id="2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zoomScalePageLayoutView="0" workbookViewId="0" topLeftCell="A27">
      <selection activeCell="C55" sqref="C55"/>
    </sheetView>
  </sheetViews>
  <sheetFormatPr defaultColWidth="9.140625" defaultRowHeight="12.75"/>
  <cols>
    <col min="1" max="1" width="7.57421875" style="20" customWidth="1"/>
    <col min="2" max="2" width="7.57421875" style="206" customWidth="1"/>
    <col min="3" max="3" width="53.57421875" style="205" bestFit="1" customWidth="1"/>
    <col min="4" max="4" width="12.28125" style="205" customWidth="1"/>
    <col min="5" max="5" width="9.28125" style="205" bestFit="1" customWidth="1"/>
    <col min="6" max="6" width="9.421875" style="205" bestFit="1" customWidth="1"/>
    <col min="7" max="7" width="11.28125" style="205" customWidth="1"/>
    <col min="8" max="8" width="0.9921875" style="205" customWidth="1"/>
    <col min="9" max="9" width="13.57421875" style="205" customWidth="1"/>
    <col min="10" max="10" width="11.7109375" style="205" customWidth="1"/>
    <col min="11" max="11" width="9.28125" style="205" customWidth="1"/>
    <col min="12" max="12" width="11.28125" style="205" customWidth="1"/>
    <col min="13" max="13" width="10.57421875" style="205" customWidth="1"/>
    <col min="14" max="14" width="1.7109375" style="0" customWidth="1"/>
    <col min="16" max="16" width="17.421875" style="0" bestFit="1" customWidth="1"/>
    <col min="17" max="17" width="17.00390625" style="0" customWidth="1"/>
    <col min="18" max="18" width="15.8515625" style="0" customWidth="1"/>
  </cols>
  <sheetData>
    <row r="1" spans="1:13" ht="12.75">
      <c r="A1" s="614" t="str">
        <f>'Trial Balance'!A1:J1</f>
        <v>Woodstock Hydro Services Inc.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</row>
    <row r="2" spans="1:13" ht="12.75">
      <c r="A2" s="614" t="str">
        <f>'Trial Balance'!A2:J2</f>
        <v>, License Number ED-2003-0011, File Number EB-2010-0145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</row>
    <row r="3" spans="1:13" ht="12.75">
      <c r="A3" s="619"/>
      <c r="B3" s="619"/>
      <c r="C3" s="619"/>
      <c r="D3" s="202"/>
      <c r="E3" s="202"/>
      <c r="F3" s="202"/>
      <c r="G3" s="202"/>
      <c r="H3" s="203"/>
      <c r="I3" s="204"/>
      <c r="J3" s="204"/>
      <c r="K3" s="204"/>
      <c r="L3" s="204"/>
      <c r="M3" s="204"/>
    </row>
    <row r="4" spans="1:13" ht="12.75">
      <c r="A4" s="619" t="s">
        <v>224</v>
      </c>
      <c r="B4" s="619"/>
      <c r="C4" s="619"/>
      <c r="D4" s="202"/>
      <c r="E4" s="202"/>
      <c r="F4" s="202"/>
      <c r="H4" s="203"/>
      <c r="I4" s="204"/>
      <c r="J4" s="204"/>
      <c r="K4" s="204"/>
      <c r="L4" s="204"/>
      <c r="M4" s="204"/>
    </row>
    <row r="5" spans="1:13" ht="12.75">
      <c r="A5" s="619" t="s">
        <v>266</v>
      </c>
      <c r="B5" s="619"/>
      <c r="C5" s="619"/>
      <c r="D5" s="202"/>
      <c r="E5" s="202"/>
      <c r="F5" s="202"/>
      <c r="H5" s="203"/>
      <c r="I5" s="204"/>
      <c r="J5" s="204"/>
      <c r="K5" s="204"/>
      <c r="L5" s="204"/>
      <c r="M5" s="204"/>
    </row>
    <row r="6" spans="4:13" ht="12.75">
      <c r="D6" s="615" t="s">
        <v>842</v>
      </c>
      <c r="E6" s="616"/>
      <c r="F6" s="616"/>
      <c r="G6" s="617"/>
      <c r="H6" s="203"/>
      <c r="I6" s="471" t="s">
        <v>267</v>
      </c>
      <c r="J6" s="472"/>
      <c r="K6" s="472"/>
      <c r="L6" s="472"/>
      <c r="M6" s="470"/>
    </row>
    <row r="7" spans="3:13" ht="12.75">
      <c r="C7" s="201"/>
      <c r="D7" s="618"/>
      <c r="E7" s="618"/>
      <c r="F7" s="618"/>
      <c r="G7" s="618"/>
      <c r="H7" s="203"/>
      <c r="I7" s="618"/>
      <c r="J7" s="618"/>
      <c r="K7" s="618"/>
      <c r="L7" s="618"/>
      <c r="M7" s="204"/>
    </row>
    <row r="8" spans="1:13" ht="12.75">
      <c r="A8" s="606" t="s">
        <v>218</v>
      </c>
      <c r="B8" s="606" t="s">
        <v>502</v>
      </c>
      <c r="C8" s="606" t="s">
        <v>184</v>
      </c>
      <c r="D8" s="608" t="s">
        <v>232</v>
      </c>
      <c r="E8" s="608" t="s">
        <v>332</v>
      </c>
      <c r="F8" s="608" t="s">
        <v>333</v>
      </c>
      <c r="G8" s="608" t="s">
        <v>233</v>
      </c>
      <c r="H8" s="611"/>
      <c r="I8" s="608" t="s">
        <v>232</v>
      </c>
      <c r="J8" s="608" t="s">
        <v>332</v>
      </c>
      <c r="K8" s="608" t="s">
        <v>333</v>
      </c>
      <c r="L8" s="608" t="s">
        <v>233</v>
      </c>
      <c r="M8" s="608" t="s">
        <v>234</v>
      </c>
    </row>
    <row r="9" spans="1:13" ht="12.75">
      <c r="A9" s="607"/>
      <c r="B9" s="607"/>
      <c r="C9" s="607"/>
      <c r="D9" s="609" t="s">
        <v>268</v>
      </c>
      <c r="E9" s="609" t="s">
        <v>332</v>
      </c>
      <c r="F9" s="609"/>
      <c r="G9" s="609"/>
      <c r="H9" s="611"/>
      <c r="I9" s="609" t="s">
        <v>268</v>
      </c>
      <c r="J9" s="609" t="s">
        <v>332</v>
      </c>
      <c r="K9" s="609"/>
      <c r="L9" s="609"/>
      <c r="M9" s="609"/>
    </row>
    <row r="10" spans="1:15" ht="12.75">
      <c r="A10" s="228" t="s">
        <v>219</v>
      </c>
      <c r="B10" s="464">
        <f>+'Trial Balance'!A87</f>
        <v>1805</v>
      </c>
      <c r="C10" s="465" t="str">
        <f>+'Trial Balance'!B87</f>
        <v>Land</v>
      </c>
      <c r="D10" s="289">
        <v>21835.64</v>
      </c>
      <c r="E10" s="289">
        <v>0</v>
      </c>
      <c r="F10" s="289">
        <v>0</v>
      </c>
      <c r="G10" s="285">
        <f>D10+E10-F10</f>
        <v>21835.64</v>
      </c>
      <c r="H10" s="611"/>
      <c r="I10" s="289"/>
      <c r="J10" s="289"/>
      <c r="K10" s="289"/>
      <c r="L10" s="289">
        <f>I10+J10-K10</f>
        <v>0</v>
      </c>
      <c r="M10" s="289">
        <f aca="true" t="shared" si="0" ref="M10:M46">G10-L10</f>
        <v>21835.64</v>
      </c>
      <c r="O10" s="245"/>
    </row>
    <row r="11" spans="1:15" ht="12.75">
      <c r="A11" s="228" t="s">
        <v>490</v>
      </c>
      <c r="B11" s="464">
        <f>+'Trial Balance'!A88</f>
        <v>1806</v>
      </c>
      <c r="C11" s="465" t="str">
        <f>+'Trial Balance'!B88</f>
        <v>Land Rights</v>
      </c>
      <c r="D11" s="289">
        <v>0</v>
      </c>
      <c r="E11" s="289">
        <v>0</v>
      </c>
      <c r="F11" s="289">
        <v>0</v>
      </c>
      <c r="G11" s="285">
        <f aca="true" t="shared" si="1" ref="G11:G46">D11+E11-F11</f>
        <v>0</v>
      </c>
      <c r="H11" s="611"/>
      <c r="I11" s="289"/>
      <c r="J11" s="289"/>
      <c r="K11" s="289"/>
      <c r="L11" s="289">
        <f aca="true" t="shared" si="2" ref="L11:L46">I11+J11-K11</f>
        <v>0</v>
      </c>
      <c r="M11" s="289">
        <f t="shared" si="0"/>
        <v>0</v>
      </c>
      <c r="O11" s="245"/>
    </row>
    <row r="12" spans="1:15" ht="12.75">
      <c r="A12" s="228">
        <v>1</v>
      </c>
      <c r="B12" s="464">
        <f>+'Trial Balance'!A89</f>
        <v>1808</v>
      </c>
      <c r="C12" s="465" t="str">
        <f>+'Trial Balance'!B89</f>
        <v>Buildings and Fixtures</v>
      </c>
      <c r="D12" s="289">
        <v>190773.89</v>
      </c>
      <c r="E12" s="289">
        <v>0</v>
      </c>
      <c r="F12" s="289">
        <v>0</v>
      </c>
      <c r="G12" s="285">
        <f t="shared" si="1"/>
        <v>190773.89</v>
      </c>
      <c r="H12" s="611"/>
      <c r="I12" s="289">
        <v>37012.51</v>
      </c>
      <c r="J12" s="289">
        <v>7581.22</v>
      </c>
      <c r="K12" s="289"/>
      <c r="L12" s="289">
        <f t="shared" si="2"/>
        <v>44593.73</v>
      </c>
      <c r="M12" s="289">
        <f t="shared" si="0"/>
        <v>146180.16</v>
      </c>
      <c r="O12" s="245"/>
    </row>
    <row r="13" spans="1:15" ht="12.75">
      <c r="A13" s="228"/>
      <c r="B13" s="464">
        <f>+'Trial Balance'!A90</f>
        <v>1810</v>
      </c>
      <c r="C13" s="465" t="str">
        <f>+'Trial Balance'!B90</f>
        <v>Leasehold Improvements</v>
      </c>
      <c r="D13" s="289">
        <v>0</v>
      </c>
      <c r="E13" s="289">
        <v>0</v>
      </c>
      <c r="F13" s="289">
        <v>0</v>
      </c>
      <c r="G13" s="285">
        <f t="shared" si="1"/>
        <v>0</v>
      </c>
      <c r="H13" s="611"/>
      <c r="I13" s="289"/>
      <c r="J13" s="289"/>
      <c r="K13" s="289"/>
      <c r="L13" s="289">
        <f t="shared" si="2"/>
        <v>0</v>
      </c>
      <c r="M13" s="289">
        <f t="shared" si="0"/>
        <v>0</v>
      </c>
      <c r="O13" s="245"/>
    </row>
    <row r="14" spans="1:15" ht="12.75">
      <c r="A14" s="228"/>
      <c r="B14" s="464">
        <f>+'Trial Balance'!A91</f>
        <v>1815</v>
      </c>
      <c r="C14" s="465" t="str">
        <f>+'Trial Balance'!B91</f>
        <v>Transformer Station Equipment - Normally Primary above 50 kV</v>
      </c>
      <c r="D14" s="289">
        <v>0</v>
      </c>
      <c r="E14" s="289">
        <v>0</v>
      </c>
      <c r="F14" s="289">
        <v>0</v>
      </c>
      <c r="G14" s="285">
        <f t="shared" si="1"/>
        <v>0</v>
      </c>
      <c r="H14" s="611"/>
      <c r="I14" s="289"/>
      <c r="J14" s="289"/>
      <c r="K14" s="289"/>
      <c r="L14" s="289">
        <f t="shared" si="2"/>
        <v>0</v>
      </c>
      <c r="M14" s="289">
        <f t="shared" si="0"/>
        <v>0</v>
      </c>
      <c r="O14" s="245"/>
    </row>
    <row r="15" spans="1:15" ht="12.75">
      <c r="A15" s="228">
        <v>1</v>
      </c>
      <c r="B15" s="464">
        <f>+'Trial Balance'!A92</f>
        <v>1820</v>
      </c>
      <c r="C15" s="465" t="str">
        <f>+'Trial Balance'!B92</f>
        <v>Distribution Station Equipment - Normally Primary below 50 kV</v>
      </c>
      <c r="D15" s="289">
        <v>564461.24</v>
      </c>
      <c r="E15" s="289">
        <v>1709.15</v>
      </c>
      <c r="F15" s="289">
        <v>0</v>
      </c>
      <c r="G15" s="285">
        <f t="shared" si="1"/>
        <v>566170.39</v>
      </c>
      <c r="H15" s="611"/>
      <c r="I15" s="289">
        <v>165841.95</v>
      </c>
      <c r="J15" s="289">
        <v>30583.34</v>
      </c>
      <c r="K15" s="289"/>
      <c r="L15" s="289">
        <f t="shared" si="2"/>
        <v>196425.29</v>
      </c>
      <c r="M15" s="289">
        <f t="shared" si="0"/>
        <v>369745.1</v>
      </c>
      <c r="O15" s="245"/>
    </row>
    <row r="16" spans="1:15" ht="12.75">
      <c r="A16" s="228"/>
      <c r="B16" s="464">
        <f>+'Trial Balance'!A93</f>
        <v>1825</v>
      </c>
      <c r="C16" s="465" t="str">
        <f>+'Trial Balance'!B93</f>
        <v>Storage Battery Equipment</v>
      </c>
      <c r="D16" s="289">
        <v>0</v>
      </c>
      <c r="E16" s="289">
        <v>0</v>
      </c>
      <c r="F16" s="289">
        <v>0</v>
      </c>
      <c r="G16" s="285">
        <f t="shared" si="1"/>
        <v>0</v>
      </c>
      <c r="H16" s="611"/>
      <c r="I16" s="289"/>
      <c r="J16" s="289"/>
      <c r="K16" s="289"/>
      <c r="L16" s="289">
        <f t="shared" si="2"/>
        <v>0</v>
      </c>
      <c r="M16" s="289">
        <f t="shared" si="0"/>
        <v>0</v>
      </c>
      <c r="O16" s="245"/>
    </row>
    <row r="17" spans="1:15" ht="12.75">
      <c r="A17" s="228">
        <v>1</v>
      </c>
      <c r="B17" s="464">
        <f>+'Trial Balance'!A94</f>
        <v>1830</v>
      </c>
      <c r="C17" s="465" t="str">
        <f>+'Trial Balance'!B94</f>
        <v>Poles, Towers and Fixtures</v>
      </c>
      <c r="D17" s="289">
        <v>5560377.899999999</v>
      </c>
      <c r="E17" s="289">
        <v>535873.7899999999</v>
      </c>
      <c r="F17" s="289">
        <v>0</v>
      </c>
      <c r="G17" s="285">
        <f t="shared" si="1"/>
        <v>6096251.6899999995</v>
      </c>
      <c r="H17" s="611"/>
      <c r="I17" s="289">
        <v>1498358.94</v>
      </c>
      <c r="J17" s="289">
        <v>321651.54</v>
      </c>
      <c r="K17" s="289"/>
      <c r="L17" s="289">
        <f t="shared" si="2"/>
        <v>1820010.48</v>
      </c>
      <c r="M17" s="289">
        <f t="shared" si="0"/>
        <v>4276241.209999999</v>
      </c>
      <c r="O17" s="245"/>
    </row>
    <row r="18" spans="1:15" ht="12.75">
      <c r="A18" s="228">
        <v>1</v>
      </c>
      <c r="B18" s="464">
        <f>+'Trial Balance'!A95</f>
        <v>1835</v>
      </c>
      <c r="C18" s="465" t="str">
        <f>+'Trial Balance'!B95</f>
        <v>Overhead Conductors and Devices</v>
      </c>
      <c r="D18" s="289">
        <v>3002868.2399999998</v>
      </c>
      <c r="E18" s="289">
        <v>141453.89</v>
      </c>
      <c r="F18" s="289">
        <v>0</v>
      </c>
      <c r="G18" s="285">
        <f t="shared" si="1"/>
        <v>3144322.13</v>
      </c>
      <c r="H18" s="611"/>
      <c r="I18" s="289">
        <v>735223.23</v>
      </c>
      <c r="J18" s="289">
        <v>157507.4</v>
      </c>
      <c r="K18" s="289"/>
      <c r="L18" s="289">
        <f t="shared" si="2"/>
        <v>892730.63</v>
      </c>
      <c r="M18" s="289">
        <f t="shared" si="0"/>
        <v>2251591.5</v>
      </c>
      <c r="O18" s="245"/>
    </row>
    <row r="19" spans="1:15" ht="12.75">
      <c r="A19" s="228">
        <v>1</v>
      </c>
      <c r="B19" s="464">
        <f>+'Trial Balance'!A96</f>
        <v>1840</v>
      </c>
      <c r="C19" s="465" t="str">
        <f>+'Trial Balance'!B96</f>
        <v>Underground Conduit</v>
      </c>
      <c r="D19" s="289">
        <v>2232110.4</v>
      </c>
      <c r="E19" s="289">
        <v>191416.62</v>
      </c>
      <c r="F19" s="289">
        <v>0</v>
      </c>
      <c r="G19" s="285">
        <f t="shared" si="1"/>
        <v>2423527.02</v>
      </c>
      <c r="H19" s="611"/>
      <c r="I19" s="289">
        <v>549207.54</v>
      </c>
      <c r="J19" s="289">
        <v>132942.74</v>
      </c>
      <c r="K19" s="289"/>
      <c r="L19" s="289">
        <f t="shared" si="2"/>
        <v>682150.28</v>
      </c>
      <c r="M19" s="289">
        <f t="shared" si="0"/>
        <v>1741376.74</v>
      </c>
      <c r="O19" s="245"/>
    </row>
    <row r="20" spans="1:15" ht="12.75">
      <c r="A20" s="228">
        <v>1</v>
      </c>
      <c r="B20" s="464">
        <f>+'Trial Balance'!A97</f>
        <v>1845</v>
      </c>
      <c r="C20" s="465" t="str">
        <f>+'Trial Balance'!B97</f>
        <v>Underground Conductors and Devices</v>
      </c>
      <c r="D20" s="289">
        <v>3235361.59</v>
      </c>
      <c r="E20" s="289">
        <v>72746.05</v>
      </c>
      <c r="F20" s="289">
        <v>0</v>
      </c>
      <c r="G20" s="285">
        <f t="shared" si="1"/>
        <v>3308107.6399999997</v>
      </c>
      <c r="H20" s="611"/>
      <c r="I20" s="289">
        <v>957241.02</v>
      </c>
      <c r="J20" s="289">
        <v>204324.3</v>
      </c>
      <c r="K20" s="289"/>
      <c r="L20" s="289">
        <f t="shared" si="2"/>
        <v>1161565.32</v>
      </c>
      <c r="M20" s="289">
        <f t="shared" si="0"/>
        <v>2146542.3199999994</v>
      </c>
      <c r="O20" s="245"/>
    </row>
    <row r="21" spans="1:15" ht="12.75">
      <c r="A21" s="228">
        <v>1</v>
      </c>
      <c r="B21" s="464">
        <f>+'Trial Balance'!A98</f>
        <v>1850</v>
      </c>
      <c r="C21" s="465" t="str">
        <f>+'Trial Balance'!B98</f>
        <v>Line Transformers</v>
      </c>
      <c r="D21" s="289">
        <v>3520312.54</v>
      </c>
      <c r="E21" s="289">
        <v>353245.45999999996</v>
      </c>
      <c r="F21" s="289">
        <v>0</v>
      </c>
      <c r="G21" s="285">
        <f t="shared" si="1"/>
        <v>3873558</v>
      </c>
      <c r="H21" s="611"/>
      <c r="I21" s="289">
        <v>762681.04</v>
      </c>
      <c r="J21" s="289">
        <f>87610.97+103348.82</f>
        <v>190959.79</v>
      </c>
      <c r="K21" s="289"/>
      <c r="L21" s="289">
        <f t="shared" si="2"/>
        <v>953640.8300000001</v>
      </c>
      <c r="M21" s="289">
        <f t="shared" si="0"/>
        <v>2919917.17</v>
      </c>
      <c r="O21" s="245"/>
    </row>
    <row r="22" spans="1:15" ht="12.75">
      <c r="A22" s="228">
        <v>1</v>
      </c>
      <c r="B22" s="464">
        <f>+'Trial Balance'!A99</f>
        <v>1855</v>
      </c>
      <c r="C22" s="465" t="str">
        <f>+'Trial Balance'!B99</f>
        <v>Services</v>
      </c>
      <c r="D22" s="289">
        <v>997765.1099999999</v>
      </c>
      <c r="E22" s="289">
        <v>157472.87</v>
      </c>
      <c r="F22" s="289">
        <v>0</v>
      </c>
      <c r="G22" s="285">
        <f t="shared" si="1"/>
        <v>1155237.98</v>
      </c>
      <c r="H22" s="611"/>
      <c r="I22" s="289">
        <v>104733.24</v>
      </c>
      <c r="J22" s="289">
        <f>6471+39795</f>
        <v>46266</v>
      </c>
      <c r="K22" s="289"/>
      <c r="L22" s="289">
        <f t="shared" si="2"/>
        <v>150999.24</v>
      </c>
      <c r="M22" s="289">
        <f t="shared" si="0"/>
        <v>1004238.74</v>
      </c>
      <c r="O22" s="245"/>
    </row>
    <row r="23" spans="1:15" ht="12.75">
      <c r="A23" s="228">
        <v>1</v>
      </c>
      <c r="B23" s="464">
        <f>+'Trial Balance'!A100</f>
        <v>1860</v>
      </c>
      <c r="C23" s="465" t="str">
        <f>+'Trial Balance'!B100</f>
        <v>Meters</v>
      </c>
      <c r="D23" s="289">
        <v>3447663.01</v>
      </c>
      <c r="E23" s="289">
        <v>150990.00999999998</v>
      </c>
      <c r="F23" s="289">
        <v>0</v>
      </c>
      <c r="G23" s="285">
        <f t="shared" si="1"/>
        <v>3598653.0199999996</v>
      </c>
      <c r="H23" s="611"/>
      <c r="I23" s="289">
        <v>1288576.49</v>
      </c>
      <c r="J23" s="289">
        <v>279477.42</v>
      </c>
      <c r="K23" s="289"/>
      <c r="L23" s="289">
        <f t="shared" si="2"/>
        <v>1568053.91</v>
      </c>
      <c r="M23" s="289">
        <f t="shared" si="0"/>
        <v>2030599.1099999996</v>
      </c>
      <c r="O23" s="245"/>
    </row>
    <row r="24" spans="1:15" ht="12.75">
      <c r="A24" s="228"/>
      <c r="B24" s="464">
        <f>+'Trial Balance'!A101</f>
        <v>1865</v>
      </c>
      <c r="C24" s="465" t="str">
        <f>+'Trial Balance'!B101</f>
        <v>Other Installations on Customer's Premises</v>
      </c>
      <c r="D24" s="289">
        <v>0</v>
      </c>
      <c r="E24" s="289">
        <v>0</v>
      </c>
      <c r="F24" s="289">
        <v>0</v>
      </c>
      <c r="G24" s="285">
        <f t="shared" si="1"/>
        <v>0</v>
      </c>
      <c r="H24" s="611"/>
      <c r="I24" s="289"/>
      <c r="J24" s="289"/>
      <c r="K24" s="289"/>
      <c r="L24" s="289">
        <f t="shared" si="2"/>
        <v>0</v>
      </c>
      <c r="M24" s="289">
        <f t="shared" si="0"/>
        <v>0</v>
      </c>
      <c r="O24" s="245"/>
    </row>
    <row r="25" spans="1:15" ht="12.75">
      <c r="A25" s="228" t="s">
        <v>219</v>
      </c>
      <c r="B25" s="464">
        <f>+'Trial Balance'!A102</f>
        <v>1905</v>
      </c>
      <c r="C25" s="465" t="str">
        <f>+'Trial Balance'!B102</f>
        <v>Land</v>
      </c>
      <c r="D25" s="289">
        <v>17529.54</v>
      </c>
      <c r="E25" s="289">
        <v>0</v>
      </c>
      <c r="F25" s="289">
        <v>0</v>
      </c>
      <c r="G25" s="285">
        <f t="shared" si="1"/>
        <v>17529.54</v>
      </c>
      <c r="H25" s="611"/>
      <c r="I25" s="289"/>
      <c r="J25" s="289"/>
      <c r="K25" s="289"/>
      <c r="L25" s="289">
        <f t="shared" si="2"/>
        <v>0</v>
      </c>
      <c r="M25" s="289">
        <f t="shared" si="0"/>
        <v>17529.54</v>
      </c>
      <c r="O25" s="245"/>
    </row>
    <row r="26" spans="1:15" ht="12.75">
      <c r="A26" s="228" t="s">
        <v>490</v>
      </c>
      <c r="B26" s="464">
        <f>+'Trial Balance'!A103</f>
        <v>1906</v>
      </c>
      <c r="C26" s="465" t="str">
        <f>+'Trial Balance'!B103</f>
        <v>Land Rights</v>
      </c>
      <c r="D26" s="289">
        <v>0</v>
      </c>
      <c r="E26" s="289">
        <v>0</v>
      </c>
      <c r="F26" s="289">
        <v>0</v>
      </c>
      <c r="G26" s="285">
        <f t="shared" si="1"/>
        <v>0</v>
      </c>
      <c r="H26" s="611"/>
      <c r="I26" s="289"/>
      <c r="J26" s="289"/>
      <c r="K26" s="289"/>
      <c r="L26" s="289">
        <f t="shared" si="2"/>
        <v>0</v>
      </c>
      <c r="M26" s="289">
        <f t="shared" si="0"/>
        <v>0</v>
      </c>
      <c r="O26" s="245"/>
    </row>
    <row r="27" spans="1:15" ht="12.75">
      <c r="A27" s="228">
        <v>1</v>
      </c>
      <c r="B27" s="464">
        <f>+'Trial Balance'!A104</f>
        <v>1908</v>
      </c>
      <c r="C27" s="465" t="str">
        <f>+'Trial Balance'!B104</f>
        <v>Buildings and Fixtures</v>
      </c>
      <c r="D27" s="289">
        <v>434909.98</v>
      </c>
      <c r="E27" s="289">
        <v>13572.58</v>
      </c>
      <c r="F27" s="289">
        <v>0</v>
      </c>
      <c r="G27" s="285">
        <f t="shared" si="1"/>
        <v>448482.56</v>
      </c>
      <c r="H27" s="611"/>
      <c r="I27" s="289">
        <v>81789.56</v>
      </c>
      <c r="J27" s="289">
        <v>17840.34</v>
      </c>
      <c r="K27" s="289"/>
      <c r="L27" s="289">
        <f t="shared" si="2"/>
        <v>99629.9</v>
      </c>
      <c r="M27" s="289">
        <f t="shared" si="0"/>
        <v>348852.66000000003</v>
      </c>
      <c r="O27" s="245"/>
    </row>
    <row r="28" spans="1:15" ht="12.75">
      <c r="A28" s="228"/>
      <c r="B28" s="464">
        <f>+'Trial Balance'!A105</f>
        <v>1910</v>
      </c>
      <c r="C28" s="465" t="str">
        <f>+'Trial Balance'!B105</f>
        <v>Leasehold Improvements</v>
      </c>
      <c r="D28" s="289">
        <v>0</v>
      </c>
      <c r="E28" s="289">
        <v>0</v>
      </c>
      <c r="F28" s="289">
        <v>0</v>
      </c>
      <c r="G28" s="285">
        <f t="shared" si="1"/>
        <v>0</v>
      </c>
      <c r="H28" s="611"/>
      <c r="I28" s="289"/>
      <c r="J28" s="289"/>
      <c r="K28" s="289"/>
      <c r="L28" s="289">
        <f t="shared" si="2"/>
        <v>0</v>
      </c>
      <c r="M28" s="289">
        <f t="shared" si="0"/>
        <v>0</v>
      </c>
      <c r="O28" s="245"/>
    </row>
    <row r="29" spans="1:13" ht="12.75">
      <c r="A29" s="228">
        <v>8</v>
      </c>
      <c r="B29" s="464">
        <f>+'Trial Balance'!A106</f>
        <v>1915</v>
      </c>
      <c r="C29" s="465" t="str">
        <f>+'Trial Balance'!B106</f>
        <v>Office Furniture and Equipment</v>
      </c>
      <c r="D29" s="289">
        <v>140423.05</v>
      </c>
      <c r="E29" s="289">
        <v>25692</v>
      </c>
      <c r="F29" s="289">
        <v>0</v>
      </c>
      <c r="G29" s="285">
        <f t="shared" si="1"/>
        <v>166115.05</v>
      </c>
      <c r="H29" s="611"/>
      <c r="I29" s="289">
        <v>84709.74</v>
      </c>
      <c r="J29" s="289">
        <v>12797</v>
      </c>
      <c r="K29" s="289"/>
      <c r="L29" s="289">
        <f t="shared" si="2"/>
        <v>97506.74</v>
      </c>
      <c r="M29" s="289">
        <f t="shared" si="0"/>
        <v>68608.30999999998</v>
      </c>
    </row>
    <row r="30" spans="1:13" ht="12.75">
      <c r="A30" s="228">
        <v>45</v>
      </c>
      <c r="B30" s="464">
        <f>+'Trial Balance'!A107</f>
        <v>1920</v>
      </c>
      <c r="C30" s="465" t="str">
        <f>+'Trial Balance'!B107</f>
        <v>Computer Equipment - Hardware</v>
      </c>
      <c r="D30" s="289">
        <v>598228.53</v>
      </c>
      <c r="E30" s="289">
        <v>91261.07</v>
      </c>
      <c r="F30" s="289">
        <v>0</v>
      </c>
      <c r="G30" s="285">
        <f t="shared" si="1"/>
        <v>689489.6000000001</v>
      </c>
      <c r="H30" s="611"/>
      <c r="I30" s="289">
        <v>382526.32</v>
      </c>
      <c r="J30" s="289">
        <v>110007.84</v>
      </c>
      <c r="K30" s="289"/>
      <c r="L30" s="289">
        <f t="shared" si="2"/>
        <v>492534.16000000003</v>
      </c>
      <c r="M30" s="289">
        <f t="shared" si="0"/>
        <v>196955.44000000006</v>
      </c>
    </row>
    <row r="31" spans="1:13" ht="12.75">
      <c r="A31" s="228">
        <v>12</v>
      </c>
      <c r="B31" s="464">
        <f>+'Trial Balance'!A108</f>
        <v>1925</v>
      </c>
      <c r="C31" s="465" t="str">
        <f>+'Trial Balance'!B108</f>
        <v>Computer Software</v>
      </c>
      <c r="D31" s="289">
        <v>691420.4800000001</v>
      </c>
      <c r="E31" s="289">
        <v>102020.89</v>
      </c>
      <c r="F31" s="289">
        <v>0</v>
      </c>
      <c r="G31" s="285">
        <f t="shared" si="1"/>
        <v>793441.3700000001</v>
      </c>
      <c r="H31" s="611"/>
      <c r="I31" s="289">
        <v>518800.74</v>
      </c>
      <c r="J31" s="289">
        <v>87829.31</v>
      </c>
      <c r="K31" s="289"/>
      <c r="L31" s="289">
        <f t="shared" si="2"/>
        <v>606630.05</v>
      </c>
      <c r="M31" s="289">
        <f t="shared" si="0"/>
        <v>186811.32000000007</v>
      </c>
    </row>
    <row r="32" spans="1:13" ht="12.75">
      <c r="A32" s="228">
        <v>10</v>
      </c>
      <c r="B32" s="464">
        <f>+'Trial Balance'!A109</f>
        <v>1930</v>
      </c>
      <c r="C32" s="465" t="str">
        <f>+'Trial Balance'!B109</f>
        <v>Transportation Equipment</v>
      </c>
      <c r="D32" s="289">
        <v>1045280.24</v>
      </c>
      <c r="E32" s="289">
        <v>280746</v>
      </c>
      <c r="F32" s="289">
        <v>66313.34</v>
      </c>
      <c r="G32" s="285">
        <f t="shared" si="1"/>
        <v>1259712.9</v>
      </c>
      <c r="H32" s="611"/>
      <c r="I32" s="289">
        <v>622842.53</v>
      </c>
      <c r="J32" s="289">
        <v>151607.71</v>
      </c>
      <c r="K32" s="289">
        <v>66313.34</v>
      </c>
      <c r="L32" s="289">
        <f t="shared" si="2"/>
        <v>708136.9</v>
      </c>
      <c r="M32" s="289">
        <f t="shared" si="0"/>
        <v>551575.9999999999</v>
      </c>
    </row>
    <row r="33" spans="1:13" ht="12.75">
      <c r="A33" s="228">
        <v>10</v>
      </c>
      <c r="B33" s="464">
        <f>+'Trial Balance'!A110</f>
        <v>1935</v>
      </c>
      <c r="C33" s="465" t="str">
        <f>+'Trial Balance'!B110</f>
        <v>Stores Equipment</v>
      </c>
      <c r="D33" s="289">
        <v>23354.35</v>
      </c>
      <c r="E33" s="289">
        <v>19720.8</v>
      </c>
      <c r="F33" s="289">
        <v>0</v>
      </c>
      <c r="G33" s="285">
        <f t="shared" si="1"/>
        <v>43075.149999999994</v>
      </c>
      <c r="H33" s="611"/>
      <c r="I33" s="289">
        <v>15944.95</v>
      </c>
      <c r="J33" s="289">
        <v>4557</v>
      </c>
      <c r="K33" s="289"/>
      <c r="L33" s="289">
        <f t="shared" si="2"/>
        <v>20501.95</v>
      </c>
      <c r="M33" s="289">
        <f t="shared" si="0"/>
        <v>22573.199999999993</v>
      </c>
    </row>
    <row r="34" spans="1:13" ht="12.75">
      <c r="A34" s="228">
        <v>8</v>
      </c>
      <c r="B34" s="464">
        <f>+'Trial Balance'!A111</f>
        <v>1940</v>
      </c>
      <c r="C34" s="465" t="str">
        <f>+'Trial Balance'!B111</f>
        <v>Tools, Shop and Garage Equipment</v>
      </c>
      <c r="D34" s="289">
        <v>184112.46000000002</v>
      </c>
      <c r="E34" s="289">
        <v>3481.98</v>
      </c>
      <c r="F34" s="289">
        <v>0</v>
      </c>
      <c r="G34" s="285">
        <f t="shared" si="1"/>
        <v>187594.44000000003</v>
      </c>
      <c r="H34" s="611"/>
      <c r="I34" s="289">
        <v>107136.02</v>
      </c>
      <c r="J34" s="289">
        <v>17572</v>
      </c>
      <c r="K34" s="289"/>
      <c r="L34" s="289">
        <f t="shared" si="2"/>
        <v>124708.02</v>
      </c>
      <c r="M34" s="289">
        <f t="shared" si="0"/>
        <v>62886.42000000003</v>
      </c>
    </row>
    <row r="35" spans="1:13" ht="12.75">
      <c r="A35" s="228"/>
      <c r="B35" s="464">
        <f>+'Trial Balance'!A112</f>
        <v>1945</v>
      </c>
      <c r="C35" s="465" t="str">
        <f>+'Trial Balance'!B112</f>
        <v>Measurement and Testing Equipment</v>
      </c>
      <c r="D35" s="289">
        <v>75162.71</v>
      </c>
      <c r="E35" s="289">
        <v>0</v>
      </c>
      <c r="F35" s="289">
        <v>0</v>
      </c>
      <c r="G35" s="285">
        <f t="shared" si="1"/>
        <v>75162.71</v>
      </c>
      <c r="H35" s="611"/>
      <c r="I35" s="289">
        <v>56900.35</v>
      </c>
      <c r="J35" s="289">
        <v>6485</v>
      </c>
      <c r="K35" s="289"/>
      <c r="L35" s="289">
        <f t="shared" si="2"/>
        <v>63385.35</v>
      </c>
      <c r="M35" s="289">
        <f t="shared" si="0"/>
        <v>11777.360000000008</v>
      </c>
    </row>
    <row r="36" spans="1:13" ht="12.75">
      <c r="A36" s="228"/>
      <c r="B36" s="464">
        <f>+'Trial Balance'!A113</f>
        <v>1950</v>
      </c>
      <c r="C36" s="465" t="str">
        <f>+'Trial Balance'!B113</f>
        <v>Power Operated Equipment</v>
      </c>
      <c r="D36" s="289">
        <v>0</v>
      </c>
      <c r="E36" s="289">
        <v>0</v>
      </c>
      <c r="F36" s="289">
        <v>0</v>
      </c>
      <c r="G36" s="285">
        <f t="shared" si="1"/>
        <v>0</v>
      </c>
      <c r="H36" s="611"/>
      <c r="I36" s="289"/>
      <c r="J36" s="289"/>
      <c r="K36" s="289"/>
      <c r="L36" s="289">
        <f t="shared" si="2"/>
        <v>0</v>
      </c>
      <c r="M36" s="289">
        <f t="shared" si="0"/>
        <v>0</v>
      </c>
    </row>
    <row r="37" spans="1:13" ht="12.75">
      <c r="A37" s="228">
        <v>10</v>
      </c>
      <c r="B37" s="464">
        <f>+'Trial Balance'!A114</f>
        <v>1955</v>
      </c>
      <c r="C37" s="465" t="str">
        <f>+'Trial Balance'!B114</f>
        <v>Communication Equipment</v>
      </c>
      <c r="D37" s="289">
        <v>5819.04</v>
      </c>
      <c r="E37" s="289">
        <v>7283.52</v>
      </c>
      <c r="F37" s="289">
        <v>0</v>
      </c>
      <c r="G37" s="285">
        <f t="shared" si="1"/>
        <v>13102.560000000001</v>
      </c>
      <c r="H37" s="611"/>
      <c r="I37" s="289">
        <v>2029.24</v>
      </c>
      <c r="J37" s="289">
        <v>1312</v>
      </c>
      <c r="K37" s="289"/>
      <c r="L37" s="289">
        <f t="shared" si="2"/>
        <v>3341.24</v>
      </c>
      <c r="M37" s="289">
        <f t="shared" si="0"/>
        <v>9761.320000000002</v>
      </c>
    </row>
    <row r="38" spans="1:13" ht="12.75">
      <c r="A38" s="228"/>
      <c r="B38" s="464">
        <f>+'Trial Balance'!A115</f>
        <v>1960</v>
      </c>
      <c r="C38" s="465" t="str">
        <f>+'Trial Balance'!B115</f>
        <v>Miscellaneous Equipment</v>
      </c>
      <c r="D38" s="289">
        <v>485.09</v>
      </c>
      <c r="E38" s="289">
        <v>0</v>
      </c>
      <c r="F38" s="289">
        <v>0</v>
      </c>
      <c r="G38" s="285">
        <f t="shared" si="1"/>
        <v>485.09</v>
      </c>
      <c r="H38" s="611"/>
      <c r="I38" s="289">
        <v>273.09</v>
      </c>
      <c r="J38" s="289">
        <v>53</v>
      </c>
      <c r="K38" s="289"/>
      <c r="L38" s="289">
        <f t="shared" si="2"/>
        <v>326.09</v>
      </c>
      <c r="M38" s="289">
        <f t="shared" si="0"/>
        <v>159</v>
      </c>
    </row>
    <row r="39" spans="1:13" ht="12.75">
      <c r="A39" s="228"/>
      <c r="B39" s="464">
        <f>+'Trial Balance'!A116</f>
        <v>1970</v>
      </c>
      <c r="C39" s="465" t="str">
        <f>+'Trial Balance'!B116</f>
        <v>Load Management Controls - Customer Premises </v>
      </c>
      <c r="D39" s="289">
        <v>0</v>
      </c>
      <c r="E39" s="289">
        <v>0</v>
      </c>
      <c r="F39" s="289">
        <v>0</v>
      </c>
      <c r="G39" s="285">
        <f t="shared" si="1"/>
        <v>0</v>
      </c>
      <c r="H39" s="611"/>
      <c r="I39" s="289"/>
      <c r="J39" s="289"/>
      <c r="K39" s="289"/>
      <c r="L39" s="289">
        <f t="shared" si="2"/>
        <v>0</v>
      </c>
      <c r="M39" s="289">
        <f t="shared" si="0"/>
        <v>0</v>
      </c>
    </row>
    <row r="40" spans="1:13" ht="12.75">
      <c r="A40" s="228"/>
      <c r="B40" s="464">
        <f>+'Trial Balance'!A117</f>
        <v>1975</v>
      </c>
      <c r="C40" s="465" t="str">
        <f>+'Trial Balance'!B117</f>
        <v>Load Management Controls - Utility Premises</v>
      </c>
      <c r="D40" s="289">
        <v>0</v>
      </c>
      <c r="E40" s="289">
        <v>0</v>
      </c>
      <c r="F40" s="289">
        <v>0</v>
      </c>
      <c r="G40" s="285">
        <f t="shared" si="1"/>
        <v>0</v>
      </c>
      <c r="H40" s="611"/>
      <c r="I40" s="289"/>
      <c r="J40" s="289"/>
      <c r="K40" s="289"/>
      <c r="L40" s="289">
        <f t="shared" si="2"/>
        <v>0</v>
      </c>
      <c r="M40" s="289">
        <f t="shared" si="0"/>
        <v>0</v>
      </c>
    </row>
    <row r="41" spans="1:13" ht="12.75">
      <c r="A41" s="228"/>
      <c r="B41" s="464">
        <f>+'Trial Balance'!A118</f>
        <v>1980</v>
      </c>
      <c r="C41" s="465" t="str">
        <f>+'Trial Balance'!B118</f>
        <v>System Supervisory Equipment</v>
      </c>
      <c r="D41" s="289">
        <v>49664.58</v>
      </c>
      <c r="E41" s="289">
        <v>119670.66</v>
      </c>
      <c r="F41" s="289">
        <v>0</v>
      </c>
      <c r="G41" s="285">
        <f t="shared" si="1"/>
        <v>169335.24</v>
      </c>
      <c r="H41" s="611"/>
      <c r="I41" s="289">
        <v>17818.25</v>
      </c>
      <c r="J41" s="289">
        <v>11220</v>
      </c>
      <c r="K41" s="289"/>
      <c r="L41" s="289">
        <f>I41+J41-K41</f>
        <v>29038.25</v>
      </c>
      <c r="M41" s="289">
        <f t="shared" si="0"/>
        <v>140296.99</v>
      </c>
    </row>
    <row r="42" spans="1:13" ht="12.75">
      <c r="A42" s="228"/>
      <c r="B42" s="464">
        <f>+'Trial Balance'!A119</f>
        <v>1985</v>
      </c>
      <c r="C42" s="465" t="str">
        <f>+'Trial Balance'!B119</f>
        <v>Sentinel Lighting Rentals</v>
      </c>
      <c r="D42" s="289">
        <v>0</v>
      </c>
      <c r="E42" s="289">
        <v>0</v>
      </c>
      <c r="F42" s="289">
        <v>0</v>
      </c>
      <c r="G42" s="285">
        <f t="shared" si="1"/>
        <v>0</v>
      </c>
      <c r="H42" s="611"/>
      <c r="I42" s="289"/>
      <c r="J42" s="289"/>
      <c r="K42" s="289"/>
      <c r="L42" s="289">
        <f t="shared" si="2"/>
        <v>0</v>
      </c>
      <c r="M42" s="289">
        <f t="shared" si="0"/>
        <v>0</v>
      </c>
    </row>
    <row r="43" spans="1:13" ht="14.25" customHeight="1">
      <c r="A43" s="228"/>
      <c r="B43" s="464">
        <f>+'Trial Balance'!A120</f>
        <v>1990</v>
      </c>
      <c r="C43" s="465" t="str">
        <f>+'Trial Balance'!B120</f>
        <v>Other Tangible Property</v>
      </c>
      <c r="D43" s="289">
        <v>0</v>
      </c>
      <c r="E43" s="289">
        <v>0</v>
      </c>
      <c r="F43" s="289">
        <v>0</v>
      </c>
      <c r="G43" s="285">
        <f t="shared" si="1"/>
        <v>0</v>
      </c>
      <c r="H43" s="611"/>
      <c r="I43" s="289"/>
      <c r="J43" s="289"/>
      <c r="K43" s="289"/>
      <c r="L43" s="289">
        <f t="shared" si="2"/>
        <v>0</v>
      </c>
      <c r="M43" s="289">
        <f t="shared" si="0"/>
        <v>0</v>
      </c>
    </row>
    <row r="44" spans="1:13" s="373" customFormat="1" ht="14.25" customHeight="1">
      <c r="A44" s="228">
        <v>1</v>
      </c>
      <c r="B44" s="464">
        <f>+'Trial Balance'!A121</f>
        <v>1995</v>
      </c>
      <c r="C44" s="465" t="str">
        <f>+'Trial Balance'!B121</f>
        <v>Contributions and Grants</v>
      </c>
      <c r="D44" s="289">
        <v>-1148864.2</v>
      </c>
      <c r="E44" s="289">
        <v>-226209.77</v>
      </c>
      <c r="F44" s="289">
        <v>0</v>
      </c>
      <c r="G44" s="285">
        <f>D44+E44-F44</f>
        <v>-1375073.97</v>
      </c>
      <c r="H44" s="611"/>
      <c r="I44" s="289">
        <v>-98504</v>
      </c>
      <c r="J44" s="289">
        <v>-55003</v>
      </c>
      <c r="K44" s="289"/>
      <c r="L44" s="289">
        <f>I44+J44-K44</f>
        <v>-153507</v>
      </c>
      <c r="M44" s="289">
        <f t="shared" si="0"/>
        <v>-1221566.97</v>
      </c>
    </row>
    <row r="45" spans="1:13" ht="12.75">
      <c r="A45" s="228">
        <v>47</v>
      </c>
      <c r="B45" s="464">
        <f>+'Trial Balance'!A122</f>
        <v>1996</v>
      </c>
      <c r="C45" s="465" t="str">
        <f>+'Trial Balance'!B122</f>
        <v>Contributions - Commerce Way TS</v>
      </c>
      <c r="D45" s="289">
        <v>0</v>
      </c>
      <c r="E45" s="289">
        <v>0</v>
      </c>
      <c r="F45" s="289">
        <v>0</v>
      </c>
      <c r="G45" s="285">
        <f>D45+E45-F45</f>
        <v>0</v>
      </c>
      <c r="H45" s="611"/>
      <c r="I45" s="289">
        <v>0</v>
      </c>
      <c r="J45" s="289">
        <v>0</v>
      </c>
      <c r="K45" s="289"/>
      <c r="L45" s="289">
        <f t="shared" si="2"/>
        <v>0</v>
      </c>
      <c r="M45" s="289">
        <f t="shared" si="0"/>
        <v>0</v>
      </c>
    </row>
    <row r="46" spans="1:13" ht="12.75">
      <c r="A46" s="228">
        <v>17</v>
      </c>
      <c r="B46" s="464">
        <v>2075</v>
      </c>
      <c r="C46" s="466" t="s">
        <v>900</v>
      </c>
      <c r="D46" s="289"/>
      <c r="E46" s="289">
        <v>0</v>
      </c>
      <c r="F46" s="289">
        <v>0</v>
      </c>
      <c r="G46" s="285">
        <f t="shared" si="1"/>
        <v>0</v>
      </c>
      <c r="H46" s="611"/>
      <c r="I46" s="289">
        <v>0</v>
      </c>
      <c r="J46" s="289">
        <v>0</v>
      </c>
      <c r="K46" s="289"/>
      <c r="L46" s="289">
        <f t="shared" si="2"/>
        <v>0</v>
      </c>
      <c r="M46" s="289">
        <f t="shared" si="0"/>
        <v>0</v>
      </c>
    </row>
    <row r="47" spans="1:13" ht="12.75">
      <c r="A47" s="228"/>
      <c r="B47" s="211"/>
      <c r="C47" s="214" t="s">
        <v>235</v>
      </c>
      <c r="D47" s="286">
        <f>SUM(D10:D46)</f>
        <v>24891055.410000004</v>
      </c>
      <c r="E47" s="287">
        <f>SUM(E10:E46)</f>
        <v>2042147.5699999998</v>
      </c>
      <c r="F47" s="287">
        <f>SUM(F10:F46)</f>
        <v>66313.34</v>
      </c>
      <c r="G47" s="287">
        <f>SUM(G10:G46)</f>
        <v>26866889.639999997</v>
      </c>
      <c r="H47" s="611"/>
      <c r="I47" s="463">
        <f>SUM(I10:I46)</f>
        <v>7891142.750000001</v>
      </c>
      <c r="J47" s="463">
        <f>SUM(J10:J46)</f>
        <v>1737571.9500000002</v>
      </c>
      <c r="K47" s="463">
        <f>SUM(K10:K46)</f>
        <v>66313.34</v>
      </c>
      <c r="L47" s="463">
        <f>SUM(L10:L46)</f>
        <v>9562401.360000001</v>
      </c>
      <c r="M47" s="463">
        <f>SUM(M10:M46)</f>
        <v>17304488.279999997</v>
      </c>
    </row>
    <row r="48" spans="1:13" ht="12.75">
      <c r="A48" s="228"/>
      <c r="B48" s="211"/>
      <c r="C48" s="210"/>
      <c r="D48" s="288"/>
      <c r="E48" s="285"/>
      <c r="F48" s="285"/>
      <c r="G48" s="285"/>
      <c r="H48" s="611"/>
      <c r="I48" s="285"/>
      <c r="J48" s="285"/>
      <c r="K48" s="285"/>
      <c r="L48" s="285"/>
      <c r="M48" s="285"/>
    </row>
    <row r="49" spans="1:13" ht="12.75">
      <c r="A49" s="228">
        <v>94</v>
      </c>
      <c r="B49" s="211"/>
      <c r="C49" s="210" t="s">
        <v>269</v>
      </c>
      <c r="D49" s="467"/>
      <c r="E49" s="289"/>
      <c r="F49" s="289"/>
      <c r="G49" s="285">
        <f>D49+E49-F49</f>
        <v>0</v>
      </c>
      <c r="H49" s="611"/>
      <c r="I49" s="289">
        <v>0</v>
      </c>
      <c r="J49" s="289">
        <v>0</v>
      </c>
      <c r="K49" s="289">
        <v>0</v>
      </c>
      <c r="L49" s="285">
        <f>I49+J49-K49</f>
        <v>0</v>
      </c>
      <c r="M49" s="285">
        <f>G49-L49</f>
        <v>0</v>
      </c>
    </row>
    <row r="50" spans="1:13" ht="13.5" thickBot="1">
      <c r="A50" s="228"/>
      <c r="B50" s="211"/>
      <c r="C50" s="214" t="s">
        <v>236</v>
      </c>
      <c r="D50" s="286">
        <f>SUM(D47:D49)</f>
        <v>24891055.410000004</v>
      </c>
      <c r="E50" s="287">
        <f>SUM(E47:E49)</f>
        <v>2042147.5699999998</v>
      </c>
      <c r="F50" s="287">
        <f>SUM(F47:F49)</f>
        <v>66313.34</v>
      </c>
      <c r="G50" s="287">
        <f>SUM(G47:G49)</f>
        <v>26866889.639999997</v>
      </c>
      <c r="H50" s="612"/>
      <c r="I50" s="287">
        <f>SUM(I47:I49)</f>
        <v>7891142.750000001</v>
      </c>
      <c r="J50" s="287">
        <f>SUM(J47:J49)</f>
        <v>1737571.9500000002</v>
      </c>
      <c r="K50" s="287">
        <f>SUM(K47:K49)</f>
        <v>66313.34</v>
      </c>
      <c r="L50" s="287">
        <f>SUM(L47:L49)</f>
        <v>9562401.360000001</v>
      </c>
      <c r="M50" s="287">
        <f>SUM(M47:M49)</f>
        <v>17304488.279999997</v>
      </c>
    </row>
    <row r="51" spans="1:13" ht="13.5" thickTop="1">
      <c r="A51" s="212"/>
      <c r="D51" s="282"/>
      <c r="E51" s="282"/>
      <c r="F51" s="282"/>
      <c r="G51" s="282"/>
      <c r="H51" s="283"/>
      <c r="I51" s="283"/>
      <c r="J51" s="283"/>
      <c r="K51" s="283"/>
      <c r="L51" s="283"/>
      <c r="M51" s="283"/>
    </row>
    <row r="52" spans="1:13" ht="12.75">
      <c r="A52" s="212"/>
      <c r="D52" s="282"/>
      <c r="E52" s="282"/>
      <c r="F52" s="282"/>
      <c r="G52" s="282"/>
      <c r="H52" s="613" t="s">
        <v>270</v>
      </c>
      <c r="I52" s="613"/>
      <c r="J52" s="613"/>
      <c r="K52" s="283"/>
      <c r="L52" s="283"/>
      <c r="M52" s="283"/>
    </row>
    <row r="53" spans="1:13" ht="12.75">
      <c r="A53" s="228">
        <v>10</v>
      </c>
      <c r="B53" s="209">
        <v>1930</v>
      </c>
      <c r="C53" s="210" t="s">
        <v>271</v>
      </c>
      <c r="D53" s="282"/>
      <c r="E53" s="282"/>
      <c r="F53" s="282"/>
      <c r="G53" s="282"/>
      <c r="H53" s="610" t="s">
        <v>271</v>
      </c>
      <c r="I53" s="610"/>
      <c r="J53" s="468">
        <f>+J32</f>
        <v>151607.71</v>
      </c>
      <c r="K53" s="283"/>
      <c r="L53" s="283"/>
      <c r="M53" s="283"/>
    </row>
    <row r="54" spans="1:13" ht="12.75">
      <c r="A54" s="228">
        <v>10</v>
      </c>
      <c r="B54" s="209">
        <v>1935</v>
      </c>
      <c r="C54" s="210" t="s">
        <v>536</v>
      </c>
      <c r="D54" s="282"/>
      <c r="E54" s="282"/>
      <c r="F54" s="282"/>
      <c r="G54" s="282"/>
      <c r="H54" s="610" t="s">
        <v>868</v>
      </c>
      <c r="I54" s="610"/>
      <c r="J54" s="468">
        <f>+J33</f>
        <v>4557</v>
      </c>
      <c r="K54" s="283"/>
      <c r="L54" s="283"/>
      <c r="M54" s="374"/>
    </row>
    <row r="55" spans="4:13" ht="13.5" thickBot="1">
      <c r="D55" s="282"/>
      <c r="E55" s="282"/>
      <c r="F55" s="282"/>
      <c r="G55" s="282"/>
      <c r="H55" s="610" t="s">
        <v>272</v>
      </c>
      <c r="I55" s="610"/>
      <c r="J55" s="469">
        <f>J50-J53-J54</f>
        <v>1581407.2400000002</v>
      </c>
      <c r="K55" s="283"/>
      <c r="L55"/>
      <c r="M55" s="283"/>
    </row>
    <row r="56" spans="1:13" ht="13.5" thickTop="1">
      <c r="A56"/>
      <c r="B56"/>
      <c r="C56"/>
      <c r="D56" s="174"/>
      <c r="E56"/>
      <c r="F56"/>
      <c r="G56"/>
      <c r="H56"/>
      <c r="I56"/>
      <c r="J56" s="290"/>
      <c r="K56"/>
      <c r="L56"/>
      <c r="M56"/>
    </row>
    <row r="57" spans="1:13" ht="12.75">
      <c r="A57"/>
      <c r="B57"/>
      <c r="C57"/>
      <c r="E57"/>
      <c r="F57"/>
      <c r="G57"/>
      <c r="H57"/>
      <c r="I57"/>
      <c r="J57"/>
      <c r="K57"/>
      <c r="L57"/>
      <c r="M57"/>
    </row>
    <row r="58" spans="1:13" ht="12.75">
      <c r="A58"/>
      <c r="B58"/>
      <c r="C58"/>
      <c r="E58"/>
      <c r="F58"/>
      <c r="G58"/>
      <c r="H58"/>
      <c r="I58"/>
      <c r="J58"/>
      <c r="K58"/>
      <c r="L58"/>
      <c r="M58"/>
    </row>
    <row r="59" spans="1:13" ht="12.75">
      <c r="A59"/>
      <c r="B59"/>
      <c r="C59"/>
      <c r="E59"/>
      <c r="F59"/>
      <c r="G59"/>
      <c r="H59"/>
      <c r="I59"/>
      <c r="J59" s="290"/>
      <c r="K59"/>
      <c r="L59"/>
      <c r="M59"/>
    </row>
    <row r="60" spans="1:13" ht="12.75">
      <c r="A60"/>
      <c r="B60"/>
      <c r="C60"/>
      <c r="E60"/>
      <c r="F60"/>
      <c r="G60"/>
      <c r="H60"/>
      <c r="I60"/>
      <c r="J60"/>
      <c r="K60"/>
      <c r="L60"/>
      <c r="M60"/>
    </row>
    <row r="61" spans="1:13" ht="12.75">
      <c r="A61"/>
      <c r="B61"/>
      <c r="C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/>
      <c r="B72"/>
      <c r="C72"/>
      <c r="D72"/>
      <c r="E72"/>
      <c r="F72"/>
      <c r="G72"/>
      <c r="H72"/>
      <c r="I72"/>
      <c r="J72"/>
      <c r="K72"/>
      <c r="L72"/>
      <c r="M72"/>
    </row>
  </sheetData>
  <sheetProtection/>
  <mergeCells count="25">
    <mergeCell ref="A1:M1"/>
    <mergeCell ref="A2:M2"/>
    <mergeCell ref="D6:G6"/>
    <mergeCell ref="D7:G7"/>
    <mergeCell ref="I7:L7"/>
    <mergeCell ref="A3:C3"/>
    <mergeCell ref="A4:C4"/>
    <mergeCell ref="A5:C5"/>
    <mergeCell ref="H55:I55"/>
    <mergeCell ref="J8:J9"/>
    <mergeCell ref="K8:K9"/>
    <mergeCell ref="L8:L9"/>
    <mergeCell ref="H8:H50"/>
    <mergeCell ref="H52:J52"/>
    <mergeCell ref="H53:I53"/>
    <mergeCell ref="H54:I54"/>
    <mergeCell ref="A8:A9"/>
    <mergeCell ref="B8:B9"/>
    <mergeCell ref="C8:C9"/>
    <mergeCell ref="D8:D9"/>
    <mergeCell ref="M8:M9"/>
    <mergeCell ref="E8:E9"/>
    <mergeCell ref="F8:F9"/>
    <mergeCell ref="G8:G9"/>
    <mergeCell ref="I8:I9"/>
  </mergeCells>
  <printOptions/>
  <pageMargins left="0.35433070866141736" right="0.35433070866141736" top="0.984251968503937" bottom="0.984251968503937" header="0.5118110236220472" footer="0.5118110236220472"/>
  <pageSetup fitToHeight="1" fitToWidth="1" horizontalDpi="355" verticalDpi="355" orientation="landscape" scale="68" r:id="rId3"/>
  <headerFooter alignWithMargins="0">
    <oddFooter>&amp;L&amp;A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32"/>
  <sheetViews>
    <sheetView zoomScalePageLayoutView="0" workbookViewId="0" topLeftCell="A4">
      <selection activeCell="A3" sqref="A3:IV3"/>
    </sheetView>
  </sheetViews>
  <sheetFormatPr defaultColWidth="9.140625" defaultRowHeight="12.75"/>
  <cols>
    <col min="1" max="1" width="72.28125" style="0" customWidth="1"/>
    <col min="2" max="2" width="21.8515625" style="284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 hidden="1">
      <c r="A1" s="614" t="str">
        <f>'Trial Balance'!A1:J1</f>
        <v>Woodstock Hydro Services Inc.</v>
      </c>
      <c r="B1" s="614"/>
    </row>
    <row r="2" spans="1:2" ht="12.75" hidden="1">
      <c r="A2" s="614" t="str">
        <f>'Trial Balance'!A2:J2</f>
        <v>, License Number ED-2003-0011, File Number EB-2010-0145</v>
      </c>
      <c r="B2" s="614"/>
    </row>
    <row r="3" spans="1:2" s="20" customFormat="1" ht="15" hidden="1">
      <c r="A3" s="637" t="str">
        <f>Notes!B4</f>
        <v>Woodstock Hydro Services Inc.</v>
      </c>
      <c r="B3" s="637"/>
    </row>
    <row r="4" spans="1:2" s="20" customFormat="1" ht="15">
      <c r="A4" s="640" t="s">
        <v>809</v>
      </c>
      <c r="B4" s="640"/>
    </row>
    <row r="5" spans="1:2" ht="15" customHeight="1">
      <c r="A5" s="60" t="s">
        <v>530</v>
      </c>
      <c r="B5" s="312" t="s">
        <v>154</v>
      </c>
    </row>
    <row r="6" spans="1:2" ht="15" customHeight="1">
      <c r="A6" s="639" t="s">
        <v>142</v>
      </c>
      <c r="B6" s="639"/>
    </row>
    <row r="7" spans="1:7" ht="15" customHeight="1">
      <c r="A7" s="25" t="str">
        <f>'Trial Balance'!A211&amp;"-"&amp;'Trial Balance'!B211</f>
        <v>4006-Residential Energy Sales</v>
      </c>
      <c r="B7" s="304">
        <f>'Trial Balance'!N211</f>
        <v>-8404029.362913983</v>
      </c>
      <c r="D7" s="11"/>
      <c r="E7" s="12"/>
      <c r="F7" s="13"/>
      <c r="G7" s="15"/>
    </row>
    <row r="8" spans="1:7" ht="15" customHeight="1">
      <c r="A8" s="25" t="str">
        <f>'Trial Balance'!A212&amp;"-"&amp;'Trial Balance'!B212</f>
        <v>4010-Commercial Energy Sales</v>
      </c>
      <c r="B8" s="304">
        <f>'Trial Balance'!N212</f>
        <v>0</v>
      </c>
      <c r="D8" s="11"/>
      <c r="E8" s="12"/>
      <c r="F8" s="13"/>
      <c r="G8" s="15"/>
    </row>
    <row r="9" spans="1:7" ht="15" customHeight="1">
      <c r="A9" s="25" t="str">
        <f>'Trial Balance'!A213&amp;"-"&amp;'Trial Balance'!B213</f>
        <v>4015-Industrial Energy Sales</v>
      </c>
      <c r="B9" s="304">
        <f>'Trial Balance'!N213</f>
        <v>0</v>
      </c>
      <c r="D9" s="11"/>
      <c r="E9" s="12"/>
      <c r="F9" s="13"/>
      <c r="G9" s="15"/>
    </row>
    <row r="10" spans="1:7" ht="15" customHeight="1">
      <c r="A10" s="25" t="str">
        <f>'Trial Balance'!A214&amp;"-"&amp;'Trial Balance'!B214</f>
        <v>4020-Energy Sales to Large Users</v>
      </c>
      <c r="B10" s="304">
        <f>'Trial Balance'!N214</f>
        <v>0</v>
      </c>
      <c r="D10" s="11"/>
      <c r="E10" s="12"/>
      <c r="F10" s="13"/>
      <c r="G10" s="15"/>
    </row>
    <row r="11" spans="1:7" ht="15" customHeight="1">
      <c r="A11" s="25" t="str">
        <f>'Trial Balance'!A215&amp;"-"&amp;'Trial Balance'!B215</f>
        <v>4025-Street Lighting Energy Sales</v>
      </c>
      <c r="B11" s="304">
        <f>'Trial Balance'!N215</f>
        <v>-171507.72453869242</v>
      </c>
      <c r="D11" s="11"/>
      <c r="E11" s="12"/>
      <c r="F11" s="13"/>
      <c r="G11" s="15"/>
    </row>
    <row r="12" spans="1:7" ht="15" customHeight="1">
      <c r="A12" s="25" t="str">
        <f>'Trial Balance'!A216&amp;"-"&amp;'Trial Balance'!B216</f>
        <v>4030-Sentinel Energy Sales</v>
      </c>
      <c r="B12" s="304">
        <f>'Trial Balance'!N216</f>
        <v>0</v>
      </c>
      <c r="D12" s="11"/>
      <c r="E12" s="12"/>
      <c r="F12" s="13"/>
      <c r="G12" s="15"/>
    </row>
    <row r="13" spans="1:7" ht="15" customHeight="1">
      <c r="A13" s="25" t="str">
        <f>'Trial Balance'!A217&amp;"-"&amp;'Trial Balance'!B217</f>
        <v>4035-General Energy Sales</v>
      </c>
      <c r="B13" s="304">
        <f>'Trial Balance'!N217</f>
        <v>-15970330.86456078</v>
      </c>
      <c r="D13" s="11"/>
      <c r="E13" s="12"/>
      <c r="F13" s="13"/>
      <c r="G13" s="15"/>
    </row>
    <row r="14" spans="1:7" ht="15" customHeight="1">
      <c r="A14" s="25" t="str">
        <f>'Trial Balance'!A218&amp;"-"&amp;'Trial Balance'!B218</f>
        <v>4040-Other Energy Sales to Public Authorities</v>
      </c>
      <c r="B14" s="304">
        <f>'Trial Balance'!N218</f>
        <v>0</v>
      </c>
      <c r="D14" s="11"/>
      <c r="E14" s="12"/>
      <c r="F14" s="13"/>
      <c r="G14" s="15"/>
    </row>
    <row r="15" spans="1:7" ht="15" customHeight="1">
      <c r="A15" s="25" t="str">
        <f>'Trial Balance'!A219&amp;"-"&amp;'Trial Balance'!B219</f>
        <v>4045-Energy Sales to Railroads and Railways</v>
      </c>
      <c r="B15" s="304">
        <f>'Trial Balance'!N219</f>
        <v>0</v>
      </c>
      <c r="D15" s="11"/>
      <c r="E15" s="12"/>
      <c r="F15" s="13"/>
      <c r="G15" s="15"/>
    </row>
    <row r="16" spans="1:7" ht="15" customHeight="1">
      <c r="A16" s="25" t="str">
        <f>'Trial Balance'!A220&amp;"-"&amp;'Trial Balance'!B220</f>
        <v>4050-Revenue Adjustment</v>
      </c>
      <c r="B16" s="304">
        <f>'Trial Balance'!N220</f>
        <v>0</v>
      </c>
      <c r="D16" s="11"/>
      <c r="E16" s="12"/>
      <c r="F16" s="13"/>
      <c r="G16" s="15"/>
    </row>
    <row r="17" spans="1:7" ht="15" customHeight="1">
      <c r="A17" s="25" t="str">
        <f>'Trial Balance'!A221&amp;"-"&amp;'Trial Balance'!B221</f>
        <v>4055-Energy Sales for Resale</v>
      </c>
      <c r="B17" s="304">
        <f>'Trial Balance'!N221</f>
        <v>0</v>
      </c>
      <c r="D17" s="11"/>
      <c r="E17" s="14"/>
      <c r="F17" s="13"/>
      <c r="G17" s="15"/>
    </row>
    <row r="18" spans="1:7" ht="15" customHeight="1">
      <c r="A18" s="25" t="str">
        <f>'Trial Balance'!A222&amp;"-"&amp;'Trial Balance'!B222</f>
        <v>4060-Interdepartmental Energy Sales</v>
      </c>
      <c r="B18" s="304">
        <f>'Trial Balance'!N222</f>
        <v>0</v>
      </c>
      <c r="D18" s="11"/>
      <c r="E18" s="12"/>
      <c r="F18" s="13"/>
      <c r="G18" s="15"/>
    </row>
    <row r="19" spans="1:7" ht="15" customHeight="1">
      <c r="A19" s="25" t="str">
        <f>'Trial Balance'!A223&amp;"-"&amp;'Trial Balance'!B223</f>
        <v>4062-WMS</v>
      </c>
      <c r="B19" s="304">
        <f>'Trial Balance'!N223</f>
        <v>-2404462.9899427677</v>
      </c>
      <c r="D19" s="11"/>
      <c r="E19" s="12"/>
      <c r="F19" s="13"/>
      <c r="G19" s="15"/>
    </row>
    <row r="20" spans="1:7" ht="15" customHeight="1">
      <c r="A20" s="25" t="str">
        <f>'Trial Balance'!A224&amp;"-"&amp;'Trial Balance'!B224</f>
        <v>4064-Billed WMS-One Time</v>
      </c>
      <c r="B20" s="304">
        <f>'Trial Balance'!N224</f>
        <v>0</v>
      </c>
      <c r="D20" s="11"/>
      <c r="E20" s="12"/>
      <c r="F20" s="13"/>
      <c r="G20" s="15"/>
    </row>
    <row r="21" spans="1:7" ht="15" customHeight="1">
      <c r="A21" s="25" t="str">
        <f>'Trial Balance'!A225&amp;"-"&amp;'Trial Balance'!B225</f>
        <v>4066-NS</v>
      </c>
      <c r="B21" s="304">
        <f>'Trial Balance'!N225</f>
        <v>-2024604.88554799</v>
      </c>
      <c r="D21" s="11"/>
      <c r="E21" s="12"/>
      <c r="F21" s="13"/>
      <c r="G21" s="15"/>
    </row>
    <row r="22" spans="1:7" ht="15" customHeight="1">
      <c r="A22" s="25" t="str">
        <f>'Trial Balance'!A226&amp;"-"&amp;'Trial Balance'!B226</f>
        <v>4068-CS</v>
      </c>
      <c r="B22" s="304">
        <f>'Trial Balance'!N226</f>
        <v>-1744674.06992867</v>
      </c>
      <c r="D22" s="11"/>
      <c r="E22" s="12"/>
      <c r="F22" s="13"/>
      <c r="G22" s="15"/>
    </row>
    <row r="23" spans="1:7" ht="15" customHeight="1" thickBot="1">
      <c r="A23" s="25" t="str">
        <f>'Trial Balance'!A227&amp;"-"&amp;'Trial Balance'!B227</f>
        <v>4075-LV Charges</v>
      </c>
      <c r="B23" s="304">
        <f>'Trial Balance'!N227</f>
        <v>0</v>
      </c>
      <c r="D23" s="11"/>
      <c r="E23" s="12"/>
      <c r="F23" s="13"/>
      <c r="G23" s="15"/>
    </row>
    <row r="24" spans="1:7" ht="15" customHeight="1" thickBot="1">
      <c r="A24" s="30" t="s">
        <v>143</v>
      </c>
      <c r="B24" s="313">
        <f>SUM(B7:B23)</f>
        <v>-30719609.89743288</v>
      </c>
      <c r="D24" s="11"/>
      <c r="E24" s="14"/>
      <c r="F24" s="13"/>
      <c r="G24" s="15"/>
    </row>
    <row r="25" spans="1:7" s="18" customFormat="1" ht="15" customHeight="1">
      <c r="A25" s="643"/>
      <c r="B25" s="644"/>
      <c r="D25" s="19"/>
      <c r="E25" s="12"/>
      <c r="F25" s="15"/>
      <c r="G25" s="15"/>
    </row>
    <row r="26" spans="1:7" s="18" customFormat="1" ht="15" customHeight="1">
      <c r="A26" s="639" t="s">
        <v>144</v>
      </c>
      <c r="B26" s="639"/>
      <c r="D26" s="19"/>
      <c r="E26" s="12"/>
      <c r="F26" s="15"/>
      <c r="G26" s="15"/>
    </row>
    <row r="27" spans="1:7" ht="15" customHeight="1">
      <c r="A27" s="25" t="str">
        <f>'Trial Balance'!A229&amp;"-"&amp;'Trial Balance'!B229</f>
        <v>4080-Distribution Services Revenue</v>
      </c>
      <c r="B27" s="304">
        <f>'Trial Balance'!N229</f>
        <v>-6514422.129286346</v>
      </c>
      <c r="D27" s="11"/>
      <c r="E27" s="14"/>
      <c r="F27" s="13"/>
      <c r="G27" s="15"/>
    </row>
    <row r="28" spans="1:7" ht="15" customHeight="1">
      <c r="A28" s="25" t="str">
        <f>'Trial Balance'!A230&amp;"-"&amp;'Trial Balance'!B230</f>
        <v>4082-RS Rev</v>
      </c>
      <c r="B28" s="304">
        <f>'Trial Balance'!N230</f>
        <v>-25400</v>
      </c>
      <c r="D28" s="11"/>
      <c r="E28" s="14"/>
      <c r="F28" s="13"/>
      <c r="G28" s="15"/>
    </row>
    <row r="29" spans="1:7" ht="15" customHeight="1">
      <c r="A29" s="25" t="str">
        <f>'Trial Balance'!A231&amp;"-"&amp;'Trial Balance'!B231</f>
        <v>4084-Serv Tx Requests</v>
      </c>
      <c r="B29" s="304">
        <f>'Trial Balance'!N231</f>
        <v>-1000</v>
      </c>
      <c r="D29" s="11"/>
      <c r="E29" s="14"/>
      <c r="F29" s="13"/>
      <c r="G29" s="15"/>
    </row>
    <row r="30" spans="1:7" ht="15" customHeight="1" thickBot="1">
      <c r="A30" s="25" t="str">
        <f>'Trial Balance'!A232&amp;"-"&amp;'Trial Balance'!B232</f>
        <v>4090-Electric Services Incidental to Energy Sales</v>
      </c>
      <c r="B30" s="304">
        <f>'Trial Balance'!N232</f>
        <v>0</v>
      </c>
      <c r="D30" s="11"/>
      <c r="E30" s="14"/>
      <c r="F30" s="13"/>
      <c r="G30" s="15"/>
    </row>
    <row r="31" spans="1:7" ht="15" customHeight="1" thickBot="1">
      <c r="A31" s="30" t="s">
        <v>74</v>
      </c>
      <c r="B31" s="313">
        <f>SUM(B27:B30)</f>
        <v>-6540822.129286346</v>
      </c>
      <c r="D31" s="11"/>
      <c r="E31" s="12"/>
      <c r="F31" s="13"/>
      <c r="G31" s="15"/>
    </row>
    <row r="32" spans="1:7" s="18" customFormat="1" ht="15" customHeight="1">
      <c r="A32" s="643"/>
      <c r="B32" s="644"/>
      <c r="D32" s="19"/>
      <c r="E32" s="12"/>
      <c r="F32" s="15"/>
      <c r="G32" s="15"/>
    </row>
    <row r="33" spans="1:7" s="18" customFormat="1" ht="15" customHeight="1">
      <c r="A33" s="639" t="s">
        <v>75</v>
      </c>
      <c r="B33" s="639"/>
      <c r="D33" s="19"/>
      <c r="E33" s="12"/>
      <c r="F33" s="15"/>
      <c r="G33" s="15"/>
    </row>
    <row r="34" spans="1:7" ht="15" customHeight="1">
      <c r="A34" s="25" t="str">
        <f>'Trial Balance'!A234&amp;"-"&amp;'Trial Balance'!B234</f>
        <v>4205-Interdepartmental Rents</v>
      </c>
      <c r="B34" s="304">
        <f>'Trial Balance'!N234</f>
        <v>0</v>
      </c>
      <c r="D34" s="11"/>
      <c r="E34" s="14"/>
      <c r="F34" s="13"/>
      <c r="G34" s="15"/>
    </row>
    <row r="35" spans="1:2" ht="15" customHeight="1">
      <c r="A35" s="25" t="str">
        <f>'Trial Balance'!A235&amp;"-"&amp;'Trial Balance'!B235</f>
        <v>4210-Rent from Electric Property</v>
      </c>
      <c r="B35" s="304">
        <f>'Trial Balance'!N235</f>
        <v>-40885</v>
      </c>
    </row>
    <row r="36" spans="1:2" ht="15" customHeight="1">
      <c r="A36" s="25" t="str">
        <f>'Trial Balance'!A236&amp;"-"&amp;'Trial Balance'!B236</f>
        <v>4215-Other Utility Operating Income</v>
      </c>
      <c r="B36" s="304">
        <f>'Trial Balance'!N236</f>
        <v>0</v>
      </c>
    </row>
    <row r="37" spans="1:2" ht="15" customHeight="1">
      <c r="A37" s="25" t="str">
        <f>'Trial Balance'!A237&amp;"-"&amp;'Trial Balance'!B237</f>
        <v>4220-Other Electric Revenues</v>
      </c>
      <c r="B37" s="304">
        <f>'Trial Balance'!N237</f>
        <v>0</v>
      </c>
    </row>
    <row r="38" spans="1:2" ht="15" customHeight="1">
      <c r="A38" s="25" t="str">
        <f>'Trial Balance'!A238&amp;"-"&amp;'Trial Balance'!B238</f>
        <v>4225-Late Payment Charges</v>
      </c>
      <c r="B38" s="304">
        <f>'Trial Balance'!N238</f>
        <v>-54253.8</v>
      </c>
    </row>
    <row r="39" spans="1:2" ht="15" customHeight="1">
      <c r="A39" s="25" t="str">
        <f>'Trial Balance'!A239&amp;"-"&amp;'Trial Balance'!B239</f>
        <v>4230-Sales of Water and Water Power</v>
      </c>
      <c r="B39" s="304">
        <f>'Trial Balance'!N239</f>
        <v>0</v>
      </c>
    </row>
    <row r="40" spans="1:2" ht="15" customHeight="1">
      <c r="A40" s="25" t="str">
        <f>'Trial Balance'!A240&amp;"-"&amp;'Trial Balance'!B240</f>
        <v>4235-Miscellaneous Service Revenues</v>
      </c>
      <c r="B40" s="304">
        <f>'Trial Balance'!N240</f>
        <v>-234290</v>
      </c>
    </row>
    <row r="41" spans="1:2" ht="15" customHeight="1">
      <c r="A41" s="25" t="str">
        <f>'Trial Balance'!A241&amp;"-"&amp;'Trial Balance'!B241</f>
        <v>4240-Provision for Rate Refunds</v>
      </c>
      <c r="B41" s="304">
        <f>'Trial Balance'!N241</f>
        <v>0</v>
      </c>
    </row>
    <row r="42" spans="1:2" ht="15" customHeight="1" thickBot="1">
      <c r="A42" s="25" t="str">
        <f>'Trial Balance'!A242&amp;"-"&amp;'Trial Balance'!B242</f>
        <v>4245-Government Assistance Directly Credited to Income</v>
      </c>
      <c r="B42" s="304">
        <f>'Trial Balance'!N242</f>
        <v>0</v>
      </c>
    </row>
    <row r="43" spans="1:2" ht="15" customHeight="1" thickBot="1">
      <c r="A43" s="30" t="s">
        <v>87</v>
      </c>
      <c r="B43" s="313">
        <f>SUM(B34:B42)</f>
        <v>-329428.8</v>
      </c>
    </row>
    <row r="44" spans="1:2" s="18" customFormat="1" ht="15" customHeight="1">
      <c r="A44" s="643"/>
      <c r="B44" s="644"/>
    </row>
    <row r="45" spans="1:2" s="18" customFormat="1" ht="15" customHeight="1">
      <c r="A45" s="639" t="s">
        <v>88</v>
      </c>
      <c r="B45" s="639"/>
    </row>
    <row r="46" spans="1:2" ht="15" customHeight="1">
      <c r="A46" s="25" t="str">
        <f>'Trial Balance'!A244&amp;"-"&amp;'Trial Balance'!B244</f>
        <v>4305-Regulatory Debits</v>
      </c>
      <c r="B46" s="304">
        <f>'Trial Balance'!N244</f>
        <v>0</v>
      </c>
    </row>
    <row r="47" spans="1:2" ht="15" customHeight="1">
      <c r="A47" s="25" t="str">
        <f>'Trial Balance'!A245&amp;"-"&amp;'Trial Balance'!B245</f>
        <v>4310-Regulatory Credits</v>
      </c>
      <c r="B47" s="304">
        <f>'Trial Balance'!N245</f>
        <v>0</v>
      </c>
    </row>
    <row r="48" spans="1:2" ht="15" customHeight="1">
      <c r="A48" s="25" t="str">
        <f>'Trial Balance'!A246&amp;"-"&amp;'Trial Balance'!B246</f>
        <v>4315-Revenues from Electric Plant Leased to Others</v>
      </c>
      <c r="B48" s="304">
        <f>'Trial Balance'!N246</f>
        <v>0</v>
      </c>
    </row>
    <row r="49" spans="1:2" ht="15" customHeight="1">
      <c r="A49" s="25" t="str">
        <f>'Trial Balance'!A247&amp;"-"&amp;'Trial Balance'!B247</f>
        <v>4320-Expenses of Electric Plant Leased to Others</v>
      </c>
      <c r="B49" s="304">
        <f>'Trial Balance'!N247</f>
        <v>0</v>
      </c>
    </row>
    <row r="50" spans="1:2" ht="15" customHeight="1">
      <c r="A50" s="25" t="str">
        <f>'Trial Balance'!A248&amp;"-"&amp;'Trial Balance'!B248</f>
        <v>4324-Special Purpose Charge Recovery - Billed</v>
      </c>
      <c r="B50" s="304">
        <f>'Trial Balance'!N248</f>
        <v>0</v>
      </c>
    </row>
    <row r="51" spans="1:2" ht="15" customHeight="1">
      <c r="A51" s="25" t="str">
        <f>'Trial Balance'!A249&amp;"-"&amp;'Trial Balance'!B249</f>
        <v>4325-Revenues from Merchandise, Jobbing, Etc.</v>
      </c>
      <c r="B51" s="304">
        <f>'Trial Balance'!N249</f>
        <v>0</v>
      </c>
    </row>
    <row r="52" spans="1:2" ht="15" customHeight="1">
      <c r="A52" s="25" t="str">
        <f>'Trial Balance'!A250&amp;"-"&amp;'Trial Balance'!B250</f>
        <v>4330-Costs and Expenses of Merchandising, Jobbing, Etc</v>
      </c>
      <c r="B52" s="304">
        <f>'Trial Balance'!N250</f>
        <v>0</v>
      </c>
    </row>
    <row r="53" spans="1:2" ht="15" customHeight="1">
      <c r="A53" s="25" t="str">
        <f>'Trial Balance'!A251&amp;"-"&amp;'Trial Balance'!B251</f>
        <v>4335-Profits and Losses from Financial Instrument Hedges</v>
      </c>
      <c r="B53" s="304">
        <f>'Trial Balance'!N251</f>
        <v>0</v>
      </c>
    </row>
    <row r="54" spans="1:2" ht="15" customHeight="1">
      <c r="A54" s="25" t="str">
        <f>'Trial Balance'!A252&amp;"-"&amp;'Trial Balance'!B252</f>
        <v>4340-Profits and Losses from Financial Instrument Investments</v>
      </c>
      <c r="B54" s="304">
        <f>'Trial Balance'!N252</f>
        <v>0</v>
      </c>
    </row>
    <row r="55" spans="1:2" ht="15" customHeight="1">
      <c r="A55" s="25" t="str">
        <f>'Trial Balance'!A253&amp;"-"&amp;'Trial Balance'!B253</f>
        <v>4345-Gains from Disposition of Future Use Utility Plant</v>
      </c>
      <c r="B55" s="304">
        <f>'Trial Balance'!N253</f>
        <v>0</v>
      </c>
    </row>
    <row r="56" spans="1:2" ht="15" customHeight="1">
      <c r="A56" s="25" t="str">
        <f>'Trial Balance'!A254&amp;"-"&amp;'Trial Balance'!B254</f>
        <v>4350-Losses from Disposition of Future Use Utility Plant</v>
      </c>
      <c r="B56" s="304">
        <f>'Trial Balance'!N254</f>
        <v>0</v>
      </c>
    </row>
    <row r="57" spans="1:2" ht="15" customHeight="1">
      <c r="A57" s="25" t="str">
        <f>'Trial Balance'!A255&amp;"-"&amp;'Trial Balance'!B255</f>
        <v>4355-Gain on Disposition of Utility and Other Property</v>
      </c>
      <c r="B57" s="304">
        <f>'Trial Balance'!N255</f>
        <v>-1000</v>
      </c>
    </row>
    <row r="58" spans="1:2" ht="15" customHeight="1">
      <c r="A58" s="25" t="str">
        <f>'Trial Balance'!A256&amp;"-"&amp;'Trial Balance'!B256</f>
        <v>4360-Loss on Disposition of Utility and Other Property</v>
      </c>
      <c r="B58" s="304">
        <f>'Trial Balance'!N256</f>
        <v>0</v>
      </c>
    </row>
    <row r="59" spans="1:2" ht="15" customHeight="1">
      <c r="A59" s="25" t="str">
        <f>'Trial Balance'!A257&amp;"-"&amp;'Trial Balance'!B257</f>
        <v>4365-Gains from Disposition of Allowances for Emission</v>
      </c>
      <c r="B59" s="304">
        <f>'Trial Balance'!N257</f>
        <v>0</v>
      </c>
    </row>
    <row r="60" spans="1:2" ht="15" customHeight="1">
      <c r="A60" s="25" t="str">
        <f>'Trial Balance'!A258&amp;"-"&amp;'Trial Balance'!B258</f>
        <v>4370-Losses from Disposition of Allowances for Emission</v>
      </c>
      <c r="B60" s="304">
        <f>'Trial Balance'!N258</f>
        <v>0</v>
      </c>
    </row>
    <row r="61" spans="1:2" ht="15" customHeight="1">
      <c r="A61" s="25" t="str">
        <f>'Trial Balance'!A259&amp;"-"&amp;'Trial Balance'!B259</f>
        <v>4375-Revenues from Non-Utility Operations</v>
      </c>
      <c r="B61" s="304">
        <f>'Trial Balance'!N259</f>
        <v>-829343.8158076663</v>
      </c>
    </row>
    <row r="62" spans="1:2" ht="15" customHeight="1">
      <c r="A62" s="25" t="str">
        <f>'Trial Balance'!A260&amp;"-"&amp;'Trial Balance'!B260</f>
        <v>4380-Expenses of Non-Utility Operations</v>
      </c>
      <c r="B62" s="304">
        <f>'Trial Balance'!N260</f>
        <v>770512.2326919878</v>
      </c>
    </row>
    <row r="63" spans="1:2" ht="15" customHeight="1">
      <c r="A63" s="25" t="str">
        <f>'Trial Balance'!A261&amp;"-"&amp;'Trial Balance'!B261</f>
        <v>4385-Expenses of Non-Utility Operations</v>
      </c>
      <c r="B63" s="304">
        <f>'Trial Balance'!N261</f>
        <v>0</v>
      </c>
    </row>
    <row r="64" spans="1:2" ht="15" customHeight="1">
      <c r="A64" s="25" t="str">
        <f>'Trial Balance'!A262&amp;"-"&amp;'Trial Balance'!B262</f>
        <v>4390-Miscellaneous Non-Operating Income</v>
      </c>
      <c r="B64" s="304">
        <f>'Trial Balance'!N262</f>
        <v>-15350</v>
      </c>
    </row>
    <row r="65" spans="1:2" ht="15" customHeight="1">
      <c r="A65" s="25" t="str">
        <f>'Trial Balance'!A263&amp;"-"&amp;'Trial Balance'!B263</f>
        <v>4395-Rate-Payer Benefit Including Interest</v>
      </c>
      <c r="B65" s="304">
        <f>'Trial Balance'!N263</f>
        <v>0</v>
      </c>
    </row>
    <row r="66" spans="1:2" ht="15" customHeight="1" thickBot="1">
      <c r="A66" s="25" t="str">
        <f>'Trial Balance'!A264&amp;"-"&amp;'Trial Balance'!B264</f>
        <v>4398-Foreign Exchange Gains and Losses, Including Amortization</v>
      </c>
      <c r="B66" s="304">
        <f>'Trial Balance'!N264</f>
        <v>0</v>
      </c>
    </row>
    <row r="67" spans="1:2" ht="15" customHeight="1" thickBot="1">
      <c r="A67" s="30" t="s">
        <v>83</v>
      </c>
      <c r="B67" s="313">
        <f>SUM(B46:B66)</f>
        <v>-75181.58311567851</v>
      </c>
    </row>
    <row r="68" spans="1:2" s="18" customFormat="1" ht="15" customHeight="1">
      <c r="A68" s="643"/>
      <c r="B68" s="644"/>
    </row>
    <row r="69" spans="1:2" s="18" customFormat="1" ht="15" customHeight="1">
      <c r="A69" s="639" t="s">
        <v>84</v>
      </c>
      <c r="B69" s="639"/>
    </row>
    <row r="70" spans="1:2" s="18" customFormat="1" ht="15" customHeight="1">
      <c r="A70" s="25" t="str">
        <f>'Trial Balance'!A266&amp;"-"&amp;'Trial Balance'!B266</f>
        <v>4405-Interest and Dividend Income</v>
      </c>
      <c r="B70" s="304">
        <f>'Trial Balance'!N266</f>
        <v>-45700</v>
      </c>
    </row>
    <row r="71" spans="1:2" ht="15" customHeight="1" thickBot="1">
      <c r="A71" s="25" t="str">
        <f>'Trial Balance'!A267&amp;"-"&amp;'Trial Balance'!B267</f>
        <v>4415-Equity in Earnings of Subsidiary Companies</v>
      </c>
      <c r="B71" s="304">
        <f>'Trial Balance'!N267</f>
        <v>0</v>
      </c>
    </row>
    <row r="72" spans="1:2" ht="15" customHeight="1" thickBot="1">
      <c r="A72" s="30" t="s">
        <v>85</v>
      </c>
      <c r="B72" s="313">
        <f>SUM(B70:B71)</f>
        <v>-45700</v>
      </c>
    </row>
    <row r="73" spans="1:2" s="18" customFormat="1" ht="15" customHeight="1">
      <c r="A73" s="643"/>
      <c r="B73" s="644"/>
    </row>
    <row r="74" spans="1:2" s="18" customFormat="1" ht="15" customHeight="1">
      <c r="A74" s="639" t="s">
        <v>86</v>
      </c>
      <c r="B74" s="639"/>
    </row>
    <row r="75" spans="1:2" ht="15" customHeight="1">
      <c r="A75" s="25" t="str">
        <f>'Trial Balance'!A269&amp;"-"&amp;'Trial Balance'!B269</f>
        <v>4705-Power Purchased</v>
      </c>
      <c r="B75" s="304">
        <f>'Trial Balance'!N269</f>
        <v>24545867.953484975</v>
      </c>
    </row>
    <row r="76" spans="1:2" ht="15" customHeight="1">
      <c r="A76" s="25" t="str">
        <f>'Trial Balance'!A270&amp;"-"&amp;'Trial Balance'!B270</f>
        <v>4708-WMS</v>
      </c>
      <c r="B76" s="304">
        <f>'Trial Balance'!N270</f>
        <v>2404462.9899427677</v>
      </c>
    </row>
    <row r="77" spans="1:2" ht="15" customHeight="1">
      <c r="A77" s="25" t="str">
        <f>'Trial Balance'!A271&amp;"-"&amp;'Trial Balance'!B271</f>
        <v>4710-Cost of Power Adjustments</v>
      </c>
      <c r="B77" s="304">
        <f>'Trial Balance'!N271</f>
        <v>0</v>
      </c>
    </row>
    <row r="78" spans="1:2" ht="15" customHeight="1">
      <c r="A78" s="25" t="str">
        <f>'Trial Balance'!A272&amp;"-"&amp;'Trial Balance'!B272</f>
        <v>4712-0</v>
      </c>
      <c r="B78" s="304">
        <f>'Trial Balance'!N272</f>
        <v>0</v>
      </c>
    </row>
    <row r="79" spans="1:2" ht="15" customHeight="1">
      <c r="A79" s="25" t="str">
        <f>'Trial Balance'!A273&amp;"-"&amp;'Trial Balance'!B273</f>
        <v>4714-NW</v>
      </c>
      <c r="B79" s="304">
        <f>'Trial Balance'!N273</f>
        <v>1977275.58122619</v>
      </c>
    </row>
    <row r="80" spans="1:2" ht="15" customHeight="1">
      <c r="A80" s="25" t="str">
        <f>'Trial Balance'!A274&amp;"-"&amp;'Trial Balance'!B274</f>
        <v>4715-System Control and Load Dispatching</v>
      </c>
      <c r="B80" s="304">
        <f>'Trial Balance'!N274</f>
        <v>0</v>
      </c>
    </row>
    <row r="81" spans="1:2" ht="15" customHeight="1">
      <c r="A81" s="25" t="str">
        <f>'Trial Balance'!A275&amp;"-"&amp;'Trial Balance'!B275</f>
        <v>4716-NCN</v>
      </c>
      <c r="B81" s="304">
        <f>'Trial Balance'!N275</f>
        <v>1659814.71116337</v>
      </c>
    </row>
    <row r="82" spans="1:2" ht="15" customHeight="1">
      <c r="A82" s="25" t="str">
        <f>'Trial Balance'!A276&amp;"-"&amp;'Trial Balance'!B276</f>
        <v>4720-Other Expenses</v>
      </c>
      <c r="B82" s="304">
        <f>'Trial Balance'!N276</f>
        <v>0</v>
      </c>
    </row>
    <row r="83" spans="1:2" ht="15" customHeight="1">
      <c r="A83" s="25" t="str">
        <f>'Trial Balance'!A277&amp;"-"&amp;'Trial Balance'!B277</f>
        <v>4725-Competition Transition Expense</v>
      </c>
      <c r="B83" s="304">
        <f>'Trial Balance'!N277</f>
        <v>0</v>
      </c>
    </row>
    <row r="84" spans="1:2" ht="15" customHeight="1">
      <c r="A84" s="25" t="str">
        <f>'Trial Balance'!A278&amp;"-"&amp;'Trial Balance'!B278</f>
        <v>4730-Rural Rate Assistance Expense</v>
      </c>
      <c r="B84" s="304">
        <f>'Trial Balance'!N278</f>
        <v>0</v>
      </c>
    </row>
    <row r="85" spans="1:2" ht="15" customHeight="1" thickBot="1">
      <c r="A85" s="25" t="str">
        <f>'Trial Balance'!A279&amp;"-"&amp;'Trial Balance'!B279</f>
        <v>4750-LV Charges</v>
      </c>
      <c r="B85" s="304">
        <f>'Trial Balance'!N279</f>
        <v>0</v>
      </c>
    </row>
    <row r="86" spans="1:2" ht="15" customHeight="1" thickBot="1">
      <c r="A86" s="30" t="s">
        <v>539</v>
      </c>
      <c r="B86" s="313">
        <f>SUM(B75:B85)</f>
        <v>30587421.2358173</v>
      </c>
    </row>
    <row r="87" spans="1:2" s="18" customFormat="1" ht="15" customHeight="1">
      <c r="A87" s="643"/>
      <c r="B87" s="644"/>
    </row>
    <row r="88" spans="1:2" s="18" customFormat="1" ht="15" customHeight="1">
      <c r="A88" s="639" t="s">
        <v>540</v>
      </c>
      <c r="B88" s="639"/>
    </row>
    <row r="89" spans="1:2" ht="15" customHeight="1">
      <c r="A89" s="25" t="str">
        <f>'Trial Balance'!A281&amp;"-"&amp;'Trial Balance'!B281</f>
        <v>5005-Operation Supervision and Engineering</v>
      </c>
      <c r="B89" s="304">
        <f>'Trial Balance'!N281</f>
        <v>107021.43051952527</v>
      </c>
    </row>
    <row r="90" spans="1:2" ht="15" customHeight="1">
      <c r="A90" s="25" t="str">
        <f>'Trial Balance'!A282&amp;"-"&amp;'Trial Balance'!B282</f>
        <v>5010-Load Dispatching</v>
      </c>
      <c r="B90" s="304">
        <f>'Trial Balance'!N282</f>
        <v>51816.06425955656</v>
      </c>
    </row>
    <row r="91" spans="1:2" ht="15" customHeight="1">
      <c r="A91" s="25" t="str">
        <f>'Trial Balance'!A283&amp;"-"&amp;'Trial Balance'!B283</f>
        <v>5012-Station Buildings and Fixtures Expense</v>
      </c>
      <c r="B91" s="304">
        <f>'Trial Balance'!N283</f>
        <v>52934.16790712932</v>
      </c>
    </row>
    <row r="92" spans="1:2" ht="15" customHeight="1">
      <c r="A92" s="25" t="str">
        <f>'Trial Balance'!A284&amp;"-"&amp;'Trial Balance'!B284</f>
        <v>5014-Transformer Station Equipment - Operation Labour</v>
      </c>
      <c r="B92" s="304">
        <f>'Trial Balance'!N284</f>
        <v>0</v>
      </c>
    </row>
    <row r="93" spans="1:2" ht="15" customHeight="1">
      <c r="A93" s="25" t="str">
        <f>'Trial Balance'!A285&amp;"-"&amp;'Trial Balance'!B285</f>
        <v>5015-Transformer Station Equipment - Operation Supplies and Expenses</v>
      </c>
      <c r="B93" s="304">
        <f>'Trial Balance'!N285</f>
        <v>0</v>
      </c>
    </row>
    <row r="94" spans="1:2" ht="15" customHeight="1">
      <c r="A94" s="25" t="str">
        <f>'Trial Balance'!A286&amp;"-"&amp;'Trial Balance'!B286</f>
        <v>5016-Distribution Station Equipment - Operation Labour</v>
      </c>
      <c r="B94" s="304">
        <f>'Trial Balance'!N286</f>
        <v>33291.6152267471</v>
      </c>
    </row>
    <row r="95" spans="1:2" ht="15" customHeight="1">
      <c r="A95" s="25" t="str">
        <f>'Trial Balance'!A287&amp;"-"&amp;'Trial Balance'!B287</f>
        <v>5017-Distribution Station Equipment - Operation Supplies and Expenses</v>
      </c>
      <c r="B95" s="304">
        <f>'Trial Balance'!N287</f>
        <v>14500</v>
      </c>
    </row>
    <row r="96" spans="1:2" ht="15" customHeight="1">
      <c r="A96" s="25" t="str">
        <f>'Trial Balance'!A288&amp;"-"&amp;'Trial Balance'!B288</f>
        <v>5020-Overhead Distribution Lines and Feeders - Operation Labour</v>
      </c>
      <c r="B96" s="304">
        <f>'Trial Balance'!N288</f>
        <v>43274.617891606176</v>
      </c>
    </row>
    <row r="97" spans="1:2" ht="15" customHeight="1">
      <c r="A97" s="25" t="str">
        <f>'Trial Balance'!A289&amp;"-"&amp;'Trial Balance'!B289</f>
        <v>5025-Overhead Distribution Lines and Feeders - Operation Supplies and Expenses</v>
      </c>
      <c r="B97" s="304">
        <f>'Trial Balance'!N289</f>
        <v>5500</v>
      </c>
    </row>
    <row r="98" spans="1:2" ht="15" customHeight="1">
      <c r="A98" s="25" t="str">
        <f>'Trial Balance'!A290&amp;"-"&amp;'Trial Balance'!B290</f>
        <v>5030-Overhead Subtransmission Feeders - Operation</v>
      </c>
      <c r="B98" s="304">
        <f>'Trial Balance'!N290</f>
        <v>0</v>
      </c>
    </row>
    <row r="99" spans="1:2" ht="15" customHeight="1">
      <c r="A99" s="25" t="str">
        <f>'Trial Balance'!A291&amp;"-"&amp;'Trial Balance'!B291</f>
        <v>5035-Overhead Distribution Transformers - Operation</v>
      </c>
      <c r="B99" s="304">
        <f>'Trial Balance'!N291</f>
        <v>3233.6611693323057</v>
      </c>
    </row>
    <row r="100" spans="1:2" ht="15" customHeight="1">
      <c r="A100" s="25" t="str">
        <f>'Trial Balance'!A292&amp;"-"&amp;'Trial Balance'!B292</f>
        <v>5040-Underground Distribution Lines and Feeders - Operation Labour</v>
      </c>
      <c r="B100" s="304">
        <f>'Trial Balance'!N292</f>
        <v>34166.928130378</v>
      </c>
    </row>
    <row r="101" spans="1:2" ht="15" customHeight="1">
      <c r="A101" s="25" t="str">
        <f>'Trial Balance'!A293&amp;"-"&amp;'Trial Balance'!B293</f>
        <v>5045-Underground Distribution Lines and Feeders - Operation Supplies and Expenses</v>
      </c>
      <c r="B101" s="304">
        <f>'Trial Balance'!N293</f>
        <v>23500</v>
      </c>
    </row>
    <row r="102" spans="1:2" ht="15" customHeight="1">
      <c r="A102" s="25" t="str">
        <f>'Trial Balance'!A294&amp;"-"&amp;'Trial Balance'!B294</f>
        <v>5050-Underground Subtransmission Feeders - Operation</v>
      </c>
      <c r="B102" s="304">
        <f>'Trial Balance'!N294</f>
        <v>0</v>
      </c>
    </row>
    <row r="103" spans="1:2" ht="15" customHeight="1">
      <c r="A103" s="25" t="str">
        <f>'Trial Balance'!A295&amp;"-"&amp;'Trial Balance'!B295</f>
        <v>5055-Underground Distribution Transformers - Operation</v>
      </c>
      <c r="B103" s="304">
        <f>'Trial Balance'!N295</f>
        <v>0</v>
      </c>
    </row>
    <row r="104" spans="1:2" ht="15" customHeight="1">
      <c r="A104" s="25" t="str">
        <f>'Trial Balance'!A296&amp;"-"&amp;'Trial Balance'!B296</f>
        <v>5060-Street Lighting and Signal System Expense</v>
      </c>
      <c r="B104" s="304">
        <f>'Trial Balance'!N296</f>
        <v>0</v>
      </c>
    </row>
    <row r="105" spans="1:2" ht="15" customHeight="1">
      <c r="A105" s="25" t="str">
        <f>'Trial Balance'!A297&amp;"-"&amp;'Trial Balance'!B297</f>
        <v>5065-Meter Expense</v>
      </c>
      <c r="B105" s="304">
        <f>'Trial Balance'!N297</f>
        <v>146159.92060553082</v>
      </c>
    </row>
    <row r="106" spans="1:2" ht="15" customHeight="1">
      <c r="A106" s="25" t="str">
        <f>'Trial Balance'!A298&amp;"-"&amp;'Trial Balance'!B298</f>
        <v>5070-Customer Premises - Operation Labour</v>
      </c>
      <c r="B106" s="304">
        <f>'Trial Balance'!N298</f>
        <v>63884.72216441888</v>
      </c>
    </row>
    <row r="107" spans="1:2" ht="15" customHeight="1">
      <c r="A107" s="25" t="str">
        <f>'Trial Balance'!A299&amp;"-"&amp;'Trial Balance'!B299</f>
        <v>5075-Customer Premises - Materials and Expenses</v>
      </c>
      <c r="B107" s="304">
        <f>'Trial Balance'!N299</f>
        <v>8000</v>
      </c>
    </row>
    <row r="108" spans="1:2" ht="15" customHeight="1">
      <c r="A108" s="25" t="str">
        <f>'Trial Balance'!A300&amp;"-"&amp;'Trial Balance'!B300</f>
        <v>5085-Miscellaneous Distribution Expense</v>
      </c>
      <c r="B108" s="304">
        <f>'Trial Balance'!N300</f>
        <v>194651.48564143703</v>
      </c>
    </row>
    <row r="109" spans="1:2" ht="15" customHeight="1">
      <c r="A109" s="25" t="str">
        <f>'Trial Balance'!A301&amp;"-"&amp;'Trial Balance'!B301</f>
        <v>5090-Underground Distribution Lines and Feeders - Rental Paid</v>
      </c>
      <c r="B109" s="304">
        <f>'Trial Balance'!N301</f>
        <v>0</v>
      </c>
    </row>
    <row r="110" spans="1:2" ht="15" customHeight="1">
      <c r="A110" s="25" t="str">
        <f>'Trial Balance'!A302&amp;"-"&amp;'Trial Balance'!B302</f>
        <v>5095-Overhead Distribution Lines and Feeders - Rental Paid</v>
      </c>
      <c r="B110" s="304">
        <f>'Trial Balance'!N302</f>
        <v>3625</v>
      </c>
    </row>
    <row r="111" spans="1:2" ht="15" customHeight="1" thickBot="1">
      <c r="A111" s="25" t="str">
        <f>'Trial Balance'!A303&amp;"-"&amp;'Trial Balance'!B303</f>
        <v>5096-Other Rent</v>
      </c>
      <c r="B111" s="304">
        <f>'Trial Balance'!N303</f>
        <v>0</v>
      </c>
    </row>
    <row r="112" spans="1:2" ht="15" customHeight="1" thickBot="1">
      <c r="A112" s="30" t="s">
        <v>543</v>
      </c>
      <c r="B112" s="313">
        <f>SUM(B89:B111)</f>
        <v>785559.6135156614</v>
      </c>
    </row>
    <row r="113" spans="1:2" s="18" customFormat="1" ht="15" customHeight="1">
      <c r="A113" s="643"/>
      <c r="B113" s="644"/>
    </row>
    <row r="114" spans="1:2" s="18" customFormat="1" ht="15" customHeight="1">
      <c r="A114" s="639" t="s">
        <v>544</v>
      </c>
      <c r="B114" s="639"/>
    </row>
    <row r="115" spans="1:2" ht="15" customHeight="1">
      <c r="A115" s="25" t="str">
        <f>'Trial Balance'!A305&amp;"-"&amp;'Trial Balance'!B305</f>
        <v>5105-Maintenance Supervision and Engineering</v>
      </c>
      <c r="B115" s="304">
        <f>'Trial Balance'!N305</f>
        <v>84438.12555390396</v>
      </c>
    </row>
    <row r="116" spans="1:2" ht="15" customHeight="1">
      <c r="A116" s="25" t="str">
        <f>'Trial Balance'!A306&amp;"-"&amp;'Trial Balance'!B306</f>
        <v>5110-Maintenance of Structures</v>
      </c>
      <c r="B116" s="304">
        <f>'Trial Balance'!N306</f>
        <v>20060.701058306397</v>
      </c>
    </row>
    <row r="117" spans="1:2" ht="15" customHeight="1">
      <c r="A117" s="25" t="str">
        <f>'Trial Balance'!A307&amp;"-"&amp;'Trial Balance'!B307</f>
        <v>5112-Maintenance of Transformer Station Equipment</v>
      </c>
      <c r="B117" s="304">
        <f>'Trial Balance'!N307</f>
        <v>0</v>
      </c>
    </row>
    <row r="118" spans="1:2" ht="15" customHeight="1">
      <c r="A118" s="25" t="str">
        <f>'Trial Balance'!A308&amp;"-"&amp;'Trial Balance'!B308</f>
        <v>5114-Mtaint Dist Stn Equip</v>
      </c>
      <c r="B118" s="304">
        <f>'Trial Balance'!N308</f>
        <v>5000</v>
      </c>
    </row>
    <row r="119" spans="1:2" ht="15" customHeight="1">
      <c r="A119" s="25" t="str">
        <f>'Trial Balance'!A309&amp;"-"&amp;'Trial Balance'!B309</f>
        <v>5120-Maintenance of Poles, Towers and Fixtures</v>
      </c>
      <c r="B119" s="304">
        <f>'Trial Balance'!N309</f>
        <v>91986.55572531073</v>
      </c>
    </row>
    <row r="120" spans="1:2" ht="15" customHeight="1">
      <c r="A120" s="25" t="str">
        <f>'Trial Balance'!A310&amp;"-"&amp;'Trial Balance'!B310</f>
        <v>5125-Maintenance of Overhead Conductors and Devices</v>
      </c>
      <c r="B120" s="304">
        <f>'Trial Balance'!N310</f>
        <v>116877.15741863378</v>
      </c>
    </row>
    <row r="121" spans="1:2" ht="15" customHeight="1">
      <c r="A121" s="25" t="str">
        <f>'Trial Balance'!A311&amp;"-"&amp;'Trial Balance'!B311</f>
        <v>5130-Maintenance of Overhead Services</v>
      </c>
      <c r="B121" s="304">
        <f>'Trial Balance'!N311</f>
        <v>73273.2233866461</v>
      </c>
    </row>
    <row r="122" spans="1:2" ht="15" customHeight="1">
      <c r="A122" s="25" t="str">
        <f>'Trial Balance'!A312&amp;"-"&amp;'Trial Balance'!B312</f>
        <v>5135-Overhead Distribution Lines and Feeders - Right of Way</v>
      </c>
      <c r="B122" s="304">
        <f>'Trial Balance'!N312</f>
        <v>111934.64467732923</v>
      </c>
    </row>
    <row r="123" spans="1:2" ht="15" customHeight="1">
      <c r="A123" s="25" t="str">
        <f>'Trial Balance'!A313&amp;"-"&amp;'Trial Balance'!B313</f>
        <v>5145-Maintenance of Underground Conduit</v>
      </c>
      <c r="B123" s="304">
        <f>'Trial Balance'!N313</f>
        <v>12534.644677329223</v>
      </c>
    </row>
    <row r="124" spans="1:2" ht="15" customHeight="1">
      <c r="A124" s="25" t="str">
        <f>'Trial Balance'!A314&amp;"-"&amp;'Trial Balance'!B314</f>
        <v>5150-Maintenance of Underground Conductors and Devices</v>
      </c>
      <c r="B124" s="304">
        <f>'Trial Balance'!N314</f>
        <v>51073.32599744421</v>
      </c>
    </row>
    <row r="125" spans="1:2" ht="15" customHeight="1">
      <c r="A125" s="25" t="str">
        <f>'Trial Balance'!A315&amp;"-"&amp;'Trial Balance'!B315</f>
        <v>5155-Maintenance of Underground Services</v>
      </c>
      <c r="B125" s="304">
        <f>'Trial Balance'!N315</f>
        <v>64647.88788970176</v>
      </c>
    </row>
    <row r="126" spans="1:2" ht="15" customHeight="1">
      <c r="A126" s="25" t="str">
        <f>'Trial Balance'!A316&amp;"-"&amp;'Trial Balance'!B316</f>
        <v>5160-Maintenance of Line Transformers</v>
      </c>
      <c r="B126" s="304">
        <f>'Trial Balance'!N316</f>
        <v>98944.99629345487</v>
      </c>
    </row>
    <row r="127" spans="1:2" ht="15" customHeight="1">
      <c r="A127" s="25" t="str">
        <f>'Trial Balance'!A317&amp;"-"&amp;'Trial Balance'!B317</f>
        <v>5165-Maintenance of Street Lighting and Signal Systems</v>
      </c>
      <c r="B127" s="304">
        <f>'Trial Balance'!N317</f>
        <v>0</v>
      </c>
    </row>
    <row r="128" spans="1:2" ht="15" customHeight="1">
      <c r="A128" s="25" t="str">
        <f>'Trial Balance'!A318&amp;"-"&amp;'Trial Balance'!B318</f>
        <v>5170-Sentinel Lights - Labour</v>
      </c>
      <c r="B128" s="304">
        <f>'Trial Balance'!N318</f>
        <v>0</v>
      </c>
    </row>
    <row r="129" spans="1:2" ht="15" customHeight="1">
      <c r="A129" s="25" t="str">
        <f>'Trial Balance'!A319&amp;"-"&amp;'Trial Balance'!B319</f>
        <v>5172-Sentinel Lights - Materials and Expenses</v>
      </c>
      <c r="B129" s="304">
        <f>'Trial Balance'!N319</f>
        <v>0</v>
      </c>
    </row>
    <row r="130" spans="1:2" ht="15" customHeight="1">
      <c r="A130" s="25" t="str">
        <f>'Trial Balance'!A320&amp;"-"&amp;'Trial Balance'!B320</f>
        <v>5175-Maintenance of Meters</v>
      </c>
      <c r="B130" s="304">
        <f>'Trial Balance'!N320</f>
        <v>0</v>
      </c>
    </row>
    <row r="131" spans="1:2" ht="15" customHeight="1">
      <c r="A131" s="25" t="str">
        <f>'Trial Balance'!A321&amp;"-"&amp;'Trial Balance'!B321</f>
        <v>5178-Customer Installations Expenses - Leased Property</v>
      </c>
      <c r="B131" s="304">
        <f>'Trial Balance'!N321</f>
        <v>0</v>
      </c>
    </row>
    <row r="132" spans="1:2" ht="15" customHeight="1" thickBot="1">
      <c r="A132" s="25" t="str">
        <f>'Trial Balance'!A322&amp;"-"&amp;'Trial Balance'!B322</f>
        <v>5195-Maintenance of Other Installations on Customer Premises</v>
      </c>
      <c r="B132" s="304">
        <f>'Trial Balance'!N322</f>
        <v>0</v>
      </c>
    </row>
    <row r="133" spans="1:2" ht="15" customHeight="1" thickBot="1">
      <c r="A133" s="30" t="s">
        <v>89</v>
      </c>
      <c r="B133" s="313">
        <f>SUM(B115:B132)</f>
        <v>730771.2626780603</v>
      </c>
    </row>
    <row r="134" spans="1:2" s="18" customFormat="1" ht="15" customHeight="1">
      <c r="A134" s="643"/>
      <c r="B134" s="644"/>
    </row>
    <row r="135" spans="1:2" s="18" customFormat="1" ht="15" customHeight="1">
      <c r="A135" s="641" t="s">
        <v>90</v>
      </c>
      <c r="B135" s="642"/>
    </row>
    <row r="136" spans="1:2" ht="15" customHeight="1">
      <c r="A136" s="25" t="str">
        <f>'Trial Balance'!A328&amp;"-"&amp;'Trial Balance'!B328</f>
        <v>5305-Supervision</v>
      </c>
      <c r="B136" s="304">
        <f>'Trial Balance'!N328</f>
        <v>54748.17332041999</v>
      </c>
    </row>
    <row r="137" spans="1:2" ht="15" customHeight="1">
      <c r="A137" s="25" t="str">
        <f>'Trial Balance'!A329&amp;"-"&amp;'Trial Balance'!B329</f>
        <v>5310-Meter Reading Expense</v>
      </c>
      <c r="B137" s="304">
        <f>'Trial Balance'!N329</f>
        <v>151927.40218421814</v>
      </c>
    </row>
    <row r="138" spans="1:2" ht="15" customHeight="1">
      <c r="A138" s="25" t="str">
        <f>'Trial Balance'!A330&amp;"-"&amp;'Trial Balance'!B330</f>
        <v>5315-Customer Billing</v>
      </c>
      <c r="B138" s="304">
        <f>'Trial Balance'!N330</f>
        <v>301335.06828036107</v>
      </c>
    </row>
    <row r="139" spans="1:2" ht="15" customHeight="1">
      <c r="A139" s="25" t="str">
        <f>'Trial Balance'!A331&amp;"-"&amp;'Trial Balance'!B331</f>
        <v>5320-Collecting</v>
      </c>
      <c r="B139" s="304">
        <f>'Trial Balance'!N331</f>
        <v>116361.89215972491</v>
      </c>
    </row>
    <row r="140" spans="1:2" ht="15" customHeight="1">
      <c r="A140" s="25" t="str">
        <f>'Trial Balance'!A332&amp;"-"&amp;'Trial Balance'!B332</f>
        <v>5325-Collecting - Cash Over and Short</v>
      </c>
      <c r="B140" s="304">
        <f>'Trial Balance'!N332</f>
        <v>100</v>
      </c>
    </row>
    <row r="141" spans="1:2" ht="15" customHeight="1">
      <c r="A141" s="25" t="str">
        <f>'Trial Balance'!A333&amp;"-"&amp;'Trial Balance'!B333</f>
        <v>5330-Collection Charges</v>
      </c>
      <c r="B141" s="304">
        <f>'Trial Balance'!N333</f>
        <v>-5000</v>
      </c>
    </row>
    <row r="142" spans="1:2" ht="15" customHeight="1">
      <c r="A142" s="25" t="str">
        <f>'Trial Balance'!A334&amp;"-"&amp;'Trial Balance'!B334</f>
        <v>5335-Bad Debt Expense</v>
      </c>
      <c r="B142" s="304">
        <f>'Trial Balance'!N334</f>
        <v>53460.000000000015</v>
      </c>
    </row>
    <row r="143" spans="1:2" ht="15" customHeight="1" thickBot="1">
      <c r="A143" s="25" t="str">
        <f>'Trial Balance'!A335&amp;"-"&amp;'Trial Balance'!B335</f>
        <v>5340-Miscellaneous Customer Accounts Expenses</v>
      </c>
      <c r="B143" s="304">
        <f>'Trial Balance'!N335</f>
        <v>2200</v>
      </c>
    </row>
    <row r="144" spans="1:2" ht="15" customHeight="1" thickBot="1">
      <c r="A144" s="30" t="s">
        <v>99</v>
      </c>
      <c r="B144" s="313">
        <f>SUM(B136:B143)</f>
        <v>675132.5359447241</v>
      </c>
    </row>
    <row r="145" spans="1:2" s="18" customFormat="1" ht="15" customHeight="1">
      <c r="A145" s="643"/>
      <c r="B145" s="644"/>
    </row>
    <row r="146" spans="1:2" s="18" customFormat="1" ht="15" customHeight="1">
      <c r="A146" s="641" t="s">
        <v>100</v>
      </c>
      <c r="B146" s="642"/>
    </row>
    <row r="147" spans="1:2" ht="15" customHeight="1">
      <c r="A147" s="25" t="str">
        <f>'Trial Balance'!A337&amp;"-"&amp;'Trial Balance'!B337</f>
        <v>5405-Supervision</v>
      </c>
      <c r="B147" s="304">
        <f>'Trial Balance'!N337</f>
        <v>3824.933307091437</v>
      </c>
    </row>
    <row r="148" spans="1:2" ht="15" customHeight="1">
      <c r="A148" s="25" t="str">
        <f>'Trial Balance'!A338&amp;"-"&amp;'Trial Balance'!B338</f>
        <v>5410-Community Relations - Sundry</v>
      </c>
      <c r="B148" s="304">
        <f>'Trial Balance'!N338</f>
        <v>21234.644677329223</v>
      </c>
    </row>
    <row r="149" spans="1:2" ht="15" customHeight="1">
      <c r="A149" s="25" t="str">
        <f>'Trial Balance'!A339&amp;"-"&amp;'Trial Balance'!B339</f>
        <v>5415-Energy Conservation</v>
      </c>
      <c r="B149" s="304">
        <f>'Trial Balance'!N339</f>
        <v>8169.731536091413</v>
      </c>
    </row>
    <row r="150" spans="1:2" ht="15" customHeight="1">
      <c r="A150" s="25" t="str">
        <f>'Trial Balance'!A340&amp;"-"&amp;'Trial Balance'!B340</f>
        <v>5420-Community Safety Program</v>
      </c>
      <c r="B150" s="304">
        <f>'Trial Balance'!N340</f>
        <v>9152.661516585249</v>
      </c>
    </row>
    <row r="151" spans="1:2" ht="15" customHeight="1" thickBot="1">
      <c r="A151" s="25" t="str">
        <f>'Trial Balance'!A341&amp;"-"&amp;'Trial Balance'!B341</f>
        <v>5425-Miscellaneous Customer Service and Informational Expenses</v>
      </c>
      <c r="B151" s="304">
        <f>'Trial Balance'!N341</f>
        <v>0</v>
      </c>
    </row>
    <row r="152" spans="1:2" ht="15" customHeight="1" thickBot="1">
      <c r="A152" s="30" t="s">
        <v>101</v>
      </c>
      <c r="B152" s="313">
        <f>SUM(B147:B151)</f>
        <v>42381.97103709732</v>
      </c>
    </row>
    <row r="153" spans="1:2" s="18" customFormat="1" ht="15" customHeight="1">
      <c r="A153" s="643"/>
      <c r="B153" s="644"/>
    </row>
    <row r="154" spans="1:2" s="18" customFormat="1" ht="15" customHeight="1">
      <c r="A154" s="641" t="s">
        <v>102</v>
      </c>
      <c r="B154" s="642"/>
    </row>
    <row r="155" spans="1:2" ht="15" customHeight="1">
      <c r="A155" s="25" t="str">
        <f>'Trial Balance'!A348&amp;"-"&amp;'Trial Balance'!B348</f>
        <v>5605-Executive Salaries and Expenses</v>
      </c>
      <c r="B155" s="304">
        <f>'Trial Balance'!N348</f>
        <v>195903.27087123593</v>
      </c>
    </row>
    <row r="156" spans="1:2" ht="15" customHeight="1">
      <c r="A156" s="25" t="str">
        <f>'Trial Balance'!A349&amp;"-"&amp;'Trial Balance'!B349</f>
        <v>5610-Management Salaries and Expenses</v>
      </c>
      <c r="B156" s="304">
        <f>'Trial Balance'!N349</f>
        <v>282821.6783729414</v>
      </c>
    </row>
    <row r="157" spans="1:2" ht="15" customHeight="1">
      <c r="A157" s="25" t="str">
        <f>'Trial Balance'!A350&amp;"-"&amp;'Trial Balance'!B350</f>
        <v>5615-General Administrative Salaries and Expenses</v>
      </c>
      <c r="B157" s="304">
        <f>'Trial Balance'!N350</f>
        <v>524085.2382980399</v>
      </c>
    </row>
    <row r="158" spans="1:2" ht="15" customHeight="1">
      <c r="A158" s="25" t="str">
        <f>'Trial Balance'!A351&amp;"-"&amp;'Trial Balance'!B351</f>
        <v>5620-Office Supplies and Expenses</v>
      </c>
      <c r="B158" s="304">
        <f>'Trial Balance'!N351</f>
        <v>81253.70370370371</v>
      </c>
    </row>
    <row r="159" spans="1:2" ht="15" customHeight="1">
      <c r="A159" s="25" t="str">
        <f>'Trial Balance'!A352&amp;"-"&amp;'Trial Balance'!B352</f>
        <v>5625-Administrative Expense Transferred-Credit</v>
      </c>
      <c r="B159" s="304">
        <f>'Trial Balance'!N352</f>
        <v>-54627.728533507696</v>
      </c>
    </row>
    <row r="160" spans="1:2" ht="15" customHeight="1">
      <c r="A160" s="25" t="str">
        <f>'Trial Balance'!A353&amp;"-"&amp;'Trial Balance'!B353</f>
        <v>5630-Outside Services Employed</v>
      </c>
      <c r="B160" s="304">
        <f>'Trial Balance'!N353</f>
        <v>126500</v>
      </c>
    </row>
    <row r="161" spans="1:2" ht="15" customHeight="1">
      <c r="A161" s="25" t="str">
        <f>'Trial Balance'!A354&amp;"-"&amp;'Trial Balance'!B354</f>
        <v>5635-Property Insurance</v>
      </c>
      <c r="B161" s="304">
        <f>'Trial Balance'!N354</f>
        <v>32000</v>
      </c>
    </row>
    <row r="162" spans="1:2" ht="15" customHeight="1">
      <c r="A162" s="25" t="str">
        <f>'Trial Balance'!A355&amp;"-"&amp;'Trial Balance'!B355</f>
        <v>5640-Injuries and Damages</v>
      </c>
      <c r="B162" s="304">
        <f>'Trial Balance'!N355</f>
        <v>72554.59132300237</v>
      </c>
    </row>
    <row r="163" spans="1:2" ht="15" customHeight="1">
      <c r="A163" s="25" t="str">
        <f>'Trial Balance'!A356&amp;"-"&amp;'Trial Balance'!B356</f>
        <v>5645-Employee Pensions and Benefits</v>
      </c>
      <c r="B163" s="304">
        <f>'Trial Balance'!N356</f>
        <v>18150</v>
      </c>
    </row>
    <row r="164" spans="1:2" ht="15" customHeight="1">
      <c r="A164" s="25" t="str">
        <f>'Trial Balance'!A357&amp;"-"&amp;'Trial Balance'!B357</f>
        <v>5650-Franchise Requirements</v>
      </c>
      <c r="B164" s="304">
        <f>'Trial Balance'!N357</f>
        <v>0</v>
      </c>
    </row>
    <row r="165" spans="1:3" ht="15" customHeight="1">
      <c r="A165" s="25" t="str">
        <f>'Trial Balance'!A358&amp;"-"&amp;'Trial Balance'!B358</f>
        <v>5655-Regulatory Expenses</v>
      </c>
      <c r="B165" s="304">
        <f>'Trial Balance'!N358</f>
        <v>100000</v>
      </c>
      <c r="C165" s="375"/>
    </row>
    <row r="166" spans="1:2" ht="15" customHeight="1">
      <c r="A166" s="25" t="str">
        <f>'Trial Balance'!A359&amp;"-"&amp;'Trial Balance'!B359</f>
        <v>5660-General Advertising Expenses</v>
      </c>
      <c r="B166" s="304">
        <f>'Trial Balance'!N359</f>
        <v>5500</v>
      </c>
    </row>
    <row r="167" spans="1:2" ht="15" customHeight="1">
      <c r="A167" s="25" t="str">
        <f>'Trial Balance'!A360&amp;"-"&amp;'Trial Balance'!B360</f>
        <v>5665-Miscellaneous Expenses</v>
      </c>
      <c r="B167" s="304">
        <f>'Trial Balance'!N360</f>
        <v>139554</v>
      </c>
    </row>
    <row r="168" spans="1:2" ht="15" customHeight="1">
      <c r="A168" s="25" t="str">
        <f>'Trial Balance'!A361&amp;"-"&amp;'Trial Balance'!B361</f>
        <v>5670-Rent  </v>
      </c>
      <c r="B168" s="304">
        <f>'Trial Balance'!N361</f>
        <v>0</v>
      </c>
    </row>
    <row r="169" spans="1:2" ht="15" customHeight="1">
      <c r="A169" s="25" t="str">
        <f>'Trial Balance'!A362&amp;"-"&amp;'Trial Balance'!B362</f>
        <v>5675-Maintenance of General Plant</v>
      </c>
      <c r="B169" s="304">
        <f>'Trial Balance'!N362</f>
        <v>277220.74589587963</v>
      </c>
    </row>
    <row r="170" spans="1:2" ht="15" customHeight="1">
      <c r="A170" s="25" t="str">
        <f>'Trial Balance'!A363&amp;"-"&amp;'Trial Balance'!B363</f>
        <v>5680-Electrical Safety Authority Fees</v>
      </c>
      <c r="B170" s="304">
        <f>'Trial Balance'!N363</f>
        <v>7500</v>
      </c>
    </row>
    <row r="171" spans="1:2" ht="15" customHeight="1">
      <c r="A171" s="25" t="str">
        <f>'Trial Balance'!A364&amp;"-"&amp;'Trial Balance'!B364</f>
        <v>5681- Special Purpose Charge Expense</v>
      </c>
      <c r="B171" s="304">
        <f>'Trial Balance'!N364</f>
        <v>0</v>
      </c>
    </row>
    <row r="172" spans="1:2" ht="15" customHeight="1">
      <c r="A172" s="25" t="str">
        <f>'Trial Balance'!A365&amp;"-"&amp;'Trial Balance'!B365</f>
        <v>5685-Independent Market Operator Fees and Penalties</v>
      </c>
      <c r="B172" s="304">
        <f>'Trial Balance'!N365</f>
        <v>0</v>
      </c>
    </row>
    <row r="173" spans="1:2" ht="15" customHeight="1" thickBot="1">
      <c r="A173" s="25" t="str">
        <f>'Trial Balance'!A366&amp;"-"&amp;'Trial Balance'!B366</f>
        <v>5695-OM&amp;A Contra Account</v>
      </c>
      <c r="B173" s="304">
        <f>'Trial Balance'!N366</f>
        <v>0</v>
      </c>
    </row>
    <row r="174" spans="1:2" ht="15" customHeight="1" thickBot="1">
      <c r="A174" s="30" t="s">
        <v>76</v>
      </c>
      <c r="B174" s="313">
        <f>SUM(B155:B173)</f>
        <v>1808415.4999312954</v>
      </c>
    </row>
    <row r="175" spans="1:2" s="18" customFormat="1" ht="15" customHeight="1">
      <c r="A175" s="643"/>
      <c r="B175" s="644"/>
    </row>
    <row r="176" spans="1:2" s="18" customFormat="1" ht="15" customHeight="1">
      <c r="A176" s="641" t="s">
        <v>77</v>
      </c>
      <c r="B176" s="642"/>
    </row>
    <row r="177" spans="1:3" s="18" customFormat="1" ht="15" customHeight="1">
      <c r="A177" s="25" t="str">
        <f>'Trial Balance'!A368&amp;"-"&amp;'Trial Balance'!B368</f>
        <v>5705-Amortization Expense - Property, Plant and Equipment</v>
      </c>
      <c r="B177" s="304">
        <f>'Trial Balance'!N368</f>
        <v>2031381.5493114232</v>
      </c>
      <c r="C177" s="380"/>
    </row>
    <row r="178" spans="1:2" s="18" customFormat="1" ht="15" customHeight="1">
      <c r="A178" s="25" t="str">
        <f>'Trial Balance'!A369&amp;"-"&amp;'Trial Balance'!B369</f>
        <v>5710-Amortization of Limited Term Electric Plant</v>
      </c>
      <c r="B178" s="304">
        <f>'Trial Balance'!N369</f>
        <v>0</v>
      </c>
    </row>
    <row r="179" spans="1:2" s="18" customFormat="1" ht="15" customHeight="1">
      <c r="A179" s="25" t="str">
        <f>'Trial Balance'!A370&amp;"-"&amp;'Trial Balance'!B370</f>
        <v>5715-Amortization of Intangibles and Other Electric Plant</v>
      </c>
      <c r="B179" s="304">
        <f>'Trial Balance'!N370</f>
        <v>0</v>
      </c>
    </row>
    <row r="180" spans="1:2" s="18" customFormat="1" ht="15" customHeight="1">
      <c r="A180" s="25" t="str">
        <f>'Trial Balance'!A371&amp;"-"&amp;'Trial Balance'!B371</f>
        <v>5720-Amortization of Electric Plant Acquisition Adjustments</v>
      </c>
      <c r="B180" s="304">
        <f>'Trial Balance'!N371</f>
        <v>0</v>
      </c>
    </row>
    <row r="181" spans="1:2" s="18" customFormat="1" ht="15" customHeight="1">
      <c r="A181" s="25" t="str">
        <f>'Trial Balance'!A372&amp;"-"&amp;'Trial Balance'!B372</f>
        <v>5725-Miscellaneous Amortization</v>
      </c>
      <c r="B181" s="304">
        <f>'Trial Balance'!N372</f>
        <v>0</v>
      </c>
    </row>
    <row r="182" spans="1:2" s="18" customFormat="1" ht="15" customHeight="1">
      <c r="A182" s="25" t="str">
        <f>'Trial Balance'!A373&amp;"-"&amp;'Trial Balance'!B373</f>
        <v>5730-Amortization of Unrecovered Plant and Regulatory Study Costs</v>
      </c>
      <c r="B182" s="304">
        <f>'Trial Balance'!N373</f>
        <v>0</v>
      </c>
    </row>
    <row r="183" spans="1:2" s="18" customFormat="1" ht="15" customHeight="1">
      <c r="A183" s="25" t="str">
        <f>'Trial Balance'!A374&amp;"-"&amp;'Trial Balance'!B374</f>
        <v>5735-Amortization of Deferred Development Costs</v>
      </c>
      <c r="B183" s="304">
        <f>'Trial Balance'!N374</f>
        <v>0</v>
      </c>
    </row>
    <row r="184" spans="1:2" ht="15" customHeight="1" thickBot="1">
      <c r="A184" s="25" t="str">
        <f>'Trial Balance'!A375&amp;"-"&amp;'Trial Balance'!B375</f>
        <v>5740-Amortization of Deferred Charges</v>
      </c>
      <c r="B184" s="304">
        <f>'Trial Balance'!N375</f>
        <v>0</v>
      </c>
    </row>
    <row r="185" spans="1:2" ht="15" customHeight="1" thickBot="1">
      <c r="A185" s="30" t="s">
        <v>78</v>
      </c>
      <c r="B185" s="313">
        <f>SUM(B177:B184)</f>
        <v>2031381.5493114232</v>
      </c>
    </row>
    <row r="186" spans="1:2" s="18" customFormat="1" ht="15" customHeight="1">
      <c r="A186" s="643"/>
      <c r="B186" s="644"/>
    </row>
    <row r="187" spans="1:2" s="18" customFormat="1" ht="15" customHeight="1">
      <c r="A187" s="641" t="s">
        <v>79</v>
      </c>
      <c r="B187" s="642"/>
    </row>
    <row r="188" spans="1:3" ht="15" customHeight="1">
      <c r="A188" s="25" t="str">
        <f>'Trial Balance'!A377&amp;"-"&amp;'Trial Balance'!B377</f>
        <v>6005-Interest on Long Term Debt</v>
      </c>
      <c r="B188" s="304">
        <f>'Trial Balance'!N377</f>
        <v>934896.793539601</v>
      </c>
      <c r="C188" s="375"/>
    </row>
    <row r="189" spans="1:2" ht="15" customHeight="1">
      <c r="A189" s="25" t="str">
        <f>'Trial Balance'!A378&amp;"-"&amp;'Trial Balance'!B378</f>
        <v>6010-Amortization of Debt Discount and Expense</v>
      </c>
      <c r="B189" s="304">
        <f>'Trial Balance'!N378</f>
        <v>0</v>
      </c>
    </row>
    <row r="190" spans="1:2" ht="15" customHeight="1">
      <c r="A190" s="25" t="str">
        <f>'Trial Balance'!A379&amp;"-"&amp;'Trial Balance'!B379</f>
        <v>6015-Amortization of Premium on Debt-Credit</v>
      </c>
      <c r="B190" s="304">
        <f>'Trial Balance'!N379</f>
        <v>0</v>
      </c>
    </row>
    <row r="191" spans="1:2" ht="15" customHeight="1">
      <c r="A191" s="25" t="str">
        <f>'Trial Balance'!A380&amp;"-"&amp;'Trial Balance'!B380</f>
        <v>6020-Amortization of Loss on Reacquired Debt</v>
      </c>
      <c r="B191" s="304">
        <f>'Trial Balance'!N380</f>
        <v>0</v>
      </c>
    </row>
    <row r="192" spans="1:2" ht="15" customHeight="1">
      <c r="A192" s="25" t="str">
        <f>'Trial Balance'!A381&amp;"-"&amp;'Trial Balance'!B381</f>
        <v>6025-Amortization of Gain on Reacquired Debt-Credit</v>
      </c>
      <c r="B192" s="304">
        <f>'Trial Balance'!N381</f>
        <v>0</v>
      </c>
    </row>
    <row r="193" spans="1:2" ht="15" customHeight="1">
      <c r="A193" s="25" t="str">
        <f>'Trial Balance'!A382&amp;"-"&amp;'Trial Balance'!B382</f>
        <v>6030-Interest on Debt to Associated Companies</v>
      </c>
      <c r="B193" s="304">
        <f>'Trial Balance'!N382</f>
        <v>0</v>
      </c>
    </row>
    <row r="194" spans="1:2" ht="15" customHeight="1">
      <c r="A194" s="25" t="str">
        <f>'Trial Balance'!A383&amp;"-"&amp;'Trial Balance'!B383</f>
        <v>6035-Other Interest Expense</v>
      </c>
      <c r="B194" s="304">
        <f>'Trial Balance'!N383</f>
        <v>26114.42</v>
      </c>
    </row>
    <row r="195" spans="1:2" ht="15" customHeight="1">
      <c r="A195" s="25" t="str">
        <f>'Trial Balance'!A384&amp;"-"&amp;'Trial Balance'!B384</f>
        <v>6040-Allowance for Borrowed Funds Used During Construction-Credit</v>
      </c>
      <c r="B195" s="304">
        <f>'Trial Balance'!N384</f>
        <v>0</v>
      </c>
    </row>
    <row r="196" spans="1:2" ht="15" customHeight="1">
      <c r="A196" s="25" t="str">
        <f>'Trial Balance'!A385&amp;"-"&amp;'Trial Balance'!B385</f>
        <v>6042-Allowance for Other Funds Used During Construction</v>
      </c>
      <c r="B196" s="304">
        <f>'Trial Balance'!N385</f>
        <v>0</v>
      </c>
    </row>
    <row r="197" spans="1:2" ht="15" customHeight="1" thickBot="1">
      <c r="A197" s="25" t="str">
        <f>'Trial Balance'!A386&amp;"-"&amp;'Trial Balance'!B386</f>
        <v>6045-Interest Expense on Capital Lease Obligations</v>
      </c>
      <c r="B197" s="304">
        <f>'Trial Balance'!N386</f>
        <v>0</v>
      </c>
    </row>
    <row r="198" spans="1:2" ht="15" customHeight="1" thickBot="1">
      <c r="A198" s="30" t="s">
        <v>541</v>
      </c>
      <c r="B198" s="313">
        <f>SUM(B188:B197)</f>
        <v>961011.2135396011</v>
      </c>
    </row>
    <row r="199" spans="1:2" s="18" customFormat="1" ht="15" customHeight="1">
      <c r="A199" s="643"/>
      <c r="B199" s="644"/>
    </row>
    <row r="200" spans="1:2" s="18" customFormat="1" ht="15" customHeight="1">
      <c r="A200" s="641" t="s">
        <v>542</v>
      </c>
      <c r="B200" s="642"/>
    </row>
    <row r="201" spans="1:2" ht="15" customHeight="1" thickBot="1">
      <c r="A201" s="25" t="str">
        <f>'Trial Balance'!A388&amp;"-"&amp;'Trial Balance'!B388</f>
        <v>6105-Taxes Other Than Income Taxes</v>
      </c>
      <c r="B201" s="304">
        <f>'Trial Balance'!N388</f>
        <v>126946.24999999999</v>
      </c>
    </row>
    <row r="202" spans="1:2" ht="15" customHeight="1" thickBot="1">
      <c r="A202" s="30" t="s">
        <v>545</v>
      </c>
      <c r="B202" s="313">
        <f>SUM(B201)</f>
        <v>126946.24999999999</v>
      </c>
    </row>
    <row r="203" spans="1:2" s="18" customFormat="1" ht="15" customHeight="1">
      <c r="A203" s="643"/>
      <c r="B203" s="644"/>
    </row>
    <row r="204" spans="1:2" s="18" customFormat="1" ht="15" customHeight="1">
      <c r="A204" s="641" t="s">
        <v>546</v>
      </c>
      <c r="B204" s="642"/>
    </row>
    <row r="205" spans="1:2" ht="15" customHeight="1">
      <c r="A205" s="25" t="str">
        <f>'Trial Balance'!A389&amp;"-"&amp;'Trial Balance'!B389</f>
        <v>6110-Income Taxes</v>
      </c>
      <c r="B205" s="304">
        <f>'Trial Balance'!N389</f>
        <v>25048.576676875728</v>
      </c>
    </row>
    <row r="206" spans="1:2" ht="15" customHeight="1" thickBot="1">
      <c r="A206" s="25" t="str">
        <f>'Trial Balance'!A390&amp;"-"&amp;'Trial Balance'!B390</f>
        <v>6115-Provision for Future Income Taxes</v>
      </c>
      <c r="B206" s="304">
        <f>'Trial Balance'!N390</f>
        <v>0</v>
      </c>
    </row>
    <row r="207" spans="1:2" ht="15" customHeight="1" thickBot="1">
      <c r="A207" s="30" t="s">
        <v>547</v>
      </c>
      <c r="B207" s="313">
        <f>SUM(B205:B206)</f>
        <v>25048.576676875728</v>
      </c>
    </row>
    <row r="208" spans="1:2" s="18" customFormat="1" ht="15" customHeight="1">
      <c r="A208" s="643"/>
      <c r="B208" s="644"/>
    </row>
    <row r="209" spans="1:2" s="18" customFormat="1" ht="15" customHeight="1">
      <c r="A209" s="641" t="s">
        <v>528</v>
      </c>
      <c r="B209" s="642"/>
    </row>
    <row r="210" spans="1:2" ht="15" customHeight="1">
      <c r="A210" s="25" t="str">
        <f>'Trial Balance'!A392&amp;"-"&amp;'Trial Balance'!B392</f>
        <v>6205-Donations</v>
      </c>
      <c r="B210" s="304">
        <f>'Trial Balance'!N392</f>
        <v>500</v>
      </c>
    </row>
    <row r="211" spans="1:2" ht="15" customHeight="1">
      <c r="A211" s="25" t="str">
        <f>'Trial Balance'!A393&amp;"-"&amp;'Trial Balance'!B393</f>
        <v>6210-Life Insurance</v>
      </c>
      <c r="B211" s="304">
        <f>'Trial Balance'!N393</f>
        <v>0</v>
      </c>
    </row>
    <row r="212" spans="1:2" ht="15" customHeight="1">
      <c r="A212" s="25" t="str">
        <f>'Trial Balance'!A394&amp;"-"&amp;'Trial Balance'!B394</f>
        <v>6215-Penalties</v>
      </c>
      <c r="B212" s="304">
        <f>'Trial Balance'!N394</f>
        <v>0</v>
      </c>
    </row>
    <row r="213" spans="1:7" ht="15" customHeight="1" thickBot="1">
      <c r="A213" s="25" t="str">
        <f>'Trial Balance'!A395&amp;"-"&amp;'Trial Balance'!B395</f>
        <v>6225-Other Deductions</v>
      </c>
      <c r="B213" s="304">
        <f>'Trial Balance'!N395</f>
        <v>0</v>
      </c>
      <c r="D213" s="10"/>
      <c r="E213" s="10"/>
      <c r="F213" s="10"/>
      <c r="G213" s="10"/>
    </row>
    <row r="214" spans="1:2" ht="15" customHeight="1" thickBot="1">
      <c r="A214" s="30" t="s">
        <v>529</v>
      </c>
      <c r="B214" s="313">
        <f>SUM(B210:B213)</f>
        <v>500</v>
      </c>
    </row>
    <row r="215" spans="1:7" s="10" customFormat="1" ht="15" customHeight="1" thickBot="1">
      <c r="A215" s="643"/>
      <c r="B215" s="644"/>
      <c r="D215"/>
      <c r="E215"/>
      <c r="F215"/>
      <c r="G215"/>
    </row>
    <row r="216" spans="1:2" ht="18.75" customHeight="1" thickBot="1">
      <c r="A216" s="31" t="s">
        <v>801</v>
      </c>
      <c r="B216" s="314">
        <f>B24+B31+B43+B67+B72+B86+B112+B133+B144+B152+B174+B185+B198+B202+B207+B214</f>
        <v>63827.29861713074</v>
      </c>
    </row>
    <row r="217" spans="1:2" ht="15">
      <c r="A217" s="9"/>
      <c r="B217" s="315"/>
    </row>
    <row r="218" spans="1:2" ht="15">
      <c r="A218" s="9"/>
      <c r="B218" s="315"/>
    </row>
    <row r="219" spans="1:2" ht="15">
      <c r="A219" s="9"/>
      <c r="B219" s="315"/>
    </row>
    <row r="220" spans="1:2" ht="15">
      <c r="A220" s="9"/>
      <c r="B220" s="315"/>
    </row>
    <row r="221" spans="1:2" ht="15">
      <c r="A221" s="9"/>
      <c r="B221" s="315"/>
    </row>
    <row r="222" spans="1:2" ht="15">
      <c r="A222" s="9"/>
      <c r="B222" s="315"/>
    </row>
    <row r="223" spans="1:2" ht="15">
      <c r="A223" s="9"/>
      <c r="B223" s="315"/>
    </row>
    <row r="224" spans="1:2" ht="15">
      <c r="A224" s="9"/>
      <c r="B224" s="315"/>
    </row>
    <row r="225" spans="1:2" ht="15">
      <c r="A225" s="9"/>
      <c r="B225" s="315"/>
    </row>
    <row r="226" spans="1:2" ht="15">
      <c r="A226" s="9"/>
      <c r="B226" s="315"/>
    </row>
    <row r="227" spans="1:2" ht="15">
      <c r="A227" s="9"/>
      <c r="B227" s="315"/>
    </row>
    <row r="228" spans="1:2" ht="15">
      <c r="A228" s="9"/>
      <c r="B228" s="315"/>
    </row>
    <row r="229" spans="1:2" ht="15">
      <c r="A229" s="9"/>
      <c r="B229" s="315"/>
    </row>
    <row r="230" spans="1:2" ht="15">
      <c r="A230" s="9"/>
      <c r="B230" s="315"/>
    </row>
    <row r="231" spans="1:2" ht="15">
      <c r="A231" s="9"/>
      <c r="B231" s="315"/>
    </row>
    <row r="232" spans="1:2" ht="15">
      <c r="A232" s="9"/>
      <c r="B232" s="315"/>
    </row>
    <row r="233" spans="1:2" ht="15">
      <c r="A233" s="9"/>
      <c r="B233" s="315"/>
    </row>
    <row r="234" spans="1:2" ht="15">
      <c r="A234" s="9"/>
      <c r="B234" s="315"/>
    </row>
    <row r="235" spans="1:2" ht="15">
      <c r="A235" s="9"/>
      <c r="B235" s="315"/>
    </row>
    <row r="236" spans="1:2" ht="15">
      <c r="A236" s="9"/>
      <c r="B236" s="315"/>
    </row>
    <row r="237" spans="1:2" ht="15">
      <c r="A237" s="9"/>
      <c r="B237" s="315"/>
    </row>
    <row r="238" spans="1:2" ht="15">
      <c r="A238" s="9"/>
      <c r="B238" s="315"/>
    </row>
    <row r="239" spans="1:2" ht="15">
      <c r="A239" s="9"/>
      <c r="B239" s="315"/>
    </row>
    <row r="240" spans="1:2" ht="15">
      <c r="A240" s="9"/>
      <c r="B240" s="315"/>
    </row>
    <row r="241" spans="1:2" ht="15">
      <c r="A241" s="9"/>
      <c r="B241" s="315"/>
    </row>
    <row r="242" spans="1:2" ht="15">
      <c r="A242" s="9"/>
      <c r="B242" s="315"/>
    </row>
    <row r="243" spans="1:2" ht="15">
      <c r="A243" s="9"/>
      <c r="B243" s="315"/>
    </row>
    <row r="244" spans="1:2" ht="15">
      <c r="A244" s="9"/>
      <c r="B244" s="315"/>
    </row>
    <row r="245" spans="1:2" ht="15">
      <c r="A245" s="9"/>
      <c r="B245" s="315"/>
    </row>
    <row r="246" spans="1:2" ht="15">
      <c r="A246" s="9"/>
      <c r="B246" s="315"/>
    </row>
    <row r="247" spans="1:2" ht="15">
      <c r="A247" s="9"/>
      <c r="B247" s="315"/>
    </row>
    <row r="248" spans="1:2" ht="15">
      <c r="A248" s="9"/>
      <c r="B248" s="315"/>
    </row>
    <row r="249" spans="1:2" ht="15">
      <c r="A249" s="9"/>
      <c r="B249" s="315"/>
    </row>
    <row r="250" spans="1:2" ht="15">
      <c r="A250" s="9"/>
      <c r="B250" s="315"/>
    </row>
    <row r="251" spans="1:2" ht="15">
      <c r="A251" s="9"/>
      <c r="B251" s="315"/>
    </row>
    <row r="252" spans="1:2" ht="15">
      <c r="A252" s="9"/>
      <c r="B252" s="315"/>
    </row>
    <row r="253" spans="1:2" ht="15">
      <c r="A253" s="9"/>
      <c r="B253" s="315"/>
    </row>
    <row r="254" spans="1:2" ht="15">
      <c r="A254" s="9"/>
      <c r="B254" s="315"/>
    </row>
    <row r="255" spans="1:2" ht="15">
      <c r="A255" s="9"/>
      <c r="B255" s="315"/>
    </row>
    <row r="256" spans="1:2" ht="15">
      <c r="A256" s="9"/>
      <c r="B256" s="315"/>
    </row>
    <row r="257" spans="1:2" ht="15">
      <c r="A257" s="9"/>
      <c r="B257" s="315"/>
    </row>
    <row r="258" spans="1:2" ht="15">
      <c r="A258" s="9"/>
      <c r="B258" s="315"/>
    </row>
    <row r="259" spans="1:2" ht="15">
      <c r="A259" s="9"/>
      <c r="B259" s="315"/>
    </row>
    <row r="260" spans="1:2" ht="15">
      <c r="A260" s="9"/>
      <c r="B260" s="315"/>
    </row>
    <row r="261" spans="1:2" ht="15">
      <c r="A261" s="9"/>
      <c r="B261" s="315"/>
    </row>
    <row r="262" spans="1:2" ht="15">
      <c r="A262" s="9"/>
      <c r="B262" s="315"/>
    </row>
    <row r="263" spans="1:2" ht="15">
      <c r="A263" s="9"/>
      <c r="B263" s="315"/>
    </row>
    <row r="264" spans="1:2" ht="15">
      <c r="A264" s="9"/>
      <c r="B264" s="315"/>
    </row>
    <row r="265" spans="1:2" ht="15">
      <c r="A265" s="9"/>
      <c r="B265" s="315"/>
    </row>
    <row r="266" spans="1:2" ht="15">
      <c r="A266" s="9"/>
      <c r="B266" s="315"/>
    </row>
    <row r="267" spans="1:2" ht="15">
      <c r="A267" s="9"/>
      <c r="B267" s="315"/>
    </row>
    <row r="268" spans="1:2" ht="15">
      <c r="A268" s="9"/>
      <c r="B268" s="315"/>
    </row>
    <row r="269" spans="1:2" ht="15">
      <c r="A269" s="9"/>
      <c r="B269" s="315"/>
    </row>
    <row r="270" spans="1:2" ht="15">
      <c r="A270" s="9"/>
      <c r="B270" s="315"/>
    </row>
    <row r="271" spans="1:2" ht="15">
      <c r="A271" s="9"/>
      <c r="B271" s="315"/>
    </row>
    <row r="272" spans="1:2" ht="15">
      <c r="A272" s="9"/>
      <c r="B272" s="315"/>
    </row>
    <row r="273" spans="1:2" ht="15">
      <c r="A273" s="9"/>
      <c r="B273" s="315"/>
    </row>
    <row r="274" spans="1:2" ht="15">
      <c r="A274" s="9"/>
      <c r="B274" s="315"/>
    </row>
    <row r="275" spans="1:2" ht="15">
      <c r="A275" s="9"/>
      <c r="B275" s="315"/>
    </row>
    <row r="276" spans="1:2" ht="15">
      <c r="A276" s="9"/>
      <c r="B276" s="315"/>
    </row>
    <row r="277" spans="1:2" ht="15">
      <c r="A277" s="9"/>
      <c r="B277" s="315"/>
    </row>
    <row r="278" spans="1:2" ht="15">
      <c r="A278" s="9"/>
      <c r="B278" s="315"/>
    </row>
    <row r="279" spans="1:2" ht="15">
      <c r="A279" s="9"/>
      <c r="B279" s="315"/>
    </row>
    <row r="280" spans="1:2" ht="15">
      <c r="A280" s="9"/>
      <c r="B280" s="315"/>
    </row>
    <row r="281" spans="1:2" ht="15">
      <c r="A281" s="9"/>
      <c r="B281" s="315"/>
    </row>
    <row r="282" spans="1:2" ht="15">
      <c r="A282" s="9"/>
      <c r="B282" s="315"/>
    </row>
    <row r="283" spans="1:2" ht="15">
      <c r="A283" s="9"/>
      <c r="B283" s="315"/>
    </row>
    <row r="284" spans="1:2" ht="15">
      <c r="A284" s="9"/>
      <c r="B284" s="315"/>
    </row>
    <row r="285" spans="1:2" ht="15">
      <c r="A285" s="9"/>
      <c r="B285" s="315"/>
    </row>
    <row r="286" spans="1:2" ht="15">
      <c r="A286" s="9"/>
      <c r="B286" s="315"/>
    </row>
    <row r="287" spans="1:2" ht="15">
      <c r="A287" s="9"/>
      <c r="B287" s="315"/>
    </row>
    <row r="288" spans="1:2" ht="15">
      <c r="A288" s="9"/>
      <c r="B288" s="315"/>
    </row>
    <row r="289" spans="1:2" ht="15">
      <c r="A289" s="9"/>
      <c r="B289" s="315"/>
    </row>
    <row r="290" spans="1:2" ht="15">
      <c r="A290" s="9"/>
      <c r="B290" s="315"/>
    </row>
    <row r="291" spans="1:2" ht="15">
      <c r="A291" s="9"/>
      <c r="B291" s="315"/>
    </row>
    <row r="292" spans="1:2" ht="15">
      <c r="A292" s="9"/>
      <c r="B292" s="315"/>
    </row>
    <row r="293" spans="1:2" ht="15">
      <c r="A293" s="9"/>
      <c r="B293" s="315"/>
    </row>
    <row r="294" spans="1:2" ht="15">
      <c r="A294" s="9"/>
      <c r="B294" s="315"/>
    </row>
    <row r="295" spans="1:2" ht="15">
      <c r="A295" s="9"/>
      <c r="B295" s="315"/>
    </row>
    <row r="296" spans="1:2" ht="15">
      <c r="A296" s="9"/>
      <c r="B296" s="315"/>
    </row>
    <row r="297" spans="1:2" ht="15">
      <c r="A297" s="9"/>
      <c r="B297" s="315"/>
    </row>
    <row r="298" spans="1:2" ht="15">
      <c r="A298" s="9"/>
      <c r="B298" s="315"/>
    </row>
    <row r="299" spans="1:2" ht="15">
      <c r="A299" s="9"/>
      <c r="B299" s="315"/>
    </row>
    <row r="300" spans="1:2" ht="15">
      <c r="A300" s="9"/>
      <c r="B300" s="315"/>
    </row>
    <row r="301" spans="1:2" ht="15">
      <c r="A301" s="9"/>
      <c r="B301" s="315"/>
    </row>
    <row r="302" spans="1:2" ht="15">
      <c r="A302" s="9"/>
      <c r="B302" s="315"/>
    </row>
    <row r="303" spans="1:2" ht="15">
      <c r="A303" s="9"/>
      <c r="B303" s="315"/>
    </row>
    <row r="304" spans="1:2" ht="15">
      <c r="A304" s="9"/>
      <c r="B304" s="315"/>
    </row>
    <row r="305" spans="1:2" ht="15">
      <c r="A305" s="9"/>
      <c r="B305" s="315"/>
    </row>
    <row r="306" spans="1:2" ht="15">
      <c r="A306" s="9"/>
      <c r="B306" s="315"/>
    </row>
    <row r="307" spans="1:2" ht="15">
      <c r="A307" s="9"/>
      <c r="B307" s="315"/>
    </row>
    <row r="308" spans="1:2" ht="15">
      <c r="A308" s="9"/>
      <c r="B308" s="315"/>
    </row>
    <row r="309" spans="1:2" ht="15">
      <c r="A309" s="9"/>
      <c r="B309" s="315"/>
    </row>
    <row r="310" spans="1:2" ht="15">
      <c r="A310" s="9"/>
      <c r="B310" s="315"/>
    </row>
    <row r="311" spans="1:2" ht="15">
      <c r="A311" s="9"/>
      <c r="B311" s="315"/>
    </row>
    <row r="312" spans="1:2" ht="15">
      <c r="A312" s="9"/>
      <c r="B312" s="315"/>
    </row>
    <row r="313" spans="1:2" ht="15">
      <c r="A313" s="9"/>
      <c r="B313" s="315"/>
    </row>
    <row r="314" spans="1:2" ht="15">
      <c r="A314" s="9"/>
      <c r="B314" s="315"/>
    </row>
    <row r="315" spans="1:2" ht="15">
      <c r="A315" s="9"/>
      <c r="B315" s="315"/>
    </row>
    <row r="316" spans="1:2" ht="15">
      <c r="A316" s="9"/>
      <c r="B316" s="315"/>
    </row>
    <row r="317" spans="1:2" ht="15">
      <c r="A317" s="9"/>
      <c r="B317" s="315"/>
    </row>
    <row r="318" spans="1:2" ht="15">
      <c r="A318" s="9"/>
      <c r="B318" s="315"/>
    </row>
    <row r="319" spans="1:2" ht="15">
      <c r="A319" s="9"/>
      <c r="B319" s="315"/>
    </row>
    <row r="320" spans="1:2" ht="15">
      <c r="A320" s="9"/>
      <c r="B320" s="315"/>
    </row>
    <row r="321" spans="1:2" ht="15">
      <c r="A321" s="9"/>
      <c r="B321" s="315"/>
    </row>
    <row r="322" spans="1:2" ht="15">
      <c r="A322" s="9"/>
      <c r="B322" s="315"/>
    </row>
    <row r="323" spans="1:2" ht="15">
      <c r="A323" s="9"/>
      <c r="B323" s="315"/>
    </row>
    <row r="324" spans="1:2" ht="15">
      <c r="A324" s="9"/>
      <c r="B324" s="315"/>
    </row>
    <row r="325" spans="1:2" ht="15">
      <c r="A325" s="9"/>
      <c r="B325" s="315"/>
    </row>
    <row r="326" spans="1:2" ht="15">
      <c r="A326" s="9"/>
      <c r="B326" s="315"/>
    </row>
    <row r="327" spans="1:2" ht="15">
      <c r="A327" s="9"/>
      <c r="B327" s="315"/>
    </row>
    <row r="328" spans="1:2" ht="15">
      <c r="A328" s="9"/>
      <c r="B328" s="315"/>
    </row>
    <row r="329" spans="1:2" ht="15">
      <c r="A329" s="9"/>
      <c r="B329" s="315"/>
    </row>
    <row r="330" spans="1:2" ht="15">
      <c r="A330" s="9"/>
      <c r="B330" s="315"/>
    </row>
    <row r="331" spans="1:2" ht="15">
      <c r="A331" s="9"/>
      <c r="B331" s="315"/>
    </row>
    <row r="332" spans="1:2" ht="15">
      <c r="A332" s="9"/>
      <c r="B332" s="315"/>
    </row>
  </sheetData>
  <sheetProtection/>
  <mergeCells count="36">
    <mergeCell ref="A215:B215"/>
    <mergeCell ref="A203:B203"/>
    <mergeCell ref="A204:B204"/>
    <mergeCell ref="A208:B208"/>
    <mergeCell ref="A209:B209"/>
    <mergeCell ref="A186:B186"/>
    <mergeCell ref="A187:B187"/>
    <mergeCell ref="A199:B199"/>
    <mergeCell ref="A200:B200"/>
    <mergeCell ref="A175:B175"/>
    <mergeCell ref="A176:B176"/>
    <mergeCell ref="A69:B69"/>
    <mergeCell ref="A146:B146"/>
    <mergeCell ref="A135:B135"/>
    <mergeCell ref="A154:B154"/>
    <mergeCell ref="A153:B153"/>
    <mergeCell ref="A73:B73"/>
    <mergeCell ref="A134:B134"/>
    <mergeCell ref="A145:B145"/>
    <mergeCell ref="A74:B74"/>
    <mergeCell ref="A87:B87"/>
    <mergeCell ref="A88:B88"/>
    <mergeCell ref="A113:B113"/>
    <mergeCell ref="A114:B114"/>
    <mergeCell ref="A1:B1"/>
    <mergeCell ref="A2:B2"/>
    <mergeCell ref="A25:B25"/>
    <mergeCell ref="A26:B26"/>
    <mergeCell ref="A68:B68"/>
    <mergeCell ref="A44:B44"/>
    <mergeCell ref="A3:B3"/>
    <mergeCell ref="A4:B4"/>
    <mergeCell ref="A6:B6"/>
    <mergeCell ref="A32:B32"/>
    <mergeCell ref="A33:B33"/>
    <mergeCell ref="A45:B45"/>
  </mergeCells>
  <printOptions horizontalCentered="1"/>
  <pageMargins left="0.7480314960629921" right="0.7480314960629921" top="0.984251968503937" bottom="0.984251968503937" header="0.5118110236220472" footer="0.5118110236220472"/>
  <pageSetup fitToHeight="5" horizontalDpi="355" verticalDpi="355" orientation="portrait" scale="96" r:id="rId1"/>
  <headerFooter alignWithMargins="0">
    <oddHeader>&amp;C&amp;"Arial,Bold"&amp;12WOODSTOCK HYDRO SERVICES INC
2011 PRO FORMA STATEMENTS</oddHeader>
    <oddFooter>&amp;L&amp;A</oddFooter>
  </headerFooter>
  <rowBreaks count="5" manualBreakCount="5">
    <brk id="44" max="255" man="1"/>
    <brk id="87" max="255" man="1"/>
    <brk id="113" max="255" man="1"/>
    <brk id="153" max="255" man="1"/>
    <brk id="18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8"/>
  <sheetViews>
    <sheetView zoomScale="90" zoomScaleNormal="90" zoomScalePageLayoutView="0" workbookViewId="0" topLeftCell="R13">
      <selection activeCell="AG46" sqref="AG46"/>
    </sheetView>
  </sheetViews>
  <sheetFormatPr defaultColWidth="9.140625" defaultRowHeight="12.75"/>
  <cols>
    <col min="1" max="1" width="1.28515625" style="0" customWidth="1"/>
    <col min="2" max="2" width="1.1484375" style="0" customWidth="1"/>
    <col min="3" max="3" width="24.57421875" style="0" customWidth="1"/>
    <col min="4" max="4" width="18.140625" style="0" customWidth="1"/>
    <col min="5" max="5" width="17.57421875" style="0" customWidth="1"/>
    <col min="6" max="7" width="0.9921875" style="0" customWidth="1"/>
    <col min="8" max="8" width="1.28515625" style="0" customWidth="1"/>
    <col min="9" max="9" width="19.8515625" style="0" customWidth="1"/>
    <col min="10" max="10" width="15.421875" style="0" customWidth="1"/>
    <col min="11" max="11" width="17.140625" style="0" customWidth="1"/>
    <col min="12" max="12" width="1.1484375" style="0" customWidth="1"/>
    <col min="13" max="13" width="0.85546875" style="0" customWidth="1"/>
    <col min="14" max="14" width="0.9921875" style="0" customWidth="1"/>
    <col min="15" max="15" width="15.421875" style="0" bestFit="1" customWidth="1"/>
    <col min="16" max="16" width="19.7109375" style="0" customWidth="1"/>
    <col min="17" max="17" width="16.28125" style="0" customWidth="1"/>
    <col min="18" max="18" width="1.1484375" style="0" customWidth="1"/>
    <col min="19" max="19" width="0.85546875" style="0" customWidth="1"/>
    <col min="20" max="20" width="0.9921875" style="0" customWidth="1"/>
    <col min="21" max="21" width="16.28125" style="0" customWidth="1"/>
    <col min="22" max="22" width="20.28125" style="0" customWidth="1"/>
    <col min="23" max="23" width="16.28125" style="0" customWidth="1"/>
    <col min="24" max="24" width="0.85546875" style="0" customWidth="1"/>
    <col min="25" max="25" width="0.9921875" style="0" customWidth="1"/>
    <col min="26" max="26" width="1.1484375" style="0" customWidth="1"/>
    <col min="27" max="28" width="17.8515625" style="0" customWidth="1"/>
    <col min="29" max="29" width="20.00390625" style="0" customWidth="1"/>
    <col min="30" max="30" width="1.28515625" style="0" customWidth="1"/>
    <col min="31" max="31" width="0.9921875" style="0" customWidth="1"/>
    <col min="32" max="32" width="1.1484375" style="0" customWidth="1"/>
    <col min="33" max="34" width="17.8515625" style="0" customWidth="1"/>
    <col min="35" max="35" width="20.00390625" style="0" customWidth="1"/>
    <col min="36" max="36" width="1.28515625" style="0" customWidth="1"/>
  </cols>
  <sheetData>
    <row r="1" spans="1:38" ht="12.75">
      <c r="A1" s="648" t="str">
        <f>'Trial Balance'!A1:J1</f>
        <v>Woodstock Hydro Services Inc.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239"/>
      <c r="T1" s="239"/>
      <c r="U1" s="648" t="str">
        <f>A1</f>
        <v>Woodstock Hydro Services Inc.</v>
      </c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648"/>
      <c r="AL1" s="648"/>
    </row>
    <row r="2" spans="1:38" ht="12.75">
      <c r="A2" s="648" t="str">
        <f>'Trial Balance'!A2:J2</f>
        <v>, License Number ED-2003-0011, File Number EB-2010-0145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239"/>
      <c r="T2" s="239"/>
      <c r="U2" s="648" t="str">
        <f>A2</f>
        <v>, License Number ED-2003-0011, File Number EB-2010-0145</v>
      </c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</row>
    <row r="3" spans="2:37" ht="23.25" customHeight="1">
      <c r="B3" s="647" t="s">
        <v>237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238"/>
      <c r="T3" s="238"/>
      <c r="U3" s="647" t="s">
        <v>237</v>
      </c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</row>
    <row r="4" ht="16.5" customHeight="1" thickBot="1"/>
    <row r="5" spans="2:36" ht="5.25" customHeight="1">
      <c r="B5" s="35"/>
      <c r="C5" s="36"/>
      <c r="D5" s="36"/>
      <c r="E5" s="36"/>
      <c r="F5" s="37"/>
      <c r="H5" s="35"/>
      <c r="I5" s="36"/>
      <c r="J5" s="36"/>
      <c r="K5" s="36"/>
      <c r="L5" s="37"/>
      <c r="N5" s="35"/>
      <c r="O5" s="36"/>
      <c r="P5" s="36"/>
      <c r="Q5" s="36"/>
      <c r="R5" s="37"/>
      <c r="S5" s="48"/>
      <c r="T5" s="35"/>
      <c r="U5" s="36"/>
      <c r="V5" s="36"/>
      <c r="W5" s="36"/>
      <c r="X5" s="37"/>
      <c r="Y5" s="48"/>
      <c r="Z5" s="35"/>
      <c r="AA5" s="36"/>
      <c r="AB5" s="36"/>
      <c r="AC5" s="36"/>
      <c r="AD5" s="37"/>
      <c r="AE5" s="48"/>
      <c r="AF5" s="35"/>
      <c r="AG5" s="36"/>
      <c r="AH5" s="36"/>
      <c r="AI5" s="36"/>
      <c r="AJ5" s="37"/>
    </row>
    <row r="6" spans="2:36" ht="15" customHeight="1">
      <c r="B6" s="38"/>
      <c r="C6" s="664">
        <v>2006</v>
      </c>
      <c r="D6" s="664"/>
      <c r="E6" s="664"/>
      <c r="F6" s="47"/>
      <c r="H6" s="38"/>
      <c r="I6" s="664">
        <v>2007</v>
      </c>
      <c r="J6" s="664"/>
      <c r="K6" s="664"/>
      <c r="L6" s="47"/>
      <c r="N6" s="38"/>
      <c r="O6" s="664">
        <v>2008</v>
      </c>
      <c r="P6" s="664"/>
      <c r="Q6" s="664"/>
      <c r="R6" s="47"/>
      <c r="S6" s="48"/>
      <c r="T6" s="38"/>
      <c r="U6" s="664">
        <v>2009</v>
      </c>
      <c r="V6" s="664"/>
      <c r="W6" s="664"/>
      <c r="X6" s="47"/>
      <c r="Y6" s="48"/>
      <c r="Z6" s="38"/>
      <c r="AA6" s="664">
        <v>2010</v>
      </c>
      <c r="AB6" s="664"/>
      <c r="AC6" s="664"/>
      <c r="AD6" s="47"/>
      <c r="AE6" s="48"/>
      <c r="AF6" s="38"/>
      <c r="AG6" s="664">
        <v>2011</v>
      </c>
      <c r="AH6" s="664"/>
      <c r="AI6" s="664"/>
      <c r="AJ6" s="47"/>
    </row>
    <row r="7" spans="2:36" ht="12.75">
      <c r="B7" s="38"/>
      <c r="C7" s="62" t="s">
        <v>184</v>
      </c>
      <c r="D7" s="62" t="s">
        <v>182</v>
      </c>
      <c r="E7" s="62" t="s">
        <v>183</v>
      </c>
      <c r="F7" s="39"/>
      <c r="H7" s="38"/>
      <c r="I7" s="62" t="s">
        <v>184</v>
      </c>
      <c r="J7" s="62" t="s">
        <v>182</v>
      </c>
      <c r="K7" s="62" t="s">
        <v>183</v>
      </c>
      <c r="L7" s="39"/>
      <c r="N7" s="38"/>
      <c r="O7" s="62" t="s">
        <v>184</v>
      </c>
      <c r="P7" s="62" t="s">
        <v>182</v>
      </c>
      <c r="Q7" s="62" t="s">
        <v>183</v>
      </c>
      <c r="R7" s="39"/>
      <c r="S7" s="10"/>
      <c r="T7" s="38"/>
      <c r="U7" s="62" t="s">
        <v>184</v>
      </c>
      <c r="V7" s="62" t="s">
        <v>182</v>
      </c>
      <c r="W7" s="62" t="s">
        <v>183</v>
      </c>
      <c r="X7" s="39"/>
      <c r="Y7" s="10"/>
      <c r="Z7" s="38"/>
      <c r="AA7" s="62" t="s">
        <v>184</v>
      </c>
      <c r="AB7" s="62" t="s">
        <v>182</v>
      </c>
      <c r="AC7" s="62" t="s">
        <v>183</v>
      </c>
      <c r="AD7" s="39"/>
      <c r="AE7" s="10"/>
      <c r="AF7" s="38"/>
      <c r="AG7" s="544" t="s">
        <v>184</v>
      </c>
      <c r="AH7" s="544" t="s">
        <v>182</v>
      </c>
      <c r="AI7" s="544" t="s">
        <v>183</v>
      </c>
      <c r="AJ7" s="39"/>
    </row>
    <row r="8" spans="2:36" ht="12.75">
      <c r="B8" s="38"/>
      <c r="C8" s="33" t="s">
        <v>179</v>
      </c>
      <c r="D8" s="63">
        <v>0.5</v>
      </c>
      <c r="E8" s="200">
        <f>'Debt &amp; Capital Structure'!M31</f>
        <v>0.06756</v>
      </c>
      <c r="F8" s="39"/>
      <c r="H8" s="38"/>
      <c r="I8" s="33" t="s">
        <v>179</v>
      </c>
      <c r="J8" s="63">
        <v>0.5</v>
      </c>
      <c r="K8" s="200">
        <f>'Debt &amp; Capital Structure'!M35</f>
        <v>0.06756</v>
      </c>
      <c r="L8" s="39"/>
      <c r="N8" s="38"/>
      <c r="O8" s="33" t="s">
        <v>179</v>
      </c>
      <c r="P8" s="63">
        <v>0.533</v>
      </c>
      <c r="Q8" s="200">
        <f>'Debt &amp; Capital Structure'!M39</f>
        <v>0.0631075</v>
      </c>
      <c r="R8" s="39"/>
      <c r="S8" s="10"/>
      <c r="T8" s="38"/>
      <c r="U8" s="33" t="s">
        <v>179</v>
      </c>
      <c r="V8" s="63">
        <v>0.567</v>
      </c>
      <c r="W8" s="45">
        <f>'Debt &amp; Capital Structure'!M43</f>
        <v>0.04975</v>
      </c>
      <c r="X8" s="39"/>
      <c r="Y8" s="10"/>
      <c r="Z8" s="38"/>
      <c r="AA8" s="33" t="s">
        <v>179</v>
      </c>
      <c r="AB8" s="63">
        <v>0.6</v>
      </c>
      <c r="AC8" s="45">
        <f>'Debt &amp; Capital Structure'!M47</f>
        <v>0.04432199995206185</v>
      </c>
      <c r="AD8" s="39"/>
      <c r="AE8" s="10"/>
      <c r="AF8" s="38"/>
      <c r="AG8" s="33" t="s">
        <v>179</v>
      </c>
      <c r="AH8" s="45">
        <v>0.56</v>
      </c>
      <c r="AI8" s="45">
        <f>'Debt &amp; Capital Structure'!M51</f>
        <v>0.051292953631334494</v>
      </c>
      <c r="AJ8" s="39"/>
    </row>
    <row r="9" spans="2:36" ht="12.75">
      <c r="B9" s="38"/>
      <c r="C9" s="44" t="s">
        <v>180</v>
      </c>
      <c r="D9" s="45"/>
      <c r="E9" s="45"/>
      <c r="F9" s="39"/>
      <c r="H9" s="38"/>
      <c r="I9" s="44" t="s">
        <v>180</v>
      </c>
      <c r="J9" s="45"/>
      <c r="K9" s="45"/>
      <c r="L9" s="39"/>
      <c r="N9" s="38"/>
      <c r="O9" s="44" t="s">
        <v>180</v>
      </c>
      <c r="P9" s="45"/>
      <c r="Q9" s="45"/>
      <c r="R9" s="39"/>
      <c r="S9" s="10"/>
      <c r="T9" s="38"/>
      <c r="U9" s="44" t="s">
        <v>180</v>
      </c>
      <c r="V9" s="45"/>
      <c r="W9" s="45"/>
      <c r="X9" s="39"/>
      <c r="Y9" s="10"/>
      <c r="Z9" s="38"/>
      <c r="AA9" s="44" t="s">
        <v>180</v>
      </c>
      <c r="AD9" s="39"/>
      <c r="AE9" s="10"/>
      <c r="AF9" s="38"/>
      <c r="AG9" s="44" t="s">
        <v>180</v>
      </c>
      <c r="AH9" s="45">
        <v>0.04</v>
      </c>
      <c r="AI9" s="45">
        <v>0.0207</v>
      </c>
      <c r="AJ9" s="39"/>
    </row>
    <row r="10" spans="2:36" ht="13.5" thickBot="1">
      <c r="B10" s="38"/>
      <c r="C10" s="33" t="s">
        <v>177</v>
      </c>
      <c r="D10" s="63">
        <v>0.5</v>
      </c>
      <c r="E10" s="224">
        <v>0.09</v>
      </c>
      <c r="F10" s="39"/>
      <c r="H10" s="38"/>
      <c r="I10" s="33" t="s">
        <v>177</v>
      </c>
      <c r="J10" s="63">
        <v>0.5</v>
      </c>
      <c r="K10" s="224">
        <v>0.09</v>
      </c>
      <c r="L10" s="39"/>
      <c r="N10" s="38"/>
      <c r="O10" s="33" t="s">
        <v>177</v>
      </c>
      <c r="P10" s="63">
        <v>0.467</v>
      </c>
      <c r="Q10" s="224">
        <v>0.09</v>
      </c>
      <c r="R10" s="39"/>
      <c r="S10" s="10"/>
      <c r="T10" s="38"/>
      <c r="U10" s="33" t="s">
        <v>177</v>
      </c>
      <c r="V10" s="63">
        <v>0.433</v>
      </c>
      <c r="W10" s="224">
        <v>0.09</v>
      </c>
      <c r="X10" s="39"/>
      <c r="Y10" s="10"/>
      <c r="Z10" s="38"/>
      <c r="AA10" s="33" t="s">
        <v>177</v>
      </c>
      <c r="AB10" s="63">
        <v>0.4</v>
      </c>
      <c r="AC10" s="63">
        <v>0.0985</v>
      </c>
      <c r="AD10" s="39"/>
      <c r="AE10" s="10"/>
      <c r="AF10" s="38"/>
      <c r="AG10" s="33" t="s">
        <v>177</v>
      </c>
      <c r="AH10" s="45">
        <v>0.4</v>
      </c>
      <c r="AI10" s="45">
        <v>0.0985</v>
      </c>
      <c r="AJ10" s="39"/>
    </row>
    <row r="11" spans="2:36" ht="13.5" thickBot="1">
      <c r="B11" s="38"/>
      <c r="C11" s="663" t="s">
        <v>435</v>
      </c>
      <c r="D11" s="663"/>
      <c r="E11" s="194">
        <f>E8*(D8/(D8+D9))+E9*(D9/(D8+D9))</f>
        <v>0.06756</v>
      </c>
      <c r="F11" s="39"/>
      <c r="H11" s="38"/>
      <c r="I11" s="663" t="s">
        <v>435</v>
      </c>
      <c r="J11" s="663"/>
      <c r="K11" s="194">
        <f>K8*(J8/(J8+J9))+K9*(J9/(J8+J9))</f>
        <v>0.06756</v>
      </c>
      <c r="L11" s="39"/>
      <c r="N11" s="38"/>
      <c r="O11" s="663" t="s">
        <v>435</v>
      </c>
      <c r="P11" s="663"/>
      <c r="Q11" s="194">
        <f>Q8*(P8/(P8+P9))+Q9*(P9/(P8+P9))</f>
        <v>0.0631075</v>
      </c>
      <c r="R11" s="39"/>
      <c r="S11" s="10"/>
      <c r="T11" s="38"/>
      <c r="U11" s="663" t="s">
        <v>435</v>
      </c>
      <c r="V11" s="663"/>
      <c r="W11" s="194">
        <f>W8*(V8/(V8+V9))+W9*(V9/(V8+V9))</f>
        <v>0.04975</v>
      </c>
      <c r="X11" s="39"/>
      <c r="Y11" s="10"/>
      <c r="Z11" s="38"/>
      <c r="AA11" s="677" t="s">
        <v>435</v>
      </c>
      <c r="AB11" s="678"/>
      <c r="AC11" s="194">
        <f>AC8*(AB8/(AB8+AB9))+AC9*(AB9/(AB8+AB9))</f>
        <v>0.04432199995206185</v>
      </c>
      <c r="AD11" s="39"/>
      <c r="AE11" s="10"/>
      <c r="AF11" s="38"/>
      <c r="AG11" s="677" t="s">
        <v>435</v>
      </c>
      <c r="AH11" s="678"/>
      <c r="AI11" s="194">
        <f>AI8*(AH8/(AH8+AH9))+AI9*(AH9/(AH8+AH9))</f>
        <v>0.04925342338924552</v>
      </c>
      <c r="AJ11" s="39"/>
    </row>
    <row r="12" spans="2:36" ht="13.5" thickBot="1">
      <c r="B12" s="38"/>
      <c r="C12" s="663" t="s">
        <v>181</v>
      </c>
      <c r="D12" s="663"/>
      <c r="E12" s="46">
        <f>(D8*E8)+(D9*E9)+(D10*E10)</f>
        <v>0.07877999999999999</v>
      </c>
      <c r="F12" s="40"/>
      <c r="H12" s="38"/>
      <c r="I12" s="663" t="s">
        <v>181</v>
      </c>
      <c r="J12" s="663"/>
      <c r="K12" s="46">
        <f>(J8*K8)+(J9*K9)+(J10*K10)</f>
        <v>0.07877999999999999</v>
      </c>
      <c r="L12" s="40"/>
      <c r="N12" s="38"/>
      <c r="O12" s="663" t="s">
        <v>181</v>
      </c>
      <c r="P12" s="663"/>
      <c r="Q12" s="46">
        <f>(P8*Q8)+(P9*Q9)+(P10*Q10)</f>
        <v>0.07566629750000001</v>
      </c>
      <c r="R12" s="40"/>
      <c r="S12" s="208"/>
      <c r="T12" s="38"/>
      <c r="U12" s="663" t="s">
        <v>181</v>
      </c>
      <c r="V12" s="663"/>
      <c r="W12" s="46">
        <f>(V8*W8)+(V9*W9)+(V10*W10)</f>
        <v>0.06717825</v>
      </c>
      <c r="X12" s="40"/>
      <c r="Y12" s="208"/>
      <c r="Z12" s="38"/>
      <c r="AA12" s="663" t="s">
        <v>181</v>
      </c>
      <c r="AB12" s="679"/>
      <c r="AC12" s="46">
        <f>(AB8*AC8)+(AB9*AC9)+(AB10*AC10)</f>
        <v>0.06599319997123711</v>
      </c>
      <c r="AD12" s="40"/>
      <c r="AE12" s="208"/>
      <c r="AF12" s="38"/>
      <c r="AG12" s="663" t="s">
        <v>181</v>
      </c>
      <c r="AH12" s="679"/>
      <c r="AI12" s="46">
        <f>(AH8*AI8)+(AH9*AI9)+(AH10*AI10)</f>
        <v>0.06895205403354732</v>
      </c>
      <c r="AJ12" s="40"/>
    </row>
    <row r="13" spans="2:36" ht="6.75" customHeight="1" thickBot="1">
      <c r="B13" s="41"/>
      <c r="C13" s="42"/>
      <c r="D13" s="42"/>
      <c r="E13" s="42"/>
      <c r="F13" s="43"/>
      <c r="H13" s="41"/>
      <c r="I13" s="42"/>
      <c r="J13" s="42"/>
      <c r="K13" s="42"/>
      <c r="L13" s="43"/>
      <c r="N13" s="41"/>
      <c r="O13" s="42"/>
      <c r="P13" s="42"/>
      <c r="Q13" s="42"/>
      <c r="R13" s="43"/>
      <c r="S13" s="48"/>
      <c r="T13" s="41"/>
      <c r="U13" s="42"/>
      <c r="V13" s="42"/>
      <c r="W13" s="42"/>
      <c r="X13" s="43"/>
      <c r="Y13" s="48"/>
      <c r="Z13" s="41"/>
      <c r="AA13" s="42"/>
      <c r="AB13" s="42"/>
      <c r="AC13" s="42"/>
      <c r="AD13" s="43"/>
      <c r="AE13" s="48"/>
      <c r="AF13" s="41"/>
      <c r="AG13" s="42"/>
      <c r="AH13" s="42"/>
      <c r="AI13" s="42"/>
      <c r="AJ13" s="43"/>
    </row>
    <row r="14" ht="13.5" thickBot="1"/>
    <row r="15" spans="2:36" ht="6" customHeight="1">
      <c r="B15" s="35"/>
      <c r="C15" s="36"/>
      <c r="D15" s="36"/>
      <c r="E15" s="36"/>
      <c r="F15" s="37"/>
      <c r="H15" s="35"/>
      <c r="I15" s="36"/>
      <c r="J15" s="36"/>
      <c r="K15" s="36"/>
      <c r="L15" s="37"/>
      <c r="N15" s="35"/>
      <c r="O15" s="36"/>
      <c r="P15" s="36"/>
      <c r="Q15" s="36"/>
      <c r="R15" s="37"/>
      <c r="S15" s="48"/>
      <c r="T15" s="35"/>
      <c r="U15" s="36"/>
      <c r="V15" s="36"/>
      <c r="W15" s="36"/>
      <c r="X15" s="37"/>
      <c r="Y15" s="48"/>
      <c r="Z15" s="35"/>
      <c r="AA15" s="36"/>
      <c r="AB15" s="36"/>
      <c r="AC15" s="36"/>
      <c r="AD15" s="37"/>
      <c r="AE15" s="48"/>
      <c r="AF15" s="35"/>
      <c r="AG15" s="36"/>
      <c r="AH15" s="36"/>
      <c r="AI15" s="36"/>
      <c r="AJ15" s="37"/>
    </row>
    <row r="16" spans="2:36" ht="15">
      <c r="B16" s="38"/>
      <c r="C16" s="674" t="s">
        <v>82</v>
      </c>
      <c r="D16" s="674"/>
      <c r="E16" s="674"/>
      <c r="F16" s="47"/>
      <c r="H16" s="38"/>
      <c r="I16" s="674" t="s">
        <v>185</v>
      </c>
      <c r="J16" s="674"/>
      <c r="K16" s="674"/>
      <c r="L16" s="47"/>
      <c r="N16" s="38"/>
      <c r="O16" s="674" t="s">
        <v>217</v>
      </c>
      <c r="P16" s="674"/>
      <c r="Q16" s="674"/>
      <c r="R16" s="47"/>
      <c r="S16" s="48"/>
      <c r="T16" s="38"/>
      <c r="U16" s="674" t="s">
        <v>204</v>
      </c>
      <c r="V16" s="674"/>
      <c r="W16" s="674"/>
      <c r="X16" s="47"/>
      <c r="Y16" s="48"/>
      <c r="Z16" s="38"/>
      <c r="AA16" s="664" t="s">
        <v>819</v>
      </c>
      <c r="AB16" s="664"/>
      <c r="AC16" s="664"/>
      <c r="AD16" s="47"/>
      <c r="AE16" s="48"/>
      <c r="AF16" s="38"/>
      <c r="AG16" s="664" t="s">
        <v>844</v>
      </c>
      <c r="AH16" s="664"/>
      <c r="AI16" s="664"/>
      <c r="AJ16" s="47"/>
    </row>
    <row r="17" spans="2:36" ht="12.75">
      <c r="B17" s="38"/>
      <c r="C17" s="665" t="s">
        <v>186</v>
      </c>
      <c r="D17" s="665"/>
      <c r="E17" s="61" t="s">
        <v>187</v>
      </c>
      <c r="F17" s="47"/>
      <c r="H17" s="38"/>
      <c r="I17" s="665" t="s">
        <v>186</v>
      </c>
      <c r="J17" s="665"/>
      <c r="K17" s="61" t="s">
        <v>187</v>
      </c>
      <c r="L17" s="47"/>
      <c r="N17" s="38"/>
      <c r="O17" s="665" t="s">
        <v>186</v>
      </c>
      <c r="P17" s="665"/>
      <c r="Q17" s="61" t="s">
        <v>187</v>
      </c>
      <c r="R17" s="47"/>
      <c r="S17" s="48"/>
      <c r="T17" s="38"/>
      <c r="U17" s="665" t="s">
        <v>186</v>
      </c>
      <c r="V17" s="665"/>
      <c r="W17" s="61"/>
      <c r="X17" s="47"/>
      <c r="Y17" s="48"/>
      <c r="Z17" s="38"/>
      <c r="AA17" s="658" t="s">
        <v>186</v>
      </c>
      <c r="AB17" s="659"/>
      <c r="AC17" s="61"/>
      <c r="AD17" s="47"/>
      <c r="AE17" s="48"/>
      <c r="AF17" s="38"/>
      <c r="AG17" s="672" t="s">
        <v>186</v>
      </c>
      <c r="AH17" s="673"/>
      <c r="AI17" s="542"/>
      <c r="AJ17" s="47"/>
    </row>
    <row r="18" spans="2:36" s="243" customFormat="1" ht="12.75">
      <c r="B18" s="241"/>
      <c r="C18" s="653" t="s">
        <v>161</v>
      </c>
      <c r="D18" s="653"/>
      <c r="E18" s="265">
        <f>'2006 Income Statement'!B111</f>
        <v>624784.8</v>
      </c>
      <c r="F18" s="242"/>
      <c r="H18" s="241"/>
      <c r="I18" s="653" t="s">
        <v>161</v>
      </c>
      <c r="J18" s="653"/>
      <c r="K18" s="265">
        <f>'2007 Income Statement'!B112</f>
        <v>685178.2499999999</v>
      </c>
      <c r="L18" s="242"/>
      <c r="N18" s="241"/>
      <c r="O18" s="653" t="s">
        <v>161</v>
      </c>
      <c r="P18" s="653"/>
      <c r="Q18" s="273">
        <f>'2008 Income Statement'!B112</f>
        <v>787715.98</v>
      </c>
      <c r="R18" s="242"/>
      <c r="S18" s="240"/>
      <c r="T18" s="241"/>
      <c r="U18" s="653" t="s">
        <v>161</v>
      </c>
      <c r="V18" s="653"/>
      <c r="W18" s="275">
        <f>'2009 Income Statement'!B112</f>
        <v>719297.4799999999</v>
      </c>
      <c r="X18" s="242"/>
      <c r="Y18" s="240"/>
      <c r="Z18" s="241"/>
      <c r="AA18" s="654" t="s">
        <v>161</v>
      </c>
      <c r="AB18" s="660"/>
      <c r="AC18" s="265">
        <f>'2010 Income Statement'!B112</f>
        <v>830254</v>
      </c>
      <c r="AD18" s="242"/>
      <c r="AE18" s="240"/>
      <c r="AF18" s="241"/>
      <c r="AG18" s="654" t="s">
        <v>161</v>
      </c>
      <c r="AH18" s="660"/>
      <c r="AI18" s="265">
        <f>'2011 Income Statement'!B112</f>
        <v>785559.6135156614</v>
      </c>
      <c r="AJ18" s="242"/>
    </row>
    <row r="19" spans="2:36" s="243" customFormat="1" ht="12.75">
      <c r="B19" s="241"/>
      <c r="C19" s="653" t="s">
        <v>194</v>
      </c>
      <c r="D19" s="653"/>
      <c r="E19" s="265">
        <f>'2006 Income Statement'!B132</f>
        <v>489302.25999999995</v>
      </c>
      <c r="F19" s="242"/>
      <c r="H19" s="241"/>
      <c r="I19" s="653" t="s">
        <v>194</v>
      </c>
      <c r="J19" s="653"/>
      <c r="K19" s="265">
        <f>'2007 Income Statement'!B133</f>
        <v>472476.5199999999</v>
      </c>
      <c r="L19" s="242"/>
      <c r="N19" s="241"/>
      <c r="O19" s="653" t="s">
        <v>194</v>
      </c>
      <c r="P19" s="653"/>
      <c r="Q19" s="273">
        <f>'2008 Income Statement'!B133</f>
        <v>532855.4900000001</v>
      </c>
      <c r="R19" s="242"/>
      <c r="S19" s="240"/>
      <c r="T19" s="241"/>
      <c r="U19" s="653" t="s">
        <v>194</v>
      </c>
      <c r="V19" s="653"/>
      <c r="W19" s="275">
        <f>'2009 Income Statement'!B133</f>
        <v>630310.21</v>
      </c>
      <c r="X19" s="242"/>
      <c r="Y19" s="240"/>
      <c r="Z19" s="241"/>
      <c r="AA19" s="654" t="s">
        <v>194</v>
      </c>
      <c r="AB19" s="660"/>
      <c r="AC19" s="265">
        <f>'2010 Income Statement'!B133</f>
        <v>643892</v>
      </c>
      <c r="AD19" s="242"/>
      <c r="AE19" s="240"/>
      <c r="AF19" s="241"/>
      <c r="AG19" s="654" t="s">
        <v>194</v>
      </c>
      <c r="AH19" s="660"/>
      <c r="AI19" s="265">
        <f>'2011 Income Statement'!B133</f>
        <v>730771.2626780603</v>
      </c>
      <c r="AJ19" s="242"/>
    </row>
    <row r="20" spans="2:36" s="243" customFormat="1" ht="12.75">
      <c r="B20" s="241"/>
      <c r="C20" s="653" t="s">
        <v>195</v>
      </c>
      <c r="D20" s="653"/>
      <c r="E20" s="265">
        <f>'2006 Income Statement'!B143</f>
        <v>676328.86</v>
      </c>
      <c r="F20" s="242"/>
      <c r="H20" s="241"/>
      <c r="I20" s="653" t="s">
        <v>195</v>
      </c>
      <c r="J20" s="653"/>
      <c r="K20" s="265">
        <f>'2007 Income Statement'!B144</f>
        <v>672465.2700000001</v>
      </c>
      <c r="L20" s="242"/>
      <c r="N20" s="241"/>
      <c r="O20" s="653" t="s">
        <v>195</v>
      </c>
      <c r="P20" s="653"/>
      <c r="Q20" s="273">
        <f>'2008 Income Statement'!B144</f>
        <v>567613.4400000001</v>
      </c>
      <c r="R20" s="242"/>
      <c r="S20" s="240"/>
      <c r="T20" s="241"/>
      <c r="U20" s="653" t="s">
        <v>195</v>
      </c>
      <c r="V20" s="653"/>
      <c r="W20" s="275">
        <f>'2009 Income Statement'!B144</f>
        <v>548428.05</v>
      </c>
      <c r="X20" s="242"/>
      <c r="Y20" s="240"/>
      <c r="Z20" s="241"/>
      <c r="AA20" s="654" t="s">
        <v>195</v>
      </c>
      <c r="AB20" s="660"/>
      <c r="AC20" s="265">
        <f>'2010 Income Statement'!B144</f>
        <v>562281.7407190959</v>
      </c>
      <c r="AD20" s="242"/>
      <c r="AE20" s="240"/>
      <c r="AF20" s="241"/>
      <c r="AG20" s="654" t="s">
        <v>195</v>
      </c>
      <c r="AH20" s="660"/>
      <c r="AI20" s="265">
        <f>'2011 Income Statement'!B144</f>
        <v>675132.5359447241</v>
      </c>
      <c r="AJ20" s="242"/>
    </row>
    <row r="21" spans="2:36" s="243" customFormat="1" ht="12.75">
      <c r="B21" s="241"/>
      <c r="C21" s="653" t="s">
        <v>196</v>
      </c>
      <c r="D21" s="653"/>
      <c r="E21" s="265">
        <f>'2006 Income Statement'!B151</f>
        <v>286410.57</v>
      </c>
      <c r="F21" s="242"/>
      <c r="H21" s="241"/>
      <c r="I21" s="653" t="s">
        <v>196</v>
      </c>
      <c r="J21" s="653"/>
      <c r="K21" s="265">
        <f>'2007 Income Statement'!B152</f>
        <v>128950.08</v>
      </c>
      <c r="L21" s="242"/>
      <c r="N21" s="241"/>
      <c r="O21" s="653" t="s">
        <v>196</v>
      </c>
      <c r="P21" s="653"/>
      <c r="Q21" s="273">
        <f>'2008 Income Statement'!B152</f>
        <v>40208.87</v>
      </c>
      <c r="R21" s="242"/>
      <c r="S21" s="240"/>
      <c r="T21" s="241"/>
      <c r="U21" s="653" t="s">
        <v>196</v>
      </c>
      <c r="V21" s="653"/>
      <c r="W21" s="275">
        <f>'2009 Income Statement'!B152</f>
        <v>24087.58</v>
      </c>
      <c r="X21" s="242"/>
      <c r="Y21" s="240"/>
      <c r="Z21" s="241"/>
      <c r="AA21" s="654" t="s">
        <v>196</v>
      </c>
      <c r="AB21" s="660"/>
      <c r="AC21" s="265">
        <f>'2010 Income Statement'!B152</f>
        <v>36300</v>
      </c>
      <c r="AD21" s="242"/>
      <c r="AE21" s="240"/>
      <c r="AF21" s="241"/>
      <c r="AG21" s="654" t="s">
        <v>196</v>
      </c>
      <c r="AH21" s="660"/>
      <c r="AI21" s="265">
        <f>'2011 Income Statement'!B152</f>
        <v>42381.97103709732</v>
      </c>
      <c r="AJ21" s="242"/>
    </row>
    <row r="22" spans="2:36" s="243" customFormat="1" ht="12.75">
      <c r="B22" s="241"/>
      <c r="C22" s="667" t="s">
        <v>197</v>
      </c>
      <c r="D22" s="667"/>
      <c r="E22" s="265">
        <f>'2006 Income Statement'!B173</f>
        <v>1246686.91</v>
      </c>
      <c r="F22" s="242"/>
      <c r="H22" s="241"/>
      <c r="I22" s="667" t="s">
        <v>197</v>
      </c>
      <c r="J22" s="667"/>
      <c r="K22" s="265">
        <f>'2007 Income Statement'!B174</f>
        <v>1310602.72</v>
      </c>
      <c r="L22" s="242"/>
      <c r="N22" s="241"/>
      <c r="O22" s="667" t="s">
        <v>197</v>
      </c>
      <c r="P22" s="667"/>
      <c r="Q22" s="273">
        <f>'2008 Income Statement'!B174</f>
        <v>1334040.9500000002</v>
      </c>
      <c r="R22" s="242"/>
      <c r="S22" s="240"/>
      <c r="T22" s="241"/>
      <c r="U22" s="667" t="s">
        <v>197</v>
      </c>
      <c r="V22" s="667"/>
      <c r="W22" s="275">
        <f>'2009 Income Statement'!B174</f>
        <v>1403517.07</v>
      </c>
      <c r="X22" s="242"/>
      <c r="Y22" s="240"/>
      <c r="Z22" s="241"/>
      <c r="AA22" s="675" t="s">
        <v>197</v>
      </c>
      <c r="AB22" s="676"/>
      <c r="AC22" s="265">
        <f>'2010 Income Statement'!B174</f>
        <v>1695019.8105</v>
      </c>
      <c r="AD22" s="242"/>
      <c r="AE22" s="240"/>
      <c r="AF22" s="241"/>
      <c r="AG22" s="675" t="s">
        <v>197</v>
      </c>
      <c r="AH22" s="676"/>
      <c r="AI22" s="265">
        <f>'2011 Income Statement'!B174</f>
        <v>1808415.4999312954</v>
      </c>
      <c r="AJ22" s="242"/>
    </row>
    <row r="23" spans="2:36" s="243" customFormat="1" ht="12.75">
      <c r="B23" s="241"/>
      <c r="C23" s="667" t="s">
        <v>198</v>
      </c>
      <c r="D23" s="667"/>
      <c r="E23" s="265">
        <f>'2006 Income Statement'!B201</f>
        <v>126191.14</v>
      </c>
      <c r="F23" s="242"/>
      <c r="H23" s="241"/>
      <c r="I23" s="667" t="s">
        <v>198</v>
      </c>
      <c r="J23" s="667"/>
      <c r="K23" s="265">
        <f>'2007 Income Statement'!B202</f>
        <v>124838.3</v>
      </c>
      <c r="L23" s="242"/>
      <c r="N23" s="241"/>
      <c r="O23" s="667" t="s">
        <v>198</v>
      </c>
      <c r="P23" s="667"/>
      <c r="Q23" s="273">
        <f>'2008 Income Statement'!B202</f>
        <v>125668.03</v>
      </c>
      <c r="R23" s="242"/>
      <c r="S23" s="240"/>
      <c r="T23" s="241"/>
      <c r="U23" s="667" t="s">
        <v>198</v>
      </c>
      <c r="V23" s="667"/>
      <c r="W23" s="265">
        <f>'2009 Income Statement'!B202</f>
        <v>122776.08</v>
      </c>
      <c r="X23" s="242"/>
      <c r="Y23" s="240"/>
      <c r="Z23" s="241"/>
      <c r="AA23" s="675" t="s">
        <v>198</v>
      </c>
      <c r="AB23" s="676"/>
      <c r="AC23" s="265">
        <f>'2010 Income Statement'!B202</f>
        <v>123852.05000000002</v>
      </c>
      <c r="AD23" s="242"/>
      <c r="AE23" s="240"/>
      <c r="AF23" s="241"/>
      <c r="AG23" s="675" t="s">
        <v>198</v>
      </c>
      <c r="AH23" s="676"/>
      <c r="AI23" s="265">
        <f>'2011 Income Statement'!B202</f>
        <v>126946.24999999999</v>
      </c>
      <c r="AJ23" s="242"/>
    </row>
    <row r="24" spans="2:36" ht="12.75">
      <c r="B24" s="38"/>
      <c r="C24" s="668" t="s">
        <v>411</v>
      </c>
      <c r="D24" s="669"/>
      <c r="E24" s="266"/>
      <c r="F24" s="47"/>
      <c r="H24" s="38"/>
      <c r="I24" s="668" t="s">
        <v>411</v>
      </c>
      <c r="J24" s="669"/>
      <c r="K24" s="266"/>
      <c r="L24" s="47"/>
      <c r="N24" s="38"/>
      <c r="O24" s="668" t="s">
        <v>411</v>
      </c>
      <c r="P24" s="669"/>
      <c r="Q24" s="195"/>
      <c r="R24" s="47"/>
      <c r="S24" s="48"/>
      <c r="T24" s="38"/>
      <c r="U24" s="668" t="s">
        <v>411</v>
      </c>
      <c r="V24" s="669"/>
      <c r="W24" s="195">
        <v>0</v>
      </c>
      <c r="X24" s="47"/>
      <c r="Y24" s="48"/>
      <c r="Z24" s="38"/>
      <c r="AA24" s="668" t="s">
        <v>411</v>
      </c>
      <c r="AB24" s="682"/>
      <c r="AC24" s="266">
        <v>0</v>
      </c>
      <c r="AD24" s="47"/>
      <c r="AE24" s="48"/>
      <c r="AF24" s="38"/>
      <c r="AG24" s="668" t="s">
        <v>411</v>
      </c>
      <c r="AH24" s="682"/>
      <c r="AI24" s="543">
        <v>0</v>
      </c>
      <c r="AJ24" s="47"/>
    </row>
    <row r="25" spans="2:36" s="243" customFormat="1" ht="12.75">
      <c r="B25" s="241"/>
      <c r="C25" s="670" t="s">
        <v>188</v>
      </c>
      <c r="D25" s="671"/>
      <c r="E25" s="267">
        <f>SUM(E18:E23)-E24</f>
        <v>3449704.54</v>
      </c>
      <c r="F25" s="242"/>
      <c r="H25" s="241"/>
      <c r="I25" s="670" t="s">
        <v>188</v>
      </c>
      <c r="J25" s="671"/>
      <c r="K25" s="267">
        <f>SUM(K18:K23)-K24</f>
        <v>3394511.1399999997</v>
      </c>
      <c r="L25" s="242"/>
      <c r="N25" s="241"/>
      <c r="O25" s="670" t="s">
        <v>188</v>
      </c>
      <c r="P25" s="671"/>
      <c r="Q25" s="267">
        <f>SUM(Q18:Q23)-Q24</f>
        <v>3388102.7600000002</v>
      </c>
      <c r="R25" s="242"/>
      <c r="S25" s="240"/>
      <c r="T25" s="241"/>
      <c r="U25" s="670" t="s">
        <v>188</v>
      </c>
      <c r="V25" s="671"/>
      <c r="W25" s="267">
        <f>SUM(W18:W23)-W24</f>
        <v>3448416.47</v>
      </c>
      <c r="X25" s="242"/>
      <c r="Y25" s="240"/>
      <c r="Z25" s="241"/>
      <c r="AA25" s="670" t="s">
        <v>188</v>
      </c>
      <c r="AB25" s="671"/>
      <c r="AC25" s="267">
        <f>SUM(AC18:AC23)-AC24</f>
        <v>3891599.6012190953</v>
      </c>
      <c r="AD25" s="242"/>
      <c r="AE25" s="240"/>
      <c r="AF25" s="241"/>
      <c r="AG25" s="670" t="s">
        <v>188</v>
      </c>
      <c r="AH25" s="671"/>
      <c r="AI25" s="267">
        <f>SUM(AI18:AI23)-AI24</f>
        <v>4169207.1331068384</v>
      </c>
      <c r="AJ25" s="242"/>
    </row>
    <row r="26" spans="2:36" s="243" customFormat="1" ht="12.75">
      <c r="B26" s="241"/>
      <c r="C26" s="661" t="s">
        <v>199</v>
      </c>
      <c r="D26" s="662"/>
      <c r="E26" s="265">
        <f>'2006 Income Statement'!B85</f>
        <v>29139037.14</v>
      </c>
      <c r="F26" s="242"/>
      <c r="H26" s="241"/>
      <c r="I26" s="661" t="s">
        <v>199</v>
      </c>
      <c r="J26" s="662"/>
      <c r="K26" s="265">
        <f>'2007 Income Statement'!B86</f>
        <v>28017413.43</v>
      </c>
      <c r="L26" s="242"/>
      <c r="N26" s="241"/>
      <c r="O26" s="661" t="s">
        <v>199</v>
      </c>
      <c r="P26" s="662"/>
      <c r="Q26" s="265">
        <f>'2008 Income Statement'!B86</f>
        <v>27420436.01</v>
      </c>
      <c r="R26" s="242"/>
      <c r="S26" s="240"/>
      <c r="T26" s="241"/>
      <c r="U26" s="661" t="s">
        <v>199</v>
      </c>
      <c r="V26" s="662"/>
      <c r="W26" s="265">
        <f>'2009 Income Statement'!B86</f>
        <v>21258813.24</v>
      </c>
      <c r="X26" s="242"/>
      <c r="Y26" s="240"/>
      <c r="Z26" s="241"/>
      <c r="AA26" s="661" t="s">
        <v>199</v>
      </c>
      <c r="AB26" s="662"/>
      <c r="AC26" s="265">
        <f>'2010 Income Statement'!B86</f>
        <v>30706902.80319968</v>
      </c>
      <c r="AD26" s="242"/>
      <c r="AE26" s="240"/>
      <c r="AF26" s="241"/>
      <c r="AG26" s="661" t="s">
        <v>199</v>
      </c>
      <c r="AH26" s="662"/>
      <c r="AI26" s="265">
        <f>'2011 Income Statement'!B86</f>
        <v>30587421.2358173</v>
      </c>
      <c r="AJ26" s="242"/>
    </row>
    <row r="27" spans="2:36" s="243" customFormat="1" ht="12.75">
      <c r="B27" s="241"/>
      <c r="C27" s="650" t="s">
        <v>208</v>
      </c>
      <c r="D27" s="666"/>
      <c r="E27" s="265">
        <f>E25+E26</f>
        <v>32588741.68</v>
      </c>
      <c r="F27" s="242"/>
      <c r="H27" s="241"/>
      <c r="I27" s="650" t="s">
        <v>208</v>
      </c>
      <c r="J27" s="666"/>
      <c r="K27" s="265">
        <f>K25+K26</f>
        <v>31411924.57</v>
      </c>
      <c r="L27" s="242"/>
      <c r="N27" s="241"/>
      <c r="O27" s="650" t="s">
        <v>208</v>
      </c>
      <c r="P27" s="666"/>
      <c r="Q27" s="265">
        <f>Q25+Q26</f>
        <v>30808538.770000003</v>
      </c>
      <c r="R27" s="242"/>
      <c r="S27" s="240"/>
      <c r="T27" s="241"/>
      <c r="U27" s="650" t="s">
        <v>208</v>
      </c>
      <c r="V27" s="666"/>
      <c r="W27" s="265">
        <f>W25+W26</f>
        <v>24707229.709999997</v>
      </c>
      <c r="X27" s="242"/>
      <c r="Y27" s="240"/>
      <c r="Z27" s="241"/>
      <c r="AA27" s="650" t="s">
        <v>208</v>
      </c>
      <c r="AB27" s="666"/>
      <c r="AC27" s="265">
        <f>AC25+AC26</f>
        <v>34598502.404418774</v>
      </c>
      <c r="AD27" s="242"/>
      <c r="AE27" s="240"/>
      <c r="AF27" s="241"/>
      <c r="AG27" s="650" t="s">
        <v>208</v>
      </c>
      <c r="AH27" s="666"/>
      <c r="AI27" s="265">
        <f>AI25+AI26</f>
        <v>34756628.36892413</v>
      </c>
      <c r="AJ27" s="242"/>
    </row>
    <row r="28" spans="2:36" s="243" customFormat="1" ht="13.5" thickBot="1">
      <c r="B28" s="241"/>
      <c r="C28" s="650"/>
      <c r="D28" s="651"/>
      <c r="E28" s="652"/>
      <c r="F28" s="242"/>
      <c r="H28" s="241"/>
      <c r="I28" s="650"/>
      <c r="J28" s="651"/>
      <c r="K28" s="652"/>
      <c r="L28" s="242"/>
      <c r="N28" s="241"/>
      <c r="O28" s="650"/>
      <c r="P28" s="651"/>
      <c r="Q28" s="652"/>
      <c r="R28" s="242"/>
      <c r="S28" s="240"/>
      <c r="T28" s="241"/>
      <c r="U28" s="650"/>
      <c r="V28" s="651"/>
      <c r="W28" s="652"/>
      <c r="X28" s="242"/>
      <c r="Y28" s="240"/>
      <c r="Z28" s="241"/>
      <c r="AA28" s="683"/>
      <c r="AB28" s="684"/>
      <c r="AC28" s="652"/>
      <c r="AD28" s="242"/>
      <c r="AE28" s="240"/>
      <c r="AF28" s="241"/>
      <c r="AG28" s="683"/>
      <c r="AH28" s="684"/>
      <c r="AI28" s="652"/>
      <c r="AJ28" s="242"/>
    </row>
    <row r="29" spans="2:36" s="243" customFormat="1" ht="13.5" thickBot="1">
      <c r="B29" s="241"/>
      <c r="C29" s="653" t="s">
        <v>209</v>
      </c>
      <c r="D29" s="654"/>
      <c r="E29" s="268">
        <f>E27*0.15</f>
        <v>4888311.251999999</v>
      </c>
      <c r="F29" s="242"/>
      <c r="H29" s="241"/>
      <c r="I29" s="653" t="s">
        <v>209</v>
      </c>
      <c r="J29" s="654"/>
      <c r="K29" s="268">
        <f>K27*0.15</f>
        <v>4711788.6855</v>
      </c>
      <c r="L29" s="242"/>
      <c r="N29" s="241"/>
      <c r="O29" s="653" t="s">
        <v>209</v>
      </c>
      <c r="P29" s="654"/>
      <c r="Q29" s="268">
        <f>Q27*0.15</f>
        <v>4621280.8155000005</v>
      </c>
      <c r="R29" s="242"/>
      <c r="S29" s="240"/>
      <c r="T29" s="241"/>
      <c r="U29" s="653" t="s">
        <v>209</v>
      </c>
      <c r="V29" s="654"/>
      <c r="W29" s="268">
        <f>W27*0.15</f>
        <v>3706084.4564999994</v>
      </c>
      <c r="X29" s="242"/>
      <c r="Y29" s="240"/>
      <c r="Z29" s="241"/>
      <c r="AA29" s="654" t="s">
        <v>209</v>
      </c>
      <c r="AB29" s="680"/>
      <c r="AC29" s="268">
        <f>AC27*0.15</f>
        <v>5189775.360662816</v>
      </c>
      <c r="AD29" s="242"/>
      <c r="AE29" s="240"/>
      <c r="AF29" s="241"/>
      <c r="AG29" s="654" t="s">
        <v>209</v>
      </c>
      <c r="AH29" s="680"/>
      <c r="AI29" s="268">
        <f>AI27*0.15</f>
        <v>5213494.255338619</v>
      </c>
      <c r="AJ29" s="242"/>
    </row>
    <row r="30" spans="2:36" ht="6.75" customHeight="1" thickBot="1">
      <c r="B30" s="41"/>
      <c r="C30" s="42"/>
      <c r="D30" s="42"/>
      <c r="E30" s="50"/>
      <c r="F30" s="43"/>
      <c r="H30" s="41"/>
      <c r="I30" s="42"/>
      <c r="J30" s="42"/>
      <c r="K30" s="50"/>
      <c r="L30" s="43"/>
      <c r="N30" s="41"/>
      <c r="O30" s="42"/>
      <c r="P30" s="42"/>
      <c r="Q30" s="50"/>
      <c r="R30" s="43"/>
      <c r="S30" s="48"/>
      <c r="T30" s="41"/>
      <c r="U30" s="42"/>
      <c r="V30" s="42"/>
      <c r="W30" s="50"/>
      <c r="X30" s="43"/>
      <c r="Y30" s="48"/>
      <c r="Z30" s="41"/>
      <c r="AA30" s="42"/>
      <c r="AB30" s="42"/>
      <c r="AC30" s="50"/>
      <c r="AD30" s="43"/>
      <c r="AE30" s="48"/>
      <c r="AF30" s="41"/>
      <c r="AG30" s="42"/>
      <c r="AH30" s="42"/>
      <c r="AI30" s="50"/>
      <c r="AJ30" s="43"/>
    </row>
    <row r="31" ht="13.5" thickBot="1"/>
    <row r="32" spans="2:36" ht="7.5" customHeight="1">
      <c r="B32" s="35"/>
      <c r="C32" s="36"/>
      <c r="D32" s="36"/>
      <c r="E32" s="36"/>
      <c r="F32" s="37"/>
      <c r="H32" s="35"/>
      <c r="I32" s="36"/>
      <c r="J32" s="36"/>
      <c r="K32" s="36"/>
      <c r="L32" s="37"/>
      <c r="N32" s="35"/>
      <c r="O32" s="36"/>
      <c r="P32" s="36"/>
      <c r="Q32" s="36"/>
      <c r="R32" s="37"/>
      <c r="S32" s="48"/>
      <c r="T32" s="35"/>
      <c r="U32" s="36"/>
      <c r="V32" s="36"/>
      <c r="W32" s="36"/>
      <c r="X32" s="37"/>
      <c r="Y32" s="48"/>
      <c r="Z32" s="35"/>
      <c r="AA32" s="36"/>
      <c r="AB32" s="36"/>
      <c r="AC32" s="36"/>
      <c r="AD32" s="37"/>
      <c r="AE32" s="48"/>
      <c r="AF32" s="35"/>
      <c r="AG32" s="36"/>
      <c r="AH32" s="36"/>
      <c r="AI32" s="36"/>
      <c r="AJ32" s="37"/>
    </row>
    <row r="33" spans="2:36" s="243" customFormat="1" ht="15">
      <c r="B33" s="241"/>
      <c r="C33" s="655" t="s">
        <v>170</v>
      </c>
      <c r="D33" s="655"/>
      <c r="E33" s="655"/>
      <c r="F33" s="242"/>
      <c r="H33" s="241"/>
      <c r="I33" s="655" t="s">
        <v>210</v>
      </c>
      <c r="J33" s="655"/>
      <c r="K33" s="655"/>
      <c r="L33" s="242"/>
      <c r="N33" s="241"/>
      <c r="O33" s="655" t="s">
        <v>262</v>
      </c>
      <c r="P33" s="655"/>
      <c r="Q33" s="655"/>
      <c r="R33" s="242"/>
      <c r="S33" s="240"/>
      <c r="T33" s="241"/>
      <c r="U33" s="655" t="s">
        <v>205</v>
      </c>
      <c r="V33" s="655"/>
      <c r="W33" s="655"/>
      <c r="X33" s="242"/>
      <c r="Y33" s="240"/>
      <c r="Z33" s="241"/>
      <c r="AA33" s="655" t="s">
        <v>820</v>
      </c>
      <c r="AB33" s="655"/>
      <c r="AC33" s="655"/>
      <c r="AD33" s="242"/>
      <c r="AE33" s="240"/>
      <c r="AF33" s="241"/>
      <c r="AG33" s="681" t="s">
        <v>847</v>
      </c>
      <c r="AH33" s="681"/>
      <c r="AI33" s="681"/>
      <c r="AJ33" s="242"/>
    </row>
    <row r="34" spans="2:36" s="243" customFormat="1" ht="12.75">
      <c r="B34" s="241"/>
      <c r="C34" s="649" t="s">
        <v>139</v>
      </c>
      <c r="D34" s="649"/>
      <c r="E34" s="269">
        <f>+'FA Continuity 2006'!D47-'FA Continuity 2006'!I47</f>
        <v>16999912.660000004</v>
      </c>
      <c r="F34" s="242"/>
      <c r="H34" s="241"/>
      <c r="I34" s="649" t="s">
        <v>211</v>
      </c>
      <c r="J34" s="649"/>
      <c r="K34" s="269">
        <f>E35</f>
        <v>17304488.279999997</v>
      </c>
      <c r="L34" s="242"/>
      <c r="N34" s="241"/>
      <c r="O34" s="649" t="s">
        <v>212</v>
      </c>
      <c r="P34" s="649"/>
      <c r="Q34" s="270">
        <f>K35</f>
        <v>17917671.869999997</v>
      </c>
      <c r="R34" s="242"/>
      <c r="S34" s="240"/>
      <c r="T34" s="241"/>
      <c r="U34" s="649" t="s">
        <v>206</v>
      </c>
      <c r="V34" s="649"/>
      <c r="W34" s="270">
        <f>Q35</f>
        <v>19609090.679999992</v>
      </c>
      <c r="X34" s="242"/>
      <c r="Y34" s="240"/>
      <c r="Z34" s="241"/>
      <c r="AA34" s="649" t="s">
        <v>821</v>
      </c>
      <c r="AB34" s="649"/>
      <c r="AC34" s="270">
        <f>W35</f>
        <v>20511560.160000004</v>
      </c>
      <c r="AD34" s="242"/>
      <c r="AE34" s="240"/>
      <c r="AF34" s="241"/>
      <c r="AG34" s="649" t="s">
        <v>845</v>
      </c>
      <c r="AH34" s="649"/>
      <c r="AI34" s="270">
        <f>AC35</f>
        <v>25077596.1327969</v>
      </c>
      <c r="AJ34" s="242"/>
    </row>
    <row r="35" spans="2:36" s="243" customFormat="1" ht="12.75">
      <c r="B35" s="241"/>
      <c r="C35" s="649" t="s">
        <v>140</v>
      </c>
      <c r="D35" s="649"/>
      <c r="E35" s="270">
        <f>'FA Continuity 2006'!M47</f>
        <v>17304488.279999997</v>
      </c>
      <c r="F35" s="242"/>
      <c r="H35" s="241"/>
      <c r="I35" s="649" t="s">
        <v>213</v>
      </c>
      <c r="J35" s="649"/>
      <c r="K35" s="270">
        <f>'FA Continuity 2007'!M47</f>
        <v>17917671.869999997</v>
      </c>
      <c r="L35" s="242"/>
      <c r="N35" s="241"/>
      <c r="O35" s="649" t="s">
        <v>263</v>
      </c>
      <c r="P35" s="649"/>
      <c r="Q35" s="270">
        <f>'FA Continuity 2008'!M47</f>
        <v>19609090.679999992</v>
      </c>
      <c r="R35" s="242"/>
      <c r="S35" s="240"/>
      <c r="T35" s="241"/>
      <c r="U35" s="649" t="s">
        <v>207</v>
      </c>
      <c r="V35" s="649"/>
      <c r="W35" s="270">
        <f>'FA Continuity 2009'!M47</f>
        <v>20511560.160000004</v>
      </c>
      <c r="X35" s="242"/>
      <c r="Y35" s="240"/>
      <c r="Z35" s="241"/>
      <c r="AA35" s="649" t="s">
        <v>822</v>
      </c>
      <c r="AB35" s="649"/>
      <c r="AC35" s="270">
        <f>'FA Continuity 2010'!M47</f>
        <v>25077596.1327969</v>
      </c>
      <c r="AD35" s="242"/>
      <c r="AE35" s="240"/>
      <c r="AF35" s="241"/>
      <c r="AG35" s="649" t="s">
        <v>846</v>
      </c>
      <c r="AH35" s="649"/>
      <c r="AI35" s="270">
        <f>'FA Continuity 2011'!M47</f>
        <v>27766604.051451202</v>
      </c>
      <c r="AJ35" s="242"/>
    </row>
    <row r="36" spans="2:36" s="243" customFormat="1" ht="12.75">
      <c r="B36" s="241"/>
      <c r="C36" s="656" t="s">
        <v>231</v>
      </c>
      <c r="D36" s="656"/>
      <c r="E36" s="271">
        <f>AVERAGE(E34:E35)</f>
        <v>17152200.47</v>
      </c>
      <c r="F36" s="242"/>
      <c r="H36" s="241"/>
      <c r="I36" s="656" t="s">
        <v>214</v>
      </c>
      <c r="J36" s="656"/>
      <c r="K36" s="271">
        <f>AVERAGE(K34:K35)</f>
        <v>17611080.074999996</v>
      </c>
      <c r="L36" s="242"/>
      <c r="N36" s="241"/>
      <c r="O36" s="656" t="s">
        <v>264</v>
      </c>
      <c r="P36" s="656"/>
      <c r="Q36" s="271">
        <f>AVERAGE(Q34:Q35)</f>
        <v>18763381.274999995</v>
      </c>
      <c r="R36" s="242"/>
      <c r="S36" s="240"/>
      <c r="T36" s="241"/>
      <c r="U36" s="656" t="s">
        <v>817</v>
      </c>
      <c r="V36" s="656"/>
      <c r="W36" s="271">
        <f>AVERAGE(W34:W35)</f>
        <v>20060325.419999998</v>
      </c>
      <c r="X36" s="242"/>
      <c r="Y36" s="240"/>
      <c r="Z36" s="241"/>
      <c r="AA36" s="656" t="s">
        <v>818</v>
      </c>
      <c r="AB36" s="656"/>
      <c r="AC36" s="271">
        <f>AVERAGE(AC34:AC35)</f>
        <v>22794578.14639845</v>
      </c>
      <c r="AD36" s="242"/>
      <c r="AE36" s="240"/>
      <c r="AF36" s="241"/>
      <c r="AG36" s="656" t="s">
        <v>941</v>
      </c>
      <c r="AH36" s="656"/>
      <c r="AI36" s="271">
        <f>AVERAGE(AI34:AI35)</f>
        <v>26422100.092124052</v>
      </c>
      <c r="AJ36" s="242"/>
    </row>
    <row r="37" spans="2:36" s="243" customFormat="1" ht="12.75">
      <c r="B37" s="241"/>
      <c r="C37" s="649" t="s">
        <v>189</v>
      </c>
      <c r="D37" s="649"/>
      <c r="E37" s="270">
        <f>E29</f>
        <v>4888311.251999999</v>
      </c>
      <c r="F37" s="242"/>
      <c r="H37" s="241"/>
      <c r="I37" s="649" t="s">
        <v>189</v>
      </c>
      <c r="J37" s="649"/>
      <c r="K37" s="270">
        <f>K29</f>
        <v>4711788.6855</v>
      </c>
      <c r="L37" s="242"/>
      <c r="N37" s="241"/>
      <c r="O37" s="649" t="s">
        <v>189</v>
      </c>
      <c r="P37" s="649"/>
      <c r="Q37" s="270">
        <f>Q29</f>
        <v>4621280.8155000005</v>
      </c>
      <c r="R37" s="242"/>
      <c r="S37" s="240"/>
      <c r="T37" s="241"/>
      <c r="U37" s="649" t="s">
        <v>189</v>
      </c>
      <c r="V37" s="649"/>
      <c r="W37" s="270">
        <f>W29</f>
        <v>3706084.4564999994</v>
      </c>
      <c r="X37" s="242"/>
      <c r="Y37" s="240"/>
      <c r="Z37" s="241"/>
      <c r="AA37" s="649" t="s">
        <v>189</v>
      </c>
      <c r="AB37" s="649"/>
      <c r="AC37" s="270">
        <f>AC29</f>
        <v>5189775.360662816</v>
      </c>
      <c r="AD37" s="242"/>
      <c r="AE37" s="240"/>
      <c r="AF37" s="241"/>
      <c r="AG37" s="649" t="s">
        <v>189</v>
      </c>
      <c r="AH37" s="649"/>
      <c r="AI37" s="270">
        <f>AI29</f>
        <v>5213494.255338619</v>
      </c>
      <c r="AJ37" s="242"/>
    </row>
    <row r="38" spans="2:36" s="243" customFormat="1" ht="13.5" thickBot="1">
      <c r="B38" s="241"/>
      <c r="C38" s="656" t="s">
        <v>215</v>
      </c>
      <c r="D38" s="656"/>
      <c r="E38" s="272">
        <f>E36+E37</f>
        <v>22040511.722</v>
      </c>
      <c r="F38" s="242"/>
      <c r="H38" s="241"/>
      <c r="I38" s="656" t="s">
        <v>215</v>
      </c>
      <c r="J38" s="656"/>
      <c r="K38" s="272">
        <f>K36+K37</f>
        <v>22322868.760499995</v>
      </c>
      <c r="L38" s="242"/>
      <c r="N38" s="241"/>
      <c r="O38" s="656" t="s">
        <v>215</v>
      </c>
      <c r="P38" s="656"/>
      <c r="Q38" s="272">
        <f>Q36+Q37</f>
        <v>23384662.090499997</v>
      </c>
      <c r="R38" s="242"/>
      <c r="S38" s="240"/>
      <c r="T38" s="241"/>
      <c r="U38" s="656" t="s">
        <v>215</v>
      </c>
      <c r="V38" s="656"/>
      <c r="W38" s="272">
        <f>W36+W37</f>
        <v>23766409.876499996</v>
      </c>
      <c r="X38" s="242"/>
      <c r="Y38" s="240"/>
      <c r="Z38" s="241"/>
      <c r="AA38" s="656" t="s">
        <v>215</v>
      </c>
      <c r="AB38" s="656"/>
      <c r="AC38" s="272">
        <f>AC36+AC37</f>
        <v>27984353.507061265</v>
      </c>
      <c r="AD38" s="242"/>
      <c r="AE38" s="240"/>
      <c r="AF38" s="241"/>
      <c r="AG38" s="656" t="s">
        <v>215</v>
      </c>
      <c r="AH38" s="656"/>
      <c r="AI38" s="272">
        <f>AI36+AI37</f>
        <v>31635594.347462673</v>
      </c>
      <c r="AJ38" s="242"/>
    </row>
    <row r="39" spans="2:36" ht="13.5" thickTop="1">
      <c r="B39" s="38"/>
      <c r="C39" s="657" t="s">
        <v>181</v>
      </c>
      <c r="D39" s="657"/>
      <c r="E39" s="51">
        <f>E12</f>
        <v>0.07877999999999999</v>
      </c>
      <c r="F39" s="47"/>
      <c r="H39" s="38"/>
      <c r="I39" s="657" t="s">
        <v>181</v>
      </c>
      <c r="J39" s="657"/>
      <c r="K39" s="51">
        <f>K12</f>
        <v>0.07877999999999999</v>
      </c>
      <c r="L39" s="47"/>
      <c r="N39" s="38"/>
      <c r="O39" s="657" t="s">
        <v>181</v>
      </c>
      <c r="P39" s="657"/>
      <c r="Q39" s="51">
        <f>Q12</f>
        <v>0.07566629750000001</v>
      </c>
      <c r="R39" s="47"/>
      <c r="S39" s="48"/>
      <c r="T39" s="38"/>
      <c r="U39" s="657" t="s">
        <v>181</v>
      </c>
      <c r="V39" s="657"/>
      <c r="W39" s="51">
        <f>W12</f>
        <v>0.06717825</v>
      </c>
      <c r="X39" s="47"/>
      <c r="Y39" s="48"/>
      <c r="Z39" s="38"/>
      <c r="AA39" s="657" t="s">
        <v>181</v>
      </c>
      <c r="AB39" s="657"/>
      <c r="AC39" s="51">
        <f>AC12</f>
        <v>0.06599319997123711</v>
      </c>
      <c r="AD39" s="47"/>
      <c r="AE39" s="48"/>
      <c r="AF39" s="38"/>
      <c r="AG39" s="657" t="s">
        <v>181</v>
      </c>
      <c r="AH39" s="657"/>
      <c r="AI39" s="51">
        <f>AI12</f>
        <v>0.06895205403354732</v>
      </c>
      <c r="AJ39" s="47"/>
    </row>
    <row r="40" spans="2:36" s="243" customFormat="1" ht="13.5" thickBot="1">
      <c r="B40" s="241"/>
      <c r="C40" s="656" t="s">
        <v>216</v>
      </c>
      <c r="D40" s="656"/>
      <c r="E40" s="272">
        <f>E38*E39</f>
        <v>1736351.5134591598</v>
      </c>
      <c r="F40" s="242"/>
      <c r="H40" s="241"/>
      <c r="I40" s="656" t="s">
        <v>216</v>
      </c>
      <c r="J40" s="656"/>
      <c r="K40" s="272">
        <f>K38*K39</f>
        <v>1758595.6009521894</v>
      </c>
      <c r="L40" s="242"/>
      <c r="N40" s="241"/>
      <c r="O40" s="656" t="s">
        <v>216</v>
      </c>
      <c r="P40" s="656"/>
      <c r="Q40" s="272">
        <f>Q38*Q39</f>
        <v>1769430.7986767448</v>
      </c>
      <c r="R40" s="242"/>
      <c r="S40" s="240"/>
      <c r="T40" s="241"/>
      <c r="U40" s="656" t="s">
        <v>216</v>
      </c>
      <c r="V40" s="656"/>
      <c r="W40" s="272">
        <f>W38*W39</f>
        <v>1596585.8242859857</v>
      </c>
      <c r="X40" s="242"/>
      <c r="Y40" s="240"/>
      <c r="Z40" s="241"/>
      <c r="AA40" s="656" t="s">
        <v>216</v>
      </c>
      <c r="AB40" s="656"/>
      <c r="AC40" s="272">
        <f>AC38*AC39</f>
        <v>1846777.0370572845</v>
      </c>
      <c r="AD40" s="242"/>
      <c r="AE40" s="240"/>
      <c r="AF40" s="241"/>
      <c r="AG40" s="656" t="s">
        <v>216</v>
      </c>
      <c r="AH40" s="656"/>
      <c r="AI40" s="272">
        <f>AI38*AI39</f>
        <v>2181339.2108296305</v>
      </c>
      <c r="AJ40" s="242"/>
    </row>
    <row r="41" spans="2:36" s="243" customFormat="1" ht="13.5" thickTop="1">
      <c r="B41" s="241"/>
      <c r="C41" s="649" t="s">
        <v>192</v>
      </c>
      <c r="D41" s="649"/>
      <c r="E41" s="270">
        <f>(E38*D8*E8)+(E38*D9*E9)</f>
        <v>744528.4859691599</v>
      </c>
      <c r="F41" s="242"/>
      <c r="H41" s="241"/>
      <c r="I41" s="649" t="s">
        <v>192</v>
      </c>
      <c r="J41" s="649"/>
      <c r="K41" s="270">
        <f>(K38*J8*K8)+(K38*J9*K9)</f>
        <v>754066.5067296898</v>
      </c>
      <c r="L41" s="242"/>
      <c r="N41" s="241"/>
      <c r="O41" s="649" t="s">
        <v>192</v>
      </c>
      <c r="P41" s="649"/>
      <c r="Q41" s="270">
        <f>(Q38*P8*Q8)+(Q38*P9*Q9)</f>
        <v>786573.4510130299</v>
      </c>
      <c r="R41" s="242"/>
      <c r="S41" s="240"/>
      <c r="T41" s="241"/>
      <c r="U41" s="649" t="s">
        <v>192</v>
      </c>
      <c r="V41" s="649"/>
      <c r="W41" s="270">
        <f>(W38*V8*W8)+(W38*V9*W9)</f>
        <v>670408.8313987809</v>
      </c>
      <c r="X41" s="242"/>
      <c r="Y41" s="240"/>
      <c r="Z41" s="241"/>
      <c r="AA41" s="649" t="s">
        <v>192</v>
      </c>
      <c r="AB41" s="649"/>
      <c r="AC41" s="270">
        <f>(AC38*AB8*AC8)+(AC38*AB9*AC9)</f>
        <v>744193.5088790708</v>
      </c>
      <c r="AD41" s="242"/>
      <c r="AE41" s="240"/>
      <c r="AF41" s="241"/>
      <c r="AG41" s="649" t="s">
        <v>192</v>
      </c>
      <c r="AH41" s="649"/>
      <c r="AI41" s="270">
        <f>(AI38*AH8*AI8)+(AI38*AH9*AI9)</f>
        <v>934896.793539601</v>
      </c>
      <c r="AJ41" s="242"/>
    </row>
    <row r="42" spans="2:36" s="243" customFormat="1" ht="12.75">
      <c r="B42" s="241"/>
      <c r="C42" s="649" t="s">
        <v>193</v>
      </c>
      <c r="D42" s="649"/>
      <c r="E42" s="270">
        <f>E38*D10*E10</f>
        <v>991823.0274899999</v>
      </c>
      <c r="F42" s="242"/>
      <c r="H42" s="241"/>
      <c r="I42" s="649" t="s">
        <v>193</v>
      </c>
      <c r="J42" s="649"/>
      <c r="K42" s="270">
        <f>K38*J10*K10</f>
        <v>1004529.0942224998</v>
      </c>
      <c r="L42" s="242"/>
      <c r="N42" s="241"/>
      <c r="O42" s="649" t="s">
        <v>193</v>
      </c>
      <c r="P42" s="649"/>
      <c r="Q42" s="270">
        <f>Q38*P10*Q10</f>
        <v>982857.3476637149</v>
      </c>
      <c r="R42" s="242"/>
      <c r="S42" s="240"/>
      <c r="T42" s="241"/>
      <c r="U42" s="649" t="s">
        <v>193</v>
      </c>
      <c r="V42" s="649"/>
      <c r="W42" s="270">
        <f>W38*V10*W10</f>
        <v>926176.9928872049</v>
      </c>
      <c r="X42" s="242"/>
      <c r="Y42" s="240"/>
      <c r="Z42" s="241"/>
      <c r="AA42" s="649" t="s">
        <v>193</v>
      </c>
      <c r="AB42" s="649"/>
      <c r="AC42" s="270">
        <f>AC38*AB10*AC10</f>
        <v>1102583.5281782139</v>
      </c>
      <c r="AD42" s="242"/>
      <c r="AE42" s="240"/>
      <c r="AF42" s="241"/>
      <c r="AG42" s="649" t="s">
        <v>193</v>
      </c>
      <c r="AH42" s="649"/>
      <c r="AI42" s="270">
        <f>AI38*AH10*AI10</f>
        <v>1246442.4172900293</v>
      </c>
      <c r="AJ42" s="242"/>
    </row>
    <row r="43" spans="2:36" ht="5.25" customHeight="1" thickBot="1">
      <c r="B43" s="41"/>
      <c r="C43" s="42"/>
      <c r="D43" s="42"/>
      <c r="E43" s="42"/>
      <c r="F43" s="43"/>
      <c r="H43" s="41"/>
      <c r="I43" s="42"/>
      <c r="J43" s="42"/>
      <c r="K43" s="42"/>
      <c r="L43" s="43"/>
      <c r="N43" s="41"/>
      <c r="O43" s="42"/>
      <c r="P43" s="42"/>
      <c r="Q43" s="42"/>
      <c r="R43" s="43"/>
      <c r="S43" s="48"/>
      <c r="T43" s="41"/>
      <c r="U43" s="42"/>
      <c r="V43" s="42"/>
      <c r="W43" s="42"/>
      <c r="X43" s="43"/>
      <c r="Y43" s="48"/>
      <c r="Z43" s="41"/>
      <c r="AA43" s="42"/>
      <c r="AB43" s="42"/>
      <c r="AC43" s="42"/>
      <c r="AD43" s="43"/>
      <c r="AE43" s="48"/>
      <c r="AF43" s="41"/>
      <c r="AG43" s="42"/>
      <c r="AH43" s="42"/>
      <c r="AI43" s="42"/>
      <c r="AJ43" s="43"/>
    </row>
    <row r="44" ht="13.5" customHeight="1"/>
    <row r="78" ht="12.75">
      <c r="D78" s="17"/>
    </row>
  </sheetData>
  <sheetProtection/>
  <mergeCells count="168">
    <mergeCell ref="AG42:AH42"/>
    <mergeCell ref="AG37:AH37"/>
    <mergeCell ref="AG38:AH38"/>
    <mergeCell ref="AG39:AH39"/>
    <mergeCell ref="AG41:AH41"/>
    <mergeCell ref="AG40:AH40"/>
    <mergeCell ref="AA42:AB42"/>
    <mergeCell ref="AA40:AB40"/>
    <mergeCell ref="AG36:AH36"/>
    <mergeCell ref="AA38:AB38"/>
    <mergeCell ref="AA41:AB41"/>
    <mergeCell ref="AA39:AB39"/>
    <mergeCell ref="AA35:AB35"/>
    <mergeCell ref="AA36:AB36"/>
    <mergeCell ref="AA33:AC33"/>
    <mergeCell ref="AA34:AB34"/>
    <mergeCell ref="AG34:AH34"/>
    <mergeCell ref="AG35:AH35"/>
    <mergeCell ref="AG29:AH29"/>
    <mergeCell ref="AG33:AI33"/>
    <mergeCell ref="AG23:AH23"/>
    <mergeCell ref="AG24:AH24"/>
    <mergeCell ref="AG25:AH25"/>
    <mergeCell ref="AG26:AH26"/>
    <mergeCell ref="AG28:AI28"/>
    <mergeCell ref="AA24:AB24"/>
    <mergeCell ref="AA29:AB29"/>
    <mergeCell ref="AA28:AC28"/>
    <mergeCell ref="AA26:AB26"/>
    <mergeCell ref="U21:V21"/>
    <mergeCell ref="U22:V22"/>
    <mergeCell ref="AG21:AH21"/>
    <mergeCell ref="AG22:AH22"/>
    <mergeCell ref="U29:V29"/>
    <mergeCell ref="U33:W33"/>
    <mergeCell ref="U28:W28"/>
    <mergeCell ref="AG19:AH19"/>
    <mergeCell ref="AG6:AI6"/>
    <mergeCell ref="AG11:AH11"/>
    <mergeCell ref="AG12:AH12"/>
    <mergeCell ref="AG16:AI16"/>
    <mergeCell ref="AG20:AH20"/>
    <mergeCell ref="AA6:AC6"/>
    <mergeCell ref="U6:W6"/>
    <mergeCell ref="AG27:AH27"/>
    <mergeCell ref="U16:W16"/>
    <mergeCell ref="U18:V18"/>
    <mergeCell ref="AA22:AB22"/>
    <mergeCell ref="AA27:AB27"/>
    <mergeCell ref="AA11:AB11"/>
    <mergeCell ref="AA12:AB12"/>
    <mergeCell ref="AA23:AB23"/>
    <mergeCell ref="AA25:AB25"/>
    <mergeCell ref="AA16:AC16"/>
    <mergeCell ref="U17:V17"/>
    <mergeCell ref="U11:V11"/>
    <mergeCell ref="U12:V12"/>
    <mergeCell ref="U19:V19"/>
    <mergeCell ref="U20:V20"/>
    <mergeCell ref="C6:E6"/>
    <mergeCell ref="C11:D11"/>
    <mergeCell ref="C12:D12"/>
    <mergeCell ref="C16:E16"/>
    <mergeCell ref="O12:P12"/>
    <mergeCell ref="O17:P17"/>
    <mergeCell ref="O18:P18"/>
    <mergeCell ref="I18:J18"/>
    <mergeCell ref="AG17:AH17"/>
    <mergeCell ref="AG18:AH18"/>
    <mergeCell ref="U36:V36"/>
    <mergeCell ref="U37:V37"/>
    <mergeCell ref="U38:V38"/>
    <mergeCell ref="U39:V39"/>
    <mergeCell ref="U40:V40"/>
    <mergeCell ref="O20:P20"/>
    <mergeCell ref="I6:K6"/>
    <mergeCell ref="I11:J11"/>
    <mergeCell ref="I12:J12"/>
    <mergeCell ref="I16:K16"/>
    <mergeCell ref="O16:Q16"/>
    <mergeCell ref="U26:V26"/>
    <mergeCell ref="U23:V23"/>
    <mergeCell ref="U25:V25"/>
    <mergeCell ref="U27:V27"/>
    <mergeCell ref="U34:V34"/>
    <mergeCell ref="U35:V35"/>
    <mergeCell ref="O23:P23"/>
    <mergeCell ref="O26:P26"/>
    <mergeCell ref="O25:P25"/>
    <mergeCell ref="O24:P24"/>
    <mergeCell ref="O27:P27"/>
    <mergeCell ref="O42:P42"/>
    <mergeCell ref="O41:P41"/>
    <mergeCell ref="O38:P38"/>
    <mergeCell ref="O39:P39"/>
    <mergeCell ref="O40:P40"/>
    <mergeCell ref="U24:V24"/>
    <mergeCell ref="I42:J42"/>
    <mergeCell ref="I27:J27"/>
    <mergeCell ref="I28:K28"/>
    <mergeCell ref="O33:Q33"/>
    <mergeCell ref="U42:V42"/>
    <mergeCell ref="U41:V41"/>
    <mergeCell ref="I34:J34"/>
    <mergeCell ref="O34:P34"/>
    <mergeCell ref="O35:P35"/>
    <mergeCell ref="I35:J35"/>
    <mergeCell ref="I38:J38"/>
    <mergeCell ref="I39:J39"/>
    <mergeCell ref="I40:J40"/>
    <mergeCell ref="I41:J41"/>
    <mergeCell ref="I37:J37"/>
    <mergeCell ref="O37:P37"/>
    <mergeCell ref="I36:J36"/>
    <mergeCell ref="O36:P36"/>
    <mergeCell ref="O29:P29"/>
    <mergeCell ref="I24:J24"/>
    <mergeCell ref="I25:J25"/>
    <mergeCell ref="I26:J26"/>
    <mergeCell ref="O28:Q28"/>
    <mergeCell ref="I21:J21"/>
    <mergeCell ref="I22:J22"/>
    <mergeCell ref="I29:J29"/>
    <mergeCell ref="I33:K33"/>
    <mergeCell ref="I23:J23"/>
    <mergeCell ref="A1:R1"/>
    <mergeCell ref="A2:R2"/>
    <mergeCell ref="O11:P11"/>
    <mergeCell ref="O6:Q6"/>
    <mergeCell ref="I17:J17"/>
    <mergeCell ref="O21:P21"/>
    <mergeCell ref="C27:D27"/>
    <mergeCell ref="C20:D20"/>
    <mergeCell ref="C21:D21"/>
    <mergeCell ref="C22:D22"/>
    <mergeCell ref="C23:D23"/>
    <mergeCell ref="C24:D24"/>
    <mergeCell ref="C25:D25"/>
    <mergeCell ref="C17:D17"/>
    <mergeCell ref="C18:D18"/>
    <mergeCell ref="C19:D19"/>
    <mergeCell ref="O22:P22"/>
    <mergeCell ref="B3:R3"/>
    <mergeCell ref="O19:P19"/>
    <mergeCell ref="U3:AK3"/>
    <mergeCell ref="U1:AL1"/>
    <mergeCell ref="U2:AL2"/>
    <mergeCell ref="C41:D41"/>
    <mergeCell ref="C42:D42"/>
    <mergeCell ref="C28:E28"/>
    <mergeCell ref="C29:D29"/>
    <mergeCell ref="C33:E33"/>
    <mergeCell ref="C34:D34"/>
    <mergeCell ref="C35:D35"/>
    <mergeCell ref="C36:D36"/>
    <mergeCell ref="C37:D37"/>
    <mergeCell ref="C38:D38"/>
    <mergeCell ref="C39:D39"/>
    <mergeCell ref="C40:D40"/>
    <mergeCell ref="AA37:AB37"/>
    <mergeCell ref="AA17:AB17"/>
    <mergeCell ref="AA18:AB18"/>
    <mergeCell ref="AA19:AB19"/>
    <mergeCell ref="AA20:AB20"/>
    <mergeCell ref="AA21:AB21"/>
    <mergeCell ref="I19:J19"/>
    <mergeCell ref="I20:J20"/>
    <mergeCell ref="C26:D26"/>
  </mergeCells>
  <printOptions/>
  <pageMargins left="0" right="0" top="0.984251968503937" bottom="0.984251968503937" header="0.5118110236220472" footer="0.5118110236220472"/>
  <pageSetup fitToHeight="2" fitToWidth="2" horizontalDpi="355" verticalDpi="355" orientation="landscape" scale="78" r:id="rId1"/>
  <headerFooter alignWithMargins="0">
    <oddFooter>&amp;L&amp;A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showGridLines="0" zoomScalePageLayoutView="0" workbookViewId="0" topLeftCell="A53">
      <selection activeCell="M62" sqref="M62"/>
    </sheetView>
  </sheetViews>
  <sheetFormatPr defaultColWidth="8.8515625" defaultRowHeight="12.75"/>
  <cols>
    <col min="1" max="1" width="0.9921875" style="439" customWidth="1"/>
    <col min="2" max="2" width="1.28515625" style="439" customWidth="1"/>
    <col min="3" max="3" width="23.28125" style="439" bestFit="1" customWidth="1"/>
    <col min="4" max="4" width="33.421875" style="439" customWidth="1"/>
    <col min="5" max="5" width="17.8515625" style="439" bestFit="1" customWidth="1"/>
    <col min="6" max="7" width="8.8515625" style="439" customWidth="1"/>
    <col min="8" max="8" width="12.28125" style="439" bestFit="1" customWidth="1"/>
    <col min="9" max="9" width="12.421875" style="439" bestFit="1" customWidth="1"/>
    <col min="10" max="10" width="1.7109375" style="439" customWidth="1"/>
    <col min="11" max="11" width="8.8515625" style="439" customWidth="1"/>
    <col min="12" max="12" width="12.28125" style="439" bestFit="1" customWidth="1"/>
    <col min="13" max="13" width="12.140625" style="439" bestFit="1" customWidth="1"/>
    <col min="14" max="14" width="0.9921875" style="439" customWidth="1"/>
    <col min="15" max="15" width="8.8515625" style="439" customWidth="1"/>
    <col min="16" max="16" width="9.00390625" style="439" bestFit="1" customWidth="1"/>
    <col min="17" max="16384" width="8.8515625" style="439" customWidth="1"/>
  </cols>
  <sheetData>
    <row r="1" spans="1:14" ht="12.75">
      <c r="A1" s="707" t="str">
        <f>'Trial Balance'!A1:J1</f>
        <v>Woodstock Hydro Services Inc.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</row>
    <row r="2" spans="1:14" ht="12.75">
      <c r="A2" s="707" t="str">
        <f>'Trial Balance'!A2:J2</f>
        <v>, License Number ED-2003-0011, File Number EB-2010-0145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</row>
    <row r="3" spans="2:14" ht="35.25" customHeight="1" thickBot="1">
      <c r="B3" s="715" t="s">
        <v>230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</row>
    <row r="4" spans="2:14" ht="6" customHeight="1">
      <c r="B4" s="416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417"/>
    </row>
    <row r="5" spans="2:14" ht="24" customHeight="1">
      <c r="B5" s="418"/>
      <c r="C5" s="694" t="s">
        <v>449</v>
      </c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419"/>
    </row>
    <row r="6" spans="2:14" s="459" customFormat="1" ht="33" customHeight="1">
      <c r="B6" s="420"/>
      <c r="C6" s="422" t="s">
        <v>184</v>
      </c>
      <c r="D6" s="422" t="s">
        <v>450</v>
      </c>
      <c r="E6" s="421" t="s">
        <v>451</v>
      </c>
      <c r="F6" s="717" t="s">
        <v>452</v>
      </c>
      <c r="G6" s="718"/>
      <c r="H6" s="422" t="s">
        <v>453</v>
      </c>
      <c r="I6" s="422" t="s">
        <v>454</v>
      </c>
      <c r="J6" s="712" t="s">
        <v>175</v>
      </c>
      <c r="K6" s="712"/>
      <c r="L6" s="421" t="s">
        <v>176</v>
      </c>
      <c r="M6" s="422" t="s">
        <v>455</v>
      </c>
      <c r="N6" s="423"/>
    </row>
    <row r="7" spans="2:14" ht="12.75">
      <c r="B7" s="418"/>
      <c r="C7" s="424" t="s">
        <v>885</v>
      </c>
      <c r="D7" s="425" t="s">
        <v>884</v>
      </c>
      <c r="E7" s="426" t="s">
        <v>94</v>
      </c>
      <c r="F7" s="713"/>
      <c r="G7" s="714"/>
      <c r="H7" s="427">
        <v>10941862</v>
      </c>
      <c r="I7" s="428">
        <v>15</v>
      </c>
      <c r="J7" s="719">
        <v>0.06756</v>
      </c>
      <c r="K7" s="720"/>
      <c r="L7" s="429">
        <v>2006</v>
      </c>
      <c r="M7" s="427">
        <f>H7*J7</f>
        <v>739232.1967199999</v>
      </c>
      <c r="N7" s="419"/>
    </row>
    <row r="8" spans="2:14" ht="12.75">
      <c r="B8" s="418"/>
      <c r="C8" s="424" t="s">
        <v>885</v>
      </c>
      <c r="D8" s="425" t="s">
        <v>884</v>
      </c>
      <c r="E8" s="426" t="s">
        <v>94</v>
      </c>
      <c r="F8" s="713"/>
      <c r="G8" s="714"/>
      <c r="H8" s="427">
        <v>10941862</v>
      </c>
      <c r="I8" s="428">
        <v>15</v>
      </c>
      <c r="J8" s="719">
        <v>0.06756</v>
      </c>
      <c r="K8" s="720"/>
      <c r="L8" s="429">
        <v>2007</v>
      </c>
      <c r="M8" s="427">
        <f>H8*J8</f>
        <v>739232.1967199999</v>
      </c>
      <c r="N8" s="419"/>
    </row>
    <row r="9" spans="2:14" ht="38.25">
      <c r="B9" s="418"/>
      <c r="C9" s="424" t="s">
        <v>885</v>
      </c>
      <c r="D9" s="443" t="s">
        <v>931</v>
      </c>
      <c r="E9" s="426" t="s">
        <v>839</v>
      </c>
      <c r="F9" s="713" t="s">
        <v>887</v>
      </c>
      <c r="G9" s="714"/>
      <c r="H9" s="427">
        <v>10941862</v>
      </c>
      <c r="I9" s="428">
        <v>15</v>
      </c>
      <c r="J9" s="719">
        <f>(0.06756*9+0.04975*3)/12</f>
        <v>0.0631075</v>
      </c>
      <c r="K9" s="720"/>
      <c r="L9" s="429">
        <v>2008</v>
      </c>
      <c r="M9" s="427">
        <f>H9*J9</f>
        <v>690513.556165</v>
      </c>
      <c r="N9" s="419"/>
    </row>
    <row r="10" spans="2:14" ht="12.75">
      <c r="B10" s="418"/>
      <c r="C10" s="424" t="s">
        <v>885</v>
      </c>
      <c r="D10" s="424" t="s">
        <v>886</v>
      </c>
      <c r="E10" s="426" t="s">
        <v>839</v>
      </c>
      <c r="F10" s="713" t="s">
        <v>887</v>
      </c>
      <c r="G10" s="714"/>
      <c r="H10" s="427">
        <v>10941862</v>
      </c>
      <c r="I10" s="428">
        <v>15</v>
      </c>
      <c r="J10" s="719">
        <v>0.04975</v>
      </c>
      <c r="K10" s="720"/>
      <c r="L10" s="429">
        <v>2009</v>
      </c>
      <c r="M10" s="427">
        <f>H10*J10</f>
        <v>544357.6345</v>
      </c>
      <c r="N10" s="419"/>
    </row>
    <row r="11" spans="2:14" ht="12.75">
      <c r="B11" s="418"/>
      <c r="C11" s="424" t="s">
        <v>885</v>
      </c>
      <c r="D11" s="424" t="s">
        <v>886</v>
      </c>
      <c r="E11" s="426" t="s">
        <v>839</v>
      </c>
      <c r="F11" s="713" t="s">
        <v>888</v>
      </c>
      <c r="G11" s="714"/>
      <c r="H11" s="427">
        <v>10941862</v>
      </c>
      <c r="I11" s="428">
        <v>15</v>
      </c>
      <c r="J11" s="719">
        <f>(0.04975*4+0.0515*8)/12</f>
        <v>0.050916666666666666</v>
      </c>
      <c r="K11" s="720"/>
      <c r="L11" s="429">
        <v>2010</v>
      </c>
      <c r="M11" s="427">
        <f>H11*J11</f>
        <v>557123.1401666667</v>
      </c>
      <c r="N11" s="419"/>
    </row>
    <row r="12" spans="2:14" ht="12.75">
      <c r="B12" s="418"/>
      <c r="C12" s="424" t="s">
        <v>882</v>
      </c>
      <c r="D12" s="424" t="s">
        <v>883</v>
      </c>
      <c r="E12" s="426" t="s">
        <v>839</v>
      </c>
      <c r="F12" s="713" t="s">
        <v>924</v>
      </c>
      <c r="G12" s="714"/>
      <c r="H12" s="427">
        <v>1800000</v>
      </c>
      <c r="I12" s="428">
        <v>15</v>
      </c>
      <c r="J12" s="719">
        <v>0.0421</v>
      </c>
      <c r="K12" s="720"/>
      <c r="L12" s="429">
        <v>2010</v>
      </c>
      <c r="M12" s="427">
        <f>H12*J12/12*4</f>
        <v>25260</v>
      </c>
      <c r="N12" s="419"/>
    </row>
    <row r="13" spans="2:14" ht="12.75">
      <c r="B13" s="418"/>
      <c r="C13" s="424" t="s">
        <v>890</v>
      </c>
      <c r="D13" s="425" t="s">
        <v>886</v>
      </c>
      <c r="E13" s="426" t="s">
        <v>839</v>
      </c>
      <c r="F13" s="713" t="s">
        <v>888</v>
      </c>
      <c r="G13" s="714"/>
      <c r="H13" s="427">
        <v>2500000</v>
      </c>
      <c r="I13" s="428">
        <v>15</v>
      </c>
      <c r="J13" s="719">
        <v>0.0559</v>
      </c>
      <c r="K13" s="720"/>
      <c r="L13" s="429">
        <v>2010</v>
      </c>
      <c r="M13" s="427">
        <f>H13*J13/12*8</f>
        <v>93166.66666666667</v>
      </c>
      <c r="N13" s="419"/>
    </row>
    <row r="14" spans="2:14" ht="12.75">
      <c r="B14" s="418"/>
      <c r="C14" s="424" t="s">
        <v>885</v>
      </c>
      <c r="D14" s="424" t="s">
        <v>886</v>
      </c>
      <c r="E14" s="426" t="s">
        <v>839</v>
      </c>
      <c r="F14" s="713" t="s">
        <v>888</v>
      </c>
      <c r="G14" s="714"/>
      <c r="H14" s="427">
        <v>10941862</v>
      </c>
      <c r="I14" s="428">
        <v>15</v>
      </c>
      <c r="J14" s="719">
        <v>0.0515</v>
      </c>
      <c r="K14" s="720"/>
      <c r="L14" s="429">
        <v>2011</v>
      </c>
      <c r="M14" s="427">
        <f>H14*J14</f>
        <v>563505.8929999999</v>
      </c>
      <c r="N14" s="419"/>
    </row>
    <row r="15" spans="2:14" ht="12.75">
      <c r="B15" s="418"/>
      <c r="C15" s="424" t="s">
        <v>882</v>
      </c>
      <c r="D15" s="424" t="s">
        <v>883</v>
      </c>
      <c r="E15" s="426" t="s">
        <v>839</v>
      </c>
      <c r="F15" s="713" t="s">
        <v>924</v>
      </c>
      <c r="G15" s="714"/>
      <c r="H15" s="427">
        <v>1800000</v>
      </c>
      <c r="I15" s="428">
        <v>15</v>
      </c>
      <c r="J15" s="719">
        <v>0.0421</v>
      </c>
      <c r="K15" s="720"/>
      <c r="L15" s="429">
        <v>2011</v>
      </c>
      <c r="M15" s="427">
        <f>H15*J15</f>
        <v>75780</v>
      </c>
      <c r="N15" s="419"/>
    </row>
    <row r="16" spans="2:14" ht="12.75">
      <c r="B16" s="418"/>
      <c r="C16" s="424" t="s">
        <v>890</v>
      </c>
      <c r="D16" s="425" t="s">
        <v>886</v>
      </c>
      <c r="E16" s="426" t="s">
        <v>839</v>
      </c>
      <c r="F16" s="713" t="s">
        <v>888</v>
      </c>
      <c r="G16" s="714"/>
      <c r="H16" s="427">
        <v>2500000</v>
      </c>
      <c r="I16" s="428">
        <v>15</v>
      </c>
      <c r="J16" s="719">
        <v>0.0559</v>
      </c>
      <c r="K16" s="720"/>
      <c r="L16" s="429">
        <v>2011</v>
      </c>
      <c r="M16" s="427">
        <f>H16*J16</f>
        <v>139750</v>
      </c>
      <c r="N16" s="419"/>
    </row>
    <row r="17" spans="2:14" ht="12.75">
      <c r="B17" s="418"/>
      <c r="C17" s="424" t="s">
        <v>891</v>
      </c>
      <c r="D17" s="425" t="s">
        <v>886</v>
      </c>
      <c r="E17" s="426" t="s">
        <v>839</v>
      </c>
      <c r="F17" s="713" t="s">
        <v>889</v>
      </c>
      <c r="G17" s="714"/>
      <c r="H17" s="427">
        <v>800000</v>
      </c>
      <c r="I17" s="428">
        <v>15</v>
      </c>
      <c r="J17" s="719">
        <v>0.0559</v>
      </c>
      <c r="K17" s="720"/>
      <c r="L17" s="429">
        <v>2011</v>
      </c>
      <c r="M17" s="427">
        <f>H17*J17/12*8</f>
        <v>29813.333333333332</v>
      </c>
      <c r="N17" s="419"/>
    </row>
    <row r="18" spans="2:16" ht="12.75">
      <c r="B18" s="418"/>
      <c r="C18" s="424" t="s">
        <v>892</v>
      </c>
      <c r="D18" s="425" t="s">
        <v>886</v>
      </c>
      <c r="E18" s="426" t="s">
        <v>839</v>
      </c>
      <c r="F18" s="713" t="s">
        <v>904</v>
      </c>
      <c r="G18" s="714"/>
      <c r="H18" s="427">
        <v>800000</v>
      </c>
      <c r="I18" s="428">
        <v>15</v>
      </c>
      <c r="J18" s="719">
        <v>0.0559</v>
      </c>
      <c r="K18" s="720"/>
      <c r="L18" s="429">
        <v>2011</v>
      </c>
      <c r="M18" s="427">
        <f>H18*J18/12*1</f>
        <v>3726.6666666666665</v>
      </c>
      <c r="N18" s="419"/>
      <c r="P18" s="460"/>
    </row>
    <row r="19" spans="2:14" ht="13.5" hidden="1">
      <c r="B19" s="418"/>
      <c r="C19" s="424"/>
      <c r="D19" s="425"/>
      <c r="E19" s="426"/>
      <c r="F19" s="713"/>
      <c r="G19" s="714"/>
      <c r="H19" s="427"/>
      <c r="I19" s="428"/>
      <c r="J19" s="719"/>
      <c r="K19" s="720"/>
      <c r="L19" s="429"/>
      <c r="M19" s="430">
        <f aca="true" t="shared" si="0" ref="M19:M24">H19*J19</f>
        <v>0</v>
      </c>
      <c r="N19" s="419"/>
    </row>
    <row r="20" spans="2:14" ht="13.5" hidden="1">
      <c r="B20" s="418"/>
      <c r="C20" s="424"/>
      <c r="D20" s="424"/>
      <c r="E20" s="426"/>
      <c r="F20" s="431"/>
      <c r="G20" s="432"/>
      <c r="H20" s="430"/>
      <c r="I20" s="428"/>
      <c r="J20" s="716"/>
      <c r="K20" s="716"/>
      <c r="L20" s="429"/>
      <c r="M20" s="430">
        <f t="shared" si="0"/>
        <v>0</v>
      </c>
      <c r="N20" s="419"/>
    </row>
    <row r="21" spans="2:14" ht="13.5" hidden="1">
      <c r="B21" s="418"/>
      <c r="C21" s="424"/>
      <c r="D21" s="424"/>
      <c r="E21" s="426"/>
      <c r="F21" s="431"/>
      <c r="G21" s="432"/>
      <c r="H21" s="430"/>
      <c r="I21" s="428"/>
      <c r="J21" s="716"/>
      <c r="K21" s="716"/>
      <c r="L21" s="429"/>
      <c r="M21" s="430">
        <f t="shared" si="0"/>
        <v>0</v>
      </c>
      <c r="N21" s="419"/>
    </row>
    <row r="22" spans="2:14" ht="13.5" hidden="1">
      <c r="B22" s="418"/>
      <c r="C22" s="424"/>
      <c r="D22" s="424"/>
      <c r="E22" s="426"/>
      <c r="F22" s="431"/>
      <c r="G22" s="432"/>
      <c r="H22" s="430"/>
      <c r="I22" s="428"/>
      <c r="J22" s="716"/>
      <c r="K22" s="716"/>
      <c r="L22" s="429"/>
      <c r="M22" s="430">
        <f t="shared" si="0"/>
        <v>0</v>
      </c>
      <c r="N22" s="419"/>
    </row>
    <row r="23" spans="2:14" ht="13.5" hidden="1">
      <c r="B23" s="418"/>
      <c r="C23" s="424"/>
      <c r="D23" s="424"/>
      <c r="E23" s="426"/>
      <c r="F23" s="708"/>
      <c r="G23" s="709"/>
      <c r="H23" s="430"/>
      <c r="I23" s="428"/>
      <c r="J23" s="716"/>
      <c r="K23" s="716"/>
      <c r="L23" s="429"/>
      <c r="M23" s="430">
        <f t="shared" si="0"/>
        <v>0</v>
      </c>
      <c r="N23" s="419"/>
    </row>
    <row r="24" spans="2:14" ht="13.5" hidden="1">
      <c r="B24" s="418"/>
      <c r="C24" s="424"/>
      <c r="D24" s="424"/>
      <c r="E24" s="426"/>
      <c r="F24" s="708"/>
      <c r="G24" s="709"/>
      <c r="H24" s="430"/>
      <c r="I24" s="428"/>
      <c r="J24" s="716"/>
      <c r="K24" s="716"/>
      <c r="L24" s="429"/>
      <c r="M24" s="430">
        <f t="shared" si="0"/>
        <v>0</v>
      </c>
      <c r="N24" s="419"/>
    </row>
    <row r="25" spans="2:14" ht="13.5" hidden="1">
      <c r="B25" s="418"/>
      <c r="C25" s="424"/>
      <c r="D25" s="424"/>
      <c r="E25" s="426"/>
      <c r="F25" s="708"/>
      <c r="G25" s="709"/>
      <c r="H25" s="430"/>
      <c r="I25" s="428"/>
      <c r="J25" s="716"/>
      <c r="K25" s="716"/>
      <c r="L25" s="428"/>
      <c r="M25" s="430">
        <f>H25*J25</f>
        <v>0</v>
      </c>
      <c r="N25" s="419"/>
    </row>
    <row r="26" spans="2:14" ht="13.5" hidden="1">
      <c r="B26" s="418"/>
      <c r="C26" s="424"/>
      <c r="D26" s="424"/>
      <c r="E26" s="426"/>
      <c r="F26" s="708"/>
      <c r="G26" s="709"/>
      <c r="H26" s="430"/>
      <c r="I26" s="428"/>
      <c r="J26" s="716"/>
      <c r="K26" s="716"/>
      <c r="L26" s="428"/>
      <c r="M26" s="430">
        <f>H26*J26</f>
        <v>0</v>
      </c>
      <c r="N26" s="419"/>
    </row>
    <row r="27" spans="2:14" ht="13.5" hidden="1">
      <c r="B27" s="418"/>
      <c r="C27" s="424"/>
      <c r="D27" s="424"/>
      <c r="E27" s="426"/>
      <c r="F27" s="708"/>
      <c r="G27" s="709"/>
      <c r="H27" s="430"/>
      <c r="I27" s="428"/>
      <c r="J27" s="716"/>
      <c r="K27" s="716"/>
      <c r="L27" s="428"/>
      <c r="M27" s="430">
        <f>H27*J27</f>
        <v>0</v>
      </c>
      <c r="N27" s="419"/>
    </row>
    <row r="28" spans="2:14" ht="7.5" customHeight="1" thickBot="1">
      <c r="B28" s="418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419"/>
    </row>
    <row r="29" spans="2:14" ht="13.5" customHeight="1" thickBot="1">
      <c r="B29" s="418"/>
      <c r="C29" s="706" t="s">
        <v>823</v>
      </c>
      <c r="D29" s="706"/>
      <c r="E29" s="706"/>
      <c r="F29" s="706"/>
      <c r="G29" s="706"/>
      <c r="H29" s="434">
        <f>SUMIF($L$7:$L$26,2006,$H$7:$H$27)</f>
        <v>10941862</v>
      </c>
      <c r="I29" s="710" t="s">
        <v>228</v>
      </c>
      <c r="J29" s="699"/>
      <c r="K29" s="699"/>
      <c r="L29" s="711"/>
      <c r="M29" s="434">
        <f>SUMIF($L$7:$L$26,2006,$M$7:$M$27)</f>
        <v>739232.1967199999</v>
      </c>
      <c r="N29" s="419"/>
    </row>
    <row r="30" spans="2:14" ht="13.5" customHeight="1" thickBot="1">
      <c r="B30" s="418"/>
      <c r="C30" s="698"/>
      <c r="D30" s="698"/>
      <c r="E30" s="698"/>
      <c r="F30" s="698"/>
      <c r="G30" s="698"/>
      <c r="H30" s="698"/>
      <c r="I30" s="698"/>
      <c r="J30" s="698"/>
      <c r="K30" s="698"/>
      <c r="L30" s="698"/>
      <c r="M30" s="698"/>
      <c r="N30" s="419"/>
    </row>
    <row r="31" spans="2:14" ht="13.5" customHeight="1" thickBot="1">
      <c r="B31" s="418"/>
      <c r="C31" s="702"/>
      <c r="D31" s="702"/>
      <c r="E31" s="702"/>
      <c r="F31" s="702"/>
      <c r="G31" s="702"/>
      <c r="H31" s="702"/>
      <c r="I31" s="699" t="s">
        <v>229</v>
      </c>
      <c r="J31" s="699"/>
      <c r="K31" s="699"/>
      <c r="L31" s="699"/>
      <c r="M31" s="435">
        <f>M29/H29</f>
        <v>0.06756</v>
      </c>
      <c r="N31" s="419"/>
    </row>
    <row r="32" spans="2:14" ht="13.5" thickBot="1">
      <c r="B32" s="418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19"/>
    </row>
    <row r="33" spans="2:14" ht="13.5" thickBot="1">
      <c r="B33" s="418"/>
      <c r="C33" s="706" t="s">
        <v>824</v>
      </c>
      <c r="D33" s="706"/>
      <c r="E33" s="706"/>
      <c r="F33" s="706"/>
      <c r="G33" s="706"/>
      <c r="H33" s="434">
        <f>SUMIF($L$7:$L$26,2007,$H$7:$H$27)</f>
        <v>10941862</v>
      </c>
      <c r="I33" s="710" t="s">
        <v>275</v>
      </c>
      <c r="J33" s="699"/>
      <c r="K33" s="699"/>
      <c r="L33" s="711"/>
      <c r="M33" s="434">
        <f>SUMIF($L$7:$L$26,2007,$M$7:$M$27)</f>
        <v>739232.1967199999</v>
      </c>
      <c r="N33" s="419"/>
    </row>
    <row r="34" spans="2:14" ht="13.5" thickBot="1">
      <c r="B34" s="418"/>
      <c r="C34" s="698"/>
      <c r="D34" s="698"/>
      <c r="E34" s="698"/>
      <c r="F34" s="698"/>
      <c r="G34" s="698"/>
      <c r="H34" s="698"/>
      <c r="I34" s="698"/>
      <c r="J34" s="698"/>
      <c r="K34" s="698"/>
      <c r="L34" s="698"/>
      <c r="M34" s="698"/>
      <c r="N34" s="419"/>
    </row>
    <row r="35" spans="2:14" ht="13.5" thickBot="1">
      <c r="B35" s="418"/>
      <c r="C35" s="702"/>
      <c r="D35" s="702"/>
      <c r="E35" s="702"/>
      <c r="F35" s="702"/>
      <c r="G35" s="702"/>
      <c r="H35" s="702"/>
      <c r="I35" s="699" t="s">
        <v>276</v>
      </c>
      <c r="J35" s="699"/>
      <c r="K35" s="699"/>
      <c r="L35" s="699"/>
      <c r="M35" s="435">
        <f>M33/H33</f>
        <v>0.06756</v>
      </c>
      <c r="N35" s="419"/>
    </row>
    <row r="36" spans="2:14" ht="9" customHeight="1" thickBot="1">
      <c r="B36" s="418"/>
      <c r="C36" s="698"/>
      <c r="D36" s="698"/>
      <c r="E36" s="698"/>
      <c r="F36" s="698"/>
      <c r="G36" s="698"/>
      <c r="H36" s="698"/>
      <c r="I36" s="698"/>
      <c r="J36" s="698"/>
      <c r="K36" s="698"/>
      <c r="L36" s="698"/>
      <c r="M36" s="698"/>
      <c r="N36" s="419"/>
    </row>
    <row r="37" spans="2:14" ht="13.5" thickBot="1">
      <c r="B37" s="418"/>
      <c r="C37" s="706" t="s">
        <v>825</v>
      </c>
      <c r="D37" s="706"/>
      <c r="E37" s="706"/>
      <c r="F37" s="706"/>
      <c r="G37" s="706"/>
      <c r="H37" s="434">
        <f>SUMIF($L$7:$L$26,2008,$H$7:$H$27)</f>
        <v>10941862</v>
      </c>
      <c r="I37" s="699" t="s">
        <v>284</v>
      </c>
      <c r="J37" s="699"/>
      <c r="K37" s="699"/>
      <c r="L37" s="699"/>
      <c r="M37" s="434">
        <f>SUMIF($L$7:$L$26,2008,$M$7:$M$27)</f>
        <v>690513.556165</v>
      </c>
      <c r="N37" s="419"/>
    </row>
    <row r="38" spans="2:14" ht="13.5" thickBot="1">
      <c r="B38" s="418"/>
      <c r="C38" s="698"/>
      <c r="D38" s="698"/>
      <c r="E38" s="698"/>
      <c r="F38" s="698"/>
      <c r="G38" s="698"/>
      <c r="H38" s="698"/>
      <c r="I38" s="698"/>
      <c r="J38" s="698"/>
      <c r="K38" s="698"/>
      <c r="L38" s="698"/>
      <c r="M38" s="698"/>
      <c r="N38" s="419"/>
    </row>
    <row r="39" spans="2:14" ht="13.5" thickBot="1">
      <c r="B39" s="418"/>
      <c r="C39" s="702"/>
      <c r="D39" s="702"/>
      <c r="E39" s="702"/>
      <c r="F39" s="702"/>
      <c r="G39" s="702"/>
      <c r="H39" s="702"/>
      <c r="I39" s="699" t="s">
        <v>277</v>
      </c>
      <c r="J39" s="699"/>
      <c r="K39" s="699"/>
      <c r="L39" s="699"/>
      <c r="M39" s="435">
        <f>M37/H37</f>
        <v>0.0631075</v>
      </c>
      <c r="N39" s="419"/>
    </row>
    <row r="40" spans="2:14" ht="13.5" thickBot="1">
      <c r="B40" s="418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19"/>
    </row>
    <row r="41" spans="2:14" ht="13.5" thickBot="1">
      <c r="B41" s="418"/>
      <c r="C41" s="706" t="s">
        <v>826</v>
      </c>
      <c r="D41" s="706"/>
      <c r="E41" s="706"/>
      <c r="F41" s="706"/>
      <c r="G41" s="706"/>
      <c r="H41" s="434">
        <f>SUMIF($L$7:$L$26,2009,$H$7:$H$27)</f>
        <v>10941862</v>
      </c>
      <c r="I41" s="699" t="s">
        <v>168</v>
      </c>
      <c r="J41" s="699"/>
      <c r="K41" s="699"/>
      <c r="L41" s="699"/>
      <c r="M41" s="434">
        <f>SUMIF($L$7:$L$26,2009,$M$7:$M$27)</f>
        <v>544357.6345</v>
      </c>
      <c r="N41" s="419"/>
    </row>
    <row r="42" spans="2:14" ht="13.5" thickBot="1">
      <c r="B42" s="418"/>
      <c r="C42" s="698"/>
      <c r="D42" s="698"/>
      <c r="E42" s="698"/>
      <c r="F42" s="698"/>
      <c r="G42" s="698"/>
      <c r="H42" s="698"/>
      <c r="I42" s="698"/>
      <c r="J42" s="698"/>
      <c r="K42" s="698"/>
      <c r="L42" s="698"/>
      <c r="M42" s="698"/>
      <c r="N42" s="419"/>
    </row>
    <row r="43" spans="2:14" ht="13.5" thickBot="1">
      <c r="B43" s="418"/>
      <c r="C43" s="702"/>
      <c r="D43" s="702"/>
      <c r="E43" s="702"/>
      <c r="F43" s="702"/>
      <c r="G43" s="702"/>
      <c r="H43" s="702"/>
      <c r="I43" s="699" t="s">
        <v>169</v>
      </c>
      <c r="J43" s="699"/>
      <c r="K43" s="699"/>
      <c r="L43" s="699"/>
      <c r="M43" s="435">
        <f>M41/H41</f>
        <v>0.04975</v>
      </c>
      <c r="N43" s="419"/>
    </row>
    <row r="44" spans="2:14" ht="9" customHeight="1" thickBot="1">
      <c r="B44" s="418"/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19"/>
    </row>
    <row r="45" spans="2:14" ht="13.5" thickBot="1">
      <c r="B45" s="418"/>
      <c r="C45" s="706" t="s">
        <v>827</v>
      </c>
      <c r="D45" s="706"/>
      <c r="E45" s="706"/>
      <c r="F45" s="706"/>
      <c r="G45" s="706"/>
      <c r="H45" s="434">
        <f>SUMIF($L$7:$L$26,2010,$H$7:$H$27)</f>
        <v>15241862</v>
      </c>
      <c r="I45" s="699" t="s">
        <v>828</v>
      </c>
      <c r="J45" s="699"/>
      <c r="K45" s="699"/>
      <c r="L45" s="699"/>
      <c r="M45" s="434">
        <f>SUMIF($L$7:$L$26,2010,$M$7:$M$27)</f>
        <v>675549.8068333333</v>
      </c>
      <c r="N45" s="419"/>
    </row>
    <row r="46" spans="2:14" ht="13.5" thickBot="1">
      <c r="B46" s="418"/>
      <c r="C46" s="698"/>
      <c r="D46" s="698"/>
      <c r="E46" s="698"/>
      <c r="F46" s="698"/>
      <c r="G46" s="698"/>
      <c r="H46" s="698"/>
      <c r="I46" s="698"/>
      <c r="J46" s="698"/>
      <c r="K46" s="698"/>
      <c r="L46" s="698"/>
      <c r="M46" s="698"/>
      <c r="N46" s="419"/>
    </row>
    <row r="47" spans="2:14" ht="13.5" thickBot="1">
      <c r="B47" s="418"/>
      <c r="C47" s="702"/>
      <c r="D47" s="702"/>
      <c r="E47" s="702"/>
      <c r="F47" s="702"/>
      <c r="G47" s="702"/>
      <c r="H47" s="702"/>
      <c r="I47" s="699" t="s">
        <v>829</v>
      </c>
      <c r="J47" s="699"/>
      <c r="K47" s="699"/>
      <c r="L47" s="699"/>
      <c r="M47" s="435">
        <f>M45/H45</f>
        <v>0.04432199995206185</v>
      </c>
      <c r="N47" s="419"/>
    </row>
    <row r="48" spans="2:14" ht="13.5" thickBot="1">
      <c r="B48" s="418"/>
      <c r="C48" s="436"/>
      <c r="D48" s="436"/>
      <c r="E48" s="436"/>
      <c r="F48" s="436"/>
      <c r="G48" s="436"/>
      <c r="H48" s="436"/>
      <c r="I48" s="438"/>
      <c r="J48" s="438"/>
      <c r="K48" s="438"/>
      <c r="L48" s="438"/>
      <c r="N48" s="419"/>
    </row>
    <row r="49" spans="2:14" ht="13.5" thickBot="1">
      <c r="B49" s="418"/>
      <c r="C49" s="706" t="s">
        <v>926</v>
      </c>
      <c r="D49" s="706"/>
      <c r="E49" s="706"/>
      <c r="F49" s="706"/>
      <c r="G49" s="706"/>
      <c r="H49" s="434">
        <f>H14+H15+H16+(H17/12*8)+(H18/12)</f>
        <v>15841862</v>
      </c>
      <c r="I49" s="699" t="s">
        <v>848</v>
      </c>
      <c r="J49" s="699"/>
      <c r="K49" s="699"/>
      <c r="L49" s="699"/>
      <c r="M49" s="434">
        <f>SUMIF($L$7:$L$26,2011,$M$7:$M$27)</f>
        <v>812575.8929999999</v>
      </c>
      <c r="N49" s="419"/>
    </row>
    <row r="50" spans="2:14" ht="13.5" thickBot="1">
      <c r="B50" s="418"/>
      <c r="C50" s="698" t="s">
        <v>930</v>
      </c>
      <c r="D50" s="698"/>
      <c r="E50" s="698"/>
      <c r="F50" s="698"/>
      <c r="G50" s="698"/>
      <c r="H50" s="698"/>
      <c r="I50" s="698"/>
      <c r="J50" s="698"/>
      <c r="K50" s="698"/>
      <c r="L50" s="698"/>
      <c r="M50" s="698"/>
      <c r="N50" s="419"/>
    </row>
    <row r="51" spans="2:14" ht="13.5" thickBot="1">
      <c r="B51" s="418"/>
      <c r="C51" s="702"/>
      <c r="D51" s="702"/>
      <c r="E51" s="702"/>
      <c r="F51" s="702"/>
      <c r="G51" s="702"/>
      <c r="H51" s="702"/>
      <c r="I51" s="699" t="s">
        <v>849</v>
      </c>
      <c r="J51" s="699"/>
      <c r="K51" s="699"/>
      <c r="L51" s="699"/>
      <c r="M51" s="435">
        <f>M49/H49</f>
        <v>0.051292953631334494</v>
      </c>
      <c r="N51" s="419"/>
    </row>
    <row r="52" spans="2:14" ht="8.25" customHeight="1" thickBot="1">
      <c r="B52" s="440"/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442"/>
    </row>
    <row r="53" spans="2:14" ht="13.5" thickBot="1">
      <c r="B53" s="692"/>
      <c r="C53" s="692"/>
      <c r="D53" s="692"/>
      <c r="E53" s="692"/>
      <c r="F53" s="692"/>
      <c r="G53" s="692"/>
      <c r="H53" s="692"/>
      <c r="I53" s="692"/>
      <c r="J53" s="692"/>
      <c r="K53" s="692"/>
      <c r="L53" s="692"/>
      <c r="M53" s="692"/>
      <c r="N53" s="692"/>
    </row>
    <row r="54" spans="2:14" ht="12.75">
      <c r="B54" s="416"/>
      <c r="C54" s="692"/>
      <c r="D54" s="692"/>
      <c r="E54" s="692"/>
      <c r="F54" s="692"/>
      <c r="G54" s="692"/>
      <c r="H54" s="692"/>
      <c r="I54" s="692"/>
      <c r="J54" s="417"/>
      <c r="K54" s="436"/>
      <c r="L54" s="436"/>
      <c r="M54" s="436"/>
      <c r="N54" s="436"/>
    </row>
    <row r="55" spans="2:14" ht="15.75">
      <c r="B55" s="461"/>
      <c r="C55" s="694" t="s">
        <v>932</v>
      </c>
      <c r="D55" s="694"/>
      <c r="E55" s="694"/>
      <c r="F55" s="694"/>
      <c r="G55" s="694"/>
      <c r="H55" s="694"/>
      <c r="I55" s="694"/>
      <c r="J55" s="419"/>
      <c r="K55" s="436"/>
      <c r="L55" s="436"/>
      <c r="M55" s="436"/>
      <c r="N55" s="436"/>
    </row>
    <row r="56" spans="2:14" ht="13.5" customHeight="1">
      <c r="B56" s="418"/>
      <c r="C56" s="444" t="s">
        <v>184</v>
      </c>
      <c r="D56" s="445" t="s">
        <v>187</v>
      </c>
      <c r="E56" s="445" t="s">
        <v>456</v>
      </c>
      <c r="F56" s="695" t="s">
        <v>172</v>
      </c>
      <c r="G56" s="696"/>
      <c r="H56" s="695" t="s">
        <v>171</v>
      </c>
      <c r="I56" s="696"/>
      <c r="J56" s="423"/>
      <c r="K56" s="436"/>
      <c r="L56" s="436"/>
      <c r="M56" s="436"/>
      <c r="N56" s="436"/>
    </row>
    <row r="57" spans="1:14" ht="12.75">
      <c r="A57" s="462"/>
      <c r="B57" s="461"/>
      <c r="C57" s="436" t="s">
        <v>444</v>
      </c>
      <c r="D57" s="446">
        <f>D64*E57</f>
        <v>10930971.5</v>
      </c>
      <c r="E57" s="447">
        <v>0.5</v>
      </c>
      <c r="F57" s="705">
        <v>0.0676</v>
      </c>
      <c r="G57" s="705"/>
      <c r="H57" s="701">
        <f>D57*F57</f>
        <v>738933.6734</v>
      </c>
      <c r="I57" s="701"/>
      <c r="J57" s="419"/>
      <c r="K57" s="436"/>
      <c r="L57" s="436"/>
      <c r="M57" s="436"/>
      <c r="N57" s="436"/>
    </row>
    <row r="58" spans="2:14" ht="12.75">
      <c r="B58" s="418"/>
      <c r="C58" s="436" t="s">
        <v>445</v>
      </c>
      <c r="D58" s="446">
        <v>0</v>
      </c>
      <c r="E58" s="447"/>
      <c r="F58" s="704"/>
      <c r="G58" s="704"/>
      <c r="H58" s="703"/>
      <c r="I58" s="703"/>
      <c r="J58" s="419"/>
      <c r="K58" s="436"/>
      <c r="L58" s="436"/>
      <c r="M58" s="436"/>
      <c r="N58" s="436"/>
    </row>
    <row r="59" spans="2:14" ht="12.75">
      <c r="B59" s="418"/>
      <c r="C59" s="448" t="s">
        <v>524</v>
      </c>
      <c r="D59" s="449">
        <f>D57+D58</f>
        <v>10930971.5</v>
      </c>
      <c r="E59" s="450">
        <f>E57+E58</f>
        <v>0.5</v>
      </c>
      <c r="F59" s="685"/>
      <c r="G59" s="685"/>
      <c r="H59" s="686">
        <f>SUM(H57:I58)</f>
        <v>738933.6734</v>
      </c>
      <c r="I59" s="686"/>
      <c r="J59" s="419"/>
      <c r="K59" s="436"/>
      <c r="L59" s="436"/>
      <c r="M59" s="436"/>
      <c r="N59" s="436"/>
    </row>
    <row r="60" spans="2:14" ht="12.75">
      <c r="B60" s="418"/>
      <c r="C60" s="436"/>
      <c r="D60" s="451"/>
      <c r="E60" s="447"/>
      <c r="F60" s="691"/>
      <c r="G60" s="691"/>
      <c r="H60" s="701"/>
      <c r="I60" s="701"/>
      <c r="J60" s="419"/>
      <c r="K60" s="436"/>
      <c r="L60" s="436"/>
      <c r="M60" s="436"/>
      <c r="N60" s="436"/>
    </row>
    <row r="61" spans="2:14" ht="12.75">
      <c r="B61" s="418"/>
      <c r="C61" s="436" t="s">
        <v>443</v>
      </c>
      <c r="D61" s="446">
        <f>D64*E61</f>
        <v>10930971.5</v>
      </c>
      <c r="E61" s="447">
        <v>0.5</v>
      </c>
      <c r="F61" s="693">
        <v>0.09</v>
      </c>
      <c r="G61" s="693"/>
      <c r="H61" s="703">
        <f>D61*F61</f>
        <v>983787.4349999999</v>
      </c>
      <c r="I61" s="703"/>
      <c r="J61" s="419"/>
      <c r="K61" s="436"/>
      <c r="L61" s="436"/>
      <c r="M61" s="436"/>
      <c r="N61" s="436"/>
    </row>
    <row r="62" spans="2:14" ht="12.75">
      <c r="B62" s="418"/>
      <c r="C62" s="448" t="s">
        <v>457</v>
      </c>
      <c r="D62" s="452">
        <f>+D61</f>
        <v>10930971.5</v>
      </c>
      <c r="E62" s="450">
        <f>+E61</f>
        <v>0.5</v>
      </c>
      <c r="F62" s="685"/>
      <c r="G62" s="685"/>
      <c r="H62" s="686">
        <f>H61</f>
        <v>983787.4349999999</v>
      </c>
      <c r="I62" s="686"/>
      <c r="J62" s="419"/>
      <c r="K62" s="436"/>
      <c r="L62" s="436"/>
      <c r="M62" s="436"/>
      <c r="N62" s="436"/>
    </row>
    <row r="63" spans="2:14" ht="12.75">
      <c r="B63" s="418"/>
      <c r="C63" s="436"/>
      <c r="D63" s="453"/>
      <c r="E63" s="436"/>
      <c r="F63" s="688"/>
      <c r="G63" s="688"/>
      <c r="H63" s="686"/>
      <c r="I63" s="686"/>
      <c r="J63" s="419"/>
      <c r="K63" s="436"/>
      <c r="L63" s="436"/>
      <c r="M63" s="436"/>
      <c r="N63" s="436"/>
    </row>
    <row r="64" spans="2:14" ht="12.75">
      <c r="B64" s="418"/>
      <c r="C64" s="433" t="s">
        <v>190</v>
      </c>
      <c r="D64" s="454">
        <v>21861943</v>
      </c>
      <c r="E64" s="455">
        <f>E59+E62</f>
        <v>1</v>
      </c>
      <c r="F64" s="700">
        <f>H64/D64</f>
        <v>0.0788</v>
      </c>
      <c r="G64" s="700"/>
      <c r="H64" s="701">
        <f>H59+H62</f>
        <v>1722721.1083999998</v>
      </c>
      <c r="I64" s="701"/>
      <c r="J64" s="419"/>
      <c r="K64" s="436"/>
      <c r="L64" s="436"/>
      <c r="M64" s="436"/>
      <c r="N64" s="436"/>
    </row>
    <row r="65" spans="2:10" s="436" customFormat="1" ht="13.5" thickBot="1">
      <c r="B65" s="440"/>
      <c r="C65" s="441"/>
      <c r="D65" s="456"/>
      <c r="E65" s="457"/>
      <c r="F65" s="458"/>
      <c r="G65" s="458"/>
      <c r="H65" s="456"/>
      <c r="I65" s="456"/>
      <c r="J65" s="442"/>
    </row>
    <row r="66" spans="3:9" s="436" customFormat="1" ht="13.5" thickBot="1">
      <c r="C66" s="702"/>
      <c r="D66" s="702"/>
      <c r="E66" s="702"/>
      <c r="F66" s="702"/>
      <c r="G66" s="702"/>
      <c r="H66" s="702"/>
      <c r="I66" s="702"/>
    </row>
    <row r="67" spans="1:14" ht="12.75">
      <c r="A67" s="436"/>
      <c r="B67" s="416"/>
      <c r="C67" s="692"/>
      <c r="D67" s="692"/>
      <c r="E67" s="692"/>
      <c r="F67" s="692"/>
      <c r="G67" s="692"/>
      <c r="H67" s="692"/>
      <c r="I67" s="692"/>
      <c r="J67" s="417"/>
      <c r="K67" s="436"/>
      <c r="L67" s="436"/>
      <c r="M67" s="436"/>
      <c r="N67" s="436"/>
    </row>
    <row r="68" spans="1:14" ht="15">
      <c r="A68" s="436"/>
      <c r="B68" s="418"/>
      <c r="C68" s="694" t="s">
        <v>830</v>
      </c>
      <c r="D68" s="694"/>
      <c r="E68" s="694"/>
      <c r="F68" s="694"/>
      <c r="G68" s="694"/>
      <c r="H68" s="694"/>
      <c r="I68" s="694"/>
      <c r="J68" s="419"/>
      <c r="K68" s="436"/>
      <c r="L68" s="436"/>
      <c r="M68" s="436"/>
      <c r="N68" s="436"/>
    </row>
    <row r="69" spans="1:14" ht="12.75" customHeight="1">
      <c r="A69" s="436"/>
      <c r="B69" s="420"/>
      <c r="C69" s="445" t="s">
        <v>184</v>
      </c>
      <c r="D69" s="445" t="s">
        <v>187</v>
      </c>
      <c r="E69" s="445" t="s">
        <v>456</v>
      </c>
      <c r="F69" s="695" t="s">
        <v>172</v>
      </c>
      <c r="G69" s="696"/>
      <c r="H69" s="697" t="s">
        <v>171</v>
      </c>
      <c r="I69" s="697"/>
      <c r="J69" s="423"/>
      <c r="K69" s="436"/>
      <c r="L69" s="436"/>
      <c r="M69" s="436"/>
      <c r="N69" s="436"/>
    </row>
    <row r="70" spans="1:14" ht="13.5">
      <c r="A70" s="436"/>
      <c r="B70" s="418"/>
      <c r="C70" s="436" t="s">
        <v>444</v>
      </c>
      <c r="D70" s="446">
        <f>D77*E70</f>
        <v>11020255.861</v>
      </c>
      <c r="E70" s="447">
        <f>'Return on Capital'!D8</f>
        <v>0.5</v>
      </c>
      <c r="F70" s="705">
        <f>M31</f>
        <v>0.06756</v>
      </c>
      <c r="G70" s="705"/>
      <c r="H70" s="701">
        <f>D70*F70</f>
        <v>744528.4859691599</v>
      </c>
      <c r="I70" s="701"/>
      <c r="J70" s="419"/>
      <c r="K70" s="436"/>
      <c r="L70" s="436"/>
      <c r="M70" s="436"/>
      <c r="N70" s="436"/>
    </row>
    <row r="71" spans="1:14" ht="13.5">
      <c r="A71" s="436"/>
      <c r="B71" s="418"/>
      <c r="C71" s="436" t="s">
        <v>445</v>
      </c>
      <c r="D71" s="446"/>
      <c r="E71" s="447"/>
      <c r="F71" s="704"/>
      <c r="G71" s="704"/>
      <c r="H71" s="689"/>
      <c r="I71" s="689"/>
      <c r="J71" s="419"/>
      <c r="K71" s="436"/>
      <c r="L71" s="436"/>
      <c r="M71" s="436"/>
      <c r="N71" s="436"/>
    </row>
    <row r="72" spans="1:14" ht="13.5">
      <c r="A72" s="436"/>
      <c r="B72" s="418"/>
      <c r="C72" s="448" t="s">
        <v>524</v>
      </c>
      <c r="D72" s="449">
        <f>D70+D71</f>
        <v>11020255.861</v>
      </c>
      <c r="E72" s="450">
        <f>E70+E71</f>
        <v>0.5</v>
      </c>
      <c r="F72" s="685"/>
      <c r="G72" s="685"/>
      <c r="H72" s="686">
        <f>SUM(H70:I71)</f>
        <v>744528.4859691599</v>
      </c>
      <c r="I72" s="686"/>
      <c r="J72" s="419"/>
      <c r="K72" s="436"/>
      <c r="L72" s="436"/>
      <c r="M72" s="436"/>
      <c r="N72" s="436"/>
    </row>
    <row r="73" spans="1:14" ht="13.5">
      <c r="A73" s="436"/>
      <c r="B73" s="418"/>
      <c r="C73" s="436"/>
      <c r="D73" s="451"/>
      <c r="E73" s="447"/>
      <c r="F73" s="691"/>
      <c r="G73" s="691"/>
      <c r="H73" s="689"/>
      <c r="I73" s="689"/>
      <c r="J73" s="419"/>
      <c r="K73" s="436"/>
      <c r="L73" s="436"/>
      <c r="M73" s="436"/>
      <c r="N73" s="436"/>
    </row>
    <row r="74" spans="1:14" ht="13.5">
      <c r="A74" s="436"/>
      <c r="B74" s="418"/>
      <c r="C74" s="436" t="s">
        <v>443</v>
      </c>
      <c r="D74" s="446">
        <f>D77*E74</f>
        <v>11020255.861</v>
      </c>
      <c r="E74" s="447">
        <f>'Return on Capital'!D10</f>
        <v>0.5</v>
      </c>
      <c r="F74" s="693">
        <f>'Return on Capital'!E10</f>
        <v>0.09</v>
      </c>
      <c r="G74" s="693"/>
      <c r="H74" s="689">
        <f>D74*F74</f>
        <v>991823.0274899999</v>
      </c>
      <c r="I74" s="689"/>
      <c r="J74" s="419"/>
      <c r="K74" s="436"/>
      <c r="L74" s="436"/>
      <c r="M74" s="436"/>
      <c r="N74" s="436"/>
    </row>
    <row r="75" spans="1:14" ht="13.5">
      <c r="A75" s="436"/>
      <c r="B75" s="418"/>
      <c r="C75" s="448" t="s">
        <v>457</v>
      </c>
      <c r="D75" s="452">
        <f>+D74</f>
        <v>11020255.861</v>
      </c>
      <c r="E75" s="450">
        <f>+E74</f>
        <v>0.5</v>
      </c>
      <c r="F75" s="685"/>
      <c r="G75" s="685"/>
      <c r="H75" s="686">
        <f>H74</f>
        <v>991823.0274899999</v>
      </c>
      <c r="I75" s="686"/>
      <c r="J75" s="419"/>
      <c r="K75" s="436"/>
      <c r="L75" s="436"/>
      <c r="M75" s="436"/>
      <c r="N75" s="436"/>
    </row>
    <row r="76" spans="1:14" ht="13.5">
      <c r="A76" s="436"/>
      <c r="B76" s="418"/>
      <c r="C76" s="436"/>
      <c r="D76" s="453"/>
      <c r="E76" s="436"/>
      <c r="F76" s="688"/>
      <c r="G76" s="688"/>
      <c r="H76" s="689"/>
      <c r="I76" s="689"/>
      <c r="J76" s="419"/>
      <c r="K76" s="436"/>
      <c r="L76" s="436"/>
      <c r="M76" s="436"/>
      <c r="N76" s="436"/>
    </row>
    <row r="77" spans="1:14" ht="13.5">
      <c r="A77" s="436"/>
      <c r="B77" s="418"/>
      <c r="C77" s="448" t="s">
        <v>190</v>
      </c>
      <c r="D77" s="452">
        <f>'Return on Capital'!E38</f>
        <v>22040511.722</v>
      </c>
      <c r="E77" s="450">
        <f>E72+E75</f>
        <v>1</v>
      </c>
      <c r="F77" s="690">
        <f>H77/D77</f>
        <v>0.07877999999999999</v>
      </c>
      <c r="G77" s="690"/>
      <c r="H77" s="686">
        <f>H72+H75</f>
        <v>1736351.5134591598</v>
      </c>
      <c r="I77" s="686"/>
      <c r="J77" s="419"/>
      <c r="K77" s="436"/>
      <c r="L77" s="436"/>
      <c r="M77" s="436"/>
      <c r="N77" s="436"/>
    </row>
    <row r="78" spans="1:14" ht="14.25" thickBot="1">
      <c r="A78" s="436"/>
      <c r="B78" s="440"/>
      <c r="C78" s="687"/>
      <c r="D78" s="687"/>
      <c r="E78" s="687"/>
      <c r="F78" s="687"/>
      <c r="G78" s="687"/>
      <c r="H78" s="687"/>
      <c r="I78" s="687"/>
      <c r="J78" s="442"/>
      <c r="K78" s="436"/>
      <c r="L78" s="436"/>
      <c r="M78" s="436"/>
      <c r="N78" s="436"/>
    </row>
    <row r="79" spans="1:14" ht="14.25" thickBot="1">
      <c r="A79" s="436"/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</row>
    <row r="80" spans="2:10" ht="6.75" customHeight="1">
      <c r="B80" s="416"/>
      <c r="C80" s="692"/>
      <c r="D80" s="692"/>
      <c r="E80" s="692"/>
      <c r="F80" s="692"/>
      <c r="G80" s="692"/>
      <c r="H80" s="692"/>
      <c r="I80" s="692"/>
      <c r="J80" s="417"/>
    </row>
    <row r="81" spans="2:10" ht="26.25" customHeight="1">
      <c r="B81" s="418"/>
      <c r="C81" s="694" t="s">
        <v>831</v>
      </c>
      <c r="D81" s="694"/>
      <c r="E81" s="694"/>
      <c r="F81" s="694"/>
      <c r="G81" s="694"/>
      <c r="H81" s="694"/>
      <c r="I81" s="694"/>
      <c r="J81" s="419"/>
    </row>
    <row r="82" spans="2:10" s="459" customFormat="1" ht="13.5">
      <c r="B82" s="420"/>
      <c r="C82" s="445" t="s">
        <v>184</v>
      </c>
      <c r="D82" s="445" t="s">
        <v>187</v>
      </c>
      <c r="E82" s="445" t="s">
        <v>456</v>
      </c>
      <c r="F82" s="695" t="s">
        <v>172</v>
      </c>
      <c r="G82" s="696"/>
      <c r="H82" s="697" t="s">
        <v>171</v>
      </c>
      <c r="I82" s="697"/>
      <c r="J82" s="423"/>
    </row>
    <row r="83" spans="2:10" ht="13.5">
      <c r="B83" s="418"/>
      <c r="C83" s="436" t="s">
        <v>444</v>
      </c>
      <c r="D83" s="446">
        <f>D90*E83</f>
        <v>11161434.380249998</v>
      </c>
      <c r="E83" s="447">
        <f>'Return on Capital'!J8</f>
        <v>0.5</v>
      </c>
      <c r="F83" s="705">
        <f>M35</f>
        <v>0.06756</v>
      </c>
      <c r="G83" s="705"/>
      <c r="H83" s="701">
        <f>D83*F83</f>
        <v>754066.5067296898</v>
      </c>
      <c r="I83" s="701"/>
      <c r="J83" s="419"/>
    </row>
    <row r="84" spans="2:10" ht="13.5">
      <c r="B84" s="418"/>
      <c r="C84" s="436" t="s">
        <v>445</v>
      </c>
      <c r="D84" s="446"/>
      <c r="E84" s="447"/>
      <c r="F84" s="704"/>
      <c r="G84" s="704"/>
      <c r="H84" s="689"/>
      <c r="I84" s="689"/>
      <c r="J84" s="419"/>
    </row>
    <row r="85" spans="2:10" ht="13.5">
      <c r="B85" s="418"/>
      <c r="C85" s="448" t="s">
        <v>524</v>
      </c>
      <c r="D85" s="449">
        <f>D83+D84</f>
        <v>11161434.380249998</v>
      </c>
      <c r="E85" s="450">
        <f>E83+E84</f>
        <v>0.5</v>
      </c>
      <c r="F85" s="685"/>
      <c r="G85" s="685"/>
      <c r="H85" s="686">
        <f>SUM(H83:I84)</f>
        <v>754066.5067296898</v>
      </c>
      <c r="I85" s="686"/>
      <c r="J85" s="419"/>
    </row>
    <row r="86" spans="2:10" ht="13.5">
      <c r="B86" s="418"/>
      <c r="C86" s="436"/>
      <c r="D86" s="451"/>
      <c r="E86" s="447"/>
      <c r="F86" s="691"/>
      <c r="G86" s="691"/>
      <c r="H86" s="689"/>
      <c r="I86" s="689"/>
      <c r="J86" s="419"/>
    </row>
    <row r="87" spans="2:10" ht="13.5">
      <c r="B87" s="418"/>
      <c r="C87" s="436" t="s">
        <v>443</v>
      </c>
      <c r="D87" s="446">
        <f>D90*E87</f>
        <v>11161434.380249998</v>
      </c>
      <c r="E87" s="447">
        <f>'Return on Capital'!J10</f>
        <v>0.5</v>
      </c>
      <c r="F87" s="693">
        <f>'Return on Capital'!K10</f>
        <v>0.09</v>
      </c>
      <c r="G87" s="693"/>
      <c r="H87" s="689">
        <f>D87*F87</f>
        <v>1004529.0942224998</v>
      </c>
      <c r="I87" s="689"/>
      <c r="J87" s="419"/>
    </row>
    <row r="88" spans="2:10" ht="13.5">
      <c r="B88" s="418"/>
      <c r="C88" s="448" t="s">
        <v>457</v>
      </c>
      <c r="D88" s="452">
        <f>+D87</f>
        <v>11161434.380249998</v>
      </c>
      <c r="E88" s="450">
        <f>+E87</f>
        <v>0.5</v>
      </c>
      <c r="F88" s="685"/>
      <c r="G88" s="685"/>
      <c r="H88" s="686">
        <f>H87</f>
        <v>1004529.0942224998</v>
      </c>
      <c r="I88" s="686"/>
      <c r="J88" s="419"/>
    </row>
    <row r="89" spans="2:10" ht="13.5">
      <c r="B89" s="418"/>
      <c r="C89" s="436"/>
      <c r="D89" s="453"/>
      <c r="E89" s="436"/>
      <c r="F89" s="688"/>
      <c r="G89" s="688"/>
      <c r="H89" s="689"/>
      <c r="I89" s="689"/>
      <c r="J89" s="419"/>
    </row>
    <row r="90" spans="2:10" ht="13.5">
      <c r="B90" s="418"/>
      <c r="C90" s="448" t="s">
        <v>190</v>
      </c>
      <c r="D90" s="452">
        <f>'Return on Capital'!K38</f>
        <v>22322868.760499995</v>
      </c>
      <c r="E90" s="450">
        <f>E85+E88</f>
        <v>1</v>
      </c>
      <c r="F90" s="690">
        <f>H90/D90</f>
        <v>0.07877999999999999</v>
      </c>
      <c r="G90" s="690"/>
      <c r="H90" s="686">
        <f>H85+H88</f>
        <v>1758595.6009521894</v>
      </c>
      <c r="I90" s="686"/>
      <c r="J90" s="419"/>
    </row>
    <row r="91" spans="2:10" ht="7.5" customHeight="1" thickBot="1">
      <c r="B91" s="440"/>
      <c r="C91" s="687"/>
      <c r="D91" s="687"/>
      <c r="E91" s="687"/>
      <c r="F91" s="687"/>
      <c r="G91" s="687"/>
      <c r="H91" s="687"/>
      <c r="I91" s="687"/>
      <c r="J91" s="442"/>
    </row>
    <row r="92" ht="14.25" thickBot="1"/>
    <row r="93" spans="2:10" ht="6.75" customHeight="1">
      <c r="B93" s="416"/>
      <c r="C93" s="692"/>
      <c r="D93" s="692"/>
      <c r="E93" s="692"/>
      <c r="F93" s="692"/>
      <c r="G93" s="692"/>
      <c r="H93" s="692"/>
      <c r="I93" s="692"/>
      <c r="J93" s="417"/>
    </row>
    <row r="94" spans="2:10" ht="26.25" customHeight="1">
      <c r="B94" s="418"/>
      <c r="C94" s="694" t="s">
        <v>832</v>
      </c>
      <c r="D94" s="694"/>
      <c r="E94" s="694"/>
      <c r="F94" s="694"/>
      <c r="G94" s="694"/>
      <c r="H94" s="694"/>
      <c r="I94" s="694"/>
      <c r="J94" s="419"/>
    </row>
    <row r="95" spans="2:10" s="459" customFormat="1" ht="13.5">
      <c r="B95" s="420"/>
      <c r="C95" s="445" t="s">
        <v>184</v>
      </c>
      <c r="D95" s="445" t="s">
        <v>187</v>
      </c>
      <c r="E95" s="445" t="s">
        <v>456</v>
      </c>
      <c r="F95" s="695" t="s">
        <v>172</v>
      </c>
      <c r="G95" s="696"/>
      <c r="H95" s="697" t="s">
        <v>171</v>
      </c>
      <c r="I95" s="697"/>
      <c r="J95" s="423"/>
    </row>
    <row r="96" spans="2:10" ht="13.5">
      <c r="B96" s="418"/>
      <c r="C96" s="436" t="s">
        <v>444</v>
      </c>
      <c r="D96" s="446">
        <f>D103*E96</f>
        <v>12464024.8942365</v>
      </c>
      <c r="E96" s="447">
        <f>'Return on Capital'!P8</f>
        <v>0.533</v>
      </c>
      <c r="F96" s="705">
        <f>M39</f>
        <v>0.0631075</v>
      </c>
      <c r="G96" s="705"/>
      <c r="H96" s="689">
        <f>D96*F96</f>
        <v>786573.4510130299</v>
      </c>
      <c r="I96" s="689"/>
      <c r="J96" s="419"/>
    </row>
    <row r="97" spans="2:10" ht="13.5">
      <c r="B97" s="418"/>
      <c r="C97" s="436" t="s">
        <v>445</v>
      </c>
      <c r="D97" s="446"/>
      <c r="E97" s="447"/>
      <c r="F97" s="704"/>
      <c r="G97" s="704"/>
      <c r="H97" s="689"/>
      <c r="I97" s="689"/>
      <c r="J97" s="419"/>
    </row>
    <row r="98" spans="2:10" ht="13.5">
      <c r="B98" s="418"/>
      <c r="C98" s="448" t="s">
        <v>524</v>
      </c>
      <c r="D98" s="449">
        <f>D96+D97</f>
        <v>12464024.8942365</v>
      </c>
      <c r="E98" s="450">
        <f>E96+E97</f>
        <v>0.533</v>
      </c>
      <c r="F98" s="685"/>
      <c r="G98" s="685"/>
      <c r="H98" s="686">
        <f>SUM(H96:I97)</f>
        <v>786573.4510130299</v>
      </c>
      <c r="I98" s="686"/>
      <c r="J98" s="419"/>
    </row>
    <row r="99" spans="2:10" ht="13.5">
      <c r="B99" s="418"/>
      <c r="C99" s="436"/>
      <c r="D99" s="451"/>
      <c r="E99" s="447"/>
      <c r="F99" s="691"/>
      <c r="G99" s="691"/>
      <c r="H99" s="689"/>
      <c r="I99" s="689"/>
      <c r="J99" s="419"/>
    </row>
    <row r="100" spans="2:10" ht="13.5">
      <c r="B100" s="418"/>
      <c r="C100" s="436" t="s">
        <v>443</v>
      </c>
      <c r="D100" s="446">
        <f>D103*E100</f>
        <v>10920637.1962635</v>
      </c>
      <c r="E100" s="447">
        <f>'Return on Capital'!P10</f>
        <v>0.467</v>
      </c>
      <c r="F100" s="693">
        <f>'Return on Capital'!Q10</f>
        <v>0.09</v>
      </c>
      <c r="G100" s="693"/>
      <c r="H100" s="689">
        <f>D100*F100</f>
        <v>982857.3476637149</v>
      </c>
      <c r="I100" s="689"/>
      <c r="J100" s="419"/>
    </row>
    <row r="101" spans="2:10" ht="13.5">
      <c r="B101" s="418"/>
      <c r="C101" s="448" t="s">
        <v>457</v>
      </c>
      <c r="D101" s="452">
        <f>+D100</f>
        <v>10920637.1962635</v>
      </c>
      <c r="E101" s="450">
        <f>+E100</f>
        <v>0.467</v>
      </c>
      <c r="F101" s="685"/>
      <c r="G101" s="685"/>
      <c r="H101" s="686">
        <f>H100</f>
        <v>982857.3476637149</v>
      </c>
      <c r="I101" s="686"/>
      <c r="J101" s="419"/>
    </row>
    <row r="102" spans="2:10" ht="13.5">
      <c r="B102" s="418"/>
      <c r="C102" s="436"/>
      <c r="D102" s="451"/>
      <c r="E102" s="436"/>
      <c r="F102" s="688"/>
      <c r="G102" s="688"/>
      <c r="H102" s="689"/>
      <c r="I102" s="689"/>
      <c r="J102" s="419"/>
    </row>
    <row r="103" spans="2:10" ht="13.5">
      <c r="B103" s="418"/>
      <c r="C103" s="448" t="s">
        <v>190</v>
      </c>
      <c r="D103" s="449">
        <f>'Return on Capital'!Q38</f>
        <v>23384662.090499997</v>
      </c>
      <c r="E103" s="450">
        <f>E98+E101</f>
        <v>1</v>
      </c>
      <c r="F103" s="690">
        <f>H103/D103</f>
        <v>0.07566629750000001</v>
      </c>
      <c r="G103" s="690"/>
      <c r="H103" s="686">
        <f>H98+H101</f>
        <v>1769430.7986767448</v>
      </c>
      <c r="I103" s="686"/>
      <c r="J103" s="419"/>
    </row>
    <row r="104" spans="2:10" ht="7.5" customHeight="1" thickBot="1">
      <c r="B104" s="440"/>
      <c r="C104" s="687"/>
      <c r="D104" s="687"/>
      <c r="E104" s="687"/>
      <c r="F104" s="687"/>
      <c r="G104" s="687"/>
      <c r="H104" s="687"/>
      <c r="I104" s="687"/>
      <c r="J104" s="442"/>
    </row>
    <row r="105" ht="14.25" thickBot="1"/>
    <row r="106" spans="2:10" ht="6.75" customHeight="1">
      <c r="B106" s="416"/>
      <c r="C106" s="692"/>
      <c r="D106" s="692"/>
      <c r="E106" s="692"/>
      <c r="F106" s="692"/>
      <c r="G106" s="692"/>
      <c r="H106" s="692"/>
      <c r="I106" s="692"/>
      <c r="J106" s="417"/>
    </row>
    <row r="107" spans="2:10" ht="26.25" customHeight="1">
      <c r="B107" s="418"/>
      <c r="C107" s="694" t="s">
        <v>833</v>
      </c>
      <c r="D107" s="694"/>
      <c r="E107" s="694"/>
      <c r="F107" s="694"/>
      <c r="G107" s="694"/>
      <c r="H107" s="694"/>
      <c r="I107" s="694"/>
      <c r="J107" s="419"/>
    </row>
    <row r="108" spans="2:10" s="459" customFormat="1" ht="13.5">
      <c r="B108" s="420"/>
      <c r="C108" s="445" t="s">
        <v>184</v>
      </c>
      <c r="D108" s="445" t="s">
        <v>187</v>
      </c>
      <c r="E108" s="445" t="s">
        <v>456</v>
      </c>
      <c r="F108" s="695" t="s">
        <v>172</v>
      </c>
      <c r="G108" s="696"/>
      <c r="H108" s="697" t="s">
        <v>171</v>
      </c>
      <c r="I108" s="697"/>
      <c r="J108" s="423"/>
    </row>
    <row r="109" spans="2:10" ht="13.5">
      <c r="B109" s="418"/>
      <c r="C109" s="436" t="s">
        <v>444</v>
      </c>
      <c r="D109" s="446">
        <f>D116*E109</f>
        <v>13475554.399975495</v>
      </c>
      <c r="E109" s="447">
        <f>'Return on Capital'!V8</f>
        <v>0.567</v>
      </c>
      <c r="F109" s="705">
        <f>M43</f>
        <v>0.04975</v>
      </c>
      <c r="G109" s="705"/>
      <c r="H109" s="701">
        <f>D109*F109</f>
        <v>670408.8313987809</v>
      </c>
      <c r="I109" s="701"/>
      <c r="J109" s="419"/>
    </row>
    <row r="110" spans="2:10" ht="13.5">
      <c r="B110" s="418"/>
      <c r="C110" s="436" t="s">
        <v>445</v>
      </c>
      <c r="D110" s="446"/>
      <c r="E110" s="447"/>
      <c r="F110" s="723"/>
      <c r="G110" s="723"/>
      <c r="H110" s="689"/>
      <c r="I110" s="689"/>
      <c r="J110" s="419"/>
    </row>
    <row r="111" spans="2:10" ht="13.5">
      <c r="B111" s="418"/>
      <c r="C111" s="448" t="s">
        <v>524</v>
      </c>
      <c r="D111" s="449">
        <f>D109+D110</f>
        <v>13475554.399975495</v>
      </c>
      <c r="E111" s="450">
        <f>E109+E110</f>
        <v>0.567</v>
      </c>
      <c r="F111" s="685"/>
      <c r="G111" s="685"/>
      <c r="H111" s="686">
        <f>SUM(H109:I110)</f>
        <v>670408.8313987809</v>
      </c>
      <c r="I111" s="686"/>
      <c r="J111" s="419"/>
    </row>
    <row r="112" spans="2:10" ht="13.5">
      <c r="B112" s="418"/>
      <c r="C112" s="436"/>
      <c r="D112" s="451"/>
      <c r="E112" s="447"/>
      <c r="F112" s="691"/>
      <c r="G112" s="691"/>
      <c r="H112" s="689"/>
      <c r="I112" s="689"/>
      <c r="J112" s="419"/>
    </row>
    <row r="113" spans="2:10" ht="13.5">
      <c r="B113" s="418"/>
      <c r="C113" s="436" t="s">
        <v>443</v>
      </c>
      <c r="D113" s="446">
        <f>D116*E113</f>
        <v>10290855.476524498</v>
      </c>
      <c r="E113" s="447">
        <f>'Return on Capital'!V10</f>
        <v>0.433</v>
      </c>
      <c r="F113" s="693">
        <f>'Return on Capital'!W10</f>
        <v>0.09</v>
      </c>
      <c r="G113" s="693"/>
      <c r="H113" s="689">
        <f>D113*F113</f>
        <v>926176.9928872049</v>
      </c>
      <c r="I113" s="689"/>
      <c r="J113" s="419"/>
    </row>
    <row r="114" spans="2:10" ht="13.5">
      <c r="B114" s="418"/>
      <c r="C114" s="448" t="s">
        <v>457</v>
      </c>
      <c r="D114" s="452">
        <f>+D113</f>
        <v>10290855.476524498</v>
      </c>
      <c r="E114" s="450">
        <f>+E113</f>
        <v>0.433</v>
      </c>
      <c r="F114" s="685"/>
      <c r="G114" s="685"/>
      <c r="H114" s="686">
        <f>H113</f>
        <v>926176.9928872049</v>
      </c>
      <c r="I114" s="686"/>
      <c r="J114" s="419"/>
    </row>
    <row r="115" spans="2:10" ht="13.5">
      <c r="B115" s="418"/>
      <c r="C115" s="436"/>
      <c r="D115" s="451"/>
      <c r="E115" s="436"/>
      <c r="F115" s="688"/>
      <c r="G115" s="688"/>
      <c r="H115" s="689"/>
      <c r="I115" s="689"/>
      <c r="J115" s="419"/>
    </row>
    <row r="116" spans="2:10" ht="13.5">
      <c r="B116" s="418"/>
      <c r="C116" s="448" t="s">
        <v>190</v>
      </c>
      <c r="D116" s="452">
        <f>'Return on Capital'!W38</f>
        <v>23766409.876499996</v>
      </c>
      <c r="E116" s="450">
        <f>E111+E114</f>
        <v>1</v>
      </c>
      <c r="F116" s="690">
        <f>H116/D116</f>
        <v>0.06717825000000001</v>
      </c>
      <c r="G116" s="690"/>
      <c r="H116" s="686">
        <f>H111+H114</f>
        <v>1596585.824285986</v>
      </c>
      <c r="I116" s="686"/>
      <c r="J116" s="419"/>
    </row>
    <row r="117" spans="2:10" ht="7.5" customHeight="1" thickBot="1">
      <c r="B117" s="440"/>
      <c r="C117" s="687"/>
      <c r="D117" s="687"/>
      <c r="E117" s="687"/>
      <c r="F117" s="687"/>
      <c r="G117" s="687"/>
      <c r="H117" s="687"/>
      <c r="I117" s="687"/>
      <c r="J117" s="442"/>
    </row>
    <row r="118" ht="14.25" thickBot="1"/>
    <row r="119" spans="2:10" ht="13.5">
      <c r="B119" s="416"/>
      <c r="C119" s="692"/>
      <c r="D119" s="692"/>
      <c r="E119" s="692"/>
      <c r="F119" s="692"/>
      <c r="G119" s="692"/>
      <c r="H119" s="692"/>
      <c r="I119" s="692"/>
      <c r="J119" s="417"/>
    </row>
    <row r="120" spans="2:10" ht="15">
      <c r="B120" s="418"/>
      <c r="C120" s="694" t="s">
        <v>834</v>
      </c>
      <c r="D120" s="694"/>
      <c r="E120" s="694"/>
      <c r="F120" s="694"/>
      <c r="G120" s="694"/>
      <c r="H120" s="694"/>
      <c r="I120" s="694"/>
      <c r="J120" s="419"/>
    </row>
    <row r="121" spans="2:10" ht="13.5">
      <c r="B121" s="420"/>
      <c r="C121" s="445" t="s">
        <v>184</v>
      </c>
      <c r="D121" s="445" t="s">
        <v>187</v>
      </c>
      <c r="E121" s="445" t="s">
        <v>456</v>
      </c>
      <c r="F121" s="695" t="s">
        <v>172</v>
      </c>
      <c r="G121" s="696"/>
      <c r="H121" s="697" t="s">
        <v>171</v>
      </c>
      <c r="I121" s="697"/>
      <c r="J121" s="423"/>
    </row>
    <row r="122" spans="2:10" ht="13.5">
      <c r="B122" s="418"/>
      <c r="C122" s="436" t="s">
        <v>444</v>
      </c>
      <c r="D122" s="446">
        <f>D129*E122</f>
        <v>16790612.10423676</v>
      </c>
      <c r="E122" s="447">
        <f>'Return on Capital'!AB8</f>
        <v>0.6</v>
      </c>
      <c r="F122" s="705">
        <f>'Return on Capital'!AC8</f>
        <v>0.04432199995206185</v>
      </c>
      <c r="G122" s="705"/>
      <c r="H122" s="701">
        <f>D122*F122</f>
        <v>744193.5088790708</v>
      </c>
      <c r="I122" s="701"/>
      <c r="J122" s="419"/>
    </row>
    <row r="123" spans="2:10" ht="13.5">
      <c r="B123" s="418"/>
      <c r="C123" s="436" t="s">
        <v>445</v>
      </c>
      <c r="D123" s="446"/>
      <c r="E123" s="447">
        <f>'Return on Capital'!AB9</f>
        <v>0</v>
      </c>
      <c r="F123" s="723">
        <f>'Return on Capital'!AC9</f>
        <v>0</v>
      </c>
      <c r="G123" s="723"/>
      <c r="H123" s="689">
        <f>D123*F123</f>
        <v>0</v>
      </c>
      <c r="I123" s="689"/>
      <c r="J123" s="419"/>
    </row>
    <row r="124" spans="2:10" ht="13.5">
      <c r="B124" s="418"/>
      <c r="C124" s="448" t="s">
        <v>524</v>
      </c>
      <c r="D124" s="449">
        <f>D122+D123</f>
        <v>16790612.10423676</v>
      </c>
      <c r="E124" s="450">
        <f>E122+E123</f>
        <v>0.6</v>
      </c>
      <c r="F124" s="685"/>
      <c r="G124" s="685"/>
      <c r="H124" s="686">
        <f>SUM(H122:I123)</f>
        <v>744193.5088790708</v>
      </c>
      <c r="I124" s="686"/>
      <c r="J124" s="419"/>
    </row>
    <row r="125" spans="2:10" ht="13.5">
      <c r="B125" s="418"/>
      <c r="C125" s="436"/>
      <c r="D125" s="451"/>
      <c r="E125" s="447"/>
      <c r="F125" s="691"/>
      <c r="G125" s="691"/>
      <c r="H125" s="689"/>
      <c r="I125" s="689"/>
      <c r="J125" s="419"/>
    </row>
    <row r="126" spans="2:10" ht="13.5">
      <c r="B126" s="418"/>
      <c r="C126" s="436" t="s">
        <v>443</v>
      </c>
      <c r="D126" s="446">
        <f>D129*E126</f>
        <v>11193741.402824506</v>
      </c>
      <c r="E126" s="447">
        <f>'Return on Capital'!AB10</f>
        <v>0.4</v>
      </c>
      <c r="F126" s="693">
        <f>'Return on Capital'!AC10</f>
        <v>0.0985</v>
      </c>
      <c r="G126" s="693"/>
      <c r="H126" s="689">
        <f>D126*F126</f>
        <v>1102583.5281782139</v>
      </c>
      <c r="I126" s="689"/>
      <c r="J126" s="419"/>
    </row>
    <row r="127" spans="2:10" ht="13.5">
      <c r="B127" s="418"/>
      <c r="C127" s="448" t="s">
        <v>457</v>
      </c>
      <c r="D127" s="452">
        <f>+D126</f>
        <v>11193741.402824506</v>
      </c>
      <c r="E127" s="450">
        <f>+E126</f>
        <v>0.4</v>
      </c>
      <c r="F127" s="685"/>
      <c r="G127" s="685"/>
      <c r="H127" s="686">
        <f>H126</f>
        <v>1102583.5281782139</v>
      </c>
      <c r="I127" s="686"/>
      <c r="J127" s="419"/>
    </row>
    <row r="128" spans="2:10" ht="13.5">
      <c r="B128" s="418"/>
      <c r="C128" s="436"/>
      <c r="D128" s="451"/>
      <c r="E128" s="436"/>
      <c r="F128" s="688"/>
      <c r="G128" s="688"/>
      <c r="H128" s="689"/>
      <c r="I128" s="689"/>
      <c r="J128" s="419"/>
    </row>
    <row r="129" spans="2:10" ht="13.5">
      <c r="B129" s="418"/>
      <c r="C129" s="448" t="s">
        <v>190</v>
      </c>
      <c r="D129" s="452">
        <f>'Return on Capital'!AC38</f>
        <v>27984353.507061265</v>
      </c>
      <c r="E129" s="450">
        <f>E124+E127</f>
        <v>1</v>
      </c>
      <c r="F129" s="690">
        <f>H129/D129</f>
        <v>0.06599319997123712</v>
      </c>
      <c r="G129" s="690"/>
      <c r="H129" s="686">
        <f>H124+H127</f>
        <v>1846777.0370572847</v>
      </c>
      <c r="I129" s="686"/>
      <c r="J129" s="419"/>
    </row>
    <row r="130" spans="2:10" ht="14.25" thickBot="1">
      <c r="B130" s="440"/>
      <c r="C130" s="687"/>
      <c r="D130" s="687"/>
      <c r="E130" s="687"/>
      <c r="F130" s="687"/>
      <c r="G130" s="687"/>
      <c r="H130" s="687"/>
      <c r="I130" s="687"/>
      <c r="J130" s="442"/>
    </row>
    <row r="131" ht="14.25" thickBot="1"/>
    <row r="132" spans="2:10" ht="13.5">
      <c r="B132" s="416"/>
      <c r="C132" s="692"/>
      <c r="D132" s="692"/>
      <c r="E132" s="692"/>
      <c r="F132" s="692"/>
      <c r="G132" s="692"/>
      <c r="H132" s="692"/>
      <c r="I132" s="692"/>
      <c r="J132" s="417"/>
    </row>
    <row r="133" spans="2:10" ht="15">
      <c r="B133" s="418"/>
      <c r="C133" s="694" t="s">
        <v>850</v>
      </c>
      <c r="D133" s="694"/>
      <c r="E133" s="694"/>
      <c r="F133" s="694"/>
      <c r="G133" s="694"/>
      <c r="H133" s="694"/>
      <c r="I133" s="694"/>
      <c r="J133" s="419"/>
    </row>
    <row r="134" spans="2:10" ht="13.5">
      <c r="B134" s="420"/>
      <c r="C134" s="445" t="s">
        <v>184</v>
      </c>
      <c r="D134" s="445" t="s">
        <v>187</v>
      </c>
      <c r="E134" s="445" t="s">
        <v>456</v>
      </c>
      <c r="F134" s="695" t="s">
        <v>172</v>
      </c>
      <c r="G134" s="696"/>
      <c r="H134" s="697" t="s">
        <v>171</v>
      </c>
      <c r="I134" s="697"/>
      <c r="J134" s="423"/>
    </row>
    <row r="135" spans="2:10" ht="13.5">
      <c r="B135" s="418"/>
      <c r="C135" s="436" t="s">
        <v>444</v>
      </c>
      <c r="D135" s="446">
        <f>D142*E135</f>
        <v>17715932.8345791</v>
      </c>
      <c r="E135" s="447">
        <f>'Return on Capital'!AH8</f>
        <v>0.56</v>
      </c>
      <c r="F135" s="705">
        <f>'Return on Capital'!AI8</f>
        <v>0.051292953631334494</v>
      </c>
      <c r="G135" s="705"/>
      <c r="H135" s="701">
        <f>D135*F135</f>
        <v>908702.521419902</v>
      </c>
      <c r="I135" s="701"/>
      <c r="J135" s="419"/>
    </row>
    <row r="136" spans="2:10" ht="13.5">
      <c r="B136" s="418"/>
      <c r="C136" s="436" t="s">
        <v>445</v>
      </c>
      <c r="D136" s="446">
        <f>D142*E136</f>
        <v>1265423.773898507</v>
      </c>
      <c r="E136" s="447">
        <f>'Return on Capital'!AH9</f>
        <v>0.04</v>
      </c>
      <c r="F136" s="723">
        <f>'Return on Capital'!AI9</f>
        <v>0.0207</v>
      </c>
      <c r="G136" s="723"/>
      <c r="H136" s="689">
        <f>D136*F136</f>
        <v>26194.272119699093</v>
      </c>
      <c r="I136" s="689"/>
      <c r="J136" s="419"/>
    </row>
    <row r="137" spans="2:10" ht="13.5">
      <c r="B137" s="418"/>
      <c r="C137" s="448" t="s">
        <v>524</v>
      </c>
      <c r="D137" s="449">
        <f>D135+D136</f>
        <v>18981356.608477607</v>
      </c>
      <c r="E137" s="450">
        <f>E135+E136</f>
        <v>0.6000000000000001</v>
      </c>
      <c r="F137" s="685"/>
      <c r="G137" s="685"/>
      <c r="H137" s="686">
        <f>SUM(H135:I136)</f>
        <v>934896.793539601</v>
      </c>
      <c r="I137" s="686"/>
      <c r="J137" s="419"/>
    </row>
    <row r="138" spans="2:10" ht="13.5">
      <c r="B138" s="418"/>
      <c r="C138" s="436"/>
      <c r="D138" s="451"/>
      <c r="E138" s="447"/>
      <c r="F138" s="691"/>
      <c r="G138" s="691"/>
      <c r="H138" s="689"/>
      <c r="I138" s="689"/>
      <c r="J138" s="419"/>
    </row>
    <row r="139" spans="2:10" ht="13.5">
      <c r="B139" s="418"/>
      <c r="C139" s="436" t="s">
        <v>443</v>
      </c>
      <c r="D139" s="446">
        <f>D142*E139</f>
        <v>12654237.73898507</v>
      </c>
      <c r="E139" s="447">
        <f>'Return on Capital'!AH10</f>
        <v>0.4</v>
      </c>
      <c r="F139" s="693">
        <f>'Return on Capital'!AI10</f>
        <v>0.0985</v>
      </c>
      <c r="G139" s="693"/>
      <c r="H139" s="689">
        <f>D139*F139</f>
        <v>1246442.4172900293</v>
      </c>
      <c r="I139" s="689"/>
      <c r="J139" s="419"/>
    </row>
    <row r="140" spans="2:10" ht="13.5">
      <c r="B140" s="418"/>
      <c r="C140" s="448" t="s">
        <v>457</v>
      </c>
      <c r="D140" s="452">
        <f>+D139</f>
        <v>12654237.73898507</v>
      </c>
      <c r="E140" s="450">
        <f>+E139</f>
        <v>0.4</v>
      </c>
      <c r="F140" s="685"/>
      <c r="G140" s="685"/>
      <c r="H140" s="686">
        <f>H139</f>
        <v>1246442.4172900293</v>
      </c>
      <c r="I140" s="686"/>
      <c r="J140" s="419"/>
    </row>
    <row r="141" spans="2:10" ht="13.5">
      <c r="B141" s="418"/>
      <c r="C141" s="436"/>
      <c r="D141" s="451"/>
      <c r="E141" s="436"/>
      <c r="F141" s="688"/>
      <c r="G141" s="688"/>
      <c r="H141" s="689"/>
      <c r="I141" s="689"/>
      <c r="J141" s="419"/>
    </row>
    <row r="142" spans="2:10" ht="13.5">
      <c r="B142" s="418"/>
      <c r="C142" s="448" t="s">
        <v>190</v>
      </c>
      <c r="D142" s="452">
        <f>'Return on Capital'!AI38</f>
        <v>31635594.347462673</v>
      </c>
      <c r="E142" s="450">
        <f>E137+E140</f>
        <v>1</v>
      </c>
      <c r="F142" s="690">
        <f>H142/D142</f>
        <v>0.06895205403354733</v>
      </c>
      <c r="G142" s="690"/>
      <c r="H142" s="686">
        <f>H137+H140</f>
        <v>2181339.2108296305</v>
      </c>
      <c r="I142" s="686"/>
      <c r="J142" s="419"/>
    </row>
    <row r="143" spans="2:10" ht="14.25" thickBot="1">
      <c r="B143" s="440"/>
      <c r="C143" s="687"/>
      <c r="D143" s="687"/>
      <c r="E143" s="687"/>
      <c r="F143" s="687"/>
      <c r="G143" s="687"/>
      <c r="H143" s="687"/>
      <c r="I143" s="687"/>
      <c r="J143" s="442"/>
    </row>
  </sheetData>
  <sheetProtection/>
  <mergeCells count="227">
    <mergeCell ref="F136:G136"/>
    <mergeCell ref="H136:I136"/>
    <mergeCell ref="F137:G137"/>
    <mergeCell ref="H137:I137"/>
    <mergeCell ref="F134:G134"/>
    <mergeCell ref="H134:I134"/>
    <mergeCell ref="F135:G135"/>
    <mergeCell ref="H135:I135"/>
    <mergeCell ref="C143:I143"/>
    <mergeCell ref="F141:G141"/>
    <mergeCell ref="H141:I141"/>
    <mergeCell ref="F142:G142"/>
    <mergeCell ref="H142:I142"/>
    <mergeCell ref="F138:G138"/>
    <mergeCell ref="H138:I138"/>
    <mergeCell ref="F140:G140"/>
    <mergeCell ref="H140:I140"/>
    <mergeCell ref="F139:G139"/>
    <mergeCell ref="H139:I139"/>
    <mergeCell ref="F124:G124"/>
    <mergeCell ref="H124:I124"/>
    <mergeCell ref="F123:G123"/>
    <mergeCell ref="H123:I123"/>
    <mergeCell ref="H86:I86"/>
    <mergeCell ref="H87:I87"/>
    <mergeCell ref="H88:I88"/>
    <mergeCell ref="C91:I91"/>
    <mergeCell ref="C120:I120"/>
    <mergeCell ref="F97:G97"/>
    <mergeCell ref="F87:G87"/>
    <mergeCell ref="F88:G88"/>
    <mergeCell ref="C94:I94"/>
    <mergeCell ref="F95:G95"/>
    <mergeCell ref="H95:I95"/>
    <mergeCell ref="F96:G96"/>
    <mergeCell ref="H96:I96"/>
    <mergeCell ref="F89:G89"/>
    <mergeCell ref="F90:G90"/>
    <mergeCell ref="C93:I93"/>
    <mergeCell ref="F98:G98"/>
    <mergeCell ref="H98:I98"/>
    <mergeCell ref="F99:G99"/>
    <mergeCell ref="H99:I99"/>
    <mergeCell ref="F127:G127"/>
    <mergeCell ref="C133:I133"/>
    <mergeCell ref="H127:I127"/>
    <mergeCell ref="F128:G128"/>
    <mergeCell ref="H128:I128"/>
    <mergeCell ref="C132:I132"/>
    <mergeCell ref="F129:G129"/>
    <mergeCell ref="H129:I129"/>
    <mergeCell ref="F125:G125"/>
    <mergeCell ref="H125:I125"/>
    <mergeCell ref="F126:G126"/>
    <mergeCell ref="H126:I126"/>
    <mergeCell ref="C130:I130"/>
    <mergeCell ref="C119:I119"/>
    <mergeCell ref="F121:G121"/>
    <mergeCell ref="H121:I121"/>
    <mergeCell ref="F122:G122"/>
    <mergeCell ref="H122:I122"/>
    <mergeCell ref="H76:I76"/>
    <mergeCell ref="F77:G77"/>
    <mergeCell ref="H77:I77"/>
    <mergeCell ref="H89:I89"/>
    <mergeCell ref="H90:I90"/>
    <mergeCell ref="H82:I82"/>
    <mergeCell ref="H83:I83"/>
    <mergeCell ref="H84:I84"/>
    <mergeCell ref="F82:G82"/>
    <mergeCell ref="H85:I85"/>
    <mergeCell ref="C78:I78"/>
    <mergeCell ref="F76:G76"/>
    <mergeCell ref="F100:G100"/>
    <mergeCell ref="F109:G109"/>
    <mergeCell ref="H109:I109"/>
    <mergeCell ref="F110:G110"/>
    <mergeCell ref="H110:I110"/>
    <mergeCell ref="F111:G111"/>
    <mergeCell ref="H111:I111"/>
    <mergeCell ref="F8:G8"/>
    <mergeCell ref="J8:K8"/>
    <mergeCell ref="F9:G9"/>
    <mergeCell ref="J9:K9"/>
    <mergeCell ref="H72:I72"/>
    <mergeCell ref="F10:G10"/>
    <mergeCell ref="J10:K10"/>
    <mergeCell ref="F71:G71"/>
    <mergeCell ref="H71:I71"/>
    <mergeCell ref="F16:G16"/>
    <mergeCell ref="J16:K16"/>
    <mergeCell ref="C37:G37"/>
    <mergeCell ref="J17:K17"/>
    <mergeCell ref="J18:K18"/>
    <mergeCell ref="F17:G17"/>
    <mergeCell ref="F18:G18"/>
    <mergeCell ref="F13:G13"/>
    <mergeCell ref="J13:K13"/>
    <mergeCell ref="F15:G15"/>
    <mergeCell ref="J15:K15"/>
    <mergeCell ref="F14:G14"/>
    <mergeCell ref="J14:K14"/>
    <mergeCell ref="J22:K22"/>
    <mergeCell ref="F23:G23"/>
    <mergeCell ref="C28:M28"/>
    <mergeCell ref="C36:M36"/>
    <mergeCell ref="F84:G84"/>
    <mergeCell ref="F85:G85"/>
    <mergeCell ref="F86:G86"/>
    <mergeCell ref="I35:L35"/>
    <mergeCell ref="F11:G11"/>
    <mergeCell ref="J11:K11"/>
    <mergeCell ref="F12:G12"/>
    <mergeCell ref="J12:K12"/>
    <mergeCell ref="J23:K23"/>
    <mergeCell ref="C46:M46"/>
    <mergeCell ref="C45:G45"/>
    <mergeCell ref="I45:L45"/>
    <mergeCell ref="F24:G24"/>
    <mergeCell ref="J24:K24"/>
    <mergeCell ref="J19:K19"/>
    <mergeCell ref="J20:K20"/>
    <mergeCell ref="F19:G19"/>
    <mergeCell ref="J21:K21"/>
    <mergeCell ref="F25:G25"/>
    <mergeCell ref="J25:K25"/>
    <mergeCell ref="F83:G83"/>
    <mergeCell ref="C47:H47"/>
    <mergeCell ref="A1:N1"/>
    <mergeCell ref="A2:N2"/>
    <mergeCell ref="F27:G27"/>
    <mergeCell ref="F26:G26"/>
    <mergeCell ref="I33:L33"/>
    <mergeCell ref="J6:K6"/>
    <mergeCell ref="F7:G7"/>
    <mergeCell ref="C80:I80"/>
    <mergeCell ref="B53:N53"/>
    <mergeCell ref="B3:N3"/>
    <mergeCell ref="C4:M4"/>
    <mergeCell ref="C5:M5"/>
    <mergeCell ref="C38:M38"/>
    <mergeCell ref="C35:H35"/>
    <mergeCell ref="J27:K27"/>
    <mergeCell ref="J26:K26"/>
    <mergeCell ref="F6:G6"/>
    <mergeCell ref="J7:K7"/>
    <mergeCell ref="C29:G29"/>
    <mergeCell ref="I29:L29"/>
    <mergeCell ref="C30:M30"/>
    <mergeCell ref="C31:H31"/>
    <mergeCell ref="I31:L31"/>
    <mergeCell ref="C52:M52"/>
    <mergeCell ref="C33:G33"/>
    <mergeCell ref="I37:L37"/>
    <mergeCell ref="H74:I74"/>
    <mergeCell ref="F75:G75"/>
    <mergeCell ref="H75:I75"/>
    <mergeCell ref="F72:G72"/>
    <mergeCell ref="H69:I69"/>
    <mergeCell ref="F70:G70"/>
    <mergeCell ref="C39:H39"/>
    <mergeCell ref="I39:L39"/>
    <mergeCell ref="C41:G41"/>
    <mergeCell ref="I41:L41"/>
    <mergeCell ref="C42:M42"/>
    <mergeCell ref="C43:H43"/>
    <mergeCell ref="I43:L43"/>
    <mergeCell ref="C49:G49"/>
    <mergeCell ref="I49:L49"/>
    <mergeCell ref="C50:M50"/>
    <mergeCell ref="C51:H51"/>
    <mergeCell ref="I51:L51"/>
    <mergeCell ref="H70:I70"/>
    <mergeCell ref="F73:G73"/>
    <mergeCell ref="H73:I73"/>
    <mergeCell ref="F74:G74"/>
    <mergeCell ref="H97:I97"/>
    <mergeCell ref="C55:I55"/>
    <mergeCell ref="C66:I66"/>
    <mergeCell ref="H59:I59"/>
    <mergeCell ref="F59:G59"/>
    <mergeCell ref="H58:I58"/>
    <mergeCell ref="F58:G58"/>
    <mergeCell ref="H57:I57"/>
    <mergeCell ref="F57:G57"/>
    <mergeCell ref="H56:I56"/>
    <mergeCell ref="F56:G56"/>
    <mergeCell ref="F60:G60"/>
    <mergeCell ref="H60:I60"/>
    <mergeCell ref="F61:G61"/>
    <mergeCell ref="H61:I61"/>
    <mergeCell ref="C34:M34"/>
    <mergeCell ref="C81:I81"/>
    <mergeCell ref="I47:L47"/>
    <mergeCell ref="C67:I67"/>
    <mergeCell ref="C68:I68"/>
    <mergeCell ref="F69:G69"/>
    <mergeCell ref="C54:I54"/>
    <mergeCell ref="F62:G62"/>
    <mergeCell ref="H62:I62"/>
    <mergeCell ref="F63:G63"/>
    <mergeCell ref="H63:I63"/>
    <mergeCell ref="F64:G64"/>
    <mergeCell ref="H64:I64"/>
    <mergeCell ref="F114:G114"/>
    <mergeCell ref="H114:I114"/>
    <mergeCell ref="C117:I117"/>
    <mergeCell ref="F115:G115"/>
    <mergeCell ref="H115:I115"/>
    <mergeCell ref="F116:G116"/>
    <mergeCell ref="H116:I116"/>
    <mergeCell ref="H100:I100"/>
    <mergeCell ref="F101:G101"/>
    <mergeCell ref="H101:I101"/>
    <mergeCell ref="F112:G112"/>
    <mergeCell ref="H112:I112"/>
    <mergeCell ref="F102:G102"/>
    <mergeCell ref="H102:I102"/>
    <mergeCell ref="F103:G103"/>
    <mergeCell ref="H103:I103"/>
    <mergeCell ref="C104:I104"/>
    <mergeCell ref="C106:I106"/>
    <mergeCell ref="F113:G113"/>
    <mergeCell ref="H113:I113"/>
    <mergeCell ref="C107:I107"/>
    <mergeCell ref="F108:G108"/>
    <mergeCell ref="H108:I108"/>
  </mergeCells>
  <printOptions/>
  <pageMargins left="0.7480314960629921" right="0.7480314960629921" top="0.984251968503937" bottom="0.984251968503937" header="0.5118110236220472" footer="0.5118110236220472"/>
  <pageSetup fitToHeight="2" fitToWidth="1" horizontalDpi="355" verticalDpi="355" orientation="portrait" scale="58" r:id="rId3"/>
  <headerFooter alignWithMargins="0">
    <oddFooter>&amp;L&amp;A</oddFooter>
  </headerFooter>
  <rowBreaks count="1" manualBreakCount="1">
    <brk id="66" max="255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6.140625" style="0" customWidth="1"/>
    <col min="2" max="2" width="24.140625" style="0" customWidth="1"/>
    <col min="3" max="3" width="25.28125" style="0" customWidth="1"/>
    <col min="4" max="4" width="12.8515625" style="0" bestFit="1" customWidth="1"/>
  </cols>
  <sheetData>
    <row r="1" spans="1:3" ht="12.75">
      <c r="A1" s="614" t="str">
        <f>'Trial Balance'!A1:J1</f>
        <v>Woodstock Hydro Services Inc.</v>
      </c>
      <c r="B1" s="614"/>
      <c r="C1" s="614"/>
    </row>
    <row r="2" spans="1:3" ht="12.75">
      <c r="A2" s="614" t="str">
        <f>'Trial Balance'!A2:J2</f>
        <v>, License Number ED-2003-0011, File Number EB-2010-0145</v>
      </c>
      <c r="B2" s="614"/>
      <c r="C2" s="614"/>
    </row>
    <row r="3" spans="1:3" ht="32.25" customHeight="1">
      <c r="A3" s="724" t="s">
        <v>238</v>
      </c>
      <c r="B3" s="724"/>
      <c r="C3" s="724"/>
    </row>
    <row r="4" spans="1:3" ht="12.75">
      <c r="A4" s="725" t="s">
        <v>463</v>
      </c>
      <c r="B4" s="65">
        <v>2010</v>
      </c>
      <c r="C4" s="65">
        <v>2011</v>
      </c>
    </row>
    <row r="5" spans="1:3" ht="12.75">
      <c r="A5" s="726"/>
      <c r="B5" s="67" t="s">
        <v>461</v>
      </c>
      <c r="C5" s="66" t="s">
        <v>462</v>
      </c>
    </row>
    <row r="7" spans="1:3" ht="12.75">
      <c r="A7" s="53" t="s">
        <v>464</v>
      </c>
      <c r="B7" s="68">
        <v>15000000</v>
      </c>
      <c r="C7" s="68">
        <v>15000000</v>
      </c>
    </row>
    <row r="8" spans="1:3" ht="12.75">
      <c r="A8" s="53"/>
      <c r="B8" s="20"/>
      <c r="C8" s="64"/>
    </row>
    <row r="9" spans="1:3" ht="12.75">
      <c r="A9" s="53" t="s">
        <v>458</v>
      </c>
      <c r="B9" s="70">
        <v>0.18</v>
      </c>
      <c r="C9" s="70">
        <v>0.165</v>
      </c>
    </row>
    <row r="10" spans="1:3" ht="12.75">
      <c r="A10" s="53"/>
      <c r="B10" s="58"/>
      <c r="C10" s="58"/>
    </row>
    <row r="11" spans="1:3" ht="12.75">
      <c r="A11" s="53" t="s">
        <v>459</v>
      </c>
      <c r="B11" s="70">
        <v>0.13</v>
      </c>
      <c r="C11" s="70">
        <v>0.08360026597592206</v>
      </c>
    </row>
    <row r="12" ht="12.75">
      <c r="A12" s="53"/>
    </row>
    <row r="13" spans="1:3" ht="12.75">
      <c r="A13" s="53" t="s">
        <v>460</v>
      </c>
      <c r="B13" s="69">
        <f>+B9+B11</f>
        <v>0.31</v>
      </c>
      <c r="C13" s="69">
        <f>+C9+C11</f>
        <v>0.24860026597592205</v>
      </c>
    </row>
    <row r="14" ht="12.75">
      <c r="A14" s="53"/>
    </row>
    <row r="15" spans="1:5" ht="12.75">
      <c r="A15" s="53" t="s">
        <v>466</v>
      </c>
      <c r="B15" s="71">
        <f>0.15%/2</f>
        <v>0.00075</v>
      </c>
      <c r="C15" s="71">
        <v>0</v>
      </c>
      <c r="D15" s="280"/>
      <c r="E15" s="281"/>
    </row>
    <row r="16" spans="1:2" ht="12.75">
      <c r="A16" s="53"/>
      <c r="B16" s="34"/>
    </row>
    <row r="17" spans="1:3" ht="12.75">
      <c r="A17" s="53" t="s">
        <v>467</v>
      </c>
      <c r="B17" s="72">
        <v>0</v>
      </c>
      <c r="C17" s="72">
        <v>0</v>
      </c>
    </row>
    <row r="18" ht="12.75">
      <c r="A18" s="53"/>
    </row>
    <row r="19" spans="1:3" ht="12.75">
      <c r="A19" s="53" t="s">
        <v>468</v>
      </c>
      <c r="B19" s="68"/>
      <c r="C19" s="68"/>
    </row>
    <row r="21" spans="1:4" ht="12.75">
      <c r="A21" s="409" t="s">
        <v>923</v>
      </c>
      <c r="B21" s="68">
        <v>500000</v>
      </c>
      <c r="C21" s="68">
        <v>500000</v>
      </c>
      <c r="D21" s="245"/>
    </row>
    <row r="22" spans="2:4" ht="12.75">
      <c r="B22" s="245"/>
      <c r="C22" s="245"/>
      <c r="D22" s="245"/>
    </row>
    <row r="23" spans="2:4" ht="12.75">
      <c r="B23" s="245"/>
      <c r="C23" s="245"/>
      <c r="D23" s="245"/>
    </row>
    <row r="24" spans="2:4" ht="12.75">
      <c r="B24" s="277"/>
      <c r="C24" s="277"/>
      <c r="D24" s="277"/>
    </row>
    <row r="25" ht="12.75">
      <c r="B25" s="278"/>
    </row>
    <row r="27" ht="12.75">
      <c r="B27" s="245"/>
    </row>
    <row r="28" ht="12.75">
      <c r="B28" s="175"/>
    </row>
    <row r="32" ht="12.75">
      <c r="B32" s="277"/>
    </row>
    <row r="33" ht="12.75">
      <c r="B33" s="277"/>
    </row>
  </sheetData>
  <sheetProtection/>
  <mergeCells count="4">
    <mergeCell ref="A3:C3"/>
    <mergeCell ref="A4:A5"/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5" fitToWidth="1" horizontalDpi="355" verticalDpi="355" orientation="landscape" r:id="rId3"/>
  <headerFooter alignWithMargins="0">
    <oddFooter>&amp;L&amp;A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E15">
      <selection activeCell="H29" sqref="H29"/>
    </sheetView>
  </sheetViews>
  <sheetFormatPr defaultColWidth="9.140625" defaultRowHeight="12.75"/>
  <cols>
    <col min="1" max="1" width="1.57421875" style="0" customWidth="1"/>
    <col min="2" max="2" width="6.421875" style="0" customWidth="1"/>
    <col min="3" max="3" width="49.421875" style="0" customWidth="1"/>
    <col min="4" max="4" width="17.421875" style="0" customWidth="1"/>
    <col min="5" max="5" width="21.140625" style="0" customWidth="1"/>
    <col min="6" max="6" width="20.421875" style="0" customWidth="1"/>
    <col min="7" max="7" width="19.28125" style="0" customWidth="1"/>
    <col min="8" max="8" width="13.00390625" style="0" customWidth="1"/>
    <col min="9" max="9" width="13.57421875" style="0" customWidth="1"/>
    <col min="10" max="10" width="18.57421875" style="0" customWidth="1"/>
    <col min="11" max="11" width="26.7109375" style="0" customWidth="1"/>
    <col min="12" max="12" width="13.140625" style="0" bestFit="1" customWidth="1"/>
    <col min="13" max="13" width="7.28125" style="0" bestFit="1" customWidth="1"/>
    <col min="14" max="14" width="10.8515625" style="0" bestFit="1" customWidth="1"/>
    <col min="15" max="15" width="15.421875" style="0" customWidth="1"/>
  </cols>
  <sheetData>
    <row r="1" spans="1:15" ht="12.75">
      <c r="A1" s="614" t="str">
        <f>'Trial Balance'!A1:J1</f>
        <v>Woodstock Hydro Services Inc.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</row>
    <row r="2" spans="1:15" ht="12.75">
      <c r="A2" s="614" t="str">
        <f>'Trial Balance'!A2:J2</f>
        <v>, License Number ED-2003-0011, File Number EB-2010-0145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</row>
    <row r="3" ht="6.75" customHeight="1"/>
    <row r="4" spans="2:15" ht="36" customHeight="1">
      <c r="B4" s="664" t="s">
        <v>810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</row>
    <row r="5" spans="2:15" s="16" customFormat="1" ht="38.25">
      <c r="B5" s="74" t="s">
        <v>469</v>
      </c>
      <c r="C5" s="74" t="s">
        <v>470</v>
      </c>
      <c r="D5" s="74" t="s">
        <v>471</v>
      </c>
      <c r="E5" s="74" t="s">
        <v>472</v>
      </c>
      <c r="F5" s="74" t="s">
        <v>473</v>
      </c>
      <c r="G5" s="74" t="s">
        <v>474</v>
      </c>
      <c r="H5" s="74" t="s">
        <v>494</v>
      </c>
      <c r="I5" s="74" t="s">
        <v>495</v>
      </c>
      <c r="J5" s="74" t="s">
        <v>496</v>
      </c>
      <c r="K5" s="74" t="s">
        <v>497</v>
      </c>
      <c r="L5" s="74" t="s">
        <v>498</v>
      </c>
      <c r="M5" s="74" t="s">
        <v>499</v>
      </c>
      <c r="N5" s="74" t="s">
        <v>500</v>
      </c>
      <c r="O5" s="74" t="s">
        <v>501</v>
      </c>
    </row>
    <row r="6" spans="2:15" ht="12.75">
      <c r="B6" s="75">
        <v>1</v>
      </c>
      <c r="C6" s="76" t="s">
        <v>475</v>
      </c>
      <c r="D6" s="79">
        <v>15008590</v>
      </c>
      <c r="E6" s="80">
        <v>0</v>
      </c>
      <c r="F6" s="80">
        <v>0</v>
      </c>
      <c r="G6" s="56">
        <f>D6-E6-F6</f>
        <v>15008590</v>
      </c>
      <c r="H6" s="333">
        <f>SUMIF('FA Continuity 2010'!A:A,B6,'FA Continuity 2010'!E:E)</f>
        <v>79000</v>
      </c>
      <c r="I6" s="333">
        <f>SUMIF('FA Continuity 2010'!A:A,B6,'FA Continuity 2010'!F:F)</f>
        <v>0</v>
      </c>
      <c r="J6" s="334">
        <f>G6+H6-I6</f>
        <v>15087590</v>
      </c>
      <c r="K6" s="334">
        <f>H6*0.5</f>
        <v>39500</v>
      </c>
      <c r="L6" s="334">
        <f>J6-K6</f>
        <v>15048090</v>
      </c>
      <c r="M6" s="78">
        <v>0.04</v>
      </c>
      <c r="N6" s="334">
        <f>L6*M6</f>
        <v>601923.6</v>
      </c>
      <c r="O6" s="334">
        <f>J6-N6</f>
        <v>14485666.4</v>
      </c>
    </row>
    <row r="7" spans="2:15" ht="12.75">
      <c r="B7" s="75">
        <v>2</v>
      </c>
      <c r="C7" s="76" t="s">
        <v>476</v>
      </c>
      <c r="D7" s="79">
        <v>0</v>
      </c>
      <c r="E7" s="80">
        <v>0</v>
      </c>
      <c r="F7" s="80">
        <v>0</v>
      </c>
      <c r="G7" s="56">
        <f aca="true" t="shared" si="0" ref="G7:G25">D7-E7-F7</f>
        <v>0</v>
      </c>
      <c r="H7" s="333">
        <f>SUMIF('FA Continuity 2010'!A:A,B7,'FA Continuity 2010'!E:E)</f>
        <v>0</v>
      </c>
      <c r="I7" s="333">
        <f>SUMIF('FA Continuity 2010'!A:A,B7,'FA Continuity 2010'!F:F)</f>
        <v>0</v>
      </c>
      <c r="J7" s="334">
        <f aca="true" t="shared" si="1" ref="J7:J25">G7+H7-I7</f>
        <v>0</v>
      </c>
      <c r="K7" s="334">
        <f>H7*0.5</f>
        <v>0</v>
      </c>
      <c r="L7" s="334">
        <f aca="true" t="shared" si="2" ref="L7:L25">J7-K7</f>
        <v>0</v>
      </c>
      <c r="M7" s="78">
        <v>0.06</v>
      </c>
      <c r="N7" s="334">
        <f aca="true" t="shared" si="3" ref="N7:N25">L7*M7</f>
        <v>0</v>
      </c>
      <c r="O7" s="334">
        <f aca="true" t="shared" si="4" ref="O7:O25">J7-N7</f>
        <v>0</v>
      </c>
    </row>
    <row r="8" spans="2:15" ht="12.75">
      <c r="B8" s="75">
        <v>6</v>
      </c>
      <c r="C8" s="76" t="s">
        <v>289</v>
      </c>
      <c r="D8" s="79">
        <v>0</v>
      </c>
      <c r="E8" s="80">
        <v>0</v>
      </c>
      <c r="F8" s="80">
        <v>0</v>
      </c>
      <c r="G8" s="56">
        <f t="shared" si="0"/>
        <v>0</v>
      </c>
      <c r="H8" s="333">
        <f>SUMIF('FA Continuity 2010'!A:A,B8,'FA Continuity 2010'!E:E)</f>
        <v>0</v>
      </c>
      <c r="I8" s="333">
        <f>SUMIF('FA Continuity 2010'!A:A,B8,'FA Continuity 2010'!F:F)</f>
        <v>0</v>
      </c>
      <c r="J8" s="334">
        <f>G8+H8-I8</f>
        <v>0</v>
      </c>
      <c r="K8" s="334">
        <f>H8*0.5</f>
        <v>0</v>
      </c>
      <c r="L8" s="334">
        <f>J8-K8</f>
        <v>0</v>
      </c>
      <c r="M8" s="78">
        <v>0.1</v>
      </c>
      <c r="N8" s="334">
        <f>L8*M8</f>
        <v>0</v>
      </c>
      <c r="O8" s="334">
        <f>J8-N8</f>
        <v>0</v>
      </c>
    </row>
    <row r="9" spans="2:15" ht="12.75">
      <c r="B9" s="75">
        <v>8</v>
      </c>
      <c r="C9" s="76" t="s">
        <v>477</v>
      </c>
      <c r="D9" s="79">
        <v>226073</v>
      </c>
      <c r="E9" s="80">
        <v>0</v>
      </c>
      <c r="F9" s="80">
        <v>0</v>
      </c>
      <c r="G9" s="56">
        <f t="shared" si="0"/>
        <v>226073</v>
      </c>
      <c r="H9" s="333">
        <f>SUMIF('FA Continuity 2010'!A:A,B9,'FA Continuity 2010'!E:E)</f>
        <v>97860.2</v>
      </c>
      <c r="I9" s="333">
        <f>SUMIF('FA Continuity 2010'!A:A,B9,'FA Continuity 2010'!F:F)</f>
        <v>0</v>
      </c>
      <c r="J9" s="334">
        <f>G9+H9-I9</f>
        <v>323933.2</v>
      </c>
      <c r="K9" s="334">
        <f>H9*0.5</f>
        <v>48930.1</v>
      </c>
      <c r="L9" s="334">
        <f t="shared" si="2"/>
        <v>275003.10000000003</v>
      </c>
      <c r="M9" s="78">
        <v>0.2</v>
      </c>
      <c r="N9" s="334">
        <f t="shared" si="3"/>
        <v>55000.62000000001</v>
      </c>
      <c r="O9" s="334">
        <f t="shared" si="4"/>
        <v>268932.58</v>
      </c>
    </row>
    <row r="10" spans="2:15" ht="12.75">
      <c r="B10" s="75">
        <v>10</v>
      </c>
      <c r="C10" s="76" t="s">
        <v>478</v>
      </c>
      <c r="D10" s="79">
        <v>292778</v>
      </c>
      <c r="E10" s="80">
        <v>0</v>
      </c>
      <c r="F10" s="80">
        <v>0</v>
      </c>
      <c r="G10" s="56">
        <f t="shared" si="0"/>
        <v>292778</v>
      </c>
      <c r="H10" s="333">
        <f>SUMIF('FA Continuity 2010'!A:A,B10,'FA Continuity 2010'!E:E)</f>
        <v>0</v>
      </c>
      <c r="I10" s="333">
        <f>SUMIF('FA Continuity 2010'!A:A,B10,'FA Continuity 2010'!F:F)</f>
        <v>0</v>
      </c>
      <c r="J10" s="334">
        <f t="shared" si="1"/>
        <v>292778</v>
      </c>
      <c r="K10" s="334">
        <f>H10*0.5</f>
        <v>0</v>
      </c>
      <c r="L10" s="334">
        <f t="shared" si="2"/>
        <v>292778</v>
      </c>
      <c r="M10" s="78">
        <v>0.3</v>
      </c>
      <c r="N10" s="334">
        <f t="shared" si="3"/>
        <v>87833.4</v>
      </c>
      <c r="O10" s="334">
        <f t="shared" si="4"/>
        <v>204944.6</v>
      </c>
    </row>
    <row r="11" spans="2:15" ht="12.75">
      <c r="B11" s="75">
        <v>10.1</v>
      </c>
      <c r="C11" s="76" t="s">
        <v>479</v>
      </c>
      <c r="D11" s="80">
        <v>0</v>
      </c>
      <c r="E11" s="80">
        <v>0</v>
      </c>
      <c r="F11" s="80">
        <v>0</v>
      </c>
      <c r="G11" s="56">
        <f t="shared" si="0"/>
        <v>0</v>
      </c>
      <c r="H11" s="333">
        <f>SUMIF('FA Continuity 2010'!A:A,B11,'FA Continuity 2010'!E:E)</f>
        <v>0</v>
      </c>
      <c r="I11" s="333">
        <f>SUMIF('FA Continuity 2010'!A:A,B11,'FA Continuity 2010'!F:F)</f>
        <v>0</v>
      </c>
      <c r="J11" s="334">
        <f t="shared" si="1"/>
        <v>0</v>
      </c>
      <c r="K11" s="334">
        <f aca="true" t="shared" si="5" ref="K11:K25">H11*0.5</f>
        <v>0</v>
      </c>
      <c r="L11" s="334">
        <f t="shared" si="2"/>
        <v>0</v>
      </c>
      <c r="M11" s="78">
        <v>0.3</v>
      </c>
      <c r="N11" s="334">
        <f t="shared" si="3"/>
        <v>0</v>
      </c>
      <c r="O11" s="334">
        <f t="shared" si="4"/>
        <v>0</v>
      </c>
    </row>
    <row r="12" spans="2:15" ht="12.75">
      <c r="B12" s="75">
        <v>12</v>
      </c>
      <c r="C12" s="76" t="s">
        <v>525</v>
      </c>
      <c r="D12" s="79">
        <v>67469</v>
      </c>
      <c r="E12" s="80">
        <v>0</v>
      </c>
      <c r="F12" s="80">
        <v>0</v>
      </c>
      <c r="G12" s="56">
        <f t="shared" si="0"/>
        <v>67469</v>
      </c>
      <c r="H12" s="333">
        <f>SUMIF('FA Continuity 2010'!A:A,B12,'FA Continuity 2010'!E:E)</f>
        <v>123087.01000000001</v>
      </c>
      <c r="I12" s="333">
        <f>SUMIF('FA Continuity 2010'!A:A,B12,'FA Continuity 2010'!F:F)</f>
        <v>0</v>
      </c>
      <c r="J12" s="334">
        <f t="shared" si="1"/>
        <v>190556.01</v>
      </c>
      <c r="K12" s="334">
        <f t="shared" si="5"/>
        <v>61543.505000000005</v>
      </c>
      <c r="L12" s="334">
        <f t="shared" si="2"/>
        <v>129012.505</v>
      </c>
      <c r="M12" s="78">
        <v>1</v>
      </c>
      <c r="N12" s="334">
        <f t="shared" si="3"/>
        <v>129012.505</v>
      </c>
      <c r="O12" s="334">
        <f t="shared" si="4"/>
        <v>61543.505000000005</v>
      </c>
    </row>
    <row r="13" spans="2:15" s="18" customFormat="1" ht="12.75">
      <c r="B13" s="331">
        <v>3</v>
      </c>
      <c r="C13" s="332"/>
      <c r="D13" s="79">
        <v>0</v>
      </c>
      <c r="E13" s="80">
        <v>0</v>
      </c>
      <c r="F13" s="80">
        <v>0</v>
      </c>
      <c r="G13" s="81">
        <f t="shared" si="0"/>
        <v>0</v>
      </c>
      <c r="H13" s="333">
        <f>SUMIF('FA Continuity 2010'!A:A,B13,'FA Continuity 2010'!E:E)</f>
        <v>0</v>
      </c>
      <c r="I13" s="333">
        <f>SUMIF('FA Continuity 2010'!A:A,B13,'FA Continuity 2010'!F:F)</f>
        <v>0</v>
      </c>
      <c r="J13" s="335">
        <f t="shared" si="1"/>
        <v>0</v>
      </c>
      <c r="K13" s="335">
        <f t="shared" si="5"/>
        <v>0</v>
      </c>
      <c r="L13" s="335">
        <f t="shared" si="2"/>
        <v>0</v>
      </c>
      <c r="M13" s="229">
        <v>0.05</v>
      </c>
      <c r="N13" s="335">
        <f t="shared" si="3"/>
        <v>0</v>
      </c>
      <c r="O13" s="335">
        <f t="shared" si="4"/>
        <v>0</v>
      </c>
    </row>
    <row r="14" spans="2:15" ht="12.75">
      <c r="B14" s="75"/>
      <c r="C14" s="76"/>
      <c r="D14" s="79">
        <v>0</v>
      </c>
      <c r="E14" s="80">
        <v>0</v>
      </c>
      <c r="F14" s="80">
        <v>0</v>
      </c>
      <c r="G14" s="56">
        <f t="shared" si="0"/>
        <v>0</v>
      </c>
      <c r="H14" s="333">
        <f>SUMIF('FA Continuity 2010'!A:A,B14,'FA Continuity 2010'!E:E)</f>
        <v>0</v>
      </c>
      <c r="I14" s="333">
        <f>SUMIF('FA Continuity 2010'!A:A,B14,'FA Continuity 2010'!F:F)</f>
        <v>0</v>
      </c>
      <c r="J14" s="334">
        <f t="shared" si="1"/>
        <v>0</v>
      </c>
      <c r="K14" s="334">
        <f t="shared" si="5"/>
        <v>0</v>
      </c>
      <c r="L14" s="334">
        <f t="shared" si="2"/>
        <v>0</v>
      </c>
      <c r="M14" s="229"/>
      <c r="N14" s="335">
        <f t="shared" si="3"/>
        <v>0</v>
      </c>
      <c r="O14" s="334">
        <f t="shared" si="4"/>
        <v>0</v>
      </c>
    </row>
    <row r="15" spans="2:15" ht="12.75">
      <c r="B15" s="75" t="s">
        <v>480</v>
      </c>
      <c r="C15" s="76" t="s">
        <v>481</v>
      </c>
      <c r="D15" s="80">
        <v>0</v>
      </c>
      <c r="E15" s="80">
        <v>0</v>
      </c>
      <c r="F15" s="80">
        <v>0</v>
      </c>
      <c r="G15" s="56">
        <f t="shared" si="0"/>
        <v>0</v>
      </c>
      <c r="H15" s="333">
        <f>SUMIF('FA Continuity 2010'!A:A,B15,'FA Continuity 2010'!E:E)</f>
        <v>0</v>
      </c>
      <c r="I15" s="333">
        <f>SUMIF('FA Continuity 2010'!A:A,B15,'FA Continuity 2010'!F:F)</f>
        <v>0</v>
      </c>
      <c r="J15" s="334">
        <f t="shared" si="1"/>
        <v>0</v>
      </c>
      <c r="K15" s="334">
        <f t="shared" si="5"/>
        <v>0</v>
      </c>
      <c r="L15" s="334">
        <f t="shared" si="2"/>
        <v>0</v>
      </c>
      <c r="M15" s="78"/>
      <c r="N15" s="335">
        <f t="shared" si="3"/>
        <v>0</v>
      </c>
      <c r="O15" s="334">
        <f t="shared" si="4"/>
        <v>0</v>
      </c>
    </row>
    <row r="16" spans="2:15" ht="12.75">
      <c r="B16" s="75" t="s">
        <v>482</v>
      </c>
      <c r="C16" s="76" t="s">
        <v>483</v>
      </c>
      <c r="D16" s="80">
        <v>0</v>
      </c>
      <c r="E16" s="80">
        <v>0</v>
      </c>
      <c r="F16" s="80">
        <v>0</v>
      </c>
      <c r="G16" s="56">
        <f t="shared" si="0"/>
        <v>0</v>
      </c>
      <c r="H16" s="333">
        <f>SUMIF('FA Continuity 2010'!A:A,B16,'FA Continuity 2010'!E:E)</f>
        <v>0</v>
      </c>
      <c r="I16" s="333">
        <f>SUMIF('FA Continuity 2010'!A:A,B16,'FA Continuity 2010'!F:F)</f>
        <v>0</v>
      </c>
      <c r="J16" s="334">
        <f t="shared" si="1"/>
        <v>0</v>
      </c>
      <c r="K16" s="334">
        <f t="shared" si="5"/>
        <v>0</v>
      </c>
      <c r="L16" s="334">
        <f t="shared" si="2"/>
        <v>0</v>
      </c>
      <c r="M16" s="78"/>
      <c r="N16" s="335">
        <f t="shared" si="3"/>
        <v>0</v>
      </c>
      <c r="O16" s="334">
        <f t="shared" si="4"/>
        <v>0</v>
      </c>
    </row>
    <row r="17" spans="2:15" ht="12.75">
      <c r="B17" s="75">
        <v>14</v>
      </c>
      <c r="C17" s="76" t="s">
        <v>484</v>
      </c>
      <c r="D17" s="80">
        <v>0</v>
      </c>
      <c r="E17" s="80">
        <v>0</v>
      </c>
      <c r="F17" s="80">
        <v>0</v>
      </c>
      <c r="G17" s="56">
        <f t="shared" si="0"/>
        <v>0</v>
      </c>
      <c r="H17" s="333">
        <f>SUMIF('FA Continuity 2010'!A:A,B17,'FA Continuity 2010'!E:E)</f>
        <v>0</v>
      </c>
      <c r="I17" s="333">
        <f>SUMIF('FA Continuity 2010'!A:A,B17,'FA Continuity 2010'!F:F)</f>
        <v>0</v>
      </c>
      <c r="J17" s="334">
        <f t="shared" si="1"/>
        <v>0</v>
      </c>
      <c r="K17" s="334">
        <f t="shared" si="5"/>
        <v>0</v>
      </c>
      <c r="L17" s="334">
        <f t="shared" si="2"/>
        <v>0</v>
      </c>
      <c r="M17" s="78"/>
      <c r="N17" s="335">
        <f t="shared" si="3"/>
        <v>0</v>
      </c>
      <c r="O17" s="334">
        <f t="shared" si="4"/>
        <v>0</v>
      </c>
    </row>
    <row r="18" spans="2:15" ht="25.5">
      <c r="B18" s="75">
        <v>17</v>
      </c>
      <c r="C18" s="76" t="s">
        <v>485</v>
      </c>
      <c r="D18" s="79">
        <v>0</v>
      </c>
      <c r="E18" s="80">
        <v>0</v>
      </c>
      <c r="F18" s="80">
        <v>0</v>
      </c>
      <c r="G18" s="56">
        <f t="shared" si="0"/>
        <v>0</v>
      </c>
      <c r="H18" s="333">
        <f>SUMIF('FA Continuity 2010'!A:A,B18,'FA Continuity 2010'!E:E)</f>
        <v>0</v>
      </c>
      <c r="I18" s="333">
        <f>SUMIF('FA Continuity 2010'!A:A,B18,'FA Continuity 2010'!F:F)</f>
        <v>0</v>
      </c>
      <c r="J18" s="334">
        <f t="shared" si="1"/>
        <v>0</v>
      </c>
      <c r="K18" s="334">
        <f t="shared" si="5"/>
        <v>0</v>
      </c>
      <c r="L18" s="334">
        <f t="shared" si="2"/>
        <v>0</v>
      </c>
      <c r="M18" s="78">
        <v>0.08</v>
      </c>
      <c r="N18" s="334">
        <f t="shared" si="3"/>
        <v>0</v>
      </c>
      <c r="O18" s="334">
        <f t="shared" si="4"/>
        <v>0</v>
      </c>
    </row>
    <row r="19" spans="2:15" ht="25.5">
      <c r="B19" s="75">
        <v>43.1</v>
      </c>
      <c r="C19" s="76" t="s">
        <v>486</v>
      </c>
      <c r="D19" s="80">
        <v>0</v>
      </c>
      <c r="E19" s="80">
        <v>0</v>
      </c>
      <c r="F19" s="80">
        <v>0</v>
      </c>
      <c r="G19" s="56">
        <f t="shared" si="0"/>
        <v>0</v>
      </c>
      <c r="H19" s="333">
        <f>SUMIF('FA Continuity 2010'!A:A,B19,'FA Continuity 2010'!E:E)</f>
        <v>0</v>
      </c>
      <c r="I19" s="333">
        <f>SUMIF('FA Continuity 2010'!A:A,B19,'FA Continuity 2010'!F:F)</f>
        <v>0</v>
      </c>
      <c r="J19" s="334">
        <f t="shared" si="1"/>
        <v>0</v>
      </c>
      <c r="K19" s="334">
        <f t="shared" si="5"/>
        <v>0</v>
      </c>
      <c r="L19" s="334">
        <f t="shared" si="2"/>
        <v>0</v>
      </c>
      <c r="M19" s="78">
        <v>0.3</v>
      </c>
      <c r="N19" s="334">
        <f t="shared" si="3"/>
        <v>0</v>
      </c>
      <c r="O19" s="334">
        <f t="shared" si="4"/>
        <v>0</v>
      </c>
    </row>
    <row r="20" spans="2:15" ht="25.5">
      <c r="B20" s="75">
        <v>45</v>
      </c>
      <c r="C20" s="76" t="s">
        <v>291</v>
      </c>
      <c r="D20" s="79">
        <v>57743</v>
      </c>
      <c r="E20" s="80">
        <v>0</v>
      </c>
      <c r="F20" s="80">
        <v>0</v>
      </c>
      <c r="G20" s="56">
        <f t="shared" si="0"/>
        <v>57743</v>
      </c>
      <c r="H20" s="333">
        <f>SUMIF('FA Continuity 2010'!A:A,B20,'FA Continuity 2010'!E:E)</f>
        <v>0</v>
      </c>
      <c r="I20" s="333">
        <f>SUMIF('FA Continuity 2010'!A:A,B20,'FA Continuity 2010'!F:F)</f>
        <v>0</v>
      </c>
      <c r="J20" s="334">
        <f t="shared" si="1"/>
        <v>57743</v>
      </c>
      <c r="K20" s="334">
        <f t="shared" si="5"/>
        <v>0</v>
      </c>
      <c r="L20" s="334">
        <f t="shared" si="2"/>
        <v>57743</v>
      </c>
      <c r="M20" s="78">
        <v>0.45</v>
      </c>
      <c r="N20" s="334">
        <f t="shared" si="3"/>
        <v>25984.350000000002</v>
      </c>
      <c r="O20" s="334">
        <f t="shared" si="4"/>
        <v>31758.649999999998</v>
      </c>
    </row>
    <row r="21" spans="2:15" ht="25.5">
      <c r="B21" s="75">
        <v>50</v>
      </c>
      <c r="C21" s="76" t="s">
        <v>290</v>
      </c>
      <c r="D21" s="79">
        <v>26848</v>
      </c>
      <c r="E21" s="80">
        <v>0</v>
      </c>
      <c r="F21" s="80">
        <v>0</v>
      </c>
      <c r="G21" s="56">
        <f t="shared" si="0"/>
        <v>26848</v>
      </c>
      <c r="H21" s="333">
        <f>SUMIF('FA Continuity 2010'!A:A,B21,'FA Continuity 2010'!E:E)</f>
        <v>0</v>
      </c>
      <c r="I21" s="333">
        <f>SUMIF('FA Continuity 2010'!A:A,B21,'FA Continuity 2010'!F:F)</f>
        <v>0</v>
      </c>
      <c r="J21" s="334">
        <f t="shared" si="1"/>
        <v>26848</v>
      </c>
      <c r="K21" s="334">
        <f t="shared" si="5"/>
        <v>0</v>
      </c>
      <c r="L21" s="334">
        <f t="shared" si="2"/>
        <v>26848</v>
      </c>
      <c r="M21" s="78">
        <v>0.55</v>
      </c>
      <c r="N21" s="334">
        <f t="shared" si="3"/>
        <v>14766.400000000001</v>
      </c>
      <c r="O21" s="334">
        <f t="shared" si="4"/>
        <v>12081.599999999999</v>
      </c>
    </row>
    <row r="22" spans="2:15" ht="25.5">
      <c r="B22" s="75">
        <v>46</v>
      </c>
      <c r="C22" s="76" t="s">
        <v>487</v>
      </c>
      <c r="D22" s="80">
        <v>17616</v>
      </c>
      <c r="E22" s="80">
        <v>0</v>
      </c>
      <c r="F22" s="80">
        <v>0</v>
      </c>
      <c r="G22" s="56">
        <f t="shared" si="0"/>
        <v>17616</v>
      </c>
      <c r="H22" s="333">
        <f>SUMIF('FA Continuity 2010'!A:A,B22,'FA Continuity 2010'!E:E)</f>
        <v>0</v>
      </c>
      <c r="I22" s="333">
        <f>SUMIF('FA Continuity 2010'!A:A,B22,'FA Continuity 2010'!F:F)</f>
        <v>0</v>
      </c>
      <c r="J22" s="334">
        <f t="shared" si="1"/>
        <v>17616</v>
      </c>
      <c r="K22" s="334">
        <f t="shared" si="5"/>
        <v>0</v>
      </c>
      <c r="L22" s="334">
        <f t="shared" si="2"/>
        <v>17616</v>
      </c>
      <c r="M22" s="78">
        <v>0.3</v>
      </c>
      <c r="N22" s="334">
        <f t="shared" si="3"/>
        <v>5284.8</v>
      </c>
      <c r="O22" s="334">
        <f t="shared" si="4"/>
        <v>12331.2</v>
      </c>
    </row>
    <row r="23" spans="2:15" ht="12.75">
      <c r="B23" s="75">
        <v>47</v>
      </c>
      <c r="C23" s="76" t="s">
        <v>488</v>
      </c>
      <c r="D23" s="79">
        <v>9783563</v>
      </c>
      <c r="E23" s="80">
        <v>0</v>
      </c>
      <c r="F23" s="80">
        <v>0</v>
      </c>
      <c r="G23" s="56">
        <f>D23-E23-F23</f>
        <v>9783563</v>
      </c>
      <c r="H23" s="333">
        <f>SUMIF('FA Continuity 2010'!A:A,B23,'FA Continuity 2010'!E:E)</f>
        <v>6074123.45787297</v>
      </c>
      <c r="I23" s="333">
        <f>SUMIF('FA Continuity 2010'!A:A,B23,'FA Continuity 2010'!F:F)</f>
        <v>0</v>
      </c>
      <c r="J23" s="334">
        <f>G23+H23-I23</f>
        <v>15857686.45787297</v>
      </c>
      <c r="K23" s="334">
        <f>H23*0.5</f>
        <v>3037061.728936485</v>
      </c>
      <c r="L23" s="334">
        <f>J23-K23</f>
        <v>12820624.728936486</v>
      </c>
      <c r="M23" s="78">
        <v>0.08</v>
      </c>
      <c r="N23" s="335">
        <f>L23*M23</f>
        <v>1025649.9783149189</v>
      </c>
      <c r="O23" s="334">
        <f>J23-N23</f>
        <v>14832036.47955805</v>
      </c>
    </row>
    <row r="24" spans="2:15" ht="25.5">
      <c r="B24" s="75">
        <v>52</v>
      </c>
      <c r="C24" s="76" t="s">
        <v>901</v>
      </c>
      <c r="D24" s="79">
        <v>90351</v>
      </c>
      <c r="E24" s="80">
        <v>0</v>
      </c>
      <c r="F24" s="80">
        <v>0</v>
      </c>
      <c r="G24" s="56">
        <f>D24-E24-F24</f>
        <v>90351</v>
      </c>
      <c r="H24" s="333">
        <f>SUMIF('FA Continuity 2010'!A:A,B24,'FA Continuity 2010'!E:E)</f>
        <v>150697.35</v>
      </c>
      <c r="I24" s="333">
        <f>SUMIF('FA Continuity 2010'!A:A,B24,'FA Continuity 2010'!F:F)</f>
        <v>0</v>
      </c>
      <c r="J24" s="334">
        <f>G24+H24-I24</f>
        <v>241048.35</v>
      </c>
      <c r="K24" s="334">
        <f>H24*0.5</f>
        <v>75348.675</v>
      </c>
      <c r="L24" s="334">
        <f>J24-K24</f>
        <v>165699.675</v>
      </c>
      <c r="M24" s="78">
        <v>1</v>
      </c>
      <c r="N24" s="335">
        <f>L24*M24</f>
        <v>165699.675</v>
      </c>
      <c r="O24" s="334">
        <f>J24-N24</f>
        <v>75348.67500000002</v>
      </c>
    </row>
    <row r="25" spans="2:15" ht="12.75">
      <c r="B25" s="75">
        <v>94</v>
      </c>
      <c r="C25" s="76" t="s">
        <v>893</v>
      </c>
      <c r="D25" s="79">
        <v>87708</v>
      </c>
      <c r="E25" s="80">
        <v>0</v>
      </c>
      <c r="F25" s="80">
        <v>0</v>
      </c>
      <c r="G25" s="56">
        <f t="shared" si="0"/>
        <v>87708</v>
      </c>
      <c r="H25" s="333">
        <f>SUMIF('FA Continuity 2010'!A:A,B25,'FA Continuity 2010'!E:E)</f>
        <v>0</v>
      </c>
      <c r="I25" s="333">
        <f>SUMIF('FA Continuity 2010'!A:A,B25,'FA Continuity 2010'!F:F)</f>
        <v>87708</v>
      </c>
      <c r="J25" s="334">
        <f t="shared" si="1"/>
        <v>0</v>
      </c>
      <c r="K25" s="334">
        <f t="shared" si="5"/>
        <v>0</v>
      </c>
      <c r="L25" s="334">
        <f t="shared" si="2"/>
        <v>0</v>
      </c>
      <c r="M25" s="78">
        <v>0</v>
      </c>
      <c r="N25" s="335">
        <f t="shared" si="3"/>
        <v>0</v>
      </c>
      <c r="O25" s="334">
        <f t="shared" si="4"/>
        <v>0</v>
      </c>
    </row>
    <row r="26" spans="2:15" ht="12.75">
      <c r="B26" s="75"/>
      <c r="C26" s="77" t="s">
        <v>489</v>
      </c>
      <c r="D26" s="220">
        <f aca="true" t="shared" si="6" ref="D26:L26">SUM(D6:D25)</f>
        <v>25658739</v>
      </c>
      <c r="E26" s="220">
        <f t="shared" si="6"/>
        <v>0</v>
      </c>
      <c r="F26" s="220">
        <f t="shared" si="6"/>
        <v>0</v>
      </c>
      <c r="G26" s="220">
        <f t="shared" si="6"/>
        <v>25658739</v>
      </c>
      <c r="H26" s="286">
        <f t="shared" si="6"/>
        <v>6524768.01787297</v>
      </c>
      <c r="I26" s="286">
        <f t="shared" si="6"/>
        <v>87708</v>
      </c>
      <c r="J26" s="286">
        <f t="shared" si="6"/>
        <v>32095799.01787297</v>
      </c>
      <c r="K26" s="286">
        <f t="shared" si="6"/>
        <v>3262384.008936485</v>
      </c>
      <c r="L26" s="286">
        <f t="shared" si="6"/>
        <v>28833415.008936487</v>
      </c>
      <c r="M26" s="370"/>
      <c r="N26" s="286">
        <f>SUM(N6:N25)</f>
        <v>2111155.328314919</v>
      </c>
      <c r="O26" s="286">
        <f>SUM(O6:O25)</f>
        <v>29984643.68955805</v>
      </c>
    </row>
    <row r="27" spans="2:13" ht="12.75">
      <c r="B27" s="24"/>
      <c r="C27" s="73"/>
      <c r="D27" s="20"/>
      <c r="E27" s="20"/>
      <c r="F27" s="20"/>
      <c r="G27" s="20"/>
      <c r="H27" s="274"/>
      <c r="I27" s="274"/>
      <c r="M27" s="371"/>
    </row>
    <row r="28" spans="2:7" ht="12.75">
      <c r="B28" s="75" t="s">
        <v>490</v>
      </c>
      <c r="C28" s="76" t="s">
        <v>491</v>
      </c>
      <c r="D28" s="79"/>
      <c r="E28" s="80">
        <v>0</v>
      </c>
      <c r="F28" s="80">
        <v>0</v>
      </c>
      <c r="G28" s="56">
        <f>D28-E28-F28</f>
        <v>0</v>
      </c>
    </row>
    <row r="29" spans="2:9" ht="12.75">
      <c r="B29" s="75" t="s">
        <v>490</v>
      </c>
      <c r="C29" s="76" t="s">
        <v>534</v>
      </c>
      <c r="D29" s="80"/>
      <c r="E29" s="80">
        <v>0</v>
      </c>
      <c r="F29" s="80">
        <v>0</v>
      </c>
      <c r="G29" s="56">
        <f>D29-E29-F29</f>
        <v>0</v>
      </c>
      <c r="I29" s="274"/>
    </row>
    <row r="30" spans="2:7" ht="12.75">
      <c r="B30" s="75" t="s">
        <v>490</v>
      </c>
      <c r="C30" s="76" t="s">
        <v>492</v>
      </c>
      <c r="D30" s="80"/>
      <c r="E30" s="80">
        <v>0</v>
      </c>
      <c r="F30" s="80">
        <v>0</v>
      </c>
      <c r="G30" s="56">
        <f>D30-E30-F30</f>
        <v>0</v>
      </c>
    </row>
    <row r="31" spans="2:7" ht="12.75">
      <c r="B31" s="75"/>
      <c r="C31" s="77" t="s">
        <v>493</v>
      </c>
      <c r="D31" s="220">
        <f>SUM(D28:D30)</f>
        <v>0</v>
      </c>
      <c r="E31" s="220">
        <f>SUM(E28:E30)</f>
        <v>0</v>
      </c>
      <c r="F31" s="220">
        <f>SUM(F28:F30)</f>
        <v>0</v>
      </c>
      <c r="G31" s="220">
        <f>SUM(G28:G30)</f>
        <v>0</v>
      </c>
    </row>
    <row r="32" ht="13.5" thickBot="1"/>
    <row r="33" spans="1:9" ht="12.75">
      <c r="A33" s="731"/>
      <c r="B33" s="732"/>
      <c r="C33" s="732"/>
      <c r="D33" s="732"/>
      <c r="E33" s="732"/>
      <c r="F33" s="732"/>
      <c r="G33" s="732"/>
      <c r="H33" s="732"/>
      <c r="I33" s="733"/>
    </row>
    <row r="34" spans="1:9" ht="24" customHeight="1">
      <c r="A34" s="38"/>
      <c r="B34" s="674" t="s">
        <v>386</v>
      </c>
      <c r="C34" s="674"/>
      <c r="D34" s="674"/>
      <c r="E34" s="674"/>
      <c r="F34" s="674"/>
      <c r="G34" s="674"/>
      <c r="H34" s="674"/>
      <c r="I34" s="47"/>
    </row>
    <row r="35" spans="1:9" ht="15.75">
      <c r="A35" s="38"/>
      <c r="B35" s="727" t="s">
        <v>334</v>
      </c>
      <c r="C35" s="727"/>
      <c r="D35" s="727"/>
      <c r="E35" s="49"/>
      <c r="F35" s="49"/>
      <c r="G35" s="49"/>
      <c r="H35" s="336">
        <v>6592</v>
      </c>
      <c r="I35" s="47"/>
    </row>
    <row r="36" spans="1:9" ht="15.75">
      <c r="A36" s="38"/>
      <c r="B36" s="727"/>
      <c r="C36" s="727"/>
      <c r="D36" s="727"/>
      <c r="E36" s="49"/>
      <c r="F36" s="276"/>
      <c r="G36" s="49"/>
      <c r="H36" s="55"/>
      <c r="I36" s="47"/>
    </row>
    <row r="37" spans="1:9" ht="12.75">
      <c r="A37" s="38"/>
      <c r="B37" s="730" t="s">
        <v>506</v>
      </c>
      <c r="C37" s="730"/>
      <c r="D37" s="730"/>
      <c r="E37" s="48"/>
      <c r="F37" s="48"/>
      <c r="G37" s="48"/>
      <c r="I37" s="47"/>
    </row>
    <row r="38" spans="1:9" ht="12.75">
      <c r="A38" s="38"/>
      <c r="B38" s="727" t="s">
        <v>383</v>
      </c>
      <c r="C38" s="727"/>
      <c r="D38" s="727"/>
      <c r="E38" s="82">
        <v>0</v>
      </c>
      <c r="F38" s="48"/>
      <c r="G38" s="48"/>
      <c r="H38" s="48"/>
      <c r="I38" s="47"/>
    </row>
    <row r="39" spans="1:9" ht="12.75">
      <c r="A39" s="38"/>
      <c r="B39" s="727"/>
      <c r="C39" s="727"/>
      <c r="D39" s="727"/>
      <c r="E39" s="48"/>
      <c r="F39" s="48"/>
      <c r="G39" s="48"/>
      <c r="H39" s="48"/>
      <c r="I39" s="47"/>
    </row>
    <row r="40" spans="1:9" ht="12.75">
      <c r="A40" s="38"/>
      <c r="B40" s="727" t="s">
        <v>335</v>
      </c>
      <c r="C40" s="727"/>
      <c r="D40" s="727"/>
      <c r="E40" s="82">
        <v>0</v>
      </c>
      <c r="F40" s="48"/>
      <c r="G40" s="48"/>
      <c r="H40" s="48"/>
      <c r="I40" s="47"/>
    </row>
    <row r="41" spans="1:9" ht="12.75">
      <c r="A41" s="38"/>
      <c r="B41" s="727"/>
      <c r="C41" s="727"/>
      <c r="D41" s="727"/>
      <c r="E41" s="48"/>
      <c r="F41" s="48"/>
      <c r="G41" s="48"/>
      <c r="H41" s="48"/>
      <c r="I41" s="47"/>
    </row>
    <row r="42" spans="1:9" ht="12.75">
      <c r="A42" s="38"/>
      <c r="B42" s="727" t="s">
        <v>336</v>
      </c>
      <c r="C42" s="727"/>
      <c r="D42" s="727"/>
      <c r="E42" s="82">
        <f>E38+E40</f>
        <v>0</v>
      </c>
      <c r="F42" s="48" t="s">
        <v>337</v>
      </c>
      <c r="G42" s="48">
        <f>E42*0.75</f>
        <v>0</v>
      </c>
      <c r="H42" s="48"/>
      <c r="I42" s="47"/>
    </row>
    <row r="43" spans="1:9" ht="12.75">
      <c r="A43" s="38"/>
      <c r="B43" s="727"/>
      <c r="C43" s="727"/>
      <c r="D43" s="727"/>
      <c r="E43" s="48"/>
      <c r="F43" s="48"/>
      <c r="G43" s="48"/>
      <c r="H43" s="48"/>
      <c r="I43" s="47"/>
    </row>
    <row r="44" spans="1:9" ht="12.75" customHeight="1">
      <c r="A44" s="38"/>
      <c r="B44" s="728" t="s">
        <v>385</v>
      </c>
      <c r="C44" s="728"/>
      <c r="D44" s="728"/>
      <c r="H44" s="48"/>
      <c r="I44" s="47"/>
    </row>
    <row r="45" spans="1:9" ht="12.75">
      <c r="A45" s="38"/>
      <c r="B45" s="728"/>
      <c r="C45" s="728"/>
      <c r="D45" s="728"/>
      <c r="E45" s="82">
        <v>0</v>
      </c>
      <c r="F45" s="48" t="s">
        <v>338</v>
      </c>
      <c r="G45" s="48">
        <f>E45*0.5</f>
        <v>0</v>
      </c>
      <c r="H45" s="48"/>
      <c r="I45" s="47"/>
    </row>
    <row r="46" spans="1:9" ht="12.75">
      <c r="A46" s="38"/>
      <c r="B46" s="727"/>
      <c r="C46" s="727"/>
      <c r="D46" s="727"/>
      <c r="E46" s="48"/>
      <c r="F46" s="48"/>
      <c r="G46" s="57">
        <f>G42+G45</f>
        <v>0</v>
      </c>
      <c r="H46" s="83">
        <f>G46+H35</f>
        <v>6592</v>
      </c>
      <c r="I46" s="47"/>
    </row>
    <row r="47" spans="1:9" ht="12.75">
      <c r="A47" s="38"/>
      <c r="B47" s="52"/>
      <c r="C47" s="52"/>
      <c r="D47" s="52"/>
      <c r="E47" s="48"/>
      <c r="F47" s="48"/>
      <c r="G47" s="48"/>
      <c r="H47" s="48"/>
      <c r="I47" s="47"/>
    </row>
    <row r="48" spans="1:9" ht="12.75">
      <c r="A48" s="38"/>
      <c r="B48" s="727" t="s">
        <v>339</v>
      </c>
      <c r="C48" s="727"/>
      <c r="D48" s="727"/>
      <c r="E48" s="82">
        <v>0</v>
      </c>
      <c r="F48" s="48"/>
      <c r="G48" s="48"/>
      <c r="H48" s="10">
        <f>E48</f>
        <v>0</v>
      </c>
      <c r="I48" s="47"/>
    </row>
    <row r="49" spans="1:9" ht="12.75">
      <c r="A49" s="38"/>
      <c r="B49" s="727"/>
      <c r="C49" s="727"/>
      <c r="D49" s="727"/>
      <c r="E49" s="48"/>
      <c r="F49" s="48"/>
      <c r="G49" s="48"/>
      <c r="H49" s="48"/>
      <c r="I49" s="47"/>
    </row>
    <row r="50" spans="1:9" ht="12.75">
      <c r="A50" s="38"/>
      <c r="B50" s="729" t="s">
        <v>336</v>
      </c>
      <c r="C50" s="729"/>
      <c r="D50" s="729" t="s">
        <v>336</v>
      </c>
      <c r="E50" s="48"/>
      <c r="F50" s="48"/>
      <c r="G50" s="48"/>
      <c r="H50" s="83">
        <f>H46+H48</f>
        <v>6592</v>
      </c>
      <c r="I50" s="47"/>
    </row>
    <row r="51" spans="1:9" ht="12.75">
      <c r="A51" s="38"/>
      <c r="B51" s="727"/>
      <c r="C51" s="727"/>
      <c r="D51" s="727"/>
      <c r="E51" s="48"/>
      <c r="F51" s="48"/>
      <c r="G51" s="48"/>
      <c r="H51" s="48"/>
      <c r="I51" s="47"/>
    </row>
    <row r="52" spans="1:9" ht="12.75">
      <c r="A52" s="38"/>
      <c r="B52" s="730" t="s">
        <v>312</v>
      </c>
      <c r="C52" s="730"/>
      <c r="D52" s="730"/>
      <c r="E52" s="48"/>
      <c r="F52" s="48"/>
      <c r="G52" s="48"/>
      <c r="H52" s="48"/>
      <c r="I52" s="47"/>
    </row>
    <row r="53" spans="1:9" ht="12.75">
      <c r="A53" s="38"/>
      <c r="B53" s="727"/>
      <c r="C53" s="727"/>
      <c r="D53" s="727"/>
      <c r="E53" s="48"/>
      <c r="F53" s="48"/>
      <c r="G53" s="48"/>
      <c r="H53" s="48"/>
      <c r="I53" s="47"/>
    </row>
    <row r="54" spans="1:9" ht="12.75">
      <c r="A54" s="38"/>
      <c r="B54" s="728" t="s">
        <v>387</v>
      </c>
      <c r="C54" s="728"/>
      <c r="D54" s="728"/>
      <c r="E54" s="48"/>
      <c r="F54" s="48"/>
      <c r="G54" s="48"/>
      <c r="H54" s="48"/>
      <c r="I54" s="47"/>
    </row>
    <row r="55" spans="1:9" ht="12.75">
      <c r="A55" s="38"/>
      <c r="B55" s="728"/>
      <c r="C55" s="728"/>
      <c r="D55" s="728"/>
      <c r="E55" s="48"/>
      <c r="F55" s="48"/>
      <c r="G55" s="48"/>
      <c r="H55" s="48"/>
      <c r="I55" s="47"/>
    </row>
    <row r="56" spans="1:9" ht="12.75">
      <c r="A56" s="38"/>
      <c r="B56" s="727"/>
      <c r="C56" s="727"/>
      <c r="D56" s="727"/>
      <c r="E56" s="48"/>
      <c r="F56" s="48"/>
      <c r="G56" s="48"/>
      <c r="H56" s="48"/>
      <c r="I56" s="47"/>
    </row>
    <row r="57" spans="1:9" ht="12.75">
      <c r="A57" s="38"/>
      <c r="B57" s="727" t="s">
        <v>335</v>
      </c>
      <c r="C57" s="727"/>
      <c r="D57" s="727"/>
      <c r="E57" s="82">
        <v>0</v>
      </c>
      <c r="F57" s="48"/>
      <c r="G57" s="48"/>
      <c r="H57" s="48"/>
      <c r="I57" s="47"/>
    </row>
    <row r="58" spans="1:9" ht="12.75">
      <c r="A58" s="38"/>
      <c r="B58" s="727"/>
      <c r="C58" s="727"/>
      <c r="D58" s="727"/>
      <c r="E58" s="48"/>
      <c r="F58" s="48"/>
      <c r="G58" s="48"/>
      <c r="H58" s="48"/>
      <c r="I58" s="47"/>
    </row>
    <row r="59" spans="1:9" ht="12.75">
      <c r="A59" s="38"/>
      <c r="B59" s="729" t="s">
        <v>336</v>
      </c>
      <c r="C59" s="729"/>
      <c r="D59" s="729" t="s">
        <v>336</v>
      </c>
      <c r="E59" s="82">
        <f>E57</f>
        <v>0</v>
      </c>
      <c r="F59" s="48" t="s">
        <v>337</v>
      </c>
      <c r="G59" s="48">
        <f>E59*0.75</f>
        <v>0</v>
      </c>
      <c r="H59" s="83">
        <f>H50+G59</f>
        <v>6592</v>
      </c>
      <c r="I59" s="47"/>
    </row>
    <row r="60" spans="1:9" ht="12.75">
      <c r="A60" s="38"/>
      <c r="B60" s="727"/>
      <c r="C60" s="727"/>
      <c r="D60" s="727"/>
      <c r="E60" s="48"/>
      <c r="F60" s="48"/>
      <c r="G60" s="48"/>
      <c r="H60" s="48"/>
      <c r="I60" s="47"/>
    </row>
    <row r="61" spans="1:9" ht="12.75">
      <c r="A61" s="38"/>
      <c r="B61" s="727"/>
      <c r="C61" s="727"/>
      <c r="D61" s="727"/>
      <c r="E61" s="48"/>
      <c r="F61" s="48"/>
      <c r="G61" s="48"/>
      <c r="H61" s="48"/>
      <c r="I61" s="47"/>
    </row>
    <row r="62" spans="1:9" ht="12.75">
      <c r="A62" s="38"/>
      <c r="B62" s="727"/>
      <c r="C62" s="727"/>
      <c r="D62" s="727"/>
      <c r="E62" s="48"/>
      <c r="F62" s="48"/>
      <c r="G62" s="48"/>
      <c r="H62" s="48"/>
      <c r="I62" s="47"/>
    </row>
    <row r="63" spans="1:9" ht="12.75">
      <c r="A63" s="38"/>
      <c r="B63" s="727" t="s">
        <v>340</v>
      </c>
      <c r="C63" s="727"/>
      <c r="D63" s="727"/>
      <c r="E63" s="48"/>
      <c r="F63" s="48"/>
      <c r="G63" s="48"/>
      <c r="H63" s="55">
        <f>H59</f>
        <v>6592</v>
      </c>
      <c r="I63" s="47"/>
    </row>
    <row r="64" spans="1:9" ht="12.75">
      <c r="A64" s="38"/>
      <c r="B64" s="727"/>
      <c r="C64" s="727"/>
      <c r="D64" s="727"/>
      <c r="E64" s="48"/>
      <c r="F64" s="48"/>
      <c r="G64" s="48"/>
      <c r="H64" s="48"/>
      <c r="I64" s="47"/>
    </row>
    <row r="65" spans="1:9" ht="12.75">
      <c r="A65" s="38"/>
      <c r="B65" s="727" t="s">
        <v>341</v>
      </c>
      <c r="C65" s="727"/>
      <c r="D65" s="727"/>
      <c r="E65" s="84">
        <v>0.07</v>
      </c>
      <c r="F65" s="48"/>
      <c r="G65" s="48"/>
      <c r="H65" s="55">
        <f>H63*E65</f>
        <v>461.44000000000005</v>
      </c>
      <c r="I65" s="47"/>
    </row>
    <row r="66" spans="1:9" ht="12.75">
      <c r="A66" s="38"/>
      <c r="B66" s="599"/>
      <c r="C66" s="599"/>
      <c r="D66" s="599"/>
      <c r="E66" s="48"/>
      <c r="F66" s="55"/>
      <c r="G66" s="48"/>
      <c r="H66" s="55"/>
      <c r="I66" s="47"/>
    </row>
    <row r="67" spans="1:9" ht="13.5" thickBot="1">
      <c r="A67" s="38"/>
      <c r="B67" s="727" t="s">
        <v>382</v>
      </c>
      <c r="C67" s="727"/>
      <c r="D67" s="727"/>
      <c r="E67" s="48"/>
      <c r="F67" s="48"/>
      <c r="G67" s="48"/>
      <c r="H67" s="155">
        <f>H63-H65</f>
        <v>6130.5599999999995</v>
      </c>
      <c r="I67" s="47"/>
    </row>
    <row r="68" spans="1:9" ht="14.25" thickBot="1" thickTop="1">
      <c r="A68" s="734"/>
      <c r="B68" s="735"/>
      <c r="C68" s="735"/>
      <c r="D68" s="735"/>
      <c r="E68" s="735"/>
      <c r="F68" s="735"/>
      <c r="G68" s="735"/>
      <c r="H68" s="735"/>
      <c r="I68" s="736"/>
    </row>
  </sheetData>
  <sheetProtection/>
  <mergeCells count="36">
    <mergeCell ref="A68:I68"/>
    <mergeCell ref="B46:D46"/>
    <mergeCell ref="B63:D63"/>
    <mergeCell ref="B64:D64"/>
    <mergeCell ref="B65:D65"/>
    <mergeCell ref="B59:D59"/>
    <mergeCell ref="B60:D60"/>
    <mergeCell ref="B61:D61"/>
    <mergeCell ref="B62:D62"/>
    <mergeCell ref="B56:D56"/>
    <mergeCell ref="B53:D53"/>
    <mergeCell ref="B48:D48"/>
    <mergeCell ref="B52:D52"/>
    <mergeCell ref="B67:D67"/>
    <mergeCell ref="B54:D55"/>
    <mergeCell ref="B66:D66"/>
    <mergeCell ref="A1:O1"/>
    <mergeCell ref="A2:O2"/>
    <mergeCell ref="B4:O4"/>
    <mergeCell ref="B38:D38"/>
    <mergeCell ref="B35:D35"/>
    <mergeCell ref="B37:D37"/>
    <mergeCell ref="A33:I33"/>
    <mergeCell ref="B34:H34"/>
    <mergeCell ref="B36:D36"/>
    <mergeCell ref="B57:D57"/>
    <mergeCell ref="B58:D58"/>
    <mergeCell ref="B43:D43"/>
    <mergeCell ref="B50:D50"/>
    <mergeCell ref="B51:D51"/>
    <mergeCell ref="B39:D39"/>
    <mergeCell ref="B40:D40"/>
    <mergeCell ref="B41:D41"/>
    <mergeCell ref="B42:D42"/>
    <mergeCell ref="B49:D49"/>
    <mergeCell ref="B44:D45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48" r:id="rId3"/>
  <headerFooter alignWithMargins="0">
    <oddFooter>&amp;L&amp;A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6">
      <selection activeCell="G31" sqref="G31"/>
    </sheetView>
  </sheetViews>
  <sheetFormatPr defaultColWidth="9.140625" defaultRowHeight="12.75"/>
  <cols>
    <col min="1" max="1" width="1.57421875" style="0" customWidth="1"/>
    <col min="2" max="2" width="6.421875" style="0" customWidth="1"/>
    <col min="3" max="3" width="48.421875" style="0" customWidth="1"/>
    <col min="4" max="4" width="17.421875" style="0" customWidth="1"/>
    <col min="5" max="5" width="21.140625" style="0" customWidth="1"/>
    <col min="6" max="6" width="20.421875" style="0" customWidth="1"/>
    <col min="7" max="7" width="19.28125" style="0" customWidth="1"/>
    <col min="8" max="8" width="13.00390625" style="0" customWidth="1"/>
    <col min="9" max="9" width="13.57421875" style="0" customWidth="1"/>
    <col min="10" max="10" width="18.57421875" style="0" customWidth="1"/>
    <col min="11" max="11" width="26.7109375" style="0" customWidth="1"/>
    <col min="12" max="12" width="13.140625" style="0" bestFit="1" customWidth="1"/>
    <col min="14" max="14" width="10.8515625" style="0" bestFit="1" customWidth="1"/>
    <col min="15" max="15" width="15.421875" style="0" customWidth="1"/>
  </cols>
  <sheetData>
    <row r="1" spans="1:15" ht="12.75">
      <c r="A1" s="614" t="str">
        <f>'Trial Balance'!A1:J1</f>
        <v>Woodstock Hydro Services Inc.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</row>
    <row r="2" spans="1:15" ht="12.75">
      <c r="A2" s="614" t="str">
        <f>'Trial Balance'!A2:J2</f>
        <v>, License Number ED-2003-0011, File Number EB-2010-0145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</row>
    <row r="3" ht="6.75" customHeight="1"/>
    <row r="4" spans="2:15" ht="36" customHeight="1">
      <c r="B4" s="664" t="s">
        <v>851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</row>
    <row r="5" spans="2:15" s="16" customFormat="1" ht="38.25">
      <c r="B5" s="74" t="s">
        <v>469</v>
      </c>
      <c r="C5" s="74" t="s">
        <v>470</v>
      </c>
      <c r="D5" s="74" t="s">
        <v>471</v>
      </c>
      <c r="E5" s="74" t="s">
        <v>472</v>
      </c>
      <c r="F5" s="74" t="s">
        <v>473</v>
      </c>
      <c r="G5" s="74" t="s">
        <v>474</v>
      </c>
      <c r="H5" s="74" t="s">
        <v>494</v>
      </c>
      <c r="I5" s="74" t="s">
        <v>495</v>
      </c>
      <c r="J5" s="74" t="s">
        <v>496</v>
      </c>
      <c r="K5" s="74" t="s">
        <v>497</v>
      </c>
      <c r="L5" s="74" t="s">
        <v>498</v>
      </c>
      <c r="M5" s="74" t="s">
        <v>499</v>
      </c>
      <c r="N5" s="74" t="s">
        <v>500</v>
      </c>
      <c r="O5" s="74" t="s">
        <v>501</v>
      </c>
    </row>
    <row r="6" spans="2:15" ht="12.75">
      <c r="B6" s="75">
        <v>1</v>
      </c>
      <c r="C6" s="76" t="s">
        <v>475</v>
      </c>
      <c r="D6" s="81">
        <f>'CCA Continuity 2010'!O6</f>
        <v>14485666.4</v>
      </c>
      <c r="E6" s="80">
        <v>0</v>
      </c>
      <c r="F6" s="80">
        <v>0</v>
      </c>
      <c r="G6" s="56">
        <f aca="true" t="shared" si="0" ref="G6:G25">D6-E6-F6</f>
        <v>14485666.4</v>
      </c>
      <c r="H6" s="333">
        <f>SUMIF('FA Continuity 2011'!A:A,B6,'FA Continuity 2011'!E:E)</f>
        <v>90000</v>
      </c>
      <c r="I6" s="333">
        <f>SUMIF('FA Continuity 2010'!A:A,B6,'FA Continuity 2010'!F:F)</f>
        <v>0</v>
      </c>
      <c r="J6" s="56">
        <f aca="true" t="shared" si="1" ref="J6:J23">G6+H6-I6</f>
        <v>14575666.4</v>
      </c>
      <c r="K6" s="56">
        <f aca="true" t="shared" si="2" ref="K6:K23">H6*0.5</f>
        <v>45000</v>
      </c>
      <c r="L6" s="56">
        <f aca="true" t="shared" si="3" ref="L6:L23">J6-K6</f>
        <v>14530666.4</v>
      </c>
      <c r="M6" s="78">
        <v>0.04</v>
      </c>
      <c r="N6" s="56">
        <f aca="true" t="shared" si="4" ref="N6:N13">L6*M6</f>
        <v>581226.6560000001</v>
      </c>
      <c r="O6" s="56">
        <f aca="true" t="shared" si="5" ref="O6:O23">J6-N6</f>
        <v>13994439.744</v>
      </c>
    </row>
    <row r="7" spans="2:15" ht="12.75">
      <c r="B7" s="75">
        <v>2</v>
      </c>
      <c r="C7" s="76" t="s">
        <v>476</v>
      </c>
      <c r="D7" s="81">
        <f>'CCA Continuity 2010'!O7</f>
        <v>0</v>
      </c>
      <c r="E7" s="80">
        <v>0</v>
      </c>
      <c r="F7" s="80">
        <v>0</v>
      </c>
      <c r="G7" s="56">
        <f t="shared" si="0"/>
        <v>0</v>
      </c>
      <c r="H7" s="333">
        <f>SUMIF('FA Continuity 2011'!A:A,B7,'FA Continuity 2011'!E:E)</f>
        <v>0</v>
      </c>
      <c r="I7" s="333">
        <f>SUMIF('FA Continuity 2010'!A:A,B7,'FA Continuity 2010'!F:F)</f>
        <v>0</v>
      </c>
      <c r="J7" s="56">
        <f t="shared" si="1"/>
        <v>0</v>
      </c>
      <c r="K7" s="56">
        <f t="shared" si="2"/>
        <v>0</v>
      </c>
      <c r="L7" s="56">
        <f t="shared" si="3"/>
        <v>0</v>
      </c>
      <c r="M7" s="78">
        <v>0.06</v>
      </c>
      <c r="N7" s="56">
        <f t="shared" si="4"/>
        <v>0</v>
      </c>
      <c r="O7" s="56">
        <f t="shared" si="5"/>
        <v>0</v>
      </c>
    </row>
    <row r="8" spans="2:15" ht="12.75">
      <c r="B8" s="75">
        <v>6</v>
      </c>
      <c r="C8" s="76" t="s">
        <v>289</v>
      </c>
      <c r="D8" s="81">
        <f>'CCA Continuity 2010'!O8</f>
        <v>0</v>
      </c>
      <c r="E8" s="80">
        <v>0</v>
      </c>
      <c r="F8" s="80">
        <v>0</v>
      </c>
      <c r="G8" s="56">
        <f t="shared" si="0"/>
        <v>0</v>
      </c>
      <c r="H8" s="333">
        <f>SUMIF('FA Continuity 2011'!A:A,B8,'FA Continuity 2011'!E:E)</f>
        <v>0</v>
      </c>
      <c r="I8" s="333">
        <f>SUMIF('FA Continuity 2010'!A:A,B8,'FA Continuity 2010'!F:F)</f>
        <v>0</v>
      </c>
      <c r="J8" s="56">
        <f>G8+H8-I8</f>
        <v>0</v>
      </c>
      <c r="K8" s="56">
        <f>H8*0.5</f>
        <v>0</v>
      </c>
      <c r="L8" s="56">
        <f>J8-K8</f>
        <v>0</v>
      </c>
      <c r="M8" s="78">
        <v>0.1</v>
      </c>
      <c r="N8" s="56">
        <f>L8*M8</f>
        <v>0</v>
      </c>
      <c r="O8" s="56">
        <f>J8-N8</f>
        <v>0</v>
      </c>
    </row>
    <row r="9" spans="2:15" ht="12.75">
      <c r="B9" s="75">
        <v>8</v>
      </c>
      <c r="C9" s="76" t="s">
        <v>477</v>
      </c>
      <c r="D9" s="81">
        <f>'CCA Continuity 2010'!O9</f>
        <v>268932.58</v>
      </c>
      <c r="E9" s="80">
        <v>0</v>
      </c>
      <c r="F9" s="80">
        <v>0</v>
      </c>
      <c r="G9" s="56">
        <f t="shared" si="0"/>
        <v>268932.58</v>
      </c>
      <c r="H9" s="333">
        <f>SUMIF('FA Continuity 2011'!A:A,B9,'FA Continuity 2011'!E:E)</f>
        <v>115000</v>
      </c>
      <c r="I9" s="333">
        <f>SUMIF('FA Continuity 2010'!A:A,B9,'FA Continuity 2010'!F:F)</f>
        <v>0</v>
      </c>
      <c r="J9" s="56">
        <f t="shared" si="1"/>
        <v>383932.58</v>
      </c>
      <c r="K9" s="56">
        <f t="shared" si="2"/>
        <v>57500</v>
      </c>
      <c r="L9" s="56">
        <f t="shared" si="3"/>
        <v>326432.58</v>
      </c>
      <c r="M9" s="78">
        <v>0.2</v>
      </c>
      <c r="N9" s="56">
        <f t="shared" si="4"/>
        <v>65286.516</v>
      </c>
      <c r="O9" s="56">
        <f t="shared" si="5"/>
        <v>318646.064</v>
      </c>
    </row>
    <row r="10" spans="2:15" ht="12.75">
      <c r="B10" s="75">
        <v>10</v>
      </c>
      <c r="C10" s="76" t="s">
        <v>478</v>
      </c>
      <c r="D10" s="81">
        <f>'CCA Continuity 2010'!O10</f>
        <v>204944.6</v>
      </c>
      <c r="E10" s="80">
        <v>0</v>
      </c>
      <c r="F10" s="80">
        <v>0</v>
      </c>
      <c r="G10" s="56">
        <f t="shared" si="0"/>
        <v>204944.6</v>
      </c>
      <c r="H10" s="333">
        <f>SUMIF('FA Continuity 2011'!A:A,B10,'FA Continuity 2011'!E:E)</f>
        <v>590000</v>
      </c>
      <c r="I10" s="333">
        <f>SUMIF('FA Continuity 2010'!A:A,B10,'FA Continuity 2010'!F:F)</f>
        <v>0</v>
      </c>
      <c r="J10" s="56">
        <f t="shared" si="1"/>
        <v>794944.6</v>
      </c>
      <c r="K10" s="56">
        <f t="shared" si="2"/>
        <v>295000</v>
      </c>
      <c r="L10" s="56">
        <f t="shared" si="3"/>
        <v>499944.6</v>
      </c>
      <c r="M10" s="78">
        <v>0.3</v>
      </c>
      <c r="N10" s="56">
        <f t="shared" si="4"/>
        <v>149983.37999999998</v>
      </c>
      <c r="O10" s="56">
        <f t="shared" si="5"/>
        <v>644961.22</v>
      </c>
    </row>
    <row r="11" spans="2:15" ht="12.75">
      <c r="B11" s="75">
        <v>10.1</v>
      </c>
      <c r="C11" s="76" t="s">
        <v>479</v>
      </c>
      <c r="D11" s="81">
        <f>'CCA Continuity 2010'!O11</f>
        <v>0</v>
      </c>
      <c r="E11" s="80">
        <v>0</v>
      </c>
      <c r="F11" s="80">
        <v>0</v>
      </c>
      <c r="G11" s="56">
        <f t="shared" si="0"/>
        <v>0</v>
      </c>
      <c r="H11" s="333">
        <f>SUMIF('FA Continuity 2011'!A:A,B11,'FA Continuity 2011'!E:E)</f>
        <v>0</v>
      </c>
      <c r="I11" s="333">
        <f>SUMIF('FA Continuity 2010'!A:A,B11,'FA Continuity 2010'!F:F)</f>
        <v>0</v>
      </c>
      <c r="J11" s="56">
        <f t="shared" si="1"/>
        <v>0</v>
      </c>
      <c r="K11" s="56">
        <f t="shared" si="2"/>
        <v>0</v>
      </c>
      <c r="L11" s="56">
        <f t="shared" si="3"/>
        <v>0</v>
      </c>
      <c r="M11" s="78">
        <v>0.3</v>
      </c>
      <c r="N11" s="56">
        <f t="shared" si="4"/>
        <v>0</v>
      </c>
      <c r="O11" s="56">
        <f t="shared" si="5"/>
        <v>0</v>
      </c>
    </row>
    <row r="12" spans="2:15" ht="12.75">
      <c r="B12" s="75">
        <v>12</v>
      </c>
      <c r="C12" s="76" t="s">
        <v>525</v>
      </c>
      <c r="D12" s="81">
        <f>'CCA Continuity 2010'!O12</f>
        <v>61543.505000000005</v>
      </c>
      <c r="E12" s="80">
        <v>0</v>
      </c>
      <c r="F12" s="80">
        <v>0</v>
      </c>
      <c r="G12" s="56">
        <f t="shared" si="0"/>
        <v>61543.505000000005</v>
      </c>
      <c r="H12" s="333">
        <f>SUMIF('FA Continuity 2011'!A:A,B12,'FA Continuity 2011'!E:E)</f>
        <v>60000.00000000001</v>
      </c>
      <c r="I12" s="333">
        <f>SUMIF('FA Continuity 2010'!A:A,B12,'FA Continuity 2010'!F:F)</f>
        <v>0</v>
      </c>
      <c r="J12" s="56">
        <f t="shared" si="1"/>
        <v>121543.505</v>
      </c>
      <c r="K12" s="56">
        <f t="shared" si="2"/>
        <v>30000.000000000004</v>
      </c>
      <c r="L12" s="56">
        <f t="shared" si="3"/>
        <v>91543.505</v>
      </c>
      <c r="M12" s="78">
        <v>1</v>
      </c>
      <c r="N12" s="56">
        <f t="shared" si="4"/>
        <v>91543.505</v>
      </c>
      <c r="O12" s="56">
        <f t="shared" si="5"/>
        <v>30000</v>
      </c>
    </row>
    <row r="13" spans="2:15" s="18" customFormat="1" ht="12.75">
      <c r="B13" s="331">
        <v>3</v>
      </c>
      <c r="C13" s="332"/>
      <c r="D13" s="81">
        <f>'CCA Continuity 2010'!O13</f>
        <v>0</v>
      </c>
      <c r="E13" s="80">
        <v>0</v>
      </c>
      <c r="F13" s="80">
        <v>0</v>
      </c>
      <c r="G13" s="81">
        <f t="shared" si="0"/>
        <v>0</v>
      </c>
      <c r="H13" s="333">
        <f>SUMIF('FA Continuity 2011'!A:A,B13,'FA Continuity 2011'!E:E)</f>
        <v>0</v>
      </c>
      <c r="I13" s="333">
        <f>SUMIF('FA Continuity 2010'!A:A,B13,'FA Continuity 2010'!F:F)</f>
        <v>0</v>
      </c>
      <c r="J13" s="81">
        <f t="shared" si="1"/>
        <v>0</v>
      </c>
      <c r="K13" s="81">
        <f t="shared" si="2"/>
        <v>0</v>
      </c>
      <c r="L13" s="81">
        <f t="shared" si="3"/>
        <v>0</v>
      </c>
      <c r="M13" s="229">
        <v>0.05</v>
      </c>
      <c r="N13" s="81">
        <f t="shared" si="4"/>
        <v>0</v>
      </c>
      <c r="O13" s="81">
        <f t="shared" si="5"/>
        <v>0</v>
      </c>
    </row>
    <row r="14" spans="2:15" ht="12.75">
      <c r="B14" s="75"/>
      <c r="C14" s="76"/>
      <c r="D14" s="81">
        <f>'CCA Continuity 2010'!O14</f>
        <v>0</v>
      </c>
      <c r="E14" s="80">
        <v>0</v>
      </c>
      <c r="F14" s="80">
        <v>0</v>
      </c>
      <c r="G14" s="56">
        <f t="shared" si="0"/>
        <v>0</v>
      </c>
      <c r="H14" s="333">
        <f>SUMIF('FA Continuity 2011'!A:A,B14,'FA Continuity 2011'!E:E)</f>
        <v>0</v>
      </c>
      <c r="I14" s="333">
        <f>SUMIF('FA Continuity 2010'!A:A,B14,'FA Continuity 2010'!F:F)</f>
        <v>0</v>
      </c>
      <c r="J14" s="56">
        <f t="shared" si="1"/>
        <v>0</v>
      </c>
      <c r="K14" s="56">
        <f t="shared" si="2"/>
        <v>0</v>
      </c>
      <c r="L14" s="56">
        <f t="shared" si="3"/>
        <v>0</v>
      </c>
      <c r="M14" s="229">
        <v>0</v>
      </c>
      <c r="N14" s="81">
        <f aca="true" t="shared" si="6" ref="N14:N23">L14*M14</f>
        <v>0</v>
      </c>
      <c r="O14" s="56">
        <f t="shared" si="5"/>
        <v>0</v>
      </c>
    </row>
    <row r="15" spans="2:15" ht="12.75">
      <c r="B15" s="75" t="s">
        <v>480</v>
      </c>
      <c r="C15" s="76" t="s">
        <v>481</v>
      </c>
      <c r="D15" s="81">
        <f>'CCA Continuity 2010'!O15</f>
        <v>0</v>
      </c>
      <c r="E15" s="80">
        <v>0</v>
      </c>
      <c r="F15" s="80">
        <v>0</v>
      </c>
      <c r="G15" s="56">
        <f t="shared" si="0"/>
        <v>0</v>
      </c>
      <c r="H15" s="333">
        <f>SUMIF('FA Continuity 2011'!A:A,B15,'FA Continuity 2011'!E:E)</f>
        <v>0</v>
      </c>
      <c r="I15" s="333">
        <f>SUMIF('FA Continuity 2010'!A:A,B15,'FA Continuity 2010'!F:F)</f>
        <v>0</v>
      </c>
      <c r="J15" s="56">
        <f t="shared" si="1"/>
        <v>0</v>
      </c>
      <c r="K15" s="56">
        <f t="shared" si="2"/>
        <v>0</v>
      </c>
      <c r="L15" s="56">
        <f t="shared" si="3"/>
        <v>0</v>
      </c>
      <c r="M15" s="54"/>
      <c r="N15" s="81">
        <f t="shared" si="6"/>
        <v>0</v>
      </c>
      <c r="O15" s="56">
        <f t="shared" si="5"/>
        <v>0</v>
      </c>
    </row>
    <row r="16" spans="2:15" ht="12.75">
      <c r="B16" s="75" t="s">
        <v>482</v>
      </c>
      <c r="C16" s="76" t="s">
        <v>483</v>
      </c>
      <c r="D16" s="81">
        <f>'CCA Continuity 2010'!O16</f>
        <v>0</v>
      </c>
      <c r="E16" s="80">
        <v>0</v>
      </c>
      <c r="F16" s="80">
        <v>0</v>
      </c>
      <c r="G16" s="56">
        <f t="shared" si="0"/>
        <v>0</v>
      </c>
      <c r="H16" s="333">
        <f>SUMIF('FA Continuity 2011'!A:A,B16,'FA Continuity 2011'!E:E)</f>
        <v>0</v>
      </c>
      <c r="I16" s="333">
        <f>SUMIF('FA Continuity 2010'!A:A,B16,'FA Continuity 2010'!F:F)</f>
        <v>0</v>
      </c>
      <c r="J16" s="56">
        <f t="shared" si="1"/>
        <v>0</v>
      </c>
      <c r="K16" s="56">
        <f t="shared" si="2"/>
        <v>0</v>
      </c>
      <c r="L16" s="56">
        <f t="shared" si="3"/>
        <v>0</v>
      </c>
      <c r="M16" s="54"/>
      <c r="N16" s="81">
        <f t="shared" si="6"/>
        <v>0</v>
      </c>
      <c r="O16" s="56">
        <f t="shared" si="5"/>
        <v>0</v>
      </c>
    </row>
    <row r="17" spans="2:15" ht="12.75">
      <c r="B17" s="75">
        <v>14</v>
      </c>
      <c r="C17" s="76" t="s">
        <v>484</v>
      </c>
      <c r="D17" s="81">
        <f>'CCA Continuity 2010'!O17</f>
        <v>0</v>
      </c>
      <c r="E17" s="80">
        <v>0</v>
      </c>
      <c r="F17" s="80">
        <v>0</v>
      </c>
      <c r="G17" s="56">
        <f t="shared" si="0"/>
        <v>0</v>
      </c>
      <c r="H17" s="333">
        <f>SUMIF('FA Continuity 2011'!A:A,B17,'FA Continuity 2011'!E:E)</f>
        <v>0</v>
      </c>
      <c r="I17" s="333">
        <f>SUMIF('FA Continuity 2010'!A:A,B17,'FA Continuity 2010'!F:F)</f>
        <v>0</v>
      </c>
      <c r="J17" s="56">
        <f t="shared" si="1"/>
        <v>0</v>
      </c>
      <c r="K17" s="56">
        <f t="shared" si="2"/>
        <v>0</v>
      </c>
      <c r="L17" s="56">
        <f t="shared" si="3"/>
        <v>0</v>
      </c>
      <c r="M17" s="54"/>
      <c r="N17" s="81">
        <f t="shared" si="6"/>
        <v>0</v>
      </c>
      <c r="O17" s="56">
        <f t="shared" si="5"/>
        <v>0</v>
      </c>
    </row>
    <row r="18" spans="2:15" ht="25.5">
      <c r="B18" s="75">
        <v>17</v>
      </c>
      <c r="C18" s="76" t="s">
        <v>485</v>
      </c>
      <c r="D18" s="81">
        <f>'CCA Continuity 2010'!O18</f>
        <v>0</v>
      </c>
      <c r="E18" s="80">
        <v>0</v>
      </c>
      <c r="F18" s="80">
        <v>0</v>
      </c>
      <c r="G18" s="56">
        <f t="shared" si="0"/>
        <v>0</v>
      </c>
      <c r="H18" s="333">
        <f>SUMIF('FA Continuity 2011'!A:A,B18,'FA Continuity 2011'!E:E)</f>
        <v>0</v>
      </c>
      <c r="I18" s="333">
        <f>SUMIF('FA Continuity 2010'!A:A,B18,'FA Continuity 2010'!F:F)</f>
        <v>0</v>
      </c>
      <c r="J18" s="56">
        <f t="shared" si="1"/>
        <v>0</v>
      </c>
      <c r="K18" s="56">
        <f t="shared" si="2"/>
        <v>0</v>
      </c>
      <c r="L18" s="56">
        <f t="shared" si="3"/>
        <v>0</v>
      </c>
      <c r="M18" s="78">
        <v>0.08</v>
      </c>
      <c r="N18" s="56">
        <f t="shared" si="6"/>
        <v>0</v>
      </c>
      <c r="O18" s="56">
        <f t="shared" si="5"/>
        <v>0</v>
      </c>
    </row>
    <row r="19" spans="2:15" ht="25.5">
      <c r="B19" s="75">
        <v>43.1</v>
      </c>
      <c r="C19" s="76" t="s">
        <v>486</v>
      </c>
      <c r="D19" s="81">
        <f>'CCA Continuity 2010'!O19</f>
        <v>0</v>
      </c>
      <c r="E19" s="80">
        <v>0</v>
      </c>
      <c r="F19" s="80">
        <v>0</v>
      </c>
      <c r="G19" s="56">
        <f t="shared" si="0"/>
        <v>0</v>
      </c>
      <c r="H19" s="333">
        <f>SUMIF('FA Continuity 2011'!A:A,B19,'FA Continuity 2011'!E:E)</f>
        <v>0</v>
      </c>
      <c r="I19" s="333">
        <f>SUMIF('FA Continuity 2010'!A:A,B19,'FA Continuity 2010'!F:F)</f>
        <v>0</v>
      </c>
      <c r="J19" s="56">
        <f t="shared" si="1"/>
        <v>0</v>
      </c>
      <c r="K19" s="56">
        <f t="shared" si="2"/>
        <v>0</v>
      </c>
      <c r="L19" s="56">
        <f t="shared" si="3"/>
        <v>0</v>
      </c>
      <c r="M19" s="78">
        <v>0.3</v>
      </c>
      <c r="N19" s="56">
        <f t="shared" si="6"/>
        <v>0</v>
      </c>
      <c r="O19" s="56">
        <f t="shared" si="5"/>
        <v>0</v>
      </c>
    </row>
    <row r="20" spans="2:15" ht="25.5">
      <c r="B20" s="75">
        <v>45</v>
      </c>
      <c r="C20" s="76" t="s">
        <v>291</v>
      </c>
      <c r="D20" s="81">
        <f>'CCA Continuity 2010'!O20</f>
        <v>31758.649999999998</v>
      </c>
      <c r="E20" s="80">
        <v>0</v>
      </c>
      <c r="F20" s="80">
        <v>0</v>
      </c>
      <c r="G20" s="56">
        <f t="shared" si="0"/>
        <v>31758.649999999998</v>
      </c>
      <c r="H20" s="333">
        <f>SUMIF('FA Continuity 2011'!A:A,B20,'FA Continuity 2011'!E:E)</f>
        <v>0</v>
      </c>
      <c r="I20" s="333">
        <f>SUMIF('FA Continuity 2010'!A:A,B20,'FA Continuity 2010'!F:F)</f>
        <v>0</v>
      </c>
      <c r="J20" s="56">
        <f t="shared" si="1"/>
        <v>31758.649999999998</v>
      </c>
      <c r="K20" s="56">
        <f t="shared" si="2"/>
        <v>0</v>
      </c>
      <c r="L20" s="56">
        <f t="shared" si="3"/>
        <v>31758.649999999998</v>
      </c>
      <c r="M20" s="78">
        <v>0.45</v>
      </c>
      <c r="N20" s="56">
        <f t="shared" si="6"/>
        <v>14291.3925</v>
      </c>
      <c r="O20" s="56">
        <f t="shared" si="5"/>
        <v>17467.2575</v>
      </c>
    </row>
    <row r="21" spans="2:15" ht="25.5">
      <c r="B21" s="75">
        <v>50</v>
      </c>
      <c r="C21" s="76" t="s">
        <v>290</v>
      </c>
      <c r="D21" s="81">
        <f>'CCA Continuity 2010'!O21</f>
        <v>12081.599999999999</v>
      </c>
      <c r="E21" s="80">
        <v>0</v>
      </c>
      <c r="F21" s="80">
        <v>0</v>
      </c>
      <c r="G21" s="56">
        <f t="shared" si="0"/>
        <v>12081.599999999999</v>
      </c>
      <c r="H21" s="333">
        <f>SUMIF('FA Continuity 2011'!A:A,B21,'FA Continuity 2011'!E:E)</f>
        <v>0</v>
      </c>
      <c r="I21" s="333">
        <f>SUMIF('FA Continuity 2010'!A:A,B21,'FA Continuity 2010'!F:F)</f>
        <v>0</v>
      </c>
      <c r="J21" s="56">
        <f>G21+H21-I21</f>
        <v>12081.599999999999</v>
      </c>
      <c r="K21" s="56">
        <f>H21*0.5</f>
        <v>0</v>
      </c>
      <c r="L21" s="56">
        <f>J21-K21</f>
        <v>12081.599999999999</v>
      </c>
      <c r="M21" s="78">
        <v>0.55</v>
      </c>
      <c r="N21" s="56">
        <f>L21*M21</f>
        <v>6644.88</v>
      </c>
      <c r="O21" s="56">
        <f>J21-N21</f>
        <v>5436.719999999998</v>
      </c>
    </row>
    <row r="22" spans="2:15" ht="25.5">
      <c r="B22" s="75">
        <v>46</v>
      </c>
      <c r="C22" s="76" t="s">
        <v>487</v>
      </c>
      <c r="D22" s="81">
        <f>'CCA Continuity 2010'!O22</f>
        <v>12331.2</v>
      </c>
      <c r="E22" s="80">
        <v>0</v>
      </c>
      <c r="F22" s="80">
        <v>0</v>
      </c>
      <c r="G22" s="56">
        <f t="shared" si="0"/>
        <v>12331.2</v>
      </c>
      <c r="H22" s="333">
        <f>SUMIF('FA Continuity 2011'!A:A,B22,'FA Continuity 2011'!E:E)</f>
        <v>0</v>
      </c>
      <c r="I22" s="333">
        <f>SUMIF('FA Continuity 2010'!A:A,B22,'FA Continuity 2010'!F:F)</f>
        <v>0</v>
      </c>
      <c r="J22" s="56">
        <f t="shared" si="1"/>
        <v>12331.2</v>
      </c>
      <c r="K22" s="56">
        <f t="shared" si="2"/>
        <v>0</v>
      </c>
      <c r="L22" s="56">
        <f t="shared" si="3"/>
        <v>12331.2</v>
      </c>
      <c r="M22" s="78">
        <v>0.3</v>
      </c>
      <c r="N22" s="56">
        <f t="shared" si="6"/>
        <v>3699.36</v>
      </c>
      <c r="O22" s="56">
        <f t="shared" si="5"/>
        <v>8631.84</v>
      </c>
    </row>
    <row r="23" spans="2:15" ht="12.75">
      <c r="B23" s="75">
        <v>47</v>
      </c>
      <c r="C23" s="76" t="s">
        <v>488</v>
      </c>
      <c r="D23" s="81">
        <f>'CCA Continuity 2010'!O23</f>
        <v>14832036.47955805</v>
      </c>
      <c r="E23" s="80">
        <v>0</v>
      </c>
      <c r="F23" s="80">
        <v>0</v>
      </c>
      <c r="G23" s="56">
        <f t="shared" si="0"/>
        <v>14832036.47955805</v>
      </c>
      <c r="H23" s="333">
        <f>SUMIF('FA Continuity 2011'!A:A,B23,'FA Continuity 2011'!E:E)</f>
        <v>3990099.8379657315</v>
      </c>
      <c r="I23" s="333">
        <f>SUMIF('FA Continuity 2010'!A:A,B23,'FA Continuity 2010'!F:F)</f>
        <v>0</v>
      </c>
      <c r="J23" s="56">
        <f t="shared" si="1"/>
        <v>18822136.31752378</v>
      </c>
      <c r="K23" s="56">
        <f t="shared" si="2"/>
        <v>1995049.9189828658</v>
      </c>
      <c r="L23" s="56">
        <f t="shared" si="3"/>
        <v>16827086.398540914</v>
      </c>
      <c r="M23" s="78">
        <v>0.08</v>
      </c>
      <c r="N23" s="81">
        <f t="shared" si="6"/>
        <v>1346166.9118832732</v>
      </c>
      <c r="O23" s="56">
        <f t="shared" si="5"/>
        <v>17475969.40564051</v>
      </c>
    </row>
    <row r="24" spans="2:15" ht="25.5">
      <c r="B24" s="75">
        <v>52</v>
      </c>
      <c r="C24" s="76" t="s">
        <v>901</v>
      </c>
      <c r="D24" s="81">
        <f>'CCA Continuity 2010'!O24</f>
        <v>75348.67500000002</v>
      </c>
      <c r="E24" s="80">
        <v>0</v>
      </c>
      <c r="F24" s="80">
        <v>0</v>
      </c>
      <c r="G24" s="56">
        <f t="shared" si="0"/>
        <v>75348.67500000002</v>
      </c>
      <c r="H24" s="333">
        <f>SUMIF('FA Continuity 2011'!A:A,B24,'FA Continuity 2011'!E:E)</f>
        <v>0</v>
      </c>
      <c r="I24" s="333">
        <f>SUMIF('FA Continuity 2010'!A:A,B24,'FA Continuity 2010'!F:F)</f>
        <v>0</v>
      </c>
      <c r="J24" s="56">
        <f>G24+H24-I24</f>
        <v>75348.67500000002</v>
      </c>
      <c r="K24" s="56">
        <f>H24*0.5</f>
        <v>0</v>
      </c>
      <c r="L24" s="56">
        <f>J24-K24</f>
        <v>75348.67500000002</v>
      </c>
      <c r="M24" s="78">
        <v>1</v>
      </c>
      <c r="N24" s="81">
        <f>L24*M24</f>
        <v>75348.67500000002</v>
      </c>
      <c r="O24" s="56">
        <f>J24-N24</f>
        <v>0</v>
      </c>
    </row>
    <row r="25" spans="2:15" ht="12.75">
      <c r="B25" s="75">
        <v>94</v>
      </c>
      <c r="C25" s="76" t="s">
        <v>893</v>
      </c>
      <c r="D25" s="81">
        <f>'CCA Continuity 2010'!O25</f>
        <v>0</v>
      </c>
      <c r="E25" s="80">
        <v>0</v>
      </c>
      <c r="F25" s="80">
        <v>0</v>
      </c>
      <c r="G25" s="56">
        <f t="shared" si="0"/>
        <v>0</v>
      </c>
      <c r="H25" s="333">
        <f>SUMIF('FA Continuity 2011'!A:A,B25,'FA Continuity 2011'!E:E)</f>
        <v>0</v>
      </c>
      <c r="I25" s="333">
        <v>0</v>
      </c>
      <c r="J25" s="56">
        <f>G25+H25-I25</f>
        <v>0</v>
      </c>
      <c r="K25" s="56">
        <f>H25*0.5</f>
        <v>0</v>
      </c>
      <c r="L25" s="56">
        <f>J25-K25</f>
        <v>0</v>
      </c>
      <c r="M25" s="78">
        <v>0</v>
      </c>
      <c r="N25" s="81">
        <f>L25*M25</f>
        <v>0</v>
      </c>
      <c r="O25" s="56">
        <f>J25-N25</f>
        <v>0</v>
      </c>
    </row>
    <row r="26" spans="2:15" ht="12.75">
      <c r="B26" s="75"/>
      <c r="C26" s="77" t="s">
        <v>489</v>
      </c>
      <c r="D26" s="226">
        <f>SUM(D6:D25)</f>
        <v>29984643.68955805</v>
      </c>
      <c r="E26" s="226">
        <f aca="true" t="shared" si="7" ref="E26:N26">SUM(E6:E25)</f>
        <v>0</v>
      </c>
      <c r="F26" s="226">
        <f t="shared" si="7"/>
        <v>0</v>
      </c>
      <c r="G26" s="226">
        <f t="shared" si="7"/>
        <v>29984643.68955805</v>
      </c>
      <c r="H26" s="226">
        <f t="shared" si="7"/>
        <v>4845099.8379657315</v>
      </c>
      <c r="I26" s="226">
        <f t="shared" si="7"/>
        <v>0</v>
      </c>
      <c r="J26" s="226">
        <f t="shared" si="7"/>
        <v>34829743.52752378</v>
      </c>
      <c r="K26" s="226">
        <f>SUM(K6:K25)</f>
        <v>2422549.9189828658</v>
      </c>
      <c r="L26" s="226">
        <f t="shared" si="7"/>
        <v>32407193.608540915</v>
      </c>
      <c r="M26" s="226">
        <f t="shared" si="7"/>
        <v>4.81</v>
      </c>
      <c r="N26" s="226">
        <f t="shared" si="7"/>
        <v>2334191.276383273</v>
      </c>
      <c r="O26" s="226">
        <f>SUM(O6:O25)</f>
        <v>32495552.251140513</v>
      </c>
    </row>
    <row r="27" spans="2:9" ht="12.75">
      <c r="B27" s="24"/>
      <c r="C27" s="73"/>
      <c r="D27" s="227"/>
      <c r="E27" s="20"/>
      <c r="F27" s="20"/>
      <c r="G27" s="20"/>
      <c r="H27" s="274"/>
      <c r="I27" s="274"/>
    </row>
    <row r="28" spans="2:7" ht="12.75">
      <c r="B28" s="75" t="s">
        <v>490</v>
      </c>
      <c r="C28" s="76" t="s">
        <v>491</v>
      </c>
      <c r="D28" s="81">
        <f>'CCA Continuity 2010'!G28</f>
        <v>0</v>
      </c>
      <c r="E28" s="80">
        <v>0</v>
      </c>
      <c r="F28" s="80">
        <v>0</v>
      </c>
      <c r="G28" s="56">
        <f>D28-E28-F28</f>
        <v>0</v>
      </c>
    </row>
    <row r="29" spans="2:7" ht="12.75">
      <c r="B29" s="75" t="s">
        <v>490</v>
      </c>
      <c r="C29" s="76" t="s">
        <v>534</v>
      </c>
      <c r="D29" s="228">
        <v>0</v>
      </c>
      <c r="E29" s="80">
        <v>0</v>
      </c>
      <c r="F29" s="80">
        <v>0</v>
      </c>
      <c r="G29" s="56">
        <f>D29-E29-F29</f>
        <v>0</v>
      </c>
    </row>
    <row r="30" spans="2:7" ht="12.75">
      <c r="B30" s="75" t="s">
        <v>490</v>
      </c>
      <c r="C30" s="76" t="s">
        <v>492</v>
      </c>
      <c r="D30" s="228">
        <v>0</v>
      </c>
      <c r="E30" s="80">
        <v>0</v>
      </c>
      <c r="F30" s="80">
        <v>0</v>
      </c>
      <c r="G30" s="56">
        <f>D30-E30-F30</f>
        <v>0</v>
      </c>
    </row>
    <row r="31" spans="2:7" ht="12.75">
      <c r="B31" s="75"/>
      <c r="C31" s="77" t="s">
        <v>493</v>
      </c>
      <c r="D31" s="220">
        <f>SUM(D28:D30)</f>
        <v>0</v>
      </c>
      <c r="E31" s="220">
        <f>SUM(E28:E30)</f>
        <v>0</v>
      </c>
      <c r="F31" s="220">
        <f>SUM(F28:F30)</f>
        <v>0</v>
      </c>
      <c r="G31" s="220">
        <f>SUM(G28:G30)</f>
        <v>0</v>
      </c>
    </row>
    <row r="32" ht="13.5" thickBot="1"/>
    <row r="33" spans="1:9" ht="12.75">
      <c r="A33" s="731"/>
      <c r="B33" s="732"/>
      <c r="C33" s="732"/>
      <c r="D33" s="732"/>
      <c r="E33" s="732"/>
      <c r="F33" s="732"/>
      <c r="G33" s="732"/>
      <c r="H33" s="732"/>
      <c r="I33" s="733"/>
    </row>
    <row r="34" spans="1:9" ht="24" customHeight="1">
      <c r="A34" s="38"/>
      <c r="B34" s="674" t="s">
        <v>386</v>
      </c>
      <c r="C34" s="674"/>
      <c r="D34" s="674"/>
      <c r="E34" s="674"/>
      <c r="F34" s="674"/>
      <c r="G34" s="674"/>
      <c r="H34" s="674"/>
      <c r="I34" s="47"/>
    </row>
    <row r="35" spans="1:9" ht="15.75">
      <c r="A35" s="38"/>
      <c r="B35" s="727" t="s">
        <v>334</v>
      </c>
      <c r="C35" s="727"/>
      <c r="D35" s="727"/>
      <c r="E35" s="49"/>
      <c r="F35" s="49"/>
      <c r="G35" s="49"/>
      <c r="H35" s="55">
        <f>'CCA Continuity 2010'!H67</f>
        <v>6130.5599999999995</v>
      </c>
      <c r="I35" s="47"/>
    </row>
    <row r="36" spans="1:9" ht="15.75">
      <c r="A36" s="38"/>
      <c r="B36" s="727"/>
      <c r="C36" s="727"/>
      <c r="D36" s="727"/>
      <c r="E36" s="49"/>
      <c r="F36" s="49"/>
      <c r="G36" s="49"/>
      <c r="H36" s="55"/>
      <c r="I36" s="47"/>
    </row>
    <row r="37" spans="1:9" ht="12.75">
      <c r="A37" s="38"/>
      <c r="B37" s="730" t="s">
        <v>506</v>
      </c>
      <c r="C37" s="730"/>
      <c r="D37" s="730"/>
      <c r="E37" s="48"/>
      <c r="F37" s="48"/>
      <c r="G37" s="48"/>
      <c r="I37" s="47"/>
    </row>
    <row r="38" spans="1:9" ht="12.75">
      <c r="A38" s="38"/>
      <c r="B38" s="727" t="s">
        <v>383</v>
      </c>
      <c r="C38" s="727"/>
      <c r="D38" s="727"/>
      <c r="E38" s="82">
        <v>0</v>
      </c>
      <c r="F38" s="48"/>
      <c r="G38" s="48"/>
      <c r="H38" s="48"/>
      <c r="I38" s="47"/>
    </row>
    <row r="39" spans="1:9" ht="12.75">
      <c r="A39" s="38"/>
      <c r="B39" s="727"/>
      <c r="C39" s="727"/>
      <c r="D39" s="727"/>
      <c r="E39" s="48"/>
      <c r="F39" s="48"/>
      <c r="G39" s="48"/>
      <c r="H39" s="48"/>
      <c r="I39" s="47"/>
    </row>
    <row r="40" spans="1:9" ht="12.75">
      <c r="A40" s="38"/>
      <c r="B40" s="727" t="s">
        <v>335</v>
      </c>
      <c r="C40" s="727"/>
      <c r="D40" s="727"/>
      <c r="E40" s="82">
        <v>0</v>
      </c>
      <c r="F40" s="48"/>
      <c r="G40" s="48"/>
      <c r="H40" s="48"/>
      <c r="I40" s="47"/>
    </row>
    <row r="41" spans="1:9" ht="12.75">
      <c r="A41" s="38"/>
      <c r="B41" s="727"/>
      <c r="C41" s="727"/>
      <c r="D41" s="727"/>
      <c r="E41" s="48"/>
      <c r="F41" s="48"/>
      <c r="G41" s="48"/>
      <c r="H41" s="48"/>
      <c r="I41" s="47"/>
    </row>
    <row r="42" spans="1:9" ht="12.75">
      <c r="A42" s="38"/>
      <c r="B42" s="727" t="s">
        <v>336</v>
      </c>
      <c r="C42" s="727"/>
      <c r="D42" s="727"/>
      <c r="E42" s="82">
        <f>E38+E40</f>
        <v>0</v>
      </c>
      <c r="F42" s="48" t="s">
        <v>337</v>
      </c>
      <c r="G42" s="48">
        <f>E42*0.75</f>
        <v>0</v>
      </c>
      <c r="H42" s="48"/>
      <c r="I42" s="47"/>
    </row>
    <row r="43" spans="1:9" ht="12.75">
      <c r="A43" s="38"/>
      <c r="B43" s="727"/>
      <c r="C43" s="727"/>
      <c r="D43" s="727"/>
      <c r="E43" s="48"/>
      <c r="F43" s="48"/>
      <c r="G43" s="48"/>
      <c r="H43" s="48"/>
      <c r="I43" s="47"/>
    </row>
    <row r="44" spans="1:9" ht="12.75" customHeight="1">
      <c r="A44" s="38"/>
      <c r="B44" s="728" t="s">
        <v>385</v>
      </c>
      <c r="C44" s="728"/>
      <c r="D44" s="728"/>
      <c r="H44" s="48"/>
      <c r="I44" s="47"/>
    </row>
    <row r="45" spans="1:9" ht="12.75">
      <c r="A45" s="38"/>
      <c r="B45" s="728"/>
      <c r="C45" s="728"/>
      <c r="D45" s="728"/>
      <c r="E45" s="82">
        <v>0</v>
      </c>
      <c r="F45" s="48" t="s">
        <v>338</v>
      </c>
      <c r="G45" s="48">
        <f>E45*0.5</f>
        <v>0</v>
      </c>
      <c r="H45" s="48"/>
      <c r="I45" s="47"/>
    </row>
    <row r="46" spans="1:9" ht="12.75">
      <c r="A46" s="38"/>
      <c r="B46" s="727"/>
      <c r="C46" s="727"/>
      <c r="D46" s="727"/>
      <c r="E46" s="48"/>
      <c r="F46" s="48"/>
      <c r="G46" s="57">
        <f>G42+G45</f>
        <v>0</v>
      </c>
      <c r="H46" s="83">
        <f>G46+H35</f>
        <v>6130.5599999999995</v>
      </c>
      <c r="I46" s="47"/>
    </row>
    <row r="47" spans="1:9" ht="12.75">
      <c r="A47" s="38"/>
      <c r="B47" s="52"/>
      <c r="C47" s="52"/>
      <c r="D47" s="52"/>
      <c r="E47" s="48"/>
      <c r="F47" s="48"/>
      <c r="G47" s="48"/>
      <c r="H47" s="48"/>
      <c r="I47" s="47"/>
    </row>
    <row r="48" spans="1:9" ht="12.75">
      <c r="A48" s="38"/>
      <c r="B48" s="727" t="s">
        <v>339</v>
      </c>
      <c r="C48" s="727"/>
      <c r="D48" s="727"/>
      <c r="E48" s="82">
        <v>0</v>
      </c>
      <c r="F48" s="48"/>
      <c r="G48" s="48"/>
      <c r="H48" s="10">
        <f>E48</f>
        <v>0</v>
      </c>
      <c r="I48" s="47"/>
    </row>
    <row r="49" spans="1:9" ht="12.75">
      <c r="A49" s="38"/>
      <c r="B49" s="727"/>
      <c r="C49" s="727"/>
      <c r="D49" s="727"/>
      <c r="E49" s="48"/>
      <c r="F49" s="48"/>
      <c r="G49" s="48"/>
      <c r="H49" s="48"/>
      <c r="I49" s="47"/>
    </row>
    <row r="50" spans="1:9" ht="12.75">
      <c r="A50" s="38"/>
      <c r="B50" s="729" t="s">
        <v>336</v>
      </c>
      <c r="C50" s="729"/>
      <c r="D50" s="729" t="s">
        <v>336</v>
      </c>
      <c r="E50" s="48"/>
      <c r="F50" s="48"/>
      <c r="G50" s="48"/>
      <c r="H50" s="83">
        <f>H46+H48</f>
        <v>6130.5599999999995</v>
      </c>
      <c r="I50" s="47"/>
    </row>
    <row r="51" spans="1:9" ht="12.75">
      <c r="A51" s="38"/>
      <c r="B51" s="727"/>
      <c r="C51" s="727"/>
      <c r="D51" s="727"/>
      <c r="E51" s="48"/>
      <c r="F51" s="48"/>
      <c r="G51" s="48"/>
      <c r="H51" s="48"/>
      <c r="I51" s="47"/>
    </row>
    <row r="52" spans="1:9" ht="12.75">
      <c r="A52" s="38"/>
      <c r="B52" s="730" t="s">
        <v>312</v>
      </c>
      <c r="C52" s="730"/>
      <c r="D52" s="730"/>
      <c r="E52" s="48"/>
      <c r="F52" s="48"/>
      <c r="G52" s="48"/>
      <c r="H52" s="48"/>
      <c r="I52" s="47"/>
    </row>
    <row r="53" spans="1:9" ht="12.75">
      <c r="A53" s="38"/>
      <c r="B53" s="727"/>
      <c r="C53" s="727"/>
      <c r="D53" s="727"/>
      <c r="E53" s="48"/>
      <c r="F53" s="48"/>
      <c r="G53" s="48"/>
      <c r="H53" s="48"/>
      <c r="I53" s="47"/>
    </row>
    <row r="54" spans="1:9" ht="12.75">
      <c r="A54" s="38"/>
      <c r="B54" s="728" t="s">
        <v>387</v>
      </c>
      <c r="C54" s="728"/>
      <c r="D54" s="728"/>
      <c r="E54" s="48"/>
      <c r="F54" s="48"/>
      <c r="G54" s="48"/>
      <c r="H54" s="48"/>
      <c r="I54" s="47"/>
    </row>
    <row r="55" spans="1:9" ht="12.75">
      <c r="A55" s="38"/>
      <c r="B55" s="728"/>
      <c r="C55" s="728"/>
      <c r="D55" s="728"/>
      <c r="E55" s="48"/>
      <c r="F55" s="48"/>
      <c r="G55" s="48"/>
      <c r="H55" s="48"/>
      <c r="I55" s="47"/>
    </row>
    <row r="56" spans="1:9" ht="12.75">
      <c r="A56" s="38"/>
      <c r="B56" s="727"/>
      <c r="C56" s="727"/>
      <c r="D56" s="727"/>
      <c r="E56" s="48"/>
      <c r="F56" s="48"/>
      <c r="G56" s="48"/>
      <c r="H56" s="48"/>
      <c r="I56" s="47"/>
    </row>
    <row r="57" spans="1:9" ht="12.75">
      <c r="A57" s="38"/>
      <c r="B57" s="727" t="s">
        <v>335</v>
      </c>
      <c r="C57" s="727"/>
      <c r="D57" s="727"/>
      <c r="E57" s="82">
        <v>0</v>
      </c>
      <c r="F57" s="48"/>
      <c r="G57" s="48"/>
      <c r="H57" s="48"/>
      <c r="I57" s="47"/>
    </row>
    <row r="58" spans="1:9" ht="12.75">
      <c r="A58" s="38"/>
      <c r="B58" s="727"/>
      <c r="C58" s="727"/>
      <c r="D58" s="727"/>
      <c r="E58" s="48"/>
      <c r="F58" s="48"/>
      <c r="G58" s="48"/>
      <c r="H58" s="48"/>
      <c r="I58" s="47"/>
    </row>
    <row r="59" spans="1:9" ht="12.75">
      <c r="A59" s="38"/>
      <c r="B59" s="729" t="s">
        <v>336</v>
      </c>
      <c r="C59" s="729"/>
      <c r="D59" s="729" t="s">
        <v>336</v>
      </c>
      <c r="E59" s="82">
        <f>E57</f>
        <v>0</v>
      </c>
      <c r="F59" s="48" t="s">
        <v>337</v>
      </c>
      <c r="G59" s="48">
        <f>E59*0.75</f>
        <v>0</v>
      </c>
      <c r="H59" s="83">
        <f>H50+G59</f>
        <v>6130.5599999999995</v>
      </c>
      <c r="I59" s="47"/>
    </row>
    <row r="60" spans="1:9" ht="12.75">
      <c r="A60" s="38"/>
      <c r="B60" s="727"/>
      <c r="C60" s="727"/>
      <c r="D60" s="727"/>
      <c r="E60" s="48"/>
      <c r="F60" s="48"/>
      <c r="G60" s="48"/>
      <c r="H60" s="48"/>
      <c r="I60" s="47"/>
    </row>
    <row r="61" spans="1:9" ht="12.75">
      <c r="A61" s="38"/>
      <c r="B61" s="727"/>
      <c r="C61" s="727"/>
      <c r="D61" s="727"/>
      <c r="E61" s="48"/>
      <c r="F61" s="48"/>
      <c r="G61" s="48"/>
      <c r="H61" s="48"/>
      <c r="I61" s="47"/>
    </row>
    <row r="62" spans="1:9" ht="12.75">
      <c r="A62" s="38"/>
      <c r="B62" s="727"/>
      <c r="C62" s="727"/>
      <c r="D62" s="727"/>
      <c r="E62" s="48"/>
      <c r="F62" s="48"/>
      <c r="G62" s="48"/>
      <c r="H62" s="48"/>
      <c r="I62" s="47"/>
    </row>
    <row r="63" spans="1:9" ht="12.75">
      <c r="A63" s="38"/>
      <c r="B63" s="727" t="s">
        <v>340</v>
      </c>
      <c r="C63" s="727"/>
      <c r="D63" s="727"/>
      <c r="E63" s="48"/>
      <c r="F63" s="48"/>
      <c r="G63" s="48"/>
      <c r="H63" s="55">
        <f>H59</f>
        <v>6130.5599999999995</v>
      </c>
      <c r="I63" s="47"/>
    </row>
    <row r="64" spans="1:9" ht="12.75">
      <c r="A64" s="38"/>
      <c r="B64" s="727"/>
      <c r="C64" s="727"/>
      <c r="D64" s="727"/>
      <c r="E64" s="48"/>
      <c r="F64" s="48"/>
      <c r="G64" s="48"/>
      <c r="H64" s="48"/>
      <c r="I64" s="47"/>
    </row>
    <row r="65" spans="1:9" ht="12.75">
      <c r="A65" s="38"/>
      <c r="B65" s="727" t="s">
        <v>341</v>
      </c>
      <c r="C65" s="727"/>
      <c r="D65" s="727"/>
      <c r="E65" s="84">
        <v>0.07</v>
      </c>
      <c r="F65" s="48"/>
      <c r="G65" s="48"/>
      <c r="H65" s="55">
        <f>H63*E65</f>
        <v>429.1392</v>
      </c>
      <c r="I65" s="47"/>
    </row>
    <row r="66" spans="1:9" ht="12.75">
      <c r="A66" s="38"/>
      <c r="B66" s="599"/>
      <c r="C66" s="599"/>
      <c r="D66" s="599"/>
      <c r="E66" s="48"/>
      <c r="F66" s="55"/>
      <c r="G66" s="48"/>
      <c r="H66" s="55"/>
      <c r="I66" s="47"/>
    </row>
    <row r="67" spans="1:9" ht="13.5" thickBot="1">
      <c r="A67" s="38"/>
      <c r="B67" s="727" t="s">
        <v>382</v>
      </c>
      <c r="C67" s="727"/>
      <c r="D67" s="727"/>
      <c r="E67" s="48"/>
      <c r="F67" s="48"/>
      <c r="G67" s="48"/>
      <c r="H67" s="155">
        <f>H63-H65</f>
        <v>5701.4208</v>
      </c>
      <c r="I67" s="47"/>
    </row>
    <row r="68" spans="1:9" ht="14.25" thickBot="1" thickTop="1">
      <c r="A68" s="734"/>
      <c r="B68" s="735"/>
      <c r="C68" s="735"/>
      <c r="D68" s="735"/>
      <c r="E68" s="735"/>
      <c r="F68" s="735"/>
      <c r="G68" s="735"/>
      <c r="H68" s="735"/>
      <c r="I68" s="736"/>
    </row>
  </sheetData>
  <sheetProtection/>
  <mergeCells count="36">
    <mergeCell ref="B43:D43"/>
    <mergeCell ref="B39:D39"/>
    <mergeCell ref="B40:D40"/>
    <mergeCell ref="B41:D41"/>
    <mergeCell ref="B42:D42"/>
    <mergeCell ref="B44:D45"/>
    <mergeCell ref="B66:D66"/>
    <mergeCell ref="B57:D57"/>
    <mergeCell ref="B58:D58"/>
    <mergeCell ref="B51:D51"/>
    <mergeCell ref="B52:D52"/>
    <mergeCell ref="A68:I68"/>
    <mergeCell ref="B46:D46"/>
    <mergeCell ref="B63:D63"/>
    <mergeCell ref="B64:D64"/>
    <mergeCell ref="B65:D65"/>
    <mergeCell ref="B59:D59"/>
    <mergeCell ref="B60:D60"/>
    <mergeCell ref="B61:D61"/>
    <mergeCell ref="B62:D62"/>
    <mergeCell ref="B56:D56"/>
    <mergeCell ref="B53:D53"/>
    <mergeCell ref="B48:D48"/>
    <mergeCell ref="B49:D49"/>
    <mergeCell ref="B50:D50"/>
    <mergeCell ref="B67:D67"/>
    <mergeCell ref="B54:D55"/>
    <mergeCell ref="A1:O1"/>
    <mergeCell ref="A2:O2"/>
    <mergeCell ref="B4:O4"/>
    <mergeCell ref="B38:D38"/>
    <mergeCell ref="B35:D35"/>
    <mergeCell ref="B37:D37"/>
    <mergeCell ref="A33:I33"/>
    <mergeCell ref="B34:H34"/>
    <mergeCell ref="B36:D36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48" r:id="rId3"/>
  <headerFooter alignWithMargins="0">
    <oddFooter>&amp;L&amp;A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0">
      <selection activeCell="B38" sqref="B38"/>
    </sheetView>
  </sheetViews>
  <sheetFormatPr defaultColWidth="9.140625" defaultRowHeight="12.75"/>
  <cols>
    <col min="1" max="1" width="0.85546875" style="0" customWidth="1"/>
    <col min="2" max="2" width="36.8515625" style="0" customWidth="1"/>
    <col min="3" max="3" width="15.7109375" style="0" customWidth="1"/>
    <col min="4" max="4" width="13.7109375" style="0" customWidth="1"/>
    <col min="5" max="5" width="12.140625" style="0" customWidth="1"/>
    <col min="6" max="6" width="22.57421875" style="0" customWidth="1"/>
    <col min="7" max="7" width="12.28125" style="0" customWidth="1"/>
    <col min="8" max="8" width="8.57421875" style="0" bestFit="1" customWidth="1"/>
    <col min="10" max="10" width="15.57421875" style="0" customWidth="1"/>
    <col min="11" max="11" width="12.8515625" style="0" bestFit="1" customWidth="1"/>
    <col min="12" max="12" width="9.8515625" style="0" bestFit="1" customWidth="1"/>
    <col min="13" max="13" width="0.85546875" style="0" customWidth="1"/>
  </cols>
  <sheetData>
    <row r="1" spans="1:13" ht="13.5" thickBot="1">
      <c r="A1" s="737" t="str">
        <f>'Trial Balance'!A1:J1</f>
        <v>Woodstock Hydro Services Inc.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</row>
    <row r="2" spans="1:13" ht="13.5" thickBot="1">
      <c r="A2" s="737" t="str">
        <f>'Trial Balance'!A2:J2</f>
        <v>, License Number ED-2003-0011, File Number EB-2010-0145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ht="9" customHeight="1">
      <c r="A3" s="35"/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37"/>
    </row>
    <row r="4" spans="1:13" ht="18.75" thickBot="1">
      <c r="A4" s="38"/>
      <c r="B4" s="738" t="s">
        <v>811</v>
      </c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47"/>
    </row>
    <row r="5" spans="1:13" ht="57" customHeight="1" thickBot="1">
      <c r="A5" s="38"/>
      <c r="B5" s="85" t="s">
        <v>184</v>
      </c>
      <c r="C5" s="85" t="s">
        <v>388</v>
      </c>
      <c r="D5" s="85" t="s">
        <v>389</v>
      </c>
      <c r="E5" s="85" t="s">
        <v>91</v>
      </c>
      <c r="F5" s="85" t="s">
        <v>342</v>
      </c>
      <c r="G5" s="85" t="s">
        <v>390</v>
      </c>
      <c r="H5" s="85" t="s">
        <v>332</v>
      </c>
      <c r="I5" s="85" t="s">
        <v>333</v>
      </c>
      <c r="J5" s="85" t="s">
        <v>92</v>
      </c>
      <c r="K5" s="85" t="s">
        <v>391</v>
      </c>
      <c r="L5" s="85" t="s">
        <v>343</v>
      </c>
      <c r="M5" s="47"/>
    </row>
    <row r="6" spans="1:13" ht="12.75">
      <c r="A6" s="38"/>
      <c r="B6" s="86" t="s">
        <v>344</v>
      </c>
      <c r="C6" s="96"/>
      <c r="D6" s="96"/>
      <c r="E6" s="215">
        <f>C6-D6</f>
        <v>0</v>
      </c>
      <c r="F6" s="96"/>
      <c r="G6" s="215">
        <f>SUM(E6:F6)</f>
        <v>0</v>
      </c>
      <c r="H6" s="96"/>
      <c r="I6" s="96"/>
      <c r="J6" s="215">
        <f>G6+H6-I6</f>
        <v>0</v>
      </c>
      <c r="K6" s="215">
        <f>+J6-G6</f>
        <v>0</v>
      </c>
      <c r="L6" s="96"/>
      <c r="M6" s="47"/>
    </row>
    <row r="7" spans="1:13" ht="15">
      <c r="A7" s="38"/>
      <c r="B7" s="739" t="s">
        <v>345</v>
      </c>
      <c r="C7" s="740"/>
      <c r="D7" s="740"/>
      <c r="E7" s="740"/>
      <c r="F7" s="740"/>
      <c r="G7" s="740"/>
      <c r="H7" s="740"/>
      <c r="I7" s="740"/>
      <c r="J7" s="740"/>
      <c r="K7" s="740"/>
      <c r="L7" s="741"/>
      <c r="M7" s="47"/>
    </row>
    <row r="8" spans="1:13" ht="12.75">
      <c r="A8" s="38"/>
      <c r="B8" s="87" t="s">
        <v>346</v>
      </c>
      <c r="C8" s="96"/>
      <c r="D8" s="96"/>
      <c r="E8" s="215">
        <f>C8-D8</f>
        <v>0</v>
      </c>
      <c r="F8" s="97"/>
      <c r="G8" s="216">
        <f>SUM(E8:F8)</f>
        <v>0</v>
      </c>
      <c r="H8" s="97"/>
      <c r="I8" s="97"/>
      <c r="J8" s="215">
        <f>G8+H8-I8</f>
        <v>0</v>
      </c>
      <c r="K8" s="215">
        <f>+J8-G8</f>
        <v>0</v>
      </c>
      <c r="L8" s="96"/>
      <c r="M8" s="47"/>
    </row>
    <row r="9" spans="1:13" ht="24">
      <c r="A9" s="38"/>
      <c r="B9" s="86" t="s">
        <v>347</v>
      </c>
      <c r="C9" s="96"/>
      <c r="D9" s="96"/>
      <c r="E9" s="215">
        <f>C9-D9</f>
        <v>0</v>
      </c>
      <c r="F9" s="96"/>
      <c r="G9" s="215">
        <f>SUM(E9:F9)</f>
        <v>0</v>
      </c>
      <c r="H9" s="96"/>
      <c r="I9" s="96"/>
      <c r="J9" s="215">
        <f>G9+H9-I9</f>
        <v>0</v>
      </c>
      <c r="K9" s="215">
        <f>+J9-G9</f>
        <v>0</v>
      </c>
      <c r="L9" s="96"/>
      <c r="M9" s="47"/>
    </row>
    <row r="10" spans="1:13" ht="12.75">
      <c r="A10" s="38"/>
      <c r="B10" s="86" t="s">
        <v>348</v>
      </c>
      <c r="C10" s="96"/>
      <c r="D10" s="96"/>
      <c r="E10" s="215">
        <f>C10-D10</f>
        <v>0</v>
      </c>
      <c r="F10" s="96"/>
      <c r="G10" s="215">
        <f>SUM(E10:F10)</f>
        <v>0</v>
      </c>
      <c r="H10" s="96"/>
      <c r="I10" s="96"/>
      <c r="J10" s="215">
        <f>G10+H10-I10</f>
        <v>0</v>
      </c>
      <c r="K10" s="215">
        <f>+J10-G10</f>
        <v>0</v>
      </c>
      <c r="L10" s="96"/>
      <c r="M10" s="47"/>
    </row>
    <row r="11" spans="1:13" ht="12.75">
      <c r="A11" s="38"/>
      <c r="B11" s="86" t="s">
        <v>349</v>
      </c>
      <c r="C11" s="96"/>
      <c r="D11" s="96"/>
      <c r="E11" s="215">
        <f>C11-D11</f>
        <v>0</v>
      </c>
      <c r="F11" s="96"/>
      <c r="G11" s="215">
        <f>SUM(E11:F11)</f>
        <v>0</v>
      </c>
      <c r="H11" s="96"/>
      <c r="I11" s="96"/>
      <c r="J11" s="215">
        <f>G11+H11-I11</f>
        <v>0</v>
      </c>
      <c r="K11" s="215">
        <f>+J11-G11</f>
        <v>0</v>
      </c>
      <c r="L11" s="96"/>
      <c r="M11" s="47"/>
    </row>
    <row r="12" spans="1:13" ht="12.75">
      <c r="A12" s="38"/>
      <c r="B12" s="86" t="s">
        <v>350</v>
      </c>
      <c r="C12" s="217"/>
      <c r="D12" s="96"/>
      <c r="E12" s="215">
        <f>C12-D12</f>
        <v>0</v>
      </c>
      <c r="F12" s="96"/>
      <c r="G12" s="215">
        <f>SUM(E12:F12)</f>
        <v>0</v>
      </c>
      <c r="H12" s="96"/>
      <c r="I12" s="96"/>
      <c r="J12" s="215">
        <f>G12+H12-I12</f>
        <v>0</v>
      </c>
      <c r="K12" s="215">
        <f>+J12-G12</f>
        <v>0</v>
      </c>
      <c r="L12" s="96"/>
      <c r="M12" s="47"/>
    </row>
    <row r="13" spans="1:13" ht="18.75">
      <c r="A13" s="38"/>
      <c r="B13" s="95" t="s">
        <v>154</v>
      </c>
      <c r="C13" s="218">
        <f>SUM(C8:C12)</f>
        <v>0</v>
      </c>
      <c r="D13" s="218">
        <f aca="true" t="shared" si="0" ref="D13:L13">SUM(D8:D12)</f>
        <v>0</v>
      </c>
      <c r="E13" s="218">
        <f t="shared" si="0"/>
        <v>0</v>
      </c>
      <c r="F13" s="218">
        <f t="shared" si="0"/>
        <v>0</v>
      </c>
      <c r="G13" s="218">
        <f t="shared" si="0"/>
        <v>0</v>
      </c>
      <c r="H13" s="218">
        <f t="shared" si="0"/>
        <v>0</v>
      </c>
      <c r="I13" s="218">
        <f t="shared" si="0"/>
        <v>0</v>
      </c>
      <c r="J13" s="218">
        <f t="shared" si="0"/>
        <v>0</v>
      </c>
      <c r="K13" s="218">
        <f t="shared" si="0"/>
        <v>0</v>
      </c>
      <c r="L13" s="218">
        <f t="shared" si="0"/>
        <v>0</v>
      </c>
      <c r="M13" s="47"/>
    </row>
    <row r="14" spans="1:13" ht="12.75">
      <c r="A14" s="38"/>
      <c r="B14" s="89"/>
      <c r="C14" s="90"/>
      <c r="D14" s="90"/>
      <c r="E14" s="90"/>
      <c r="F14" s="91"/>
      <c r="G14" s="91"/>
      <c r="H14" s="91"/>
      <c r="I14" s="92"/>
      <c r="J14" s="93"/>
      <c r="K14" s="93"/>
      <c r="L14" s="93"/>
      <c r="M14" s="47"/>
    </row>
    <row r="15" spans="1:13" ht="15">
      <c r="A15" s="38"/>
      <c r="B15" s="739" t="s">
        <v>392</v>
      </c>
      <c r="C15" s="740"/>
      <c r="D15" s="740"/>
      <c r="E15" s="740"/>
      <c r="F15" s="740"/>
      <c r="G15" s="740"/>
      <c r="H15" s="740"/>
      <c r="I15" s="740"/>
      <c r="J15" s="740"/>
      <c r="K15" s="740"/>
      <c r="L15" s="741"/>
      <c r="M15" s="47"/>
    </row>
    <row r="16" spans="1:13" ht="24">
      <c r="A16" s="38"/>
      <c r="B16" s="86" t="s">
        <v>351</v>
      </c>
      <c r="C16" s="96"/>
      <c r="D16" s="96"/>
      <c r="E16" s="215">
        <f aca="true" t="shared" si="1" ref="E16:E31">C16-D16</f>
        <v>0</v>
      </c>
      <c r="F16" s="96"/>
      <c r="G16" s="215">
        <f aca="true" t="shared" si="2" ref="G16:G31">SUM(E16:F16)</f>
        <v>0</v>
      </c>
      <c r="H16" s="96"/>
      <c r="I16" s="96"/>
      <c r="J16" s="215">
        <f aca="true" t="shared" si="3" ref="J16:J31">G16+H16-I16</f>
        <v>0</v>
      </c>
      <c r="K16" s="215">
        <f aca="true" t="shared" si="4" ref="K16:K31">+J16-G16</f>
        <v>0</v>
      </c>
      <c r="L16" s="96"/>
      <c r="M16" s="47"/>
    </row>
    <row r="17" spans="1:13" ht="12.75">
      <c r="A17" s="38"/>
      <c r="B17" s="86" t="s">
        <v>352</v>
      </c>
      <c r="C17" s="96">
        <v>25201</v>
      </c>
      <c r="D17" s="96"/>
      <c r="E17" s="215">
        <f t="shared" si="1"/>
        <v>25201</v>
      </c>
      <c r="F17" s="96"/>
      <c r="G17" s="215">
        <f t="shared" si="2"/>
        <v>25201</v>
      </c>
      <c r="H17" s="96">
        <v>5000</v>
      </c>
      <c r="I17" s="96"/>
      <c r="J17" s="215">
        <f t="shared" si="3"/>
        <v>30201</v>
      </c>
      <c r="K17" s="215">
        <f t="shared" si="4"/>
        <v>5000</v>
      </c>
      <c r="L17" s="96"/>
      <c r="M17" s="47"/>
    </row>
    <row r="18" spans="1:13" ht="12.75">
      <c r="A18" s="38"/>
      <c r="B18" s="86" t="s">
        <v>353</v>
      </c>
      <c r="C18" s="96"/>
      <c r="D18" s="96"/>
      <c r="E18" s="215">
        <f t="shared" si="1"/>
        <v>0</v>
      </c>
      <c r="F18" s="96"/>
      <c r="G18" s="215">
        <f t="shared" si="2"/>
        <v>0</v>
      </c>
      <c r="H18" s="96"/>
      <c r="I18" s="96"/>
      <c r="J18" s="215">
        <f t="shared" si="3"/>
        <v>0</v>
      </c>
      <c r="K18" s="215">
        <f t="shared" si="4"/>
        <v>0</v>
      </c>
      <c r="L18" s="96"/>
      <c r="M18" s="47"/>
    </row>
    <row r="19" spans="1:13" ht="12.75">
      <c r="A19" s="38"/>
      <c r="B19" s="94" t="s">
        <v>354</v>
      </c>
      <c r="C19" s="96"/>
      <c r="D19" s="96"/>
      <c r="E19" s="215">
        <f t="shared" si="1"/>
        <v>0</v>
      </c>
      <c r="F19" s="96"/>
      <c r="G19" s="215">
        <f t="shared" si="2"/>
        <v>0</v>
      </c>
      <c r="H19" s="96"/>
      <c r="I19" s="96"/>
      <c r="J19" s="215">
        <f t="shared" si="3"/>
        <v>0</v>
      </c>
      <c r="K19" s="215">
        <f t="shared" si="4"/>
        <v>0</v>
      </c>
      <c r="L19" s="96"/>
      <c r="M19" s="47"/>
    </row>
    <row r="20" spans="1:13" ht="12.75">
      <c r="A20" s="38"/>
      <c r="B20" s="94" t="s">
        <v>355</v>
      </c>
      <c r="C20" s="96"/>
      <c r="D20" s="96"/>
      <c r="E20" s="215">
        <f t="shared" si="1"/>
        <v>0</v>
      </c>
      <c r="F20" s="96"/>
      <c r="G20" s="215">
        <f t="shared" si="2"/>
        <v>0</v>
      </c>
      <c r="H20" s="96"/>
      <c r="I20" s="96"/>
      <c r="J20" s="215">
        <f t="shared" si="3"/>
        <v>0</v>
      </c>
      <c r="K20" s="215">
        <f t="shared" si="4"/>
        <v>0</v>
      </c>
      <c r="L20" s="96"/>
      <c r="M20" s="47"/>
    </row>
    <row r="21" spans="1:13" ht="12.75">
      <c r="A21" s="38"/>
      <c r="B21" s="94" t="s">
        <v>393</v>
      </c>
      <c r="C21" s="96">
        <v>126052</v>
      </c>
      <c r="D21" s="96"/>
      <c r="E21" s="215">
        <f t="shared" si="1"/>
        <v>126052</v>
      </c>
      <c r="F21" s="96"/>
      <c r="G21" s="215">
        <f t="shared" si="2"/>
        <v>126052</v>
      </c>
      <c r="H21" s="96"/>
      <c r="I21" s="96">
        <v>35488</v>
      </c>
      <c r="J21" s="215">
        <f t="shared" si="3"/>
        <v>90564</v>
      </c>
      <c r="K21" s="215">
        <f t="shared" si="4"/>
        <v>-35488</v>
      </c>
      <c r="L21" s="96"/>
      <c r="M21" s="47"/>
    </row>
    <row r="22" spans="1:13" ht="12.75">
      <c r="A22" s="38"/>
      <c r="B22" s="94" t="s">
        <v>356</v>
      </c>
      <c r="C22" s="96"/>
      <c r="D22" s="96"/>
      <c r="E22" s="215">
        <f t="shared" si="1"/>
        <v>0</v>
      </c>
      <c r="F22" s="96"/>
      <c r="G22" s="215">
        <f t="shared" si="2"/>
        <v>0</v>
      </c>
      <c r="H22" s="96"/>
      <c r="I22" s="96"/>
      <c r="J22" s="215">
        <f t="shared" si="3"/>
        <v>0</v>
      </c>
      <c r="K22" s="215">
        <f t="shared" si="4"/>
        <v>0</v>
      </c>
      <c r="L22" s="96"/>
      <c r="M22" s="47"/>
    </row>
    <row r="23" spans="1:13" ht="12.75">
      <c r="A23" s="38"/>
      <c r="B23" s="94" t="s">
        <v>357</v>
      </c>
      <c r="C23" s="96">
        <v>1118833</v>
      </c>
      <c r="D23" s="96"/>
      <c r="E23" s="215">
        <f t="shared" si="1"/>
        <v>1118833</v>
      </c>
      <c r="F23" s="96"/>
      <c r="G23" s="215">
        <f t="shared" si="2"/>
        <v>1118833</v>
      </c>
      <c r="H23" s="96">
        <v>120389</v>
      </c>
      <c r="I23" s="96"/>
      <c r="J23" s="215">
        <f t="shared" si="3"/>
        <v>1239222</v>
      </c>
      <c r="K23" s="215">
        <f t="shared" si="4"/>
        <v>120389</v>
      </c>
      <c r="L23" s="96"/>
      <c r="M23" s="47"/>
    </row>
    <row r="24" spans="1:13" ht="12.75">
      <c r="A24" s="38"/>
      <c r="B24" s="86" t="s">
        <v>358</v>
      </c>
      <c r="C24" s="96"/>
      <c r="D24" s="96"/>
      <c r="E24" s="215">
        <f t="shared" si="1"/>
        <v>0</v>
      </c>
      <c r="F24" s="96"/>
      <c r="G24" s="215">
        <f t="shared" si="2"/>
        <v>0</v>
      </c>
      <c r="H24" s="96"/>
      <c r="I24" s="96"/>
      <c r="J24" s="215">
        <f t="shared" si="3"/>
        <v>0</v>
      </c>
      <c r="K24" s="215">
        <f t="shared" si="4"/>
        <v>0</v>
      </c>
      <c r="L24" s="96"/>
      <c r="M24" s="47"/>
    </row>
    <row r="25" spans="1:13" ht="12.75">
      <c r="A25" s="38"/>
      <c r="B25" s="86" t="s">
        <v>359</v>
      </c>
      <c r="C25" s="96"/>
      <c r="D25" s="96"/>
      <c r="E25" s="215">
        <f t="shared" si="1"/>
        <v>0</v>
      </c>
      <c r="F25" s="96"/>
      <c r="G25" s="215">
        <f t="shared" si="2"/>
        <v>0</v>
      </c>
      <c r="H25" s="96"/>
      <c r="I25" s="96"/>
      <c r="J25" s="215">
        <f t="shared" si="3"/>
        <v>0</v>
      </c>
      <c r="K25" s="215">
        <f t="shared" si="4"/>
        <v>0</v>
      </c>
      <c r="L25" s="96"/>
      <c r="M25" s="47"/>
    </row>
    <row r="26" spans="1:13" ht="12.75">
      <c r="A26" s="38"/>
      <c r="B26" s="86" t="s">
        <v>360</v>
      </c>
      <c r="C26" s="96"/>
      <c r="D26" s="96"/>
      <c r="E26" s="215">
        <f t="shared" si="1"/>
        <v>0</v>
      </c>
      <c r="F26" s="96"/>
      <c r="G26" s="215">
        <f t="shared" si="2"/>
        <v>0</v>
      </c>
      <c r="H26" s="96"/>
      <c r="I26" s="96"/>
      <c r="J26" s="215">
        <f t="shared" si="3"/>
        <v>0</v>
      </c>
      <c r="K26" s="215">
        <f t="shared" si="4"/>
        <v>0</v>
      </c>
      <c r="L26" s="96"/>
      <c r="M26" s="47"/>
    </row>
    <row r="27" spans="1:13" ht="12.75">
      <c r="A27" s="38"/>
      <c r="B27" s="86" t="s">
        <v>361</v>
      </c>
      <c r="C27" s="96"/>
      <c r="D27" s="96"/>
      <c r="E27" s="215">
        <f t="shared" si="1"/>
        <v>0</v>
      </c>
      <c r="F27" s="96"/>
      <c r="G27" s="215">
        <f t="shared" si="2"/>
        <v>0</v>
      </c>
      <c r="H27" s="96"/>
      <c r="I27" s="96"/>
      <c r="J27" s="215">
        <f t="shared" si="3"/>
        <v>0</v>
      </c>
      <c r="K27" s="215">
        <f t="shared" si="4"/>
        <v>0</v>
      </c>
      <c r="L27" s="96"/>
      <c r="M27" s="47"/>
    </row>
    <row r="28" spans="1:13" ht="12.75">
      <c r="A28" s="38"/>
      <c r="B28" s="86" t="s">
        <v>362</v>
      </c>
      <c r="C28" s="96"/>
      <c r="D28" s="96"/>
      <c r="E28" s="215">
        <f t="shared" si="1"/>
        <v>0</v>
      </c>
      <c r="F28" s="96"/>
      <c r="G28" s="215">
        <f t="shared" si="2"/>
        <v>0</v>
      </c>
      <c r="H28" s="96"/>
      <c r="I28" s="96"/>
      <c r="J28" s="215">
        <f t="shared" si="3"/>
        <v>0</v>
      </c>
      <c r="K28" s="215">
        <f t="shared" si="4"/>
        <v>0</v>
      </c>
      <c r="L28" s="96"/>
      <c r="M28" s="47"/>
    </row>
    <row r="29" spans="1:13" ht="24">
      <c r="A29" s="38"/>
      <c r="B29" s="86" t="s">
        <v>363</v>
      </c>
      <c r="C29" s="96"/>
      <c r="D29" s="96"/>
      <c r="E29" s="215">
        <f t="shared" si="1"/>
        <v>0</v>
      </c>
      <c r="F29" s="96"/>
      <c r="G29" s="215">
        <f t="shared" si="2"/>
        <v>0</v>
      </c>
      <c r="H29" s="96"/>
      <c r="I29" s="96"/>
      <c r="J29" s="215">
        <f t="shared" si="3"/>
        <v>0</v>
      </c>
      <c r="K29" s="215">
        <f t="shared" si="4"/>
        <v>0</v>
      </c>
      <c r="L29" s="96"/>
      <c r="M29" s="47"/>
    </row>
    <row r="30" spans="1:13" ht="24">
      <c r="A30" s="38"/>
      <c r="B30" s="86" t="s">
        <v>364</v>
      </c>
      <c r="C30" s="96"/>
      <c r="D30" s="96"/>
      <c r="E30" s="215">
        <f t="shared" si="1"/>
        <v>0</v>
      </c>
      <c r="F30" s="96"/>
      <c r="G30" s="215">
        <f t="shared" si="2"/>
        <v>0</v>
      </c>
      <c r="H30" s="96"/>
      <c r="I30" s="96"/>
      <c r="J30" s="215">
        <f t="shared" si="3"/>
        <v>0</v>
      </c>
      <c r="K30" s="215">
        <f t="shared" si="4"/>
        <v>0</v>
      </c>
      <c r="L30" s="96"/>
      <c r="M30" s="47"/>
    </row>
    <row r="31" spans="1:13" ht="13.5" thickBot="1">
      <c r="A31" s="38"/>
      <c r="B31" s="86" t="s">
        <v>73</v>
      </c>
      <c r="C31" s="217"/>
      <c r="D31" s="96"/>
      <c r="E31" s="215">
        <f t="shared" si="1"/>
        <v>0</v>
      </c>
      <c r="F31" s="96"/>
      <c r="G31" s="215">
        <f t="shared" si="2"/>
        <v>0</v>
      </c>
      <c r="H31" s="96"/>
      <c r="I31" s="96"/>
      <c r="J31" s="215">
        <f t="shared" si="3"/>
        <v>0</v>
      </c>
      <c r="K31" s="215">
        <f t="shared" si="4"/>
        <v>0</v>
      </c>
      <c r="L31" s="96"/>
      <c r="M31" s="47"/>
    </row>
    <row r="32" spans="1:13" ht="19.5" thickBot="1">
      <c r="A32" s="38"/>
      <c r="B32" s="88" t="s">
        <v>394</v>
      </c>
      <c r="C32" s="219">
        <f>SUM(C16:C31)</f>
        <v>1270086</v>
      </c>
      <c r="D32" s="219">
        <f aca="true" t="shared" si="5" ref="D32:L32">SUM(D16:D31)</f>
        <v>0</v>
      </c>
      <c r="E32" s="219">
        <f t="shared" si="5"/>
        <v>1270086</v>
      </c>
      <c r="F32" s="219">
        <f t="shared" si="5"/>
        <v>0</v>
      </c>
      <c r="G32" s="219">
        <f t="shared" si="5"/>
        <v>1270086</v>
      </c>
      <c r="H32" s="219">
        <f t="shared" si="5"/>
        <v>125389</v>
      </c>
      <c r="I32" s="219">
        <f t="shared" si="5"/>
        <v>35488</v>
      </c>
      <c r="J32" s="219">
        <f t="shared" si="5"/>
        <v>1359987</v>
      </c>
      <c r="K32" s="219">
        <f t="shared" si="5"/>
        <v>89901</v>
      </c>
      <c r="L32" s="219">
        <f t="shared" si="5"/>
        <v>0</v>
      </c>
      <c r="M32" s="47"/>
    </row>
    <row r="33" spans="1:13" ht="5.25" customHeight="1" thickBot="1">
      <c r="A33" s="41"/>
      <c r="B33" s="745"/>
      <c r="C33" s="745"/>
      <c r="D33" s="745"/>
      <c r="E33" s="745"/>
      <c r="F33" s="745"/>
      <c r="G33" s="745"/>
      <c r="H33" s="745"/>
      <c r="I33" s="745"/>
      <c r="J33" s="745"/>
      <c r="K33" s="745"/>
      <c r="L33" s="745"/>
      <c r="M33" s="43"/>
    </row>
    <row r="34" spans="1:13" ht="6" customHeight="1" thickBot="1">
      <c r="A34" s="732"/>
      <c r="B34" s="732"/>
      <c r="C34" s="732"/>
      <c r="D34" s="732"/>
      <c r="E34" s="732"/>
      <c r="F34" s="732"/>
      <c r="G34" s="732"/>
      <c r="H34" s="732"/>
      <c r="I34" s="732"/>
      <c r="J34" s="732"/>
      <c r="K34" s="732"/>
      <c r="L34" s="732"/>
      <c r="M34" s="732"/>
    </row>
    <row r="35" spans="1:13" ht="9" customHeight="1">
      <c r="A35" s="35"/>
      <c r="B35" s="36"/>
      <c r="C35" s="36"/>
      <c r="D35" s="36"/>
      <c r="E35" s="36"/>
      <c r="F35" s="36"/>
      <c r="G35" s="36"/>
      <c r="H35" s="36"/>
      <c r="I35" s="37"/>
      <c r="M35" s="48"/>
    </row>
    <row r="36" spans="1:13" ht="18.75" thickBot="1">
      <c r="A36" s="38"/>
      <c r="B36" s="743" t="s">
        <v>854</v>
      </c>
      <c r="C36" s="743"/>
      <c r="D36" s="743"/>
      <c r="E36" s="743"/>
      <c r="F36" s="743"/>
      <c r="G36" s="743"/>
      <c r="H36" s="743"/>
      <c r="I36" s="744"/>
      <c r="M36" s="48"/>
    </row>
    <row r="37" spans="1:13" ht="48.75" thickBot="1">
      <c r="A37" s="38"/>
      <c r="B37" s="85" t="s">
        <v>184</v>
      </c>
      <c r="C37" s="85" t="s">
        <v>390</v>
      </c>
      <c r="D37" s="85" t="s">
        <v>332</v>
      </c>
      <c r="E37" s="85" t="s">
        <v>333</v>
      </c>
      <c r="F37" s="85" t="s">
        <v>93</v>
      </c>
      <c r="G37" s="85" t="s">
        <v>391</v>
      </c>
      <c r="H37" s="85" t="s">
        <v>343</v>
      </c>
      <c r="I37" s="47"/>
      <c r="M37" s="48"/>
    </row>
    <row r="38" spans="1:13" ht="12.75">
      <c r="A38" s="38"/>
      <c r="B38" s="86" t="s">
        <v>344</v>
      </c>
      <c r="C38" s="215">
        <f>J6</f>
        <v>0</v>
      </c>
      <c r="D38" s="96"/>
      <c r="E38" s="96"/>
      <c r="F38" s="215">
        <f>C38+D38-E38</f>
        <v>0</v>
      </c>
      <c r="G38" s="215">
        <f>+F38-C38</f>
        <v>0</v>
      </c>
      <c r="H38" s="96"/>
      <c r="I38" s="47"/>
      <c r="M38" s="48"/>
    </row>
    <row r="39" spans="1:13" ht="15">
      <c r="A39" s="38"/>
      <c r="B39" s="742" t="s">
        <v>345</v>
      </c>
      <c r="C39" s="742"/>
      <c r="D39" s="742"/>
      <c r="E39" s="742"/>
      <c r="F39" s="742"/>
      <c r="G39" s="742"/>
      <c r="H39" s="742"/>
      <c r="I39" s="47"/>
      <c r="M39" s="48"/>
    </row>
    <row r="40" spans="1:9" ht="12.75">
      <c r="A40" s="38"/>
      <c r="B40" s="87" t="s">
        <v>346</v>
      </c>
      <c r="C40" s="215">
        <f>J8</f>
        <v>0</v>
      </c>
      <c r="D40" s="97">
        <v>15000</v>
      </c>
      <c r="E40" s="97"/>
      <c r="F40" s="215">
        <f>C40+D40-E40</f>
        <v>15000</v>
      </c>
      <c r="G40" s="215">
        <f>+F40-C40</f>
        <v>15000</v>
      </c>
      <c r="H40" s="96"/>
      <c r="I40" s="47"/>
    </row>
    <row r="41" spans="1:9" ht="24">
      <c r="A41" s="38"/>
      <c r="B41" s="86" t="s">
        <v>347</v>
      </c>
      <c r="C41" s="215">
        <f>J9</f>
        <v>0</v>
      </c>
      <c r="D41" s="96"/>
      <c r="E41" s="96"/>
      <c r="F41" s="215">
        <f>C41+D41-E41</f>
        <v>0</v>
      </c>
      <c r="G41" s="215">
        <f>+F41-C41</f>
        <v>0</v>
      </c>
      <c r="H41" s="96"/>
      <c r="I41" s="47"/>
    </row>
    <row r="42" spans="1:9" ht="12.75">
      <c r="A42" s="38"/>
      <c r="B42" s="86" t="s">
        <v>348</v>
      </c>
      <c r="C42" s="215">
        <f>J10</f>
        <v>0</v>
      </c>
      <c r="D42" s="96"/>
      <c r="E42" s="96"/>
      <c r="F42" s="215">
        <f>C42+D42-E42</f>
        <v>0</v>
      </c>
      <c r="G42" s="215">
        <f>+F42-C42</f>
        <v>0</v>
      </c>
      <c r="H42" s="96"/>
      <c r="I42" s="47"/>
    </row>
    <row r="43" spans="1:9" ht="12.75">
      <c r="A43" s="38"/>
      <c r="B43" s="86" t="s">
        <v>349</v>
      </c>
      <c r="C43" s="215">
        <f>J11</f>
        <v>0</v>
      </c>
      <c r="D43" s="96"/>
      <c r="E43" s="96"/>
      <c r="F43" s="215">
        <f>C43+D43-E43</f>
        <v>0</v>
      </c>
      <c r="G43" s="215">
        <f>+F43-C43</f>
        <v>0</v>
      </c>
      <c r="H43" s="96"/>
      <c r="I43" s="47"/>
    </row>
    <row r="44" spans="1:9" ht="12.75">
      <c r="A44" s="38"/>
      <c r="B44" s="86" t="s">
        <v>350</v>
      </c>
      <c r="C44" s="215">
        <f>J12</f>
        <v>0</v>
      </c>
      <c r="D44" s="96"/>
      <c r="E44" s="96"/>
      <c r="F44" s="215">
        <f>C44+D44-E44</f>
        <v>0</v>
      </c>
      <c r="G44" s="215">
        <f>+F44-C44</f>
        <v>0</v>
      </c>
      <c r="H44" s="96"/>
      <c r="I44" s="47"/>
    </row>
    <row r="45" spans="1:9" ht="18.75">
      <c r="A45" s="38"/>
      <c r="B45" s="95" t="s">
        <v>154</v>
      </c>
      <c r="C45" s="218">
        <f aca="true" t="shared" si="6" ref="C45:H45">SUM(C40:C44)</f>
        <v>0</v>
      </c>
      <c r="D45" s="218">
        <f t="shared" si="6"/>
        <v>15000</v>
      </c>
      <c r="E45" s="218">
        <f t="shared" si="6"/>
        <v>0</v>
      </c>
      <c r="F45" s="218">
        <f t="shared" si="6"/>
        <v>15000</v>
      </c>
      <c r="G45" s="218">
        <f t="shared" si="6"/>
        <v>15000</v>
      </c>
      <c r="H45" s="218">
        <f t="shared" si="6"/>
        <v>0</v>
      </c>
      <c r="I45" s="47"/>
    </row>
    <row r="46" spans="1:9" ht="12.75">
      <c r="A46" s="38"/>
      <c r="B46" s="89"/>
      <c r="C46" s="91"/>
      <c r="D46" s="91"/>
      <c r="E46" s="92"/>
      <c r="F46" s="93"/>
      <c r="G46" s="93"/>
      <c r="H46" s="93"/>
      <c r="I46" s="47"/>
    </row>
    <row r="47" spans="1:13" ht="15">
      <c r="A47" s="38"/>
      <c r="B47" s="742" t="s">
        <v>392</v>
      </c>
      <c r="C47" s="742"/>
      <c r="D47" s="742"/>
      <c r="E47" s="742"/>
      <c r="F47" s="742"/>
      <c r="G47" s="742"/>
      <c r="H47" s="742"/>
      <c r="I47" s="47"/>
      <c r="M47" s="48"/>
    </row>
    <row r="48" spans="1:9" ht="24">
      <c r="A48" s="38"/>
      <c r="B48" s="86" t="s">
        <v>351</v>
      </c>
      <c r="C48" s="215">
        <f>J16</f>
        <v>0</v>
      </c>
      <c r="D48" s="96"/>
      <c r="E48" s="96"/>
      <c r="F48" s="215">
        <f aca="true" t="shared" si="7" ref="F48:F63">C48+D48-E48</f>
        <v>0</v>
      </c>
      <c r="G48" s="215">
        <f aca="true" t="shared" si="8" ref="G48:G63">+F48-C48</f>
        <v>0</v>
      </c>
      <c r="H48" s="96"/>
      <c r="I48" s="47"/>
    </row>
    <row r="49" spans="1:9" ht="12.75">
      <c r="A49" s="38"/>
      <c r="B49" s="86" t="s">
        <v>352</v>
      </c>
      <c r="C49" s="215">
        <f aca="true" t="shared" si="9" ref="C49:C62">J17</f>
        <v>30201</v>
      </c>
      <c r="D49" s="96"/>
      <c r="E49" s="96"/>
      <c r="F49" s="215">
        <f t="shared" si="7"/>
        <v>30201</v>
      </c>
      <c r="G49" s="215">
        <f t="shared" si="8"/>
        <v>0</v>
      </c>
      <c r="H49" s="96"/>
      <c r="I49" s="47"/>
    </row>
    <row r="50" spans="1:9" ht="12.75">
      <c r="A50" s="38"/>
      <c r="B50" s="86" t="s">
        <v>353</v>
      </c>
      <c r="C50" s="215">
        <f t="shared" si="9"/>
        <v>0</v>
      </c>
      <c r="D50" s="96"/>
      <c r="E50" s="96"/>
      <c r="F50" s="215">
        <f t="shared" si="7"/>
        <v>0</v>
      </c>
      <c r="G50" s="215">
        <f t="shared" si="8"/>
        <v>0</v>
      </c>
      <c r="H50" s="96"/>
      <c r="I50" s="47"/>
    </row>
    <row r="51" spans="1:9" ht="12.75">
      <c r="A51" s="38"/>
      <c r="B51" s="94" t="s">
        <v>354</v>
      </c>
      <c r="C51" s="215">
        <f t="shared" si="9"/>
        <v>0</v>
      </c>
      <c r="D51" s="96"/>
      <c r="E51" s="96"/>
      <c r="F51" s="215">
        <f t="shared" si="7"/>
        <v>0</v>
      </c>
      <c r="G51" s="215">
        <f t="shared" si="8"/>
        <v>0</v>
      </c>
      <c r="H51" s="96"/>
      <c r="I51" s="47"/>
    </row>
    <row r="52" spans="1:9" ht="12.75">
      <c r="A52" s="38"/>
      <c r="B52" s="94" t="s">
        <v>355</v>
      </c>
      <c r="C52" s="215">
        <f t="shared" si="9"/>
        <v>0</v>
      </c>
      <c r="D52" s="96"/>
      <c r="E52" s="96"/>
      <c r="F52" s="215">
        <f t="shared" si="7"/>
        <v>0</v>
      </c>
      <c r="G52" s="215">
        <f t="shared" si="8"/>
        <v>0</v>
      </c>
      <c r="H52" s="96"/>
      <c r="I52" s="47"/>
    </row>
    <row r="53" spans="1:9" ht="12.75">
      <c r="A53" s="38"/>
      <c r="B53" s="94" t="s">
        <v>393</v>
      </c>
      <c r="C53" s="215">
        <f t="shared" si="9"/>
        <v>90564</v>
      </c>
      <c r="D53" s="96"/>
      <c r="E53" s="96"/>
      <c r="F53" s="215">
        <f t="shared" si="7"/>
        <v>90564</v>
      </c>
      <c r="G53" s="215">
        <f t="shared" si="8"/>
        <v>0</v>
      </c>
      <c r="H53" s="96"/>
      <c r="I53" s="47"/>
    </row>
    <row r="54" spans="1:9" ht="12.75">
      <c r="A54" s="38"/>
      <c r="B54" s="94" t="s">
        <v>356</v>
      </c>
      <c r="C54" s="215">
        <f t="shared" si="9"/>
        <v>0</v>
      </c>
      <c r="D54" s="96"/>
      <c r="E54" s="96"/>
      <c r="F54" s="215">
        <f t="shared" si="7"/>
        <v>0</v>
      </c>
      <c r="G54" s="215">
        <f t="shared" si="8"/>
        <v>0</v>
      </c>
      <c r="H54" s="96"/>
      <c r="I54" s="47"/>
    </row>
    <row r="55" spans="1:9" ht="12.75">
      <c r="A55" s="38"/>
      <c r="B55" s="94" t="s">
        <v>357</v>
      </c>
      <c r="C55" s="215">
        <f t="shared" si="9"/>
        <v>1239222</v>
      </c>
      <c r="D55" s="96"/>
      <c r="E55" s="96"/>
      <c r="F55" s="215">
        <f t="shared" si="7"/>
        <v>1239222</v>
      </c>
      <c r="G55" s="215">
        <f t="shared" si="8"/>
        <v>0</v>
      </c>
      <c r="H55" s="96"/>
      <c r="I55" s="47"/>
    </row>
    <row r="56" spans="1:9" ht="12.75">
      <c r="A56" s="38"/>
      <c r="B56" s="86" t="s">
        <v>358</v>
      </c>
      <c r="C56" s="215">
        <f t="shared" si="9"/>
        <v>0</v>
      </c>
      <c r="D56" s="96"/>
      <c r="E56" s="96"/>
      <c r="F56" s="215">
        <f t="shared" si="7"/>
        <v>0</v>
      </c>
      <c r="G56" s="215">
        <f t="shared" si="8"/>
        <v>0</v>
      </c>
      <c r="H56" s="96"/>
      <c r="I56" s="47"/>
    </row>
    <row r="57" spans="1:9" ht="12.75">
      <c r="A57" s="38"/>
      <c r="B57" s="86" t="s">
        <v>359</v>
      </c>
      <c r="C57" s="215">
        <f t="shared" si="9"/>
        <v>0</v>
      </c>
      <c r="D57" s="96"/>
      <c r="E57" s="96"/>
      <c r="F57" s="215">
        <f t="shared" si="7"/>
        <v>0</v>
      </c>
      <c r="G57" s="215">
        <f t="shared" si="8"/>
        <v>0</v>
      </c>
      <c r="H57" s="96"/>
      <c r="I57" s="47"/>
    </row>
    <row r="58" spans="1:9" ht="12.75">
      <c r="A58" s="38"/>
      <c r="B58" s="86" t="s">
        <v>360</v>
      </c>
      <c r="C58" s="215">
        <f t="shared" si="9"/>
        <v>0</v>
      </c>
      <c r="D58" s="96"/>
      <c r="E58" s="96"/>
      <c r="F58" s="215">
        <f t="shared" si="7"/>
        <v>0</v>
      </c>
      <c r="G58" s="215">
        <f t="shared" si="8"/>
        <v>0</v>
      </c>
      <c r="H58" s="96"/>
      <c r="I58" s="47"/>
    </row>
    <row r="59" spans="1:9" ht="12.75">
      <c r="A59" s="38"/>
      <c r="B59" s="86" t="s">
        <v>361</v>
      </c>
      <c r="C59" s="215">
        <f t="shared" si="9"/>
        <v>0</v>
      </c>
      <c r="D59" s="96"/>
      <c r="E59" s="96"/>
      <c r="F59" s="215">
        <f t="shared" si="7"/>
        <v>0</v>
      </c>
      <c r="G59" s="215">
        <f t="shared" si="8"/>
        <v>0</v>
      </c>
      <c r="H59" s="96"/>
      <c r="I59" s="47"/>
    </row>
    <row r="60" spans="1:9" ht="12.75">
      <c r="A60" s="38"/>
      <c r="B60" s="86" t="s">
        <v>362</v>
      </c>
      <c r="C60" s="215">
        <f t="shared" si="9"/>
        <v>0</v>
      </c>
      <c r="D60" s="96"/>
      <c r="E60" s="96"/>
      <c r="F60" s="215">
        <f t="shared" si="7"/>
        <v>0</v>
      </c>
      <c r="G60" s="215">
        <f t="shared" si="8"/>
        <v>0</v>
      </c>
      <c r="H60" s="96"/>
      <c r="I60" s="47"/>
    </row>
    <row r="61" spans="1:9" ht="22.5">
      <c r="A61" s="38"/>
      <c r="B61" s="86" t="s">
        <v>363</v>
      </c>
      <c r="C61" s="215">
        <f t="shared" si="9"/>
        <v>0</v>
      </c>
      <c r="D61" s="96"/>
      <c r="E61" s="96"/>
      <c r="F61" s="215">
        <f t="shared" si="7"/>
        <v>0</v>
      </c>
      <c r="G61" s="215">
        <f t="shared" si="8"/>
        <v>0</v>
      </c>
      <c r="H61" s="96"/>
      <c r="I61" s="47"/>
    </row>
    <row r="62" spans="1:9" ht="22.5">
      <c r="A62" s="38"/>
      <c r="B62" s="86" t="s">
        <v>364</v>
      </c>
      <c r="C62" s="215">
        <f t="shared" si="9"/>
        <v>0</v>
      </c>
      <c r="D62" s="96"/>
      <c r="E62" s="96"/>
      <c r="F62" s="215">
        <f t="shared" si="7"/>
        <v>0</v>
      </c>
      <c r="G62" s="215">
        <f t="shared" si="8"/>
        <v>0</v>
      </c>
      <c r="H62" s="96"/>
      <c r="I62" s="47"/>
    </row>
    <row r="63" spans="1:9" ht="13.5" thickBot="1">
      <c r="A63" s="38"/>
      <c r="B63" s="86" t="s">
        <v>73</v>
      </c>
      <c r="C63" s="215">
        <f>J31</f>
        <v>0</v>
      </c>
      <c r="D63" s="96"/>
      <c r="E63" s="96"/>
      <c r="F63" s="215">
        <f t="shared" si="7"/>
        <v>0</v>
      </c>
      <c r="G63" s="215">
        <f t="shared" si="8"/>
        <v>0</v>
      </c>
      <c r="H63" s="96"/>
      <c r="I63" s="47"/>
    </row>
    <row r="64" spans="1:9" ht="18" thickBot="1">
      <c r="A64" s="38"/>
      <c r="B64" s="88" t="s">
        <v>394</v>
      </c>
      <c r="C64" s="219">
        <f aca="true" t="shared" si="10" ref="C64:H64">SUM(C48:C63)</f>
        <v>1359987</v>
      </c>
      <c r="D64" s="219">
        <f t="shared" si="10"/>
        <v>0</v>
      </c>
      <c r="E64" s="219">
        <f t="shared" si="10"/>
        <v>0</v>
      </c>
      <c r="F64" s="219">
        <f t="shared" si="10"/>
        <v>1359987</v>
      </c>
      <c r="G64" s="219">
        <f t="shared" si="10"/>
        <v>0</v>
      </c>
      <c r="H64" s="230">
        <f t="shared" si="10"/>
        <v>0</v>
      </c>
      <c r="I64" s="47"/>
    </row>
    <row r="65" spans="1:13" ht="6.75" customHeight="1" thickBot="1">
      <c r="A65" s="41"/>
      <c r="B65" s="42"/>
      <c r="C65" s="42"/>
      <c r="D65" s="42"/>
      <c r="E65" s="42"/>
      <c r="F65" s="42"/>
      <c r="G65" s="42"/>
      <c r="H65" s="42"/>
      <c r="I65" s="43"/>
      <c r="M65" s="48"/>
    </row>
    <row r="66" spans="1:14" ht="12.75">
      <c r="A66" s="3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="48" customFormat="1" ht="12.75"/>
  </sheetData>
  <sheetProtection/>
  <mergeCells count="11">
    <mergeCell ref="A34:M34"/>
    <mergeCell ref="B39:H39"/>
    <mergeCell ref="B36:I36"/>
    <mergeCell ref="B47:H47"/>
    <mergeCell ref="B3:L3"/>
    <mergeCell ref="B33:L33"/>
    <mergeCell ref="A1:M1"/>
    <mergeCell ref="A2:M2"/>
    <mergeCell ref="B4:L4"/>
    <mergeCell ref="B7:L7"/>
    <mergeCell ref="B15:L15"/>
  </mergeCells>
  <conditionalFormatting sqref="C32:L32 C64:H64">
    <cfRule type="cellIs" priority="1" dxfId="1" operator="notEqual" stopIfTrue="1">
      <formula>#REF!</formula>
    </cfRule>
  </conditionalFormatting>
  <conditionalFormatting sqref="C13:L13 C45:H45">
    <cfRule type="cellIs" priority="2" dxfId="1" operator="notEqual" stopIfTrue="1">
      <formula>#REF!</formula>
    </cfRule>
  </conditionalFormatting>
  <conditionalFormatting sqref="E16:E31 E6 C12 E8:E12 C31">
    <cfRule type="cellIs" priority="3" dxfId="1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2" horizontalDpi="355" verticalDpi="355" orientation="landscape" scale="72" r:id="rId3"/>
  <headerFooter alignWithMargins="0">
    <oddFooter>&amp;L&amp;A</oddFooter>
  </headerFooter>
  <rowBreaks count="1" manualBreakCount="1">
    <brk id="33" max="255" man="1"/>
  </row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" width="0.9921875" style="0" customWidth="1"/>
    <col min="2" max="2" width="1.28515625" style="0" customWidth="1"/>
    <col min="3" max="3" width="33.140625" style="0" bestFit="1" customWidth="1"/>
    <col min="5" max="5" width="14.8515625" style="0" customWidth="1"/>
    <col min="6" max="6" width="0.71875" style="0" customWidth="1"/>
    <col min="8" max="8" width="16.140625" style="0" customWidth="1"/>
    <col min="10" max="10" width="0.71875" style="0" customWidth="1"/>
    <col min="12" max="12" width="13.8515625" style="0" customWidth="1"/>
    <col min="14" max="14" width="0.9921875" style="0" customWidth="1"/>
  </cols>
  <sheetData>
    <row r="1" spans="1:14" ht="12.75">
      <c r="A1" s="614" t="str">
        <f>'Trial Balance'!A1:J1</f>
        <v>Woodstock Hydro Services Inc.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</row>
    <row r="2" spans="1:14" ht="12.75">
      <c r="A2" s="614" t="str">
        <f>'Trial Balance'!A2:J2</f>
        <v>, License Number ED-2003-0011, File Number EB-2010-0145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</row>
    <row r="3" ht="7.5" customHeight="1" thickBot="1"/>
    <row r="4" spans="2:14" ht="17.25">
      <c r="B4" s="35"/>
      <c r="C4" s="760" t="s">
        <v>399</v>
      </c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37"/>
    </row>
    <row r="5" spans="2:14" ht="12.75">
      <c r="B5" s="38"/>
      <c r="C5" s="48"/>
      <c r="D5" s="48"/>
      <c r="E5" s="48"/>
      <c r="F5" s="48"/>
      <c r="G5" s="761" t="s">
        <v>855</v>
      </c>
      <c r="H5" s="761"/>
      <c r="I5" s="761"/>
      <c r="J5" s="48"/>
      <c r="K5" s="761" t="s">
        <v>856</v>
      </c>
      <c r="L5" s="761"/>
      <c r="M5" s="761"/>
      <c r="N5" s="47"/>
    </row>
    <row r="6" spans="2:14" ht="31.5" customHeight="1">
      <c r="B6" s="38"/>
      <c r="C6" s="752" t="s">
        <v>367</v>
      </c>
      <c r="D6" s="753"/>
      <c r="E6" s="754"/>
      <c r="F6" s="48"/>
      <c r="G6" s="98" t="s">
        <v>154</v>
      </c>
      <c r="H6" s="98" t="s">
        <v>395</v>
      </c>
      <c r="I6" s="98" t="s">
        <v>396</v>
      </c>
      <c r="J6" s="48"/>
      <c r="K6" s="98" t="s">
        <v>154</v>
      </c>
      <c r="L6" s="98" t="s">
        <v>395</v>
      </c>
      <c r="M6" s="98" t="s">
        <v>396</v>
      </c>
      <c r="N6" s="47"/>
    </row>
    <row r="7" spans="2:14" ht="12.75">
      <c r="B7" s="38"/>
      <c r="C7" s="757" t="s">
        <v>397</v>
      </c>
      <c r="D7" s="758"/>
      <c r="E7" s="759"/>
      <c r="F7" s="48"/>
      <c r="G7" s="100">
        <v>28760</v>
      </c>
      <c r="H7" s="101"/>
      <c r="I7" s="99">
        <f>G7-H7</f>
        <v>28760</v>
      </c>
      <c r="J7" s="48"/>
      <c r="K7" s="100">
        <v>28760</v>
      </c>
      <c r="L7" s="101"/>
      <c r="M7" s="99">
        <f>K7-L7</f>
        <v>28760</v>
      </c>
      <c r="N7" s="47"/>
    </row>
    <row r="8" spans="2:14" ht="12.75">
      <c r="B8" s="38"/>
      <c r="C8" s="756" t="s">
        <v>96</v>
      </c>
      <c r="D8" s="756"/>
      <c r="E8" s="756"/>
      <c r="F8" s="48"/>
      <c r="G8" s="100">
        <v>0</v>
      </c>
      <c r="H8" s="100"/>
      <c r="I8" s="99">
        <f>G8-H8</f>
        <v>0</v>
      </c>
      <c r="J8" s="48"/>
      <c r="K8" s="100"/>
      <c r="L8" s="100"/>
      <c r="M8" s="99">
        <f>K8-L8</f>
        <v>0</v>
      </c>
      <c r="N8" s="47"/>
    </row>
    <row r="9" spans="2:14" ht="12.75">
      <c r="B9" s="38"/>
      <c r="C9" s="755" t="s">
        <v>398</v>
      </c>
      <c r="D9" s="755"/>
      <c r="E9" s="755"/>
      <c r="F9" s="48"/>
      <c r="G9" s="101">
        <v>0</v>
      </c>
      <c r="H9" s="101"/>
      <c r="I9" s="99">
        <f>G9-H9</f>
        <v>0</v>
      </c>
      <c r="J9" s="48"/>
      <c r="K9" s="101"/>
      <c r="L9" s="101"/>
      <c r="M9" s="99">
        <f>K9-L9</f>
        <v>0</v>
      </c>
      <c r="N9" s="47"/>
    </row>
    <row r="10" spans="2:14" ht="12.75">
      <c r="B10" s="38"/>
      <c r="C10" s="746" t="s">
        <v>97</v>
      </c>
      <c r="D10" s="747"/>
      <c r="E10" s="748"/>
      <c r="F10" s="48"/>
      <c r="G10" s="99">
        <f>G7-G8+G9</f>
        <v>28760</v>
      </c>
      <c r="H10" s="99">
        <f>H7-H8+H9</f>
        <v>0</v>
      </c>
      <c r="I10" s="99">
        <f>I7-I8+I9</f>
        <v>28760</v>
      </c>
      <c r="J10" s="48"/>
      <c r="K10" s="99">
        <f>K7-K8+K9</f>
        <v>28760</v>
      </c>
      <c r="L10" s="99">
        <f>L7-L8+L9</f>
        <v>0</v>
      </c>
      <c r="M10" s="99">
        <f>M7-M8+M9</f>
        <v>28760</v>
      </c>
      <c r="N10" s="47"/>
    </row>
    <row r="11" spans="2:14" ht="12.75">
      <c r="B11" s="38"/>
      <c r="C11" s="749" t="s">
        <v>95</v>
      </c>
      <c r="D11" s="750"/>
      <c r="E11" s="751"/>
      <c r="F11" s="48"/>
      <c r="G11" s="101"/>
      <c r="H11" s="101"/>
      <c r="I11" s="99">
        <f>G11-H11</f>
        <v>0</v>
      </c>
      <c r="J11" s="48"/>
      <c r="K11" s="101"/>
      <c r="L11" s="101"/>
      <c r="M11" s="99">
        <f>K11-L11</f>
        <v>0</v>
      </c>
      <c r="N11" s="47"/>
    </row>
    <row r="12" spans="2:14" ht="12.75">
      <c r="B12" s="38"/>
      <c r="C12" s="746" t="s">
        <v>98</v>
      </c>
      <c r="D12" s="747"/>
      <c r="E12" s="748"/>
      <c r="F12" s="48"/>
      <c r="G12" s="99">
        <f>G10-G11</f>
        <v>28760</v>
      </c>
      <c r="H12" s="99">
        <f>H10-H11</f>
        <v>0</v>
      </c>
      <c r="I12" s="99">
        <f>I10-I11</f>
        <v>28760</v>
      </c>
      <c r="J12" s="48"/>
      <c r="K12" s="99">
        <f>K10-K11</f>
        <v>28760</v>
      </c>
      <c r="L12" s="99">
        <f>L10-L11</f>
        <v>0</v>
      </c>
      <c r="M12" s="99">
        <f>M10-M11</f>
        <v>28760</v>
      </c>
      <c r="N12" s="47"/>
    </row>
    <row r="13" spans="2:14" ht="9" customHeight="1" thickBot="1">
      <c r="B13" s="41"/>
      <c r="C13" s="735"/>
      <c r="D13" s="735"/>
      <c r="E13" s="735"/>
      <c r="F13" s="735"/>
      <c r="G13" s="735"/>
      <c r="H13" s="735"/>
      <c r="I13" s="735"/>
      <c r="J13" s="735"/>
      <c r="K13" s="735"/>
      <c r="L13" s="735"/>
      <c r="M13" s="735"/>
      <c r="N13" s="43"/>
    </row>
  </sheetData>
  <sheetProtection/>
  <mergeCells count="13">
    <mergeCell ref="C10:E10"/>
    <mergeCell ref="C11:E11"/>
    <mergeCell ref="C12:E12"/>
    <mergeCell ref="C13:M13"/>
    <mergeCell ref="A1:N1"/>
    <mergeCell ref="A2:N2"/>
    <mergeCell ref="C6:E6"/>
    <mergeCell ref="C9:E9"/>
    <mergeCell ref="C8:E8"/>
    <mergeCell ref="C7:E7"/>
    <mergeCell ref="C4:M4"/>
    <mergeCell ref="G5:I5"/>
    <mergeCell ref="K5:M5"/>
  </mergeCells>
  <conditionalFormatting sqref="I7:I9 I11 M11 M7:M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97" r:id="rId1"/>
  <headerFooter alignWithMargins="0">
    <oddFooter>&amp;L&amp;A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55">
      <selection activeCell="G67" sqref="G67"/>
    </sheetView>
  </sheetViews>
  <sheetFormatPr defaultColWidth="20.00390625" defaultRowHeight="12.75"/>
  <cols>
    <col min="1" max="1" width="1.7109375" style="0" customWidth="1"/>
    <col min="2" max="2" width="43.28125" style="0" customWidth="1"/>
    <col min="3" max="3" width="11.7109375" style="0" bestFit="1" customWidth="1"/>
    <col min="4" max="4" width="14.57421875" style="0" bestFit="1" customWidth="1"/>
    <col min="5" max="5" width="15.7109375" style="0" bestFit="1" customWidth="1"/>
    <col min="6" max="6" width="14.140625" style="0" bestFit="1" customWidth="1"/>
    <col min="7" max="7" width="15.140625" style="0" customWidth="1"/>
    <col min="8" max="11" width="9.140625" style="0" customWidth="1"/>
  </cols>
  <sheetData>
    <row r="1" spans="1:6" ht="12.75">
      <c r="A1" s="614" t="str">
        <f>'Trial Balance'!A1:J1</f>
        <v>Woodstock Hydro Services Inc.</v>
      </c>
      <c r="B1" s="614"/>
      <c r="C1" s="614"/>
      <c r="D1" s="614"/>
      <c r="E1" s="614"/>
      <c r="F1" s="614"/>
    </row>
    <row r="2" spans="1:6" ht="12.75">
      <c r="A2" s="614" t="str">
        <f>'Trial Balance'!A2:J2</f>
        <v>, License Number ED-2003-0011, File Number EB-2010-0145</v>
      </c>
      <c r="B2" s="614"/>
      <c r="C2" s="614"/>
      <c r="D2" s="614"/>
      <c r="E2" s="614"/>
      <c r="F2" s="614"/>
    </row>
    <row r="3" spans="2:6" ht="30.75" customHeight="1">
      <c r="B3" s="762" t="s">
        <v>812</v>
      </c>
      <c r="C3" s="762"/>
      <c r="D3" s="762"/>
      <c r="E3" s="762"/>
      <c r="F3" s="762"/>
    </row>
    <row r="4" spans="2:6" ht="38.25">
      <c r="B4" s="115" t="s">
        <v>331</v>
      </c>
      <c r="C4" s="124" t="s">
        <v>503</v>
      </c>
      <c r="D4" s="102" t="s">
        <v>504</v>
      </c>
      <c r="E4" s="102" t="s">
        <v>505</v>
      </c>
      <c r="F4" s="102" t="s">
        <v>384</v>
      </c>
    </row>
    <row r="5" spans="2:6" ht="12.75">
      <c r="B5" s="176" t="s">
        <v>506</v>
      </c>
      <c r="C5" s="104"/>
      <c r="D5" s="338"/>
      <c r="E5" s="339"/>
      <c r="F5" s="339"/>
    </row>
    <row r="6" spans="2:6" ht="12.75">
      <c r="B6" s="116" t="s">
        <v>507</v>
      </c>
      <c r="C6" s="110">
        <v>103</v>
      </c>
      <c r="D6" s="340">
        <v>0</v>
      </c>
      <c r="E6" s="341">
        <v>0</v>
      </c>
      <c r="F6" s="342">
        <f aca="true" t="shared" si="0" ref="F6:F46">D6-E6</f>
        <v>0</v>
      </c>
    </row>
    <row r="7" spans="2:6" ht="12.75">
      <c r="B7" s="116" t="s">
        <v>508</v>
      </c>
      <c r="C7" s="110">
        <v>104</v>
      </c>
      <c r="D7" s="343">
        <f>'FA Continuity 2010'!J50</f>
        <v>1958732.0450760713</v>
      </c>
      <c r="E7" s="340">
        <v>0</v>
      </c>
      <c r="F7" s="342">
        <f t="shared" si="0"/>
        <v>1958732.0450760713</v>
      </c>
    </row>
    <row r="8" spans="2:6" ht="12.75">
      <c r="B8" s="116" t="s">
        <v>509</v>
      </c>
      <c r="C8" s="110">
        <v>106</v>
      </c>
      <c r="D8" s="340">
        <v>416</v>
      </c>
      <c r="E8" s="340"/>
      <c r="F8" s="342">
        <f t="shared" si="0"/>
        <v>416</v>
      </c>
    </row>
    <row r="9" spans="2:6" ht="25.5">
      <c r="B9" s="116" t="s">
        <v>510</v>
      </c>
      <c r="C9" s="110">
        <v>107</v>
      </c>
      <c r="D9" s="340">
        <v>0</v>
      </c>
      <c r="E9" s="341">
        <v>0</v>
      </c>
      <c r="F9" s="342">
        <f t="shared" si="0"/>
        <v>0</v>
      </c>
    </row>
    <row r="10" spans="2:6" ht="25.5">
      <c r="B10" s="116" t="s">
        <v>511</v>
      </c>
      <c r="C10" s="110">
        <v>108</v>
      </c>
      <c r="D10" s="340">
        <v>0</v>
      </c>
      <c r="E10" s="341">
        <v>0</v>
      </c>
      <c r="F10" s="342">
        <f t="shared" si="0"/>
        <v>0</v>
      </c>
    </row>
    <row r="11" spans="2:6" ht="25.5">
      <c r="B11" s="116" t="s">
        <v>512</v>
      </c>
      <c r="C11" s="110">
        <v>109</v>
      </c>
      <c r="D11" s="340"/>
      <c r="E11" s="340">
        <v>0</v>
      </c>
      <c r="F11" s="342">
        <f t="shared" si="0"/>
        <v>0</v>
      </c>
    </row>
    <row r="12" spans="2:6" ht="12.75">
      <c r="B12" s="116" t="s">
        <v>513</v>
      </c>
      <c r="C12" s="110">
        <v>110</v>
      </c>
      <c r="D12" s="340">
        <v>0</v>
      </c>
      <c r="E12" s="340">
        <v>0</v>
      </c>
      <c r="F12" s="342">
        <f t="shared" si="0"/>
        <v>0</v>
      </c>
    </row>
    <row r="13" spans="2:6" ht="12.75">
      <c r="B13" s="116" t="s">
        <v>514</v>
      </c>
      <c r="C13" s="110">
        <v>111</v>
      </c>
      <c r="D13" s="340">
        <v>0</v>
      </c>
      <c r="E13" s="341">
        <v>0</v>
      </c>
      <c r="F13" s="342">
        <f t="shared" si="0"/>
        <v>0</v>
      </c>
    </row>
    <row r="14" spans="2:6" ht="12.75">
      <c r="B14" s="116" t="s">
        <v>515</v>
      </c>
      <c r="C14" s="110">
        <v>112</v>
      </c>
      <c r="D14" s="340">
        <v>0</v>
      </c>
      <c r="E14" s="340">
        <v>0</v>
      </c>
      <c r="F14" s="342">
        <f t="shared" si="0"/>
        <v>0</v>
      </c>
    </row>
    <row r="15" spans="2:6" ht="12.75">
      <c r="B15" s="116" t="s">
        <v>516</v>
      </c>
      <c r="C15" s="110">
        <v>113</v>
      </c>
      <c r="D15" s="340">
        <v>0</v>
      </c>
      <c r="E15" s="341">
        <v>0</v>
      </c>
      <c r="F15" s="342">
        <f t="shared" si="0"/>
        <v>0</v>
      </c>
    </row>
    <row r="16" spans="2:6" ht="12.75">
      <c r="B16" s="116" t="s">
        <v>517</v>
      </c>
      <c r="C16" s="110">
        <v>114</v>
      </c>
      <c r="D16" s="340">
        <v>0</v>
      </c>
      <c r="E16" s="340">
        <v>0</v>
      </c>
      <c r="F16" s="342">
        <f t="shared" si="0"/>
        <v>0</v>
      </c>
    </row>
    <row r="17" spans="2:6" ht="12.75">
      <c r="B17" s="116" t="s">
        <v>518</v>
      </c>
      <c r="C17" s="110">
        <v>116</v>
      </c>
      <c r="D17" s="340">
        <v>0</v>
      </c>
      <c r="E17" s="340">
        <v>0</v>
      </c>
      <c r="F17" s="342">
        <f t="shared" si="0"/>
        <v>0</v>
      </c>
    </row>
    <row r="18" spans="2:6" ht="25.5">
      <c r="B18" s="116" t="s">
        <v>519</v>
      </c>
      <c r="C18" s="110">
        <v>118</v>
      </c>
      <c r="D18" s="340">
        <v>0</v>
      </c>
      <c r="E18" s="340">
        <v>0</v>
      </c>
      <c r="F18" s="342">
        <f t="shared" si="0"/>
        <v>0</v>
      </c>
    </row>
    <row r="19" spans="2:6" ht="12.75">
      <c r="B19" s="116" t="s">
        <v>520</v>
      </c>
      <c r="C19" s="110">
        <v>119</v>
      </c>
      <c r="D19" s="340">
        <v>0</v>
      </c>
      <c r="E19" s="340">
        <v>0</v>
      </c>
      <c r="F19" s="342">
        <f t="shared" si="0"/>
        <v>0</v>
      </c>
    </row>
    <row r="20" spans="2:6" ht="12.75">
      <c r="B20" s="116" t="s">
        <v>521</v>
      </c>
      <c r="C20" s="110">
        <v>120</v>
      </c>
      <c r="D20" s="340">
        <v>0</v>
      </c>
      <c r="E20" s="340">
        <v>0</v>
      </c>
      <c r="F20" s="342">
        <f t="shared" si="0"/>
        <v>0</v>
      </c>
    </row>
    <row r="21" spans="2:6" ht="25.5">
      <c r="B21" s="116" t="s">
        <v>522</v>
      </c>
      <c r="C21" s="110">
        <v>121</v>
      </c>
      <c r="D21" s="340">
        <v>1000</v>
      </c>
      <c r="E21" s="340">
        <v>0</v>
      </c>
      <c r="F21" s="342">
        <f t="shared" si="0"/>
        <v>1000</v>
      </c>
    </row>
    <row r="22" spans="2:6" ht="12.75">
      <c r="B22" s="116" t="s">
        <v>523</v>
      </c>
      <c r="C22" s="110">
        <v>122</v>
      </c>
      <c r="D22" s="340">
        <v>0</v>
      </c>
      <c r="E22" s="340">
        <v>0</v>
      </c>
      <c r="F22" s="342">
        <f t="shared" si="0"/>
        <v>0</v>
      </c>
    </row>
    <row r="23" spans="2:6" ht="12.75">
      <c r="B23" s="116" t="s">
        <v>285</v>
      </c>
      <c r="C23" s="110">
        <v>123</v>
      </c>
      <c r="D23" s="340">
        <v>0</v>
      </c>
      <c r="E23" s="340">
        <v>0</v>
      </c>
      <c r="F23" s="342">
        <f t="shared" si="0"/>
        <v>0</v>
      </c>
    </row>
    <row r="24" spans="2:6" ht="12.75">
      <c r="B24" s="116" t="s">
        <v>286</v>
      </c>
      <c r="C24" s="110">
        <v>124</v>
      </c>
      <c r="D24" s="340">
        <v>0</v>
      </c>
      <c r="E24" s="340">
        <v>0</v>
      </c>
      <c r="F24" s="342">
        <f t="shared" si="0"/>
        <v>0</v>
      </c>
    </row>
    <row r="25" spans="2:7" ht="12.75">
      <c r="B25" s="116" t="s">
        <v>365</v>
      </c>
      <c r="C25" s="117">
        <v>125</v>
      </c>
      <c r="D25" s="340">
        <v>0</v>
      </c>
      <c r="E25" s="344">
        <v>0</v>
      </c>
      <c r="F25" s="342">
        <f t="shared" si="0"/>
        <v>0</v>
      </c>
      <c r="G25" s="378"/>
    </row>
    <row r="26" spans="2:6" ht="25.5">
      <c r="B26" s="116" t="s">
        <v>287</v>
      </c>
      <c r="C26" s="110">
        <v>126</v>
      </c>
      <c r="D26" s="354">
        <f>'Reserves Continuity'!J32</f>
        <v>1359987</v>
      </c>
      <c r="E26" s="341">
        <v>0</v>
      </c>
      <c r="F26" s="342">
        <f t="shared" si="0"/>
        <v>1359987</v>
      </c>
    </row>
    <row r="27" spans="2:6" ht="25.5">
      <c r="B27" s="116" t="s">
        <v>288</v>
      </c>
      <c r="C27" s="110">
        <v>127</v>
      </c>
      <c r="D27" s="340">
        <v>0</v>
      </c>
      <c r="E27" s="340">
        <v>0</v>
      </c>
      <c r="F27" s="342">
        <f t="shared" si="0"/>
        <v>0</v>
      </c>
    </row>
    <row r="28" spans="2:6" ht="12.75">
      <c r="B28" s="116" t="s">
        <v>292</v>
      </c>
      <c r="C28" s="110">
        <v>205</v>
      </c>
      <c r="D28" s="340">
        <v>0</v>
      </c>
      <c r="E28" s="340">
        <v>0</v>
      </c>
      <c r="F28" s="342">
        <f t="shared" si="0"/>
        <v>0</v>
      </c>
    </row>
    <row r="29" spans="2:6" ht="12.75">
      <c r="B29" s="116" t="s">
        <v>293</v>
      </c>
      <c r="C29" s="110">
        <v>206</v>
      </c>
      <c r="D29" s="340">
        <v>0</v>
      </c>
      <c r="E29" s="340">
        <v>0</v>
      </c>
      <c r="F29" s="342">
        <f t="shared" si="0"/>
        <v>0</v>
      </c>
    </row>
    <row r="30" spans="2:6" ht="12.75">
      <c r="B30" s="116" t="s">
        <v>294</v>
      </c>
      <c r="C30" s="110">
        <v>208</v>
      </c>
      <c r="D30" s="340">
        <v>0</v>
      </c>
      <c r="E30" s="340">
        <v>0</v>
      </c>
      <c r="F30" s="342">
        <f t="shared" si="0"/>
        <v>0</v>
      </c>
    </row>
    <row r="31" spans="2:6" ht="25.5">
      <c r="B31" s="116" t="s">
        <v>295</v>
      </c>
      <c r="C31" s="110">
        <v>212</v>
      </c>
      <c r="D31" s="340">
        <v>0</v>
      </c>
      <c r="E31" s="340">
        <v>0</v>
      </c>
      <c r="F31" s="342">
        <f t="shared" si="0"/>
        <v>0</v>
      </c>
    </row>
    <row r="32" spans="2:6" ht="12.75">
      <c r="B32" s="116" t="s">
        <v>296</v>
      </c>
      <c r="C32" s="110">
        <v>216</v>
      </c>
      <c r="D32" s="340">
        <v>0</v>
      </c>
      <c r="E32" s="340">
        <v>0</v>
      </c>
      <c r="F32" s="342">
        <f t="shared" si="0"/>
        <v>0</v>
      </c>
    </row>
    <row r="33" spans="2:6" ht="12.75">
      <c r="B33" s="116" t="s">
        <v>297</v>
      </c>
      <c r="C33" s="110">
        <v>220</v>
      </c>
      <c r="D33" s="340">
        <v>0</v>
      </c>
      <c r="E33" s="340">
        <v>0</v>
      </c>
      <c r="F33" s="342">
        <f t="shared" si="0"/>
        <v>0</v>
      </c>
    </row>
    <row r="34" spans="2:6" ht="12.75">
      <c r="B34" s="116" t="s">
        <v>298</v>
      </c>
      <c r="C34" s="110">
        <v>226</v>
      </c>
      <c r="D34" s="340">
        <v>0</v>
      </c>
      <c r="E34" s="340">
        <v>0</v>
      </c>
      <c r="F34" s="342">
        <f t="shared" si="0"/>
        <v>0</v>
      </c>
    </row>
    <row r="35" spans="2:6" ht="12.75">
      <c r="B35" s="116" t="s">
        <v>299</v>
      </c>
      <c r="C35" s="110">
        <v>227</v>
      </c>
      <c r="D35" s="340">
        <v>0</v>
      </c>
      <c r="E35" s="340">
        <v>0</v>
      </c>
      <c r="F35" s="342">
        <f t="shared" si="0"/>
        <v>0</v>
      </c>
    </row>
    <row r="36" spans="2:6" ht="12.75">
      <c r="B36" s="116" t="s">
        <v>300</v>
      </c>
      <c r="C36" s="110">
        <v>228</v>
      </c>
      <c r="D36" s="340">
        <v>0</v>
      </c>
      <c r="E36" s="340">
        <v>0</v>
      </c>
      <c r="F36" s="342">
        <f t="shared" si="0"/>
        <v>0</v>
      </c>
    </row>
    <row r="37" spans="2:6" ht="12.75">
      <c r="B37" s="116" t="s">
        <v>301</v>
      </c>
      <c r="C37" s="110">
        <v>231</v>
      </c>
      <c r="D37" s="340">
        <v>0</v>
      </c>
      <c r="E37" s="340">
        <v>0</v>
      </c>
      <c r="F37" s="342">
        <f t="shared" si="0"/>
        <v>0</v>
      </c>
    </row>
    <row r="38" spans="2:6" ht="12.75">
      <c r="B38" s="116" t="s">
        <v>302</v>
      </c>
      <c r="C38" s="110">
        <v>235</v>
      </c>
      <c r="D38" s="340">
        <v>0</v>
      </c>
      <c r="E38" s="340">
        <v>0</v>
      </c>
      <c r="F38" s="342">
        <f t="shared" si="0"/>
        <v>0</v>
      </c>
    </row>
    <row r="39" spans="2:6" ht="12.75">
      <c r="B39" s="116" t="s">
        <v>303</v>
      </c>
      <c r="C39" s="110">
        <v>236</v>
      </c>
      <c r="D39" s="340">
        <v>0</v>
      </c>
      <c r="E39" s="340">
        <v>0</v>
      </c>
      <c r="F39" s="342">
        <f t="shared" si="0"/>
        <v>0</v>
      </c>
    </row>
    <row r="40" spans="2:6" ht="38.25">
      <c r="B40" s="116" t="s">
        <v>304</v>
      </c>
      <c r="C40" s="110">
        <v>237</v>
      </c>
      <c r="D40" s="340">
        <v>0</v>
      </c>
      <c r="E40" s="340">
        <v>0</v>
      </c>
      <c r="F40" s="342">
        <f t="shared" si="0"/>
        <v>0</v>
      </c>
    </row>
    <row r="41" spans="2:6" ht="12.75">
      <c r="B41" s="116" t="s">
        <v>305</v>
      </c>
      <c r="C41" s="110">
        <v>290</v>
      </c>
      <c r="D41" s="340">
        <v>0</v>
      </c>
      <c r="E41" s="340">
        <v>0</v>
      </c>
      <c r="F41" s="342">
        <f t="shared" si="0"/>
        <v>0</v>
      </c>
    </row>
    <row r="42" spans="2:6" ht="25.5">
      <c r="B42" s="116" t="s">
        <v>307</v>
      </c>
      <c r="C42" s="110">
        <v>291</v>
      </c>
      <c r="D42" s="340">
        <v>0</v>
      </c>
      <c r="E42" s="340">
        <v>0</v>
      </c>
      <c r="F42" s="342">
        <f t="shared" si="0"/>
        <v>0</v>
      </c>
    </row>
    <row r="43" spans="2:6" ht="12.75">
      <c r="B43" s="116" t="s">
        <v>308</v>
      </c>
      <c r="C43" s="110">
        <v>292</v>
      </c>
      <c r="D43" s="340">
        <v>0</v>
      </c>
      <c r="E43" s="340">
        <v>0</v>
      </c>
      <c r="F43" s="342">
        <f t="shared" si="0"/>
        <v>0</v>
      </c>
    </row>
    <row r="44" spans="2:6" ht="12.75">
      <c r="B44" s="116" t="s">
        <v>309</v>
      </c>
      <c r="C44" s="110">
        <v>293</v>
      </c>
      <c r="D44" s="340">
        <v>0</v>
      </c>
      <c r="E44" s="340">
        <v>0</v>
      </c>
      <c r="F44" s="342">
        <f t="shared" si="0"/>
        <v>0</v>
      </c>
    </row>
    <row r="45" spans="2:6" ht="38.25">
      <c r="B45" s="408" t="s">
        <v>917</v>
      </c>
      <c r="C45" s="110">
        <v>294</v>
      </c>
      <c r="D45" s="340">
        <v>0</v>
      </c>
      <c r="E45" s="340">
        <v>0</v>
      </c>
      <c r="F45" s="342">
        <f t="shared" si="0"/>
        <v>0</v>
      </c>
    </row>
    <row r="46" spans="2:6" ht="13.5" thickBot="1">
      <c r="B46" s="118"/>
      <c r="C46" s="119">
        <v>295</v>
      </c>
      <c r="D46" s="345">
        <v>0</v>
      </c>
      <c r="E46" s="345">
        <v>0</v>
      </c>
      <c r="F46" s="342">
        <f t="shared" si="0"/>
        <v>0</v>
      </c>
    </row>
    <row r="47" spans="2:6" ht="13.5" thickBot="1">
      <c r="B47" s="180" t="s">
        <v>311</v>
      </c>
      <c r="C47" s="121"/>
      <c r="D47" s="346">
        <f>SUM(D6:D46)</f>
        <v>3320135.0450760713</v>
      </c>
      <c r="E47" s="346">
        <f>SUM(E6:E46)</f>
        <v>0</v>
      </c>
      <c r="F47" s="346">
        <f>SUM(F6:F46)</f>
        <v>3320135.0450760713</v>
      </c>
    </row>
    <row r="48" spans="2:6" ht="9" customHeight="1">
      <c r="B48" s="105"/>
      <c r="C48" s="106"/>
      <c r="D48" s="347"/>
      <c r="E48" s="347"/>
      <c r="F48" s="347"/>
    </row>
    <row r="49" spans="2:6" ht="12.75">
      <c r="B49" s="177" t="s">
        <v>312</v>
      </c>
      <c r="C49" s="108"/>
      <c r="D49" s="348"/>
      <c r="E49" s="348"/>
      <c r="F49" s="348"/>
    </row>
    <row r="50" spans="2:6" ht="25.5">
      <c r="B50" s="116" t="s">
        <v>313</v>
      </c>
      <c r="C50" s="110">
        <v>401</v>
      </c>
      <c r="D50" s="340"/>
      <c r="E50" s="340">
        <v>0</v>
      </c>
      <c r="F50" s="342">
        <f aca="true" t="shared" si="1" ref="F50:F67">D50-E50</f>
        <v>0</v>
      </c>
    </row>
    <row r="51" spans="2:6" ht="12.75">
      <c r="B51" s="116" t="s">
        <v>314</v>
      </c>
      <c r="C51" s="110">
        <v>402</v>
      </c>
      <c r="D51" s="340">
        <v>0</v>
      </c>
      <c r="E51" s="340">
        <v>0</v>
      </c>
      <c r="F51" s="342">
        <f t="shared" si="1"/>
        <v>0</v>
      </c>
    </row>
    <row r="52" spans="2:6" ht="12.75">
      <c r="B52" s="116" t="s">
        <v>315</v>
      </c>
      <c r="C52" s="110">
        <v>403</v>
      </c>
      <c r="D52" s="340">
        <f>'CCA Continuity 2010'!N26</f>
        <v>2111155.328314919</v>
      </c>
      <c r="E52" s="340">
        <v>0</v>
      </c>
      <c r="F52" s="342">
        <f t="shared" si="1"/>
        <v>2111155.328314919</v>
      </c>
    </row>
    <row r="53" spans="2:6" ht="12.75">
      <c r="B53" s="116" t="s">
        <v>316</v>
      </c>
      <c r="C53" s="110">
        <v>404</v>
      </c>
      <c r="D53" s="340">
        <v>0</v>
      </c>
      <c r="E53" s="340">
        <v>0</v>
      </c>
      <c r="F53" s="342">
        <f t="shared" si="1"/>
        <v>0</v>
      </c>
    </row>
    <row r="54" spans="2:6" ht="25.5">
      <c r="B54" s="116" t="s">
        <v>317</v>
      </c>
      <c r="C54" s="110">
        <v>405</v>
      </c>
      <c r="D54" s="340">
        <f>'CCA Continuity 2010'!H65</f>
        <v>461.44000000000005</v>
      </c>
      <c r="E54" s="340">
        <v>0</v>
      </c>
      <c r="F54" s="342">
        <f t="shared" si="1"/>
        <v>461.44000000000005</v>
      </c>
    </row>
    <row r="55" spans="2:6" ht="12.75">
      <c r="B55" s="116" t="s">
        <v>318</v>
      </c>
      <c r="C55" s="110">
        <v>406</v>
      </c>
      <c r="D55" s="340">
        <v>0</v>
      </c>
      <c r="E55" s="340">
        <v>0</v>
      </c>
      <c r="F55" s="342">
        <f t="shared" si="1"/>
        <v>0</v>
      </c>
    </row>
    <row r="56" spans="2:6" ht="12.75">
      <c r="B56" s="116" t="s">
        <v>518</v>
      </c>
      <c r="C56" s="110">
        <v>409</v>
      </c>
      <c r="D56" s="340">
        <v>0</v>
      </c>
      <c r="E56" s="340">
        <v>0</v>
      </c>
      <c r="F56" s="342">
        <f t="shared" si="1"/>
        <v>0</v>
      </c>
    </row>
    <row r="57" spans="2:6" ht="25.5">
      <c r="B57" s="116" t="s">
        <v>319</v>
      </c>
      <c r="C57" s="110">
        <v>411</v>
      </c>
      <c r="D57" s="340">
        <v>0</v>
      </c>
      <c r="E57" s="340">
        <v>0</v>
      </c>
      <c r="F57" s="342">
        <f t="shared" si="1"/>
        <v>0</v>
      </c>
    </row>
    <row r="58" spans="2:7" ht="12.75">
      <c r="B58" s="116" t="s">
        <v>366</v>
      </c>
      <c r="C58" s="117">
        <v>413</v>
      </c>
      <c r="D58" s="340">
        <v>0</v>
      </c>
      <c r="E58" s="344">
        <v>0</v>
      </c>
      <c r="F58" s="342">
        <f t="shared" si="1"/>
        <v>0</v>
      </c>
      <c r="G58" s="378"/>
    </row>
    <row r="59" spans="2:6" ht="25.5">
      <c r="B59" s="116" t="s">
        <v>320</v>
      </c>
      <c r="C59" s="110">
        <v>414</v>
      </c>
      <c r="D59" s="341">
        <f>'Reserves Continuity'!E32</f>
        <v>1270086</v>
      </c>
      <c r="E59" s="341">
        <v>0</v>
      </c>
      <c r="F59" s="342">
        <f t="shared" si="1"/>
        <v>1270086</v>
      </c>
    </row>
    <row r="60" spans="2:6" ht="12.75">
      <c r="B60" s="116" t="s">
        <v>321</v>
      </c>
      <c r="C60" s="110">
        <v>416</v>
      </c>
      <c r="D60" s="340">
        <v>0</v>
      </c>
      <c r="E60" s="340">
        <v>0</v>
      </c>
      <c r="F60" s="342">
        <f t="shared" si="1"/>
        <v>0</v>
      </c>
    </row>
    <row r="61" spans="2:6" ht="25.5">
      <c r="B61" s="116" t="s">
        <v>322</v>
      </c>
      <c r="C61" s="110">
        <v>305</v>
      </c>
      <c r="D61" s="340">
        <v>0</v>
      </c>
      <c r="E61" s="340">
        <v>0</v>
      </c>
      <c r="F61" s="342">
        <f t="shared" si="1"/>
        <v>0</v>
      </c>
    </row>
    <row r="62" spans="2:6" ht="25.5">
      <c r="B62" s="116" t="s">
        <v>323</v>
      </c>
      <c r="C62" s="110">
        <v>306</v>
      </c>
      <c r="D62" s="340">
        <v>0</v>
      </c>
      <c r="E62" s="340">
        <v>0</v>
      </c>
      <c r="F62" s="342">
        <f t="shared" si="1"/>
        <v>0</v>
      </c>
    </row>
    <row r="63" spans="2:6" ht="25.5">
      <c r="B63" s="116" t="s">
        <v>324</v>
      </c>
      <c r="C63" s="110">
        <v>390</v>
      </c>
      <c r="D63" s="340">
        <v>0</v>
      </c>
      <c r="E63" s="340">
        <v>0</v>
      </c>
      <c r="F63" s="342">
        <f t="shared" si="1"/>
        <v>0</v>
      </c>
    </row>
    <row r="64" spans="2:6" ht="12.75">
      <c r="B64" s="116" t="s">
        <v>325</v>
      </c>
      <c r="C64" s="110">
        <v>391</v>
      </c>
      <c r="D64" s="340">
        <v>0</v>
      </c>
      <c r="E64" s="340">
        <v>0</v>
      </c>
      <c r="F64" s="342">
        <f t="shared" si="1"/>
        <v>0</v>
      </c>
    </row>
    <row r="65" spans="2:6" ht="25.5">
      <c r="B65" s="116" t="s">
        <v>326</v>
      </c>
      <c r="C65" s="110">
        <v>392</v>
      </c>
      <c r="D65" s="340">
        <v>0</v>
      </c>
      <c r="E65" s="340">
        <v>0</v>
      </c>
      <c r="F65" s="342">
        <f t="shared" si="1"/>
        <v>0</v>
      </c>
    </row>
    <row r="66" spans="2:6" ht="12.75">
      <c r="B66" s="122" t="s">
        <v>327</v>
      </c>
      <c r="C66" s="110">
        <v>393</v>
      </c>
      <c r="D66" s="340">
        <v>0</v>
      </c>
      <c r="E66" s="340">
        <v>0</v>
      </c>
      <c r="F66" s="342">
        <f t="shared" si="1"/>
        <v>0</v>
      </c>
    </row>
    <row r="67" spans="2:6" ht="12.75">
      <c r="B67" s="118" t="s">
        <v>221</v>
      </c>
      <c r="C67" s="110">
        <v>394</v>
      </c>
      <c r="D67" s="340">
        <v>0</v>
      </c>
      <c r="E67" s="340">
        <v>0</v>
      </c>
      <c r="F67" s="342">
        <f t="shared" si="1"/>
        <v>0</v>
      </c>
    </row>
    <row r="68" spans="2:6" ht="12.75">
      <c r="B68" s="179" t="s">
        <v>328</v>
      </c>
      <c r="C68" s="110"/>
      <c r="D68" s="349">
        <f>SUM(D50:D67)</f>
        <v>3381702.768314919</v>
      </c>
      <c r="E68" s="349">
        <f>SUM(E50:E67)</f>
        <v>0</v>
      </c>
      <c r="F68" s="349">
        <f>SUM(F50:F67)</f>
        <v>3381702.768314919</v>
      </c>
    </row>
    <row r="69" spans="2:6" ht="12.75">
      <c r="B69" s="111"/>
      <c r="C69" s="112"/>
      <c r="D69" s="350"/>
      <c r="E69" s="350"/>
      <c r="F69" s="350"/>
    </row>
    <row r="70" spans="2:6" ht="12.75">
      <c r="B70" s="178" t="s">
        <v>436</v>
      </c>
      <c r="C70" s="114"/>
      <c r="D70" s="351"/>
      <c r="E70" s="351"/>
      <c r="F70" s="351"/>
    </row>
    <row r="71" spans="2:6" ht="12.75">
      <c r="B71" s="109" t="s">
        <v>329</v>
      </c>
      <c r="C71" s="110">
        <v>311</v>
      </c>
      <c r="D71" s="340">
        <v>0</v>
      </c>
      <c r="E71" s="340">
        <v>0</v>
      </c>
      <c r="F71" s="342">
        <f>D71-E71</f>
        <v>0</v>
      </c>
    </row>
    <row r="72" spans="2:6" ht="25.5">
      <c r="B72" s="109" t="s">
        <v>400</v>
      </c>
      <c r="C72" s="110">
        <v>320</v>
      </c>
      <c r="D72" s="340">
        <v>0</v>
      </c>
      <c r="E72" s="340">
        <v>0</v>
      </c>
      <c r="F72" s="342">
        <f>D72-E72</f>
        <v>0</v>
      </c>
    </row>
    <row r="73" spans="2:6" ht="25.5">
      <c r="B73" s="109" t="s">
        <v>368</v>
      </c>
      <c r="C73" s="110">
        <v>331</v>
      </c>
      <c r="D73" s="340">
        <v>0</v>
      </c>
      <c r="E73" s="340">
        <v>0</v>
      </c>
      <c r="F73" s="342">
        <f>D73-E73</f>
        <v>0</v>
      </c>
    </row>
    <row r="74" spans="2:6" ht="25.5">
      <c r="B74" s="109" t="s">
        <v>369</v>
      </c>
      <c r="C74" s="110">
        <v>332</v>
      </c>
      <c r="D74" s="340">
        <v>0</v>
      </c>
      <c r="E74" s="340">
        <v>0</v>
      </c>
      <c r="F74" s="342">
        <f>D74-E74</f>
        <v>0</v>
      </c>
    </row>
    <row r="75" spans="2:6" ht="25.5">
      <c r="B75" s="109" t="s">
        <v>330</v>
      </c>
      <c r="C75" s="110">
        <v>335</v>
      </c>
      <c r="D75" s="340">
        <v>0</v>
      </c>
      <c r="E75" s="340">
        <v>0</v>
      </c>
      <c r="F75" s="342">
        <f>D75-E75</f>
        <v>0</v>
      </c>
    </row>
    <row r="76" spans="2:6" ht="12.75">
      <c r="B76" s="179" t="s">
        <v>448</v>
      </c>
      <c r="C76" s="32"/>
      <c r="D76" s="286">
        <f>SUM(D71:D75)</f>
        <v>0</v>
      </c>
      <c r="E76" s="286">
        <f>SUM(E71:E75)</f>
        <v>0</v>
      </c>
      <c r="F76" s="286">
        <f>SUM(F71:F75)</f>
        <v>0</v>
      </c>
    </row>
    <row r="77" spans="4:6" ht="12.75">
      <c r="D77" s="352"/>
      <c r="E77" s="352"/>
      <c r="F77" s="352"/>
    </row>
    <row r="78" spans="2:6" ht="34.5" customHeight="1">
      <c r="B78" s="181" t="s">
        <v>424</v>
      </c>
      <c r="C78" s="182"/>
      <c r="D78" s="353">
        <f>D47-D68+D76</f>
        <v>-61567.723238847684</v>
      </c>
      <c r="E78" s="353">
        <f>E47-E68+E76</f>
        <v>0</v>
      </c>
      <c r="F78" s="353">
        <f>F47-F68+F76</f>
        <v>-61567.723238847684</v>
      </c>
    </row>
  </sheetData>
  <sheetProtection/>
  <mergeCells count="3">
    <mergeCell ref="B3:F3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portrait" scale="85" r:id="rId3"/>
  <headerFooter alignWithMargins="0">
    <oddFooter>&amp;L&amp;A</oddFooter>
  </headerFooter>
  <rowBreaks count="1" manualBreakCount="1">
    <brk id="47" max="5" man="1"/>
  </row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8"/>
  <sheetViews>
    <sheetView zoomScalePageLayoutView="0" workbookViewId="0" topLeftCell="B62">
      <selection activeCell="E85" sqref="E85"/>
    </sheetView>
  </sheetViews>
  <sheetFormatPr defaultColWidth="9.140625" defaultRowHeight="12.75"/>
  <cols>
    <col min="1" max="1" width="1.57421875" style="0" customWidth="1"/>
    <col min="2" max="2" width="43.8515625" style="0" customWidth="1"/>
    <col min="3" max="3" width="11.7109375" style="0" bestFit="1" customWidth="1"/>
    <col min="4" max="4" width="14.57421875" style="0" bestFit="1" customWidth="1"/>
    <col min="5" max="5" width="15.7109375" style="0" bestFit="1" customWidth="1"/>
    <col min="6" max="6" width="15.28125" style="0" customWidth="1"/>
  </cols>
  <sheetData>
    <row r="1" spans="2:6" ht="12.75">
      <c r="B1" s="614">
        <f>'Trial Balance'!A1:J1</f>
        <v>0</v>
      </c>
      <c r="C1" s="614"/>
      <c r="D1" s="614"/>
      <c r="E1" s="614"/>
      <c r="F1" s="614"/>
    </row>
    <row r="2" spans="2:6" ht="12.75">
      <c r="B2" s="614">
        <f>'Trial Balance'!A2:J2</f>
        <v>0</v>
      </c>
      <c r="C2" s="614"/>
      <c r="D2" s="614"/>
      <c r="E2" s="614"/>
      <c r="F2" s="614"/>
    </row>
    <row r="3" spans="2:6" ht="20.25">
      <c r="B3" s="762" t="s">
        <v>812</v>
      </c>
      <c r="C3" s="762"/>
      <c r="D3" s="762"/>
      <c r="E3" s="762"/>
      <c r="F3" s="762"/>
    </row>
    <row r="4" spans="2:6" ht="38.25">
      <c r="B4" s="115" t="s">
        <v>331</v>
      </c>
      <c r="C4" s="124" t="s">
        <v>503</v>
      </c>
      <c r="D4" s="337" t="s">
        <v>504</v>
      </c>
      <c r="E4" s="337" t="s">
        <v>505</v>
      </c>
      <c r="F4" s="337" t="s">
        <v>384</v>
      </c>
    </row>
    <row r="5" spans="2:6" ht="12.75">
      <c r="B5" s="103" t="s">
        <v>506</v>
      </c>
      <c r="C5" s="104"/>
      <c r="D5" s="338"/>
      <c r="E5" s="339"/>
      <c r="F5" s="339"/>
    </row>
    <row r="6" spans="2:6" ht="12.75">
      <c r="B6" s="116" t="s">
        <v>507</v>
      </c>
      <c r="C6" s="110">
        <v>103</v>
      </c>
      <c r="D6" s="340">
        <v>0</v>
      </c>
      <c r="E6" s="341">
        <v>0</v>
      </c>
      <c r="F6" s="342">
        <f aca="true" t="shared" si="0" ref="F6:F46">D6-E6</f>
        <v>0</v>
      </c>
    </row>
    <row r="7" spans="2:6" ht="12.75">
      <c r="B7" s="116" t="s">
        <v>508</v>
      </c>
      <c r="C7" s="110">
        <v>104</v>
      </c>
      <c r="D7" s="340">
        <f>'FA Continuity 2011'!J50</f>
        <v>2156091.9193114233</v>
      </c>
      <c r="E7" s="340">
        <v>0</v>
      </c>
      <c r="F7" s="342">
        <f t="shared" si="0"/>
        <v>2156091.9193114233</v>
      </c>
    </row>
    <row r="8" spans="2:6" ht="12.75">
      <c r="B8" s="116" t="s">
        <v>509</v>
      </c>
      <c r="C8" s="110">
        <v>106</v>
      </c>
      <c r="D8" s="340">
        <v>416</v>
      </c>
      <c r="E8" s="340">
        <v>0</v>
      </c>
      <c r="F8" s="342">
        <f t="shared" si="0"/>
        <v>416</v>
      </c>
    </row>
    <row r="9" spans="2:6" ht="25.5">
      <c r="B9" s="116" t="s">
        <v>510</v>
      </c>
      <c r="C9" s="110">
        <v>107</v>
      </c>
      <c r="D9" s="340">
        <v>0</v>
      </c>
      <c r="E9" s="341">
        <v>0</v>
      </c>
      <c r="F9" s="342">
        <f t="shared" si="0"/>
        <v>0</v>
      </c>
    </row>
    <row r="10" spans="2:6" ht="25.5">
      <c r="B10" s="116" t="s">
        <v>511</v>
      </c>
      <c r="C10" s="110">
        <v>108</v>
      </c>
      <c r="D10" s="340">
        <v>0</v>
      </c>
      <c r="E10" s="341">
        <v>0</v>
      </c>
      <c r="F10" s="342">
        <f t="shared" si="0"/>
        <v>0</v>
      </c>
    </row>
    <row r="11" spans="2:6" ht="25.5">
      <c r="B11" s="116" t="s">
        <v>512</v>
      </c>
      <c r="C11" s="110">
        <v>109</v>
      </c>
      <c r="D11" s="340"/>
      <c r="E11" s="340">
        <v>0</v>
      </c>
      <c r="F11" s="342">
        <f t="shared" si="0"/>
        <v>0</v>
      </c>
    </row>
    <row r="12" spans="2:6" ht="12.75">
      <c r="B12" s="116" t="s">
        <v>513</v>
      </c>
      <c r="C12" s="110">
        <v>110</v>
      </c>
      <c r="D12" s="340">
        <v>0</v>
      </c>
      <c r="E12" s="340">
        <v>0</v>
      </c>
      <c r="F12" s="342">
        <f t="shared" si="0"/>
        <v>0</v>
      </c>
    </row>
    <row r="13" spans="2:6" ht="12.75">
      <c r="B13" s="116" t="s">
        <v>514</v>
      </c>
      <c r="C13" s="110">
        <v>111</v>
      </c>
      <c r="D13" s="340">
        <v>0</v>
      </c>
      <c r="E13" s="341">
        <v>0</v>
      </c>
      <c r="F13" s="342">
        <f t="shared" si="0"/>
        <v>0</v>
      </c>
    </row>
    <row r="14" spans="2:6" ht="12.75">
      <c r="B14" s="116" t="s">
        <v>515</v>
      </c>
      <c r="C14" s="110">
        <v>112</v>
      </c>
      <c r="D14" s="340">
        <v>0</v>
      </c>
      <c r="E14" s="340">
        <v>0</v>
      </c>
      <c r="F14" s="342">
        <f t="shared" si="0"/>
        <v>0</v>
      </c>
    </row>
    <row r="15" spans="2:6" ht="12.75">
      <c r="B15" s="116" t="s">
        <v>516</v>
      </c>
      <c r="C15" s="110">
        <v>113</v>
      </c>
      <c r="D15" s="340">
        <v>0</v>
      </c>
      <c r="E15" s="341">
        <v>0</v>
      </c>
      <c r="F15" s="342">
        <f t="shared" si="0"/>
        <v>0</v>
      </c>
    </row>
    <row r="16" spans="2:6" ht="12.75">
      <c r="B16" s="116" t="s">
        <v>517</v>
      </c>
      <c r="C16" s="110">
        <v>114</v>
      </c>
      <c r="D16" s="340">
        <v>0</v>
      </c>
      <c r="E16" s="340">
        <v>0</v>
      </c>
      <c r="F16" s="342">
        <f t="shared" si="0"/>
        <v>0</v>
      </c>
    </row>
    <row r="17" spans="2:6" ht="12.75">
      <c r="B17" s="116" t="s">
        <v>518</v>
      </c>
      <c r="C17" s="110">
        <v>116</v>
      </c>
      <c r="D17" s="340">
        <v>0</v>
      </c>
      <c r="E17" s="340">
        <v>0</v>
      </c>
      <c r="F17" s="342">
        <f t="shared" si="0"/>
        <v>0</v>
      </c>
    </row>
    <row r="18" spans="2:6" ht="25.5">
      <c r="B18" s="116" t="s">
        <v>519</v>
      </c>
      <c r="C18" s="110">
        <v>118</v>
      </c>
      <c r="D18" s="340">
        <v>0</v>
      </c>
      <c r="E18" s="340">
        <v>0</v>
      </c>
      <c r="F18" s="342">
        <f t="shared" si="0"/>
        <v>0</v>
      </c>
    </row>
    <row r="19" spans="2:6" ht="12.75">
      <c r="B19" s="116" t="s">
        <v>520</v>
      </c>
      <c r="C19" s="110">
        <v>119</v>
      </c>
      <c r="D19" s="340">
        <v>0</v>
      </c>
      <c r="E19" s="340">
        <v>0</v>
      </c>
      <c r="F19" s="342">
        <f t="shared" si="0"/>
        <v>0</v>
      </c>
    </row>
    <row r="20" spans="2:6" ht="12.75">
      <c r="B20" s="116" t="s">
        <v>521</v>
      </c>
      <c r="C20" s="110">
        <v>120</v>
      </c>
      <c r="D20" s="340">
        <v>0</v>
      </c>
      <c r="E20" s="340">
        <v>0</v>
      </c>
      <c r="F20" s="342">
        <f t="shared" si="0"/>
        <v>0</v>
      </c>
    </row>
    <row r="21" spans="2:6" ht="25.5">
      <c r="B21" s="116" t="s">
        <v>522</v>
      </c>
      <c r="C21" s="110">
        <v>121</v>
      </c>
      <c r="D21" s="340">
        <v>1000</v>
      </c>
      <c r="E21" s="340">
        <v>0</v>
      </c>
      <c r="F21" s="342">
        <f t="shared" si="0"/>
        <v>1000</v>
      </c>
    </row>
    <row r="22" spans="2:6" ht="12.75">
      <c r="B22" s="116" t="s">
        <v>523</v>
      </c>
      <c r="C22" s="110">
        <v>122</v>
      </c>
      <c r="D22" s="340">
        <v>0</v>
      </c>
      <c r="E22" s="340">
        <v>0</v>
      </c>
      <c r="F22" s="342">
        <f t="shared" si="0"/>
        <v>0</v>
      </c>
    </row>
    <row r="23" spans="2:6" ht="12.75">
      <c r="B23" s="116" t="s">
        <v>285</v>
      </c>
      <c r="C23" s="110">
        <v>123</v>
      </c>
      <c r="D23" s="340">
        <v>0</v>
      </c>
      <c r="E23" s="340">
        <v>0</v>
      </c>
      <c r="F23" s="342">
        <f t="shared" si="0"/>
        <v>0</v>
      </c>
    </row>
    <row r="24" spans="2:6" ht="12.75">
      <c r="B24" s="116" t="s">
        <v>286</v>
      </c>
      <c r="C24" s="110">
        <v>124</v>
      </c>
      <c r="D24" s="340">
        <v>0</v>
      </c>
      <c r="E24" s="340">
        <v>0</v>
      </c>
      <c r="F24" s="342">
        <f t="shared" si="0"/>
        <v>0</v>
      </c>
    </row>
    <row r="25" spans="2:6" ht="12.75">
      <c r="B25" s="116" t="s">
        <v>365</v>
      </c>
      <c r="C25" s="117">
        <v>125</v>
      </c>
      <c r="D25" s="340">
        <f>'Reserves Continuity'!C45</f>
        <v>0</v>
      </c>
      <c r="E25" s="344">
        <v>0</v>
      </c>
      <c r="F25" s="342">
        <f t="shared" si="0"/>
        <v>0</v>
      </c>
    </row>
    <row r="26" spans="2:6" ht="25.5">
      <c r="B26" s="116" t="s">
        <v>287</v>
      </c>
      <c r="C26" s="110">
        <v>126</v>
      </c>
      <c r="D26" s="341">
        <f>'Reserves Continuity'!F64</f>
        <v>1359987</v>
      </c>
      <c r="E26" s="341">
        <v>0</v>
      </c>
      <c r="F26" s="342">
        <f t="shared" si="0"/>
        <v>1359987</v>
      </c>
    </row>
    <row r="27" spans="2:6" ht="25.5">
      <c r="B27" s="116" t="s">
        <v>288</v>
      </c>
      <c r="C27" s="110">
        <v>127</v>
      </c>
      <c r="D27" s="340">
        <v>0</v>
      </c>
      <c r="E27" s="340">
        <v>0</v>
      </c>
      <c r="F27" s="342">
        <f t="shared" si="0"/>
        <v>0</v>
      </c>
    </row>
    <row r="28" spans="2:6" ht="12.75">
      <c r="B28" s="116" t="s">
        <v>292</v>
      </c>
      <c r="C28" s="110">
        <v>205</v>
      </c>
      <c r="D28" s="340">
        <v>0</v>
      </c>
      <c r="E28" s="340">
        <v>0</v>
      </c>
      <c r="F28" s="342">
        <f t="shared" si="0"/>
        <v>0</v>
      </c>
    </row>
    <row r="29" spans="2:6" ht="12.75">
      <c r="B29" s="116" t="s">
        <v>293</v>
      </c>
      <c r="C29" s="110">
        <v>206</v>
      </c>
      <c r="D29" s="340">
        <v>0</v>
      </c>
      <c r="E29" s="340">
        <v>0</v>
      </c>
      <c r="F29" s="342">
        <f t="shared" si="0"/>
        <v>0</v>
      </c>
    </row>
    <row r="30" spans="2:6" ht="12.75">
      <c r="B30" s="116" t="s">
        <v>294</v>
      </c>
      <c r="C30" s="110">
        <v>208</v>
      </c>
      <c r="D30" s="340">
        <v>0</v>
      </c>
      <c r="E30" s="340">
        <v>0</v>
      </c>
      <c r="F30" s="342">
        <f t="shared" si="0"/>
        <v>0</v>
      </c>
    </row>
    <row r="31" spans="2:6" ht="25.5">
      <c r="B31" s="116" t="s">
        <v>295</v>
      </c>
      <c r="C31" s="110">
        <v>212</v>
      </c>
      <c r="D31" s="340">
        <v>0</v>
      </c>
      <c r="E31" s="340">
        <v>0</v>
      </c>
      <c r="F31" s="342">
        <f t="shared" si="0"/>
        <v>0</v>
      </c>
    </row>
    <row r="32" spans="2:6" ht="12.75">
      <c r="B32" s="116" t="s">
        <v>296</v>
      </c>
      <c r="C32" s="110">
        <v>216</v>
      </c>
      <c r="D32" s="340">
        <v>0</v>
      </c>
      <c r="E32" s="340">
        <v>0</v>
      </c>
      <c r="F32" s="342">
        <f t="shared" si="0"/>
        <v>0</v>
      </c>
    </row>
    <row r="33" spans="2:6" ht="12.75">
      <c r="B33" s="116" t="s">
        <v>297</v>
      </c>
      <c r="C33" s="110">
        <v>220</v>
      </c>
      <c r="D33" s="340">
        <v>0</v>
      </c>
      <c r="E33" s="340">
        <v>0</v>
      </c>
      <c r="F33" s="342">
        <f t="shared" si="0"/>
        <v>0</v>
      </c>
    </row>
    <row r="34" spans="2:6" ht="12.75">
      <c r="B34" s="116" t="s">
        <v>298</v>
      </c>
      <c r="C34" s="110">
        <v>226</v>
      </c>
      <c r="D34" s="340">
        <v>0</v>
      </c>
      <c r="E34" s="340">
        <v>0</v>
      </c>
      <c r="F34" s="342">
        <f t="shared" si="0"/>
        <v>0</v>
      </c>
    </row>
    <row r="35" spans="2:6" ht="12.75">
      <c r="B35" s="116" t="s">
        <v>299</v>
      </c>
      <c r="C35" s="110">
        <v>227</v>
      </c>
      <c r="D35" s="340">
        <v>0</v>
      </c>
      <c r="E35" s="340">
        <v>0</v>
      </c>
      <c r="F35" s="342">
        <f t="shared" si="0"/>
        <v>0</v>
      </c>
    </row>
    <row r="36" spans="2:6" ht="12.75">
      <c r="B36" s="116" t="s">
        <v>300</v>
      </c>
      <c r="C36" s="110">
        <v>228</v>
      </c>
      <c r="D36" s="340">
        <v>0</v>
      </c>
      <c r="E36" s="340">
        <v>0</v>
      </c>
      <c r="F36" s="342">
        <f t="shared" si="0"/>
        <v>0</v>
      </c>
    </row>
    <row r="37" spans="2:6" ht="12.75">
      <c r="B37" s="116" t="s">
        <v>301</v>
      </c>
      <c r="C37" s="110">
        <v>231</v>
      </c>
      <c r="D37" s="340">
        <v>0</v>
      </c>
      <c r="E37" s="340">
        <v>0</v>
      </c>
      <c r="F37" s="342">
        <f t="shared" si="0"/>
        <v>0</v>
      </c>
    </row>
    <row r="38" spans="2:6" ht="12.75">
      <c r="B38" s="116" t="s">
        <v>302</v>
      </c>
      <c r="C38" s="110">
        <v>235</v>
      </c>
      <c r="D38" s="340">
        <v>0</v>
      </c>
      <c r="E38" s="340">
        <v>0</v>
      </c>
      <c r="F38" s="342">
        <f t="shared" si="0"/>
        <v>0</v>
      </c>
    </row>
    <row r="39" spans="2:6" ht="12.75">
      <c r="B39" s="116" t="s">
        <v>303</v>
      </c>
      <c r="C39" s="110">
        <v>236</v>
      </c>
      <c r="D39" s="340">
        <v>0</v>
      </c>
      <c r="E39" s="340">
        <v>0</v>
      </c>
      <c r="F39" s="342">
        <f t="shared" si="0"/>
        <v>0</v>
      </c>
    </row>
    <row r="40" spans="2:6" ht="38.25">
      <c r="B40" s="116" t="s">
        <v>304</v>
      </c>
      <c r="C40" s="110">
        <v>237</v>
      </c>
      <c r="D40" s="340">
        <v>0</v>
      </c>
      <c r="E40" s="340">
        <v>0</v>
      </c>
      <c r="F40" s="342">
        <f t="shared" si="0"/>
        <v>0</v>
      </c>
    </row>
    <row r="41" spans="2:6" ht="12.75">
      <c r="B41" s="116" t="s">
        <v>305</v>
      </c>
      <c r="C41" s="110">
        <v>290</v>
      </c>
      <c r="D41" s="340">
        <v>0</v>
      </c>
      <c r="E41" s="340">
        <v>0</v>
      </c>
      <c r="F41" s="342">
        <f t="shared" si="0"/>
        <v>0</v>
      </c>
    </row>
    <row r="42" spans="2:6" ht="25.5">
      <c r="B42" s="116" t="s">
        <v>307</v>
      </c>
      <c r="C42" s="110">
        <v>291</v>
      </c>
      <c r="D42" s="340">
        <v>0</v>
      </c>
      <c r="E42" s="340">
        <v>0</v>
      </c>
      <c r="F42" s="342">
        <f t="shared" si="0"/>
        <v>0</v>
      </c>
    </row>
    <row r="43" spans="2:6" ht="12.75">
      <c r="B43" s="116" t="s">
        <v>308</v>
      </c>
      <c r="C43" s="110">
        <v>292</v>
      </c>
      <c r="D43" s="340">
        <v>0</v>
      </c>
      <c r="E43" s="340">
        <v>0</v>
      </c>
      <c r="F43" s="342">
        <f t="shared" si="0"/>
        <v>0</v>
      </c>
    </row>
    <row r="44" spans="2:6" ht="12.75">
      <c r="B44" s="116" t="s">
        <v>309</v>
      </c>
      <c r="C44" s="110">
        <v>293</v>
      </c>
      <c r="D44" s="340">
        <v>0</v>
      </c>
      <c r="E44" s="340">
        <v>0</v>
      </c>
      <c r="F44" s="342">
        <f t="shared" si="0"/>
        <v>0</v>
      </c>
    </row>
    <row r="45" spans="2:6" ht="12.75">
      <c r="B45" s="118" t="s">
        <v>310</v>
      </c>
      <c r="C45" s="110">
        <v>294</v>
      </c>
      <c r="D45" s="340">
        <v>0</v>
      </c>
      <c r="E45" s="340">
        <v>0</v>
      </c>
      <c r="F45" s="342">
        <f t="shared" si="0"/>
        <v>0</v>
      </c>
    </row>
    <row r="46" spans="2:6" ht="13.5" thickBot="1">
      <c r="B46" s="118"/>
      <c r="C46" s="119">
        <v>295</v>
      </c>
      <c r="D46" s="340">
        <v>0</v>
      </c>
      <c r="E46" s="345">
        <v>0</v>
      </c>
      <c r="F46" s="342">
        <f t="shared" si="0"/>
        <v>0</v>
      </c>
    </row>
    <row r="47" spans="2:6" ht="13.5" thickBot="1">
      <c r="B47" s="120" t="s">
        <v>311</v>
      </c>
      <c r="C47" s="121"/>
      <c r="D47" s="346">
        <f>SUM(D6:D46)</f>
        <v>3517494.9193114233</v>
      </c>
      <c r="E47" s="346">
        <f>SUM(E6:E46)</f>
        <v>0</v>
      </c>
      <c r="F47" s="346">
        <f>SUM(F6:F46)</f>
        <v>3517494.9193114233</v>
      </c>
    </row>
    <row r="48" spans="2:6" ht="24.75" customHeight="1">
      <c r="B48" s="105"/>
      <c r="C48" s="106"/>
      <c r="D48" s="347"/>
      <c r="E48" s="347"/>
      <c r="F48" s="347"/>
    </row>
    <row r="49" spans="2:6" ht="12.75">
      <c r="B49" s="107" t="s">
        <v>312</v>
      </c>
      <c r="C49" s="108"/>
      <c r="D49" s="348"/>
      <c r="E49" s="348"/>
      <c r="F49" s="348"/>
    </row>
    <row r="50" spans="2:6" ht="25.5">
      <c r="B50" s="116" t="s">
        <v>313</v>
      </c>
      <c r="C50" s="110">
        <v>401</v>
      </c>
      <c r="D50" s="340"/>
      <c r="E50" s="340">
        <v>0</v>
      </c>
      <c r="F50" s="342">
        <f aca="true" t="shared" si="1" ref="F50:F67">D50-E50</f>
        <v>0</v>
      </c>
    </row>
    <row r="51" spans="2:6" ht="12.75">
      <c r="B51" s="116" t="s">
        <v>314</v>
      </c>
      <c r="C51" s="110">
        <v>402</v>
      </c>
      <c r="D51" s="340">
        <v>0</v>
      </c>
      <c r="E51" s="340">
        <v>0</v>
      </c>
      <c r="F51" s="342">
        <f t="shared" si="1"/>
        <v>0</v>
      </c>
    </row>
    <row r="52" spans="2:6" ht="12.75">
      <c r="B52" s="116" t="s">
        <v>315</v>
      </c>
      <c r="C52" s="110">
        <v>403</v>
      </c>
      <c r="D52" s="340">
        <f>'CCA Continuity 2011'!N26</f>
        <v>2334191.276383273</v>
      </c>
      <c r="E52" s="340">
        <v>0</v>
      </c>
      <c r="F52" s="342">
        <f t="shared" si="1"/>
        <v>2334191.276383273</v>
      </c>
    </row>
    <row r="53" spans="2:6" ht="12.75">
      <c r="B53" s="116" t="s">
        <v>316</v>
      </c>
      <c r="C53" s="110">
        <v>404</v>
      </c>
      <c r="D53" s="340">
        <v>0</v>
      </c>
      <c r="E53" s="340">
        <v>0</v>
      </c>
      <c r="F53" s="342">
        <f t="shared" si="1"/>
        <v>0</v>
      </c>
    </row>
    <row r="54" spans="2:6" ht="25.5">
      <c r="B54" s="116" t="s">
        <v>317</v>
      </c>
      <c r="C54" s="110">
        <v>405</v>
      </c>
      <c r="D54" s="340">
        <f>'CCA Continuity 2011'!H65</f>
        <v>429.1392</v>
      </c>
      <c r="E54" s="340">
        <v>0</v>
      </c>
      <c r="F54" s="342">
        <f t="shared" si="1"/>
        <v>429.1392</v>
      </c>
    </row>
    <row r="55" spans="2:6" ht="12.75">
      <c r="B55" s="116" t="s">
        <v>318</v>
      </c>
      <c r="C55" s="110">
        <v>406</v>
      </c>
      <c r="D55" s="340">
        <v>0</v>
      </c>
      <c r="E55" s="340">
        <v>0</v>
      </c>
      <c r="F55" s="342">
        <f t="shared" si="1"/>
        <v>0</v>
      </c>
    </row>
    <row r="56" spans="2:6" ht="12.75">
      <c r="B56" s="116" t="s">
        <v>518</v>
      </c>
      <c r="C56" s="110">
        <v>409</v>
      </c>
      <c r="D56" s="340">
        <v>0</v>
      </c>
      <c r="E56" s="340">
        <v>0</v>
      </c>
      <c r="F56" s="342">
        <f t="shared" si="1"/>
        <v>0</v>
      </c>
    </row>
    <row r="57" spans="2:6" ht="25.5">
      <c r="B57" s="116" t="s">
        <v>319</v>
      </c>
      <c r="C57" s="110">
        <v>411</v>
      </c>
      <c r="D57" s="340">
        <v>0</v>
      </c>
      <c r="E57" s="340">
        <v>0</v>
      </c>
      <c r="F57" s="342">
        <f t="shared" si="1"/>
        <v>0</v>
      </c>
    </row>
    <row r="58" spans="2:6" ht="12.75">
      <c r="B58" s="116" t="s">
        <v>366</v>
      </c>
      <c r="C58" s="117">
        <v>413</v>
      </c>
      <c r="D58" s="340">
        <v>0</v>
      </c>
      <c r="E58" s="344">
        <v>0</v>
      </c>
      <c r="F58" s="342">
        <f t="shared" si="1"/>
        <v>0</v>
      </c>
    </row>
    <row r="59" spans="2:6" ht="25.5">
      <c r="B59" s="116" t="s">
        <v>320</v>
      </c>
      <c r="C59" s="110">
        <v>414</v>
      </c>
      <c r="D59" s="340">
        <f>'Reserves Continuity'!C64</f>
        <v>1359987</v>
      </c>
      <c r="E59" s="341">
        <v>0</v>
      </c>
      <c r="F59" s="342">
        <f t="shared" si="1"/>
        <v>1359987</v>
      </c>
    </row>
    <row r="60" spans="2:6" ht="12.75">
      <c r="B60" s="116" t="s">
        <v>321</v>
      </c>
      <c r="C60" s="110">
        <v>416</v>
      </c>
      <c r="D60" s="340">
        <v>0</v>
      </c>
      <c r="E60" s="340">
        <v>0</v>
      </c>
      <c r="F60" s="342">
        <f t="shared" si="1"/>
        <v>0</v>
      </c>
    </row>
    <row r="61" spans="2:6" ht="12.75">
      <c r="B61" s="116" t="s">
        <v>322</v>
      </c>
      <c r="C61" s="110">
        <v>305</v>
      </c>
      <c r="D61" s="340">
        <v>0</v>
      </c>
      <c r="E61" s="340">
        <v>0</v>
      </c>
      <c r="F61" s="342">
        <f t="shared" si="1"/>
        <v>0</v>
      </c>
    </row>
    <row r="62" spans="2:6" ht="25.5">
      <c r="B62" s="116" t="s">
        <v>323</v>
      </c>
      <c r="C62" s="110">
        <v>306</v>
      </c>
      <c r="D62" s="340">
        <v>0</v>
      </c>
      <c r="E62" s="340">
        <v>0</v>
      </c>
      <c r="F62" s="342">
        <f t="shared" si="1"/>
        <v>0</v>
      </c>
    </row>
    <row r="63" spans="2:6" ht="25.5">
      <c r="B63" s="116" t="s">
        <v>324</v>
      </c>
      <c r="C63" s="110">
        <v>390</v>
      </c>
      <c r="D63" s="340">
        <v>0</v>
      </c>
      <c r="E63" s="340">
        <v>0</v>
      </c>
      <c r="F63" s="342">
        <f t="shared" si="1"/>
        <v>0</v>
      </c>
    </row>
    <row r="64" spans="2:6" ht="12.75">
      <c r="B64" s="116" t="s">
        <v>325</v>
      </c>
      <c r="C64" s="110">
        <v>391</v>
      </c>
      <c r="D64" s="340">
        <v>0</v>
      </c>
      <c r="E64" s="340">
        <v>0</v>
      </c>
      <c r="F64" s="342">
        <f t="shared" si="1"/>
        <v>0</v>
      </c>
    </row>
    <row r="65" spans="2:6" ht="25.5">
      <c r="B65" s="116" t="s">
        <v>326</v>
      </c>
      <c r="C65" s="110">
        <v>392</v>
      </c>
      <c r="D65" s="340">
        <v>0</v>
      </c>
      <c r="E65" s="340">
        <v>0</v>
      </c>
      <c r="F65" s="342">
        <f t="shared" si="1"/>
        <v>0</v>
      </c>
    </row>
    <row r="66" spans="2:6" ht="12.75">
      <c r="B66" s="122" t="s">
        <v>327</v>
      </c>
      <c r="C66" s="110">
        <v>393</v>
      </c>
      <c r="D66" s="340">
        <v>0</v>
      </c>
      <c r="E66" s="340">
        <v>0</v>
      </c>
      <c r="F66" s="342">
        <f t="shared" si="1"/>
        <v>0</v>
      </c>
    </row>
    <row r="67" spans="2:6" ht="12.75">
      <c r="B67" s="118" t="s">
        <v>221</v>
      </c>
      <c r="C67" s="110">
        <v>394</v>
      </c>
      <c r="D67" s="340">
        <v>0</v>
      </c>
      <c r="E67" s="340">
        <v>0</v>
      </c>
      <c r="F67" s="342">
        <f t="shared" si="1"/>
        <v>0</v>
      </c>
    </row>
    <row r="68" spans="2:6" ht="12.75">
      <c r="B68" s="123" t="s">
        <v>328</v>
      </c>
      <c r="C68" s="110"/>
      <c r="D68" s="349">
        <f>SUM(D50:D67)</f>
        <v>3694607.415583273</v>
      </c>
      <c r="E68" s="349">
        <f>SUM(E50:E67)</f>
        <v>0</v>
      </c>
      <c r="F68" s="349">
        <f>SUM(F50:F67)</f>
        <v>3694607.415583273</v>
      </c>
    </row>
    <row r="69" spans="2:6" ht="12.75">
      <c r="B69" s="111"/>
      <c r="C69" s="112"/>
      <c r="D69" s="350"/>
      <c r="E69" s="350"/>
      <c r="F69" s="350"/>
    </row>
    <row r="70" spans="2:6" ht="12.75">
      <c r="B70" s="113"/>
      <c r="C70" s="114"/>
      <c r="D70" s="351"/>
      <c r="E70" s="351"/>
      <c r="F70" s="351"/>
    </row>
    <row r="71" spans="2:6" ht="12.75">
      <c r="B71" s="109" t="s">
        <v>329</v>
      </c>
      <c r="C71" s="110">
        <v>311</v>
      </c>
      <c r="D71" s="340">
        <v>0</v>
      </c>
      <c r="E71" s="340">
        <v>0</v>
      </c>
      <c r="F71" s="342">
        <f>D71-E71</f>
        <v>0</v>
      </c>
    </row>
    <row r="72" spans="2:6" ht="25.5">
      <c r="B72" s="109" t="s">
        <v>400</v>
      </c>
      <c r="C72" s="110">
        <v>320</v>
      </c>
      <c r="D72" s="340">
        <v>0</v>
      </c>
      <c r="E72" s="340">
        <v>0</v>
      </c>
      <c r="F72" s="342">
        <f>D72-E72</f>
        <v>0</v>
      </c>
    </row>
    <row r="73" spans="2:6" ht="25.5">
      <c r="B73" s="109" t="s">
        <v>368</v>
      </c>
      <c r="C73" s="110">
        <v>331</v>
      </c>
      <c r="D73" s="340">
        <v>0</v>
      </c>
      <c r="E73" s="340">
        <v>0</v>
      </c>
      <c r="F73" s="342">
        <f>D73-E73</f>
        <v>0</v>
      </c>
    </row>
    <row r="74" spans="2:6" ht="25.5">
      <c r="B74" s="109" t="s">
        <v>369</v>
      </c>
      <c r="C74" s="110">
        <v>332</v>
      </c>
      <c r="D74" s="340">
        <v>0</v>
      </c>
      <c r="E74" s="340">
        <v>0</v>
      </c>
      <c r="F74" s="342">
        <f>D74-E74</f>
        <v>0</v>
      </c>
    </row>
    <row r="75" spans="2:6" ht="25.5">
      <c r="B75" s="109" t="s">
        <v>330</v>
      </c>
      <c r="C75" s="110">
        <v>335</v>
      </c>
      <c r="D75" s="340">
        <v>0</v>
      </c>
      <c r="E75" s="340">
        <v>0</v>
      </c>
      <c r="F75" s="342">
        <f>D75-E75</f>
        <v>0</v>
      </c>
    </row>
    <row r="76" spans="2:6" ht="12.75">
      <c r="B76" s="179" t="s">
        <v>448</v>
      </c>
      <c r="C76" s="32"/>
      <c r="D76" s="334">
        <f>SUM(D71:D75)</f>
        <v>0</v>
      </c>
      <c r="E76" s="334">
        <f>SUM(E71:E75)</f>
        <v>0</v>
      </c>
      <c r="F76" s="334">
        <f>SUM(F71:F75)</f>
        <v>0</v>
      </c>
    </row>
    <row r="77" spans="4:6" ht="12.75">
      <c r="D77" s="352"/>
      <c r="E77" s="352"/>
      <c r="F77" s="352"/>
    </row>
    <row r="78" spans="2:6" ht="12.75">
      <c r="B78" s="181" t="s">
        <v>424</v>
      </c>
      <c r="C78" s="182"/>
      <c r="D78" s="353">
        <f>D47-D68+D76</f>
        <v>-177112.4962718496</v>
      </c>
      <c r="E78" s="353">
        <f>E47-E68+E76</f>
        <v>0</v>
      </c>
      <c r="F78" s="353">
        <f>F47-F68+F76</f>
        <v>-177112.4962718496</v>
      </c>
    </row>
  </sheetData>
  <sheetProtection/>
  <mergeCells count="3">
    <mergeCell ref="B3:F3"/>
    <mergeCell ref="B1:F1"/>
    <mergeCell ref="B2:F2"/>
  </mergeCells>
  <printOptions/>
  <pageMargins left="0.7480314960629921" right="0.7480314960629921" top="0.984251968503937" bottom="0.984251968503937" header="0.5118110236220472" footer="0.5118110236220472"/>
  <pageSetup fitToHeight="5" fitToWidth="1" horizontalDpi="355" verticalDpi="355" orientation="portrait" scale="90" r:id="rId3"/>
  <headerFooter alignWithMargins="0">
    <oddFooter>&amp;L&amp;A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showGridLines="0" zoomScalePageLayoutView="0" workbookViewId="0" topLeftCell="D1">
      <pane ySplit="9" topLeftCell="A39" activePane="bottomLeft" state="frozen"/>
      <selection pane="topLeft" activeCell="A1" sqref="A1:H2"/>
      <selection pane="bottomLeft" activeCell="J55" sqref="J55"/>
    </sheetView>
  </sheetViews>
  <sheetFormatPr defaultColWidth="9.140625" defaultRowHeight="12.75"/>
  <cols>
    <col min="1" max="1" width="7.57421875" style="20" customWidth="1"/>
    <col min="2" max="2" width="7.57421875" style="206" customWidth="1"/>
    <col min="3" max="3" width="54.140625" style="205" customWidth="1"/>
    <col min="4" max="4" width="14.00390625" style="205" customWidth="1"/>
    <col min="5" max="5" width="9.28125" style="205" bestFit="1" customWidth="1"/>
    <col min="6" max="6" width="9.421875" style="205" bestFit="1" customWidth="1"/>
    <col min="7" max="7" width="15.140625" style="205" bestFit="1" customWidth="1"/>
    <col min="8" max="8" width="0.9921875" style="205" customWidth="1"/>
    <col min="9" max="9" width="11.8515625" style="205" customWidth="1"/>
    <col min="10" max="10" width="12.00390625" style="205" customWidth="1"/>
    <col min="11" max="11" width="12.7109375" style="205" customWidth="1"/>
    <col min="12" max="13" width="11.28125" style="205" customWidth="1"/>
  </cols>
  <sheetData>
    <row r="1" spans="1:13" ht="12.75">
      <c r="A1" s="614" t="str">
        <f>'Trial Balance'!A1:J1</f>
        <v>Woodstock Hydro Services Inc.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</row>
    <row r="2" spans="1:13" ht="12.75">
      <c r="A2" s="614" t="str">
        <f>'Trial Balance'!A2:J2</f>
        <v>, License Number ED-2003-0011, File Number EB-2010-0145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</row>
    <row r="3" spans="1:13" ht="12.75">
      <c r="A3" s="619"/>
      <c r="B3" s="619"/>
      <c r="C3" s="619"/>
      <c r="D3" s="202"/>
      <c r="E3" s="202"/>
      <c r="F3" s="202"/>
      <c r="G3" s="202"/>
      <c r="H3" s="203"/>
      <c r="I3" s="204"/>
      <c r="J3" s="204"/>
      <c r="K3" s="204"/>
      <c r="L3" s="204"/>
      <c r="M3" s="204"/>
    </row>
    <row r="4" spans="1:13" ht="12.75">
      <c r="A4" s="619" t="s">
        <v>224</v>
      </c>
      <c r="B4" s="619"/>
      <c r="C4" s="619"/>
      <c r="D4" s="202"/>
      <c r="E4" s="202"/>
      <c r="F4" s="202"/>
      <c r="H4" s="203"/>
      <c r="I4" s="204"/>
      <c r="J4" s="204"/>
      <c r="K4" s="204"/>
      <c r="L4" s="204"/>
      <c r="M4" s="204"/>
    </row>
    <row r="5" spans="1:13" ht="12.75">
      <c r="A5" s="619" t="s">
        <v>200</v>
      </c>
      <c r="B5" s="619"/>
      <c r="C5" s="619"/>
      <c r="D5" s="202"/>
      <c r="E5" s="202"/>
      <c r="F5" s="202"/>
      <c r="H5" s="203"/>
      <c r="I5" s="204"/>
      <c r="J5" s="204"/>
      <c r="K5" s="204"/>
      <c r="L5" s="204"/>
      <c r="M5" s="204"/>
    </row>
    <row r="6" spans="4:13" ht="12.75">
      <c r="D6" s="615" t="s">
        <v>842</v>
      </c>
      <c r="E6" s="616"/>
      <c r="F6" s="616"/>
      <c r="G6" s="617"/>
      <c r="H6" s="203"/>
      <c r="I6" s="471" t="s">
        <v>267</v>
      </c>
      <c r="J6" s="472"/>
      <c r="K6" s="472"/>
      <c r="L6" s="472"/>
      <c r="M6" s="470"/>
    </row>
    <row r="7" spans="3:13" ht="12.75">
      <c r="C7" s="201"/>
      <c r="D7" s="618"/>
      <c r="E7" s="618"/>
      <c r="F7" s="618"/>
      <c r="G7" s="618"/>
      <c r="H7" s="203"/>
      <c r="I7" s="618"/>
      <c r="J7" s="618"/>
      <c r="K7" s="618"/>
      <c r="L7" s="618"/>
      <c r="M7" s="204"/>
    </row>
    <row r="8" spans="1:13" ht="12.75">
      <c r="A8" s="606" t="s">
        <v>218</v>
      </c>
      <c r="B8" s="606" t="s">
        <v>502</v>
      </c>
      <c r="C8" s="606" t="s">
        <v>184</v>
      </c>
      <c r="D8" s="608" t="s">
        <v>232</v>
      </c>
      <c r="E8" s="608" t="s">
        <v>332</v>
      </c>
      <c r="F8" s="608" t="s">
        <v>333</v>
      </c>
      <c r="G8" s="608" t="s">
        <v>233</v>
      </c>
      <c r="H8" s="623"/>
      <c r="I8" s="621" t="s">
        <v>232</v>
      </c>
      <c r="J8" s="621" t="s">
        <v>332</v>
      </c>
      <c r="K8" s="621" t="s">
        <v>333</v>
      </c>
      <c r="L8" s="621" t="s">
        <v>233</v>
      </c>
      <c r="M8" s="621" t="s">
        <v>234</v>
      </c>
    </row>
    <row r="9" spans="1:13" ht="12.75">
      <c r="A9" s="607"/>
      <c r="B9" s="607"/>
      <c r="C9" s="607"/>
      <c r="D9" s="609" t="s">
        <v>268</v>
      </c>
      <c r="E9" s="609" t="s">
        <v>332</v>
      </c>
      <c r="F9" s="609"/>
      <c r="G9" s="609"/>
      <c r="H9" s="623"/>
      <c r="I9" s="622" t="s">
        <v>268</v>
      </c>
      <c r="J9" s="622" t="s">
        <v>332</v>
      </c>
      <c r="K9" s="622"/>
      <c r="L9" s="622"/>
      <c r="M9" s="622"/>
    </row>
    <row r="10" spans="1:13" ht="12.75">
      <c r="A10" s="228" t="str">
        <f>+'FA Continuity 2006'!A10</f>
        <v>N/A</v>
      </c>
      <c r="B10" s="464">
        <f>+'FA Continuity 2006'!B10</f>
        <v>1805</v>
      </c>
      <c r="C10" s="473" t="str">
        <f>+'FA Continuity 2006'!C10</f>
        <v>Land</v>
      </c>
      <c r="D10" s="289">
        <f>'FA Continuity 2006'!G10</f>
        <v>21835.64</v>
      </c>
      <c r="E10" s="289"/>
      <c r="F10" s="289"/>
      <c r="G10" s="289">
        <f>D10+E10-F10</f>
        <v>21835.64</v>
      </c>
      <c r="H10" s="623"/>
      <c r="I10" s="289">
        <f>'FA Continuity 2006'!L10</f>
        <v>0</v>
      </c>
      <c r="J10" s="289"/>
      <c r="K10" s="289"/>
      <c r="L10" s="289">
        <f>I10+J10-K10</f>
        <v>0</v>
      </c>
      <c r="M10" s="289">
        <f>G10-L10</f>
        <v>21835.64</v>
      </c>
    </row>
    <row r="11" spans="1:13" ht="12.75">
      <c r="A11" s="228" t="str">
        <f>+'FA Continuity 2006'!A11</f>
        <v>CEC</v>
      </c>
      <c r="B11" s="464">
        <f>+'FA Continuity 2006'!B11</f>
        <v>1806</v>
      </c>
      <c r="C11" s="473" t="str">
        <f>+'FA Continuity 2006'!C11</f>
        <v>Land Rights</v>
      </c>
      <c r="D11" s="289">
        <f>'FA Continuity 2006'!G11</f>
        <v>0</v>
      </c>
      <c r="E11" s="289"/>
      <c r="F11" s="289"/>
      <c r="G11" s="289">
        <f aca="true" t="shared" si="0" ref="G11:G46">D11+E11-F11</f>
        <v>0</v>
      </c>
      <c r="H11" s="623"/>
      <c r="I11" s="289">
        <f>'FA Continuity 2006'!L11</f>
        <v>0</v>
      </c>
      <c r="J11" s="289"/>
      <c r="K11" s="289"/>
      <c r="L11" s="289">
        <f aca="true" t="shared" si="1" ref="L11:L46">I11+J11-K11</f>
        <v>0</v>
      </c>
      <c r="M11" s="289">
        <f aca="true" t="shared" si="2" ref="M11:M46">G11-L11</f>
        <v>0</v>
      </c>
    </row>
    <row r="12" spans="1:13" ht="12.75">
      <c r="A12" s="228">
        <f>+'FA Continuity 2006'!A12</f>
        <v>1</v>
      </c>
      <c r="B12" s="464">
        <f>+'FA Continuity 2006'!B12</f>
        <v>1808</v>
      </c>
      <c r="C12" s="473" t="str">
        <f>+'FA Continuity 2006'!C12</f>
        <v>Buildings and Fixtures</v>
      </c>
      <c r="D12" s="289">
        <f>'FA Continuity 2006'!G12</f>
        <v>190773.89</v>
      </c>
      <c r="E12" s="289"/>
      <c r="F12" s="289"/>
      <c r="G12" s="289">
        <f t="shared" si="0"/>
        <v>190773.89</v>
      </c>
      <c r="H12" s="623"/>
      <c r="I12" s="289">
        <f>'FA Continuity 2006'!L12</f>
        <v>44593.73</v>
      </c>
      <c r="J12" s="289">
        <v>7581.22</v>
      </c>
      <c r="K12" s="289"/>
      <c r="L12" s="289">
        <f t="shared" si="1"/>
        <v>52174.950000000004</v>
      </c>
      <c r="M12" s="289">
        <f t="shared" si="2"/>
        <v>138598.94</v>
      </c>
    </row>
    <row r="13" spans="1:13" ht="12.75">
      <c r="A13" s="228">
        <f>+'FA Continuity 2006'!A13</f>
        <v>0</v>
      </c>
      <c r="B13" s="464">
        <f>+'FA Continuity 2006'!B13</f>
        <v>1810</v>
      </c>
      <c r="C13" s="473" t="str">
        <f>+'FA Continuity 2006'!C13</f>
        <v>Leasehold Improvements</v>
      </c>
      <c r="D13" s="289">
        <f>'FA Continuity 2006'!G13</f>
        <v>0</v>
      </c>
      <c r="E13" s="289"/>
      <c r="F13" s="289"/>
      <c r="G13" s="289">
        <f t="shared" si="0"/>
        <v>0</v>
      </c>
      <c r="H13" s="623"/>
      <c r="I13" s="289">
        <f>'FA Continuity 2006'!L13</f>
        <v>0</v>
      </c>
      <c r="J13" s="289"/>
      <c r="K13" s="289"/>
      <c r="L13" s="289">
        <f t="shared" si="1"/>
        <v>0</v>
      </c>
      <c r="M13" s="289">
        <f t="shared" si="2"/>
        <v>0</v>
      </c>
    </row>
    <row r="14" spans="1:13" ht="12.75">
      <c r="A14" s="228">
        <f>+'FA Continuity 2006'!A14</f>
        <v>0</v>
      </c>
      <c r="B14" s="464">
        <f>+'FA Continuity 2006'!B14</f>
        <v>1815</v>
      </c>
      <c r="C14" s="473" t="str">
        <f>+'FA Continuity 2006'!C14</f>
        <v>Transformer Station Equipment - Normally Primary above 50 kV</v>
      </c>
      <c r="D14" s="289">
        <f>'FA Continuity 2006'!G14</f>
        <v>0</v>
      </c>
      <c r="E14" s="289"/>
      <c r="F14" s="289"/>
      <c r="G14" s="289">
        <f t="shared" si="0"/>
        <v>0</v>
      </c>
      <c r="H14" s="623"/>
      <c r="I14" s="289">
        <f>'FA Continuity 2006'!L14</f>
        <v>0</v>
      </c>
      <c r="J14" s="289"/>
      <c r="K14" s="289"/>
      <c r="L14" s="289">
        <f t="shared" si="1"/>
        <v>0</v>
      </c>
      <c r="M14" s="289">
        <f t="shared" si="2"/>
        <v>0</v>
      </c>
    </row>
    <row r="15" spans="1:13" ht="12.75">
      <c r="A15" s="228">
        <f>+'FA Continuity 2006'!A15</f>
        <v>1</v>
      </c>
      <c r="B15" s="464">
        <f>+'FA Continuity 2006'!B15</f>
        <v>1820</v>
      </c>
      <c r="C15" s="473" t="str">
        <f>+'FA Continuity 2006'!C15</f>
        <v>Distribution Station Equipment - Normally Primary below 50 kV</v>
      </c>
      <c r="D15" s="289">
        <f>'FA Continuity 2006'!G15</f>
        <v>566170.39</v>
      </c>
      <c r="E15" s="289"/>
      <c r="F15" s="289"/>
      <c r="G15" s="289">
        <f t="shared" si="0"/>
        <v>566170.39</v>
      </c>
      <c r="H15" s="623"/>
      <c r="I15" s="289">
        <f>'FA Continuity 2006'!L15</f>
        <v>196425.29</v>
      </c>
      <c r="J15" s="289">
        <v>30583.34</v>
      </c>
      <c r="K15" s="289"/>
      <c r="L15" s="289">
        <f t="shared" si="1"/>
        <v>227008.63</v>
      </c>
      <c r="M15" s="289">
        <f t="shared" si="2"/>
        <v>339161.76</v>
      </c>
    </row>
    <row r="16" spans="1:13" ht="12.75">
      <c r="A16" s="228">
        <f>+'FA Continuity 2006'!A16</f>
        <v>0</v>
      </c>
      <c r="B16" s="464">
        <f>+'FA Continuity 2006'!B16</f>
        <v>1825</v>
      </c>
      <c r="C16" s="473" t="str">
        <f>+'FA Continuity 2006'!C16</f>
        <v>Storage Battery Equipment</v>
      </c>
      <c r="D16" s="289">
        <f>'FA Continuity 2006'!G16</f>
        <v>0</v>
      </c>
      <c r="E16" s="289"/>
      <c r="F16" s="289"/>
      <c r="G16" s="289">
        <f t="shared" si="0"/>
        <v>0</v>
      </c>
      <c r="H16" s="623"/>
      <c r="I16" s="289">
        <f>'FA Continuity 2006'!L16</f>
        <v>0</v>
      </c>
      <c r="J16" s="289"/>
      <c r="K16" s="289"/>
      <c r="L16" s="289">
        <f t="shared" si="1"/>
        <v>0</v>
      </c>
      <c r="M16" s="289">
        <f t="shared" si="2"/>
        <v>0</v>
      </c>
    </row>
    <row r="17" spans="1:13" ht="12.75">
      <c r="A17" s="228">
        <f>+'FA Continuity 2006'!A17</f>
        <v>1</v>
      </c>
      <c r="B17" s="464">
        <f>+'FA Continuity 2006'!B17</f>
        <v>1830</v>
      </c>
      <c r="C17" s="473" t="str">
        <f>+'FA Continuity 2006'!C17</f>
        <v>Poles, Towers and Fixtures</v>
      </c>
      <c r="D17" s="289">
        <f>'FA Continuity 2006'!G17</f>
        <v>6096251.6899999995</v>
      </c>
      <c r="E17" s="289">
        <v>228581.22</v>
      </c>
      <c r="F17" s="289"/>
      <c r="G17" s="289">
        <f t="shared" si="0"/>
        <v>6324832.909999999</v>
      </c>
      <c r="H17" s="623"/>
      <c r="I17" s="289">
        <f>'FA Continuity 2006'!L17</f>
        <v>1820010.48</v>
      </c>
      <c r="J17" s="289">
        <v>328182.93</v>
      </c>
      <c r="K17" s="289"/>
      <c r="L17" s="289">
        <f t="shared" si="1"/>
        <v>2148193.41</v>
      </c>
      <c r="M17" s="289">
        <f t="shared" si="2"/>
        <v>4176639.499999999</v>
      </c>
    </row>
    <row r="18" spans="1:13" ht="12.75">
      <c r="A18" s="228">
        <f>+'FA Continuity 2006'!A18</f>
        <v>1</v>
      </c>
      <c r="B18" s="464">
        <f>+'FA Continuity 2006'!B18</f>
        <v>1835</v>
      </c>
      <c r="C18" s="473" t="str">
        <f>+'FA Continuity 2006'!C18</f>
        <v>Overhead Conductors and Devices</v>
      </c>
      <c r="D18" s="289">
        <f>'FA Continuity 2006'!G18</f>
        <v>3144322.13</v>
      </c>
      <c r="E18" s="289">
        <v>54781.92</v>
      </c>
      <c r="F18" s="289"/>
      <c r="G18" s="289">
        <f t="shared" si="0"/>
        <v>3199104.05</v>
      </c>
      <c r="H18" s="623"/>
      <c r="I18" s="289">
        <f>'FA Continuity 2006'!L18</f>
        <v>892730.63</v>
      </c>
      <c r="J18" s="289">
        <v>158641.3</v>
      </c>
      <c r="K18" s="289"/>
      <c r="L18" s="289">
        <f t="shared" si="1"/>
        <v>1051371.93</v>
      </c>
      <c r="M18" s="289">
        <f t="shared" si="2"/>
        <v>2147732.12</v>
      </c>
    </row>
    <row r="19" spans="1:13" ht="12.75">
      <c r="A19" s="228">
        <f>+'FA Continuity 2006'!A19</f>
        <v>1</v>
      </c>
      <c r="B19" s="464">
        <f>+'FA Continuity 2006'!B19</f>
        <v>1840</v>
      </c>
      <c r="C19" s="473" t="str">
        <f>+'FA Continuity 2006'!C19</f>
        <v>Underground Conduit</v>
      </c>
      <c r="D19" s="289">
        <f>'FA Continuity 2006'!G19</f>
        <v>2423527.02</v>
      </c>
      <c r="E19" s="289">
        <v>370614.66</v>
      </c>
      <c r="F19" s="289"/>
      <c r="G19" s="289">
        <f t="shared" si="0"/>
        <v>2794141.68</v>
      </c>
      <c r="H19" s="623"/>
      <c r="I19" s="289">
        <f>'FA Continuity 2006'!L19</f>
        <v>682150.28</v>
      </c>
      <c r="J19" s="289">
        <v>147767.74</v>
      </c>
      <c r="K19" s="289"/>
      <c r="L19" s="289">
        <f t="shared" si="1"/>
        <v>829918.02</v>
      </c>
      <c r="M19" s="289">
        <f t="shared" si="2"/>
        <v>1964223.6600000001</v>
      </c>
    </row>
    <row r="20" spans="1:13" ht="12.75">
      <c r="A20" s="228">
        <f>+'FA Continuity 2006'!A20</f>
        <v>1</v>
      </c>
      <c r="B20" s="464">
        <f>+'FA Continuity 2006'!B20</f>
        <v>1845</v>
      </c>
      <c r="C20" s="473" t="str">
        <f>+'FA Continuity 2006'!C20</f>
        <v>Underground Conductors and Devices</v>
      </c>
      <c r="D20" s="289">
        <f>'FA Continuity 2006'!G20</f>
        <v>3308107.6399999997</v>
      </c>
      <c r="E20" s="289">
        <v>258272.52</v>
      </c>
      <c r="F20" s="289"/>
      <c r="G20" s="289">
        <f t="shared" si="0"/>
        <v>3566380.1599999997</v>
      </c>
      <c r="H20" s="623"/>
      <c r="I20" s="289">
        <f>'FA Continuity 2006'!L20</f>
        <v>1161565.32</v>
      </c>
      <c r="J20" s="289">
        <v>214655.3</v>
      </c>
      <c r="K20" s="289"/>
      <c r="L20" s="289">
        <f t="shared" si="1"/>
        <v>1376220.62</v>
      </c>
      <c r="M20" s="289">
        <f t="shared" si="2"/>
        <v>2190159.5399999996</v>
      </c>
    </row>
    <row r="21" spans="1:13" ht="12.75">
      <c r="A21" s="228">
        <f>+'FA Continuity 2006'!A21</f>
        <v>1</v>
      </c>
      <c r="B21" s="464">
        <f>+'FA Continuity 2006'!B21</f>
        <v>1850</v>
      </c>
      <c r="C21" s="473" t="str">
        <f>+'FA Continuity 2006'!C21</f>
        <v>Line Transformers</v>
      </c>
      <c r="D21" s="289">
        <f>'FA Continuity 2006'!G21</f>
        <v>3873558</v>
      </c>
      <c r="E21" s="289">
        <f>76920.18+542276.99</f>
        <v>619197.1699999999</v>
      </c>
      <c r="F21" s="289"/>
      <c r="G21" s="289">
        <f t="shared" si="0"/>
        <v>4492755.17</v>
      </c>
      <c r="H21" s="623"/>
      <c r="I21" s="289">
        <f>'FA Continuity 2006'!L21</f>
        <v>953640.8300000001</v>
      </c>
      <c r="J21" s="289">
        <f>90687.97+125039.82</f>
        <v>215727.79</v>
      </c>
      <c r="K21" s="289"/>
      <c r="L21" s="289">
        <f t="shared" si="1"/>
        <v>1169368.62</v>
      </c>
      <c r="M21" s="289">
        <f t="shared" si="2"/>
        <v>3323386.55</v>
      </c>
    </row>
    <row r="22" spans="1:13" ht="12.75">
      <c r="A22" s="228">
        <f>+'FA Continuity 2006'!A22</f>
        <v>1</v>
      </c>
      <c r="B22" s="464">
        <f>+'FA Continuity 2006'!B22</f>
        <v>1855</v>
      </c>
      <c r="C22" s="473" t="str">
        <f>+'FA Continuity 2006'!C22</f>
        <v>Services</v>
      </c>
      <c r="D22" s="289">
        <f>'FA Continuity 2006'!G22</f>
        <v>1155237.98</v>
      </c>
      <c r="E22" s="289">
        <f>9899.24+337535.27</f>
        <v>347434.51</v>
      </c>
      <c r="F22" s="289"/>
      <c r="G22" s="289">
        <f t="shared" si="0"/>
        <v>1502672.49</v>
      </c>
      <c r="H22" s="623"/>
      <c r="I22" s="289">
        <f>'FA Continuity 2006'!L22</f>
        <v>150999.24</v>
      </c>
      <c r="J22" s="289">
        <f>6867+53296</f>
        <v>60163</v>
      </c>
      <c r="K22" s="289"/>
      <c r="L22" s="289">
        <f t="shared" si="1"/>
        <v>211162.24</v>
      </c>
      <c r="M22" s="289">
        <f t="shared" si="2"/>
        <v>1291510.25</v>
      </c>
    </row>
    <row r="23" spans="1:13" ht="12.75">
      <c r="A23" s="228">
        <f>+'FA Continuity 2006'!A23</f>
        <v>1</v>
      </c>
      <c r="B23" s="464">
        <f>+'FA Continuity 2006'!B23</f>
        <v>1860</v>
      </c>
      <c r="C23" s="473" t="str">
        <f>+'FA Continuity 2006'!C23</f>
        <v>Meters</v>
      </c>
      <c r="D23" s="289">
        <f>'FA Continuity 2006'!G23</f>
        <v>3598653.0199999996</v>
      </c>
      <c r="E23" s="289">
        <v>346295.91</v>
      </c>
      <c r="F23" s="289"/>
      <c r="G23" s="289">
        <f t="shared" si="0"/>
        <v>3944948.9299999997</v>
      </c>
      <c r="H23" s="623"/>
      <c r="I23" s="289">
        <f>'FA Continuity 2006'!L23</f>
        <v>1568053.91</v>
      </c>
      <c r="J23" s="289">
        <v>296099.42</v>
      </c>
      <c r="K23" s="289"/>
      <c r="L23" s="289">
        <f t="shared" si="1"/>
        <v>1864153.3299999998</v>
      </c>
      <c r="M23" s="289">
        <f t="shared" si="2"/>
        <v>2080795.5999999999</v>
      </c>
    </row>
    <row r="24" spans="1:13" ht="12.75">
      <c r="A24" s="228">
        <f>+'FA Continuity 2006'!A24</f>
        <v>0</v>
      </c>
      <c r="B24" s="464">
        <f>+'FA Continuity 2006'!B24</f>
        <v>1865</v>
      </c>
      <c r="C24" s="473" t="str">
        <f>+'FA Continuity 2006'!C24</f>
        <v>Other Installations on Customer's Premises</v>
      </c>
      <c r="D24" s="289">
        <f>'FA Continuity 2006'!G24</f>
        <v>0</v>
      </c>
      <c r="E24" s="289"/>
      <c r="F24" s="289"/>
      <c r="G24" s="289">
        <f t="shared" si="0"/>
        <v>0</v>
      </c>
      <c r="H24" s="623"/>
      <c r="I24" s="289">
        <f>'FA Continuity 2006'!L24</f>
        <v>0</v>
      </c>
      <c r="J24" s="289"/>
      <c r="K24" s="289"/>
      <c r="L24" s="289">
        <f t="shared" si="1"/>
        <v>0</v>
      </c>
      <c r="M24" s="289">
        <f t="shared" si="2"/>
        <v>0</v>
      </c>
    </row>
    <row r="25" spans="1:13" ht="12.75">
      <c r="A25" s="228" t="str">
        <f>+'FA Continuity 2006'!A25</f>
        <v>N/A</v>
      </c>
      <c r="B25" s="464">
        <f>+'FA Continuity 2006'!B25</f>
        <v>1905</v>
      </c>
      <c r="C25" s="473" t="str">
        <f>+'FA Continuity 2006'!C25</f>
        <v>Land</v>
      </c>
      <c r="D25" s="289">
        <f>'FA Continuity 2006'!G25</f>
        <v>17529.54</v>
      </c>
      <c r="E25" s="289"/>
      <c r="F25" s="289"/>
      <c r="G25" s="289">
        <f t="shared" si="0"/>
        <v>17529.54</v>
      </c>
      <c r="H25" s="623"/>
      <c r="I25" s="289">
        <f>'FA Continuity 2006'!L25</f>
        <v>0</v>
      </c>
      <c r="J25" s="289"/>
      <c r="K25" s="289"/>
      <c r="L25" s="289">
        <f t="shared" si="1"/>
        <v>0</v>
      </c>
      <c r="M25" s="289">
        <f t="shared" si="2"/>
        <v>17529.54</v>
      </c>
    </row>
    <row r="26" spans="1:13" ht="12.75">
      <c r="A26" s="228" t="str">
        <f>+'FA Continuity 2006'!A26</f>
        <v>CEC</v>
      </c>
      <c r="B26" s="464">
        <f>+'FA Continuity 2006'!B26</f>
        <v>1906</v>
      </c>
      <c r="C26" s="473" t="str">
        <f>+'FA Continuity 2006'!C26</f>
        <v>Land Rights</v>
      </c>
      <c r="D26" s="289">
        <f>'FA Continuity 2006'!G26</f>
        <v>0</v>
      </c>
      <c r="E26" s="289"/>
      <c r="F26" s="289"/>
      <c r="G26" s="289">
        <f t="shared" si="0"/>
        <v>0</v>
      </c>
      <c r="H26" s="623"/>
      <c r="I26" s="289">
        <f>'FA Continuity 2006'!L26</f>
        <v>0</v>
      </c>
      <c r="J26" s="289"/>
      <c r="K26" s="289"/>
      <c r="L26" s="289">
        <f t="shared" si="1"/>
        <v>0</v>
      </c>
      <c r="M26" s="289">
        <f t="shared" si="2"/>
        <v>0</v>
      </c>
    </row>
    <row r="27" spans="1:13" ht="12.75">
      <c r="A27" s="228">
        <f>+'FA Continuity 2006'!A27</f>
        <v>1</v>
      </c>
      <c r="B27" s="464">
        <f>+'FA Continuity 2006'!B27</f>
        <v>1908</v>
      </c>
      <c r="C27" s="473" t="str">
        <f>+'FA Continuity 2006'!C27</f>
        <v>Buildings and Fixtures</v>
      </c>
      <c r="D27" s="289">
        <f>'FA Continuity 2006'!G27</f>
        <v>448482.56</v>
      </c>
      <c r="E27" s="289">
        <v>53090.72</v>
      </c>
      <c r="F27" s="289"/>
      <c r="G27" s="289">
        <f t="shared" si="0"/>
        <v>501573.28</v>
      </c>
      <c r="H27" s="623"/>
      <c r="I27" s="289">
        <f>'FA Continuity 2006'!L27</f>
        <v>99629.9</v>
      </c>
      <c r="J27" s="289">
        <v>19964.34</v>
      </c>
      <c r="K27" s="289"/>
      <c r="L27" s="289">
        <f t="shared" si="1"/>
        <v>119594.23999999999</v>
      </c>
      <c r="M27" s="289">
        <f t="shared" si="2"/>
        <v>381979.04000000004</v>
      </c>
    </row>
    <row r="28" spans="1:13" ht="12.75">
      <c r="A28" s="228">
        <f>+'FA Continuity 2006'!A28</f>
        <v>0</v>
      </c>
      <c r="B28" s="464">
        <f>+'FA Continuity 2006'!B28</f>
        <v>1910</v>
      </c>
      <c r="C28" s="473" t="str">
        <f>+'FA Continuity 2006'!C28</f>
        <v>Leasehold Improvements</v>
      </c>
      <c r="D28" s="289">
        <f>'FA Continuity 2006'!G28</f>
        <v>0</v>
      </c>
      <c r="E28" s="289"/>
      <c r="F28" s="289"/>
      <c r="G28" s="289">
        <f t="shared" si="0"/>
        <v>0</v>
      </c>
      <c r="H28" s="623"/>
      <c r="I28" s="289">
        <f>'FA Continuity 2006'!L28</f>
        <v>0</v>
      </c>
      <c r="J28" s="289"/>
      <c r="K28" s="289"/>
      <c r="L28" s="289">
        <f t="shared" si="1"/>
        <v>0</v>
      </c>
      <c r="M28" s="289">
        <f t="shared" si="2"/>
        <v>0</v>
      </c>
    </row>
    <row r="29" spans="1:13" ht="12.75">
      <c r="A29" s="228">
        <f>+'FA Continuity 2006'!A29</f>
        <v>8</v>
      </c>
      <c r="B29" s="464">
        <f>+'FA Continuity 2006'!B29</f>
        <v>1915</v>
      </c>
      <c r="C29" s="473" t="str">
        <f>+'FA Continuity 2006'!C29</f>
        <v>Office Furniture and Equipment</v>
      </c>
      <c r="D29" s="289">
        <f>'FA Continuity 2006'!G29</f>
        <v>166115.05</v>
      </c>
      <c r="E29" s="289">
        <v>8955.19</v>
      </c>
      <c r="F29" s="289"/>
      <c r="G29" s="289">
        <f t="shared" si="0"/>
        <v>175070.24</v>
      </c>
      <c r="H29" s="623"/>
      <c r="I29" s="289">
        <f>'FA Continuity 2006'!L29</f>
        <v>97506.74</v>
      </c>
      <c r="J29" s="289">
        <v>12636</v>
      </c>
      <c r="K29" s="289"/>
      <c r="L29" s="289">
        <f t="shared" si="1"/>
        <v>110142.74</v>
      </c>
      <c r="M29" s="289">
        <f t="shared" si="2"/>
        <v>64927.499999999985</v>
      </c>
    </row>
    <row r="30" spans="1:13" ht="12.75">
      <c r="A30" s="228">
        <f>+'FA Continuity 2006'!A30</f>
        <v>45</v>
      </c>
      <c r="B30" s="464">
        <f>+'FA Continuity 2006'!B30</f>
        <v>1920</v>
      </c>
      <c r="C30" s="473" t="str">
        <f>+'FA Continuity 2006'!C30</f>
        <v>Computer Equipment - Hardware</v>
      </c>
      <c r="D30" s="289">
        <f>'FA Continuity 2006'!G30</f>
        <v>689489.6000000001</v>
      </c>
      <c r="E30" s="289">
        <v>106421.77</v>
      </c>
      <c r="F30" s="289"/>
      <c r="G30" s="289">
        <f t="shared" si="0"/>
        <v>795911.3700000001</v>
      </c>
      <c r="H30" s="623"/>
      <c r="I30" s="289">
        <f>'FA Continuity 2006'!L30</f>
        <v>492534.16000000003</v>
      </c>
      <c r="J30" s="289">
        <v>108354.91</v>
      </c>
      <c r="K30" s="289"/>
      <c r="L30" s="289">
        <f t="shared" si="1"/>
        <v>600889.0700000001</v>
      </c>
      <c r="M30" s="289">
        <f t="shared" si="2"/>
        <v>195022.30000000005</v>
      </c>
    </row>
    <row r="31" spans="1:14" ht="12.75">
      <c r="A31" s="228">
        <f>+'FA Continuity 2006'!A31</f>
        <v>12</v>
      </c>
      <c r="B31" s="464">
        <f>+'FA Continuity 2006'!B31</f>
        <v>1925</v>
      </c>
      <c r="C31" s="473" t="str">
        <f>+'FA Continuity 2006'!C31</f>
        <v>Computer Software</v>
      </c>
      <c r="D31" s="289">
        <f>'FA Continuity 2006'!G31</f>
        <v>793441.3700000001</v>
      </c>
      <c r="E31" s="289">
        <v>167372.46</v>
      </c>
      <c r="F31" s="289"/>
      <c r="G31" s="289">
        <f t="shared" si="0"/>
        <v>960813.8300000001</v>
      </c>
      <c r="H31" s="623"/>
      <c r="I31" s="289">
        <f>'FA Continuity 2006'!L31</f>
        <v>606630.05</v>
      </c>
      <c r="J31" s="289">
        <v>100493.93</v>
      </c>
      <c r="K31" s="289"/>
      <c r="L31" s="289">
        <f>I31+J31-K31</f>
        <v>707123.98</v>
      </c>
      <c r="M31" s="289">
        <f t="shared" si="2"/>
        <v>253689.8500000001</v>
      </c>
      <c r="N31" s="252"/>
    </row>
    <row r="32" spans="1:13" ht="12.75">
      <c r="A32" s="228">
        <f>+'FA Continuity 2006'!A32</f>
        <v>10</v>
      </c>
      <c r="B32" s="464">
        <f>+'FA Continuity 2006'!B32</f>
        <v>1930</v>
      </c>
      <c r="C32" s="473" t="str">
        <f>+'FA Continuity 2006'!C32</f>
        <v>Transportation Equipment</v>
      </c>
      <c r="D32" s="289">
        <f>'FA Continuity 2006'!G32</f>
        <v>1259712.9</v>
      </c>
      <c r="E32" s="289">
        <f>29846.72+51268.6</f>
        <v>81115.32</v>
      </c>
      <c r="F32" s="289">
        <f>21947.62+17800.33</f>
        <v>39747.95</v>
      </c>
      <c r="G32" s="289">
        <f t="shared" si="0"/>
        <v>1301080.27</v>
      </c>
      <c r="H32" s="623"/>
      <c r="I32" s="289">
        <f>'FA Continuity 2006'!L32</f>
        <v>708136.9</v>
      </c>
      <c r="J32" s="289">
        <v>150809.32</v>
      </c>
      <c r="K32" s="289">
        <f>39747.95</f>
        <v>39747.95</v>
      </c>
      <c r="L32" s="289">
        <f t="shared" si="1"/>
        <v>819198.27</v>
      </c>
      <c r="M32" s="289">
        <f t="shared" si="2"/>
        <v>481882</v>
      </c>
    </row>
    <row r="33" spans="1:16" ht="12.75">
      <c r="A33" s="228">
        <f>+'FA Continuity 2006'!A33</f>
        <v>10</v>
      </c>
      <c r="B33" s="464">
        <f>+'FA Continuity 2006'!B33</f>
        <v>1935</v>
      </c>
      <c r="C33" s="473" t="str">
        <f>+'FA Continuity 2006'!C33</f>
        <v>Stores Equipment</v>
      </c>
      <c r="D33" s="289">
        <f>'FA Continuity 2006'!G33</f>
        <v>43075.149999999994</v>
      </c>
      <c r="E33" s="289"/>
      <c r="F33" s="289"/>
      <c r="G33" s="289">
        <f t="shared" si="0"/>
        <v>43075.149999999994</v>
      </c>
      <c r="H33" s="623"/>
      <c r="I33" s="289">
        <f>'FA Continuity 2006'!L33</f>
        <v>20501.95</v>
      </c>
      <c r="J33" s="289">
        <v>4292</v>
      </c>
      <c r="K33" s="289"/>
      <c r="L33" s="289">
        <f t="shared" si="1"/>
        <v>24793.95</v>
      </c>
      <c r="M33" s="289">
        <f t="shared" si="2"/>
        <v>18281.199999999993</v>
      </c>
      <c r="P33" s="225"/>
    </row>
    <row r="34" spans="1:13" ht="12.75">
      <c r="A34" s="228">
        <f>+'FA Continuity 2006'!A34</f>
        <v>8</v>
      </c>
      <c r="B34" s="464">
        <f>+'FA Continuity 2006'!B34</f>
        <v>1940</v>
      </c>
      <c r="C34" s="473" t="str">
        <f>+'FA Continuity 2006'!C34</f>
        <v>Tools, Shop and Garage Equipment</v>
      </c>
      <c r="D34" s="289">
        <f>'FA Continuity 2006'!G34</f>
        <v>187594.44000000003</v>
      </c>
      <c r="E34" s="289">
        <v>9700.15</v>
      </c>
      <c r="F34" s="289"/>
      <c r="G34" s="289">
        <f t="shared" si="0"/>
        <v>197294.59000000003</v>
      </c>
      <c r="H34" s="623"/>
      <c r="I34" s="289">
        <f>'FA Continuity 2006'!L34</f>
        <v>124708.02</v>
      </c>
      <c r="J34" s="289">
        <v>15579</v>
      </c>
      <c r="K34" s="289"/>
      <c r="L34" s="289">
        <f t="shared" si="1"/>
        <v>140287.02000000002</v>
      </c>
      <c r="M34" s="289">
        <f t="shared" si="2"/>
        <v>57007.57000000001</v>
      </c>
    </row>
    <row r="35" spans="1:13" ht="12.75">
      <c r="A35" s="228">
        <f>+'FA Continuity 2006'!A35</f>
        <v>0</v>
      </c>
      <c r="B35" s="464">
        <f>+'FA Continuity 2006'!B35</f>
        <v>1945</v>
      </c>
      <c r="C35" s="473" t="str">
        <f>+'FA Continuity 2006'!C35</f>
        <v>Measurement and Testing Equipment</v>
      </c>
      <c r="D35" s="289">
        <f>'FA Continuity 2006'!G35</f>
        <v>75162.71</v>
      </c>
      <c r="E35" s="289"/>
      <c r="F35" s="289"/>
      <c r="G35" s="289">
        <f t="shared" si="0"/>
        <v>75162.71</v>
      </c>
      <c r="H35" s="623"/>
      <c r="I35" s="289">
        <f>'FA Continuity 2006'!L35</f>
        <v>63385.35</v>
      </c>
      <c r="J35" s="289">
        <v>4693</v>
      </c>
      <c r="K35" s="289"/>
      <c r="L35" s="289">
        <f t="shared" si="1"/>
        <v>68078.35</v>
      </c>
      <c r="M35" s="289">
        <f t="shared" si="2"/>
        <v>7084.360000000001</v>
      </c>
    </row>
    <row r="36" spans="1:13" ht="12.75">
      <c r="A36" s="228">
        <f>+'FA Continuity 2006'!A36</f>
        <v>0</v>
      </c>
      <c r="B36" s="464">
        <f>+'FA Continuity 2006'!B36</f>
        <v>1950</v>
      </c>
      <c r="C36" s="473" t="str">
        <f>+'FA Continuity 2006'!C36</f>
        <v>Power Operated Equipment</v>
      </c>
      <c r="D36" s="289">
        <f>'FA Continuity 2006'!G36</f>
        <v>0</v>
      </c>
      <c r="E36" s="289"/>
      <c r="F36" s="289"/>
      <c r="G36" s="289">
        <f t="shared" si="0"/>
        <v>0</v>
      </c>
      <c r="H36" s="623"/>
      <c r="I36" s="289">
        <f>'FA Continuity 2006'!L36</f>
        <v>0</v>
      </c>
      <c r="J36" s="289"/>
      <c r="K36" s="289"/>
      <c r="L36" s="289">
        <f t="shared" si="1"/>
        <v>0</v>
      </c>
      <c r="M36" s="289">
        <f t="shared" si="2"/>
        <v>0</v>
      </c>
    </row>
    <row r="37" spans="1:13" ht="12.75">
      <c r="A37" s="228">
        <f>+'FA Continuity 2006'!A37</f>
        <v>10</v>
      </c>
      <c r="B37" s="464">
        <f>+'FA Continuity 2006'!B37</f>
        <v>1955</v>
      </c>
      <c r="C37" s="473" t="str">
        <f>+'FA Continuity 2006'!C37</f>
        <v>Communication Equipment</v>
      </c>
      <c r="D37" s="289">
        <f>'FA Continuity 2006'!G37</f>
        <v>13102.560000000001</v>
      </c>
      <c r="E37" s="289">
        <v>757.08</v>
      </c>
      <c r="F37" s="289"/>
      <c r="G37" s="289">
        <f t="shared" si="0"/>
        <v>13859.640000000001</v>
      </c>
      <c r="H37" s="623"/>
      <c r="I37" s="289">
        <f>'FA Continuity 2006'!L37</f>
        <v>3341.24</v>
      </c>
      <c r="J37" s="289">
        <v>1388</v>
      </c>
      <c r="K37" s="289"/>
      <c r="L37" s="289">
        <f t="shared" si="1"/>
        <v>4729.24</v>
      </c>
      <c r="M37" s="289">
        <f t="shared" si="2"/>
        <v>9130.400000000001</v>
      </c>
    </row>
    <row r="38" spans="1:13" ht="12.75">
      <c r="A38" s="228">
        <f>+'FA Continuity 2006'!A38</f>
        <v>0</v>
      </c>
      <c r="B38" s="464">
        <f>+'FA Continuity 2006'!B38</f>
        <v>1960</v>
      </c>
      <c r="C38" s="473" t="str">
        <f>+'FA Continuity 2006'!C38</f>
        <v>Miscellaneous Equipment</v>
      </c>
      <c r="D38" s="289">
        <f>'FA Continuity 2006'!G38</f>
        <v>485.09</v>
      </c>
      <c r="E38" s="289"/>
      <c r="F38" s="289"/>
      <c r="G38" s="289">
        <f t="shared" si="0"/>
        <v>485.09</v>
      </c>
      <c r="H38" s="623"/>
      <c r="I38" s="289">
        <f>'FA Continuity 2006'!L38</f>
        <v>326.09</v>
      </c>
      <c r="J38" s="289">
        <v>53</v>
      </c>
      <c r="K38" s="289"/>
      <c r="L38" s="289">
        <f t="shared" si="1"/>
        <v>379.09</v>
      </c>
      <c r="M38" s="289">
        <f t="shared" si="2"/>
        <v>106</v>
      </c>
    </row>
    <row r="39" spans="1:13" ht="12.75">
      <c r="A39" s="228">
        <f>+'FA Continuity 2006'!A39</f>
        <v>0</v>
      </c>
      <c r="B39" s="464">
        <f>+'FA Continuity 2006'!B39</f>
        <v>1970</v>
      </c>
      <c r="C39" s="473" t="str">
        <f>+'FA Continuity 2006'!C39</f>
        <v>Load Management Controls - Customer Premises </v>
      </c>
      <c r="D39" s="289">
        <f>'FA Continuity 2006'!G39</f>
        <v>0</v>
      </c>
      <c r="E39" s="289"/>
      <c r="F39" s="289"/>
      <c r="G39" s="289">
        <f t="shared" si="0"/>
        <v>0</v>
      </c>
      <c r="H39" s="623"/>
      <c r="I39" s="289">
        <f>'FA Continuity 2006'!L39</f>
        <v>0</v>
      </c>
      <c r="J39" s="289"/>
      <c r="K39" s="289"/>
      <c r="L39" s="289">
        <f t="shared" si="1"/>
        <v>0</v>
      </c>
      <c r="M39" s="289">
        <f t="shared" si="2"/>
        <v>0</v>
      </c>
    </row>
    <row r="40" spans="1:13" ht="12.75">
      <c r="A40" s="228">
        <f>+'FA Continuity 2006'!A40</f>
        <v>0</v>
      </c>
      <c r="B40" s="464">
        <f>+'FA Continuity 2006'!B40</f>
        <v>1975</v>
      </c>
      <c r="C40" s="473" t="str">
        <f>+'FA Continuity 2006'!C40</f>
        <v>Load Management Controls - Utility Premises</v>
      </c>
      <c r="D40" s="289">
        <f>'FA Continuity 2006'!G40</f>
        <v>0</v>
      </c>
      <c r="E40" s="289"/>
      <c r="F40" s="289"/>
      <c r="G40" s="289">
        <f t="shared" si="0"/>
        <v>0</v>
      </c>
      <c r="H40" s="623"/>
      <c r="I40" s="289">
        <f>'FA Continuity 2006'!L40</f>
        <v>0</v>
      </c>
      <c r="J40" s="289"/>
      <c r="K40" s="289"/>
      <c r="L40" s="289">
        <f t="shared" si="1"/>
        <v>0</v>
      </c>
      <c r="M40" s="289">
        <f t="shared" si="2"/>
        <v>0</v>
      </c>
    </row>
    <row r="41" spans="1:13" ht="12.75">
      <c r="A41" s="228">
        <f>+'FA Continuity 2006'!A41</f>
        <v>0</v>
      </c>
      <c r="B41" s="464">
        <f>+'FA Continuity 2006'!B41</f>
        <v>1980</v>
      </c>
      <c r="C41" s="473" t="str">
        <f>+'FA Continuity 2006'!C41</f>
        <v>System Supervisory Equipment</v>
      </c>
      <c r="D41" s="289">
        <f>'FA Continuity 2006'!G41</f>
        <v>169335.24</v>
      </c>
      <c r="E41" s="289">
        <v>91900.13</v>
      </c>
      <c r="F41" s="289"/>
      <c r="G41" s="289">
        <f t="shared" si="0"/>
        <v>261235.37</v>
      </c>
      <c r="H41" s="623"/>
      <c r="I41" s="289">
        <f>'FA Continuity 2006'!L41</f>
        <v>29038.25</v>
      </c>
      <c r="J41" s="289">
        <v>17347</v>
      </c>
      <c r="K41" s="289"/>
      <c r="L41" s="289">
        <f t="shared" si="1"/>
        <v>46385.25</v>
      </c>
      <c r="M41" s="289">
        <f t="shared" si="2"/>
        <v>214850.12</v>
      </c>
    </row>
    <row r="42" spans="1:13" ht="12.75">
      <c r="A42" s="228">
        <f>+'FA Continuity 2006'!A42</f>
        <v>0</v>
      </c>
      <c r="B42" s="464">
        <f>+'FA Continuity 2006'!B42</f>
        <v>1985</v>
      </c>
      <c r="C42" s="473" t="str">
        <f>+'FA Continuity 2006'!C42</f>
        <v>Sentinel Lighting Rentals</v>
      </c>
      <c r="D42" s="289">
        <f>'FA Continuity 2006'!G42</f>
        <v>0</v>
      </c>
      <c r="E42" s="289"/>
      <c r="F42" s="289"/>
      <c r="G42" s="289">
        <f t="shared" si="0"/>
        <v>0</v>
      </c>
      <c r="H42" s="623"/>
      <c r="I42" s="289">
        <f>'FA Continuity 2006'!L42</f>
        <v>0</v>
      </c>
      <c r="J42" s="289"/>
      <c r="K42" s="289"/>
      <c r="L42" s="289">
        <f t="shared" si="1"/>
        <v>0</v>
      </c>
      <c r="M42" s="289">
        <f t="shared" si="2"/>
        <v>0</v>
      </c>
    </row>
    <row r="43" spans="1:13" ht="12.75">
      <c r="A43" s="228">
        <f>+'FA Continuity 2006'!A43</f>
        <v>0</v>
      </c>
      <c r="B43" s="464">
        <f>+'FA Continuity 2006'!B43</f>
        <v>1990</v>
      </c>
      <c r="C43" s="473" t="str">
        <f>+'FA Continuity 2006'!C43</f>
        <v>Other Tangible Property</v>
      </c>
      <c r="D43" s="289">
        <f>'FA Continuity 2006'!G43</f>
        <v>0</v>
      </c>
      <c r="E43" s="289"/>
      <c r="F43" s="289"/>
      <c r="G43" s="289">
        <f t="shared" si="0"/>
        <v>0</v>
      </c>
      <c r="H43" s="623"/>
      <c r="I43" s="289">
        <f>'FA Continuity 2006'!L43</f>
        <v>0</v>
      </c>
      <c r="J43" s="289"/>
      <c r="K43" s="289"/>
      <c r="L43" s="289">
        <f t="shared" si="1"/>
        <v>0</v>
      </c>
      <c r="M43" s="289">
        <f t="shared" si="2"/>
        <v>0</v>
      </c>
    </row>
    <row r="44" spans="1:13" s="373" customFormat="1" ht="12.75">
      <c r="A44" s="228">
        <v>1</v>
      </c>
      <c r="B44" s="464">
        <f>+'FA Continuity 2006'!B44</f>
        <v>1995</v>
      </c>
      <c r="C44" s="473" t="str">
        <f>+'FA Continuity 2006'!C44</f>
        <v>Contributions and Grants</v>
      </c>
      <c r="D44" s="289">
        <f>'FA Continuity 2006'!G44</f>
        <v>-1375073.97</v>
      </c>
      <c r="E44" s="289">
        <v>-303435.6</v>
      </c>
      <c r="F44" s="289"/>
      <c r="G44" s="289">
        <f t="shared" si="0"/>
        <v>-1678509.5699999998</v>
      </c>
      <c r="H44" s="623"/>
      <c r="I44" s="289">
        <f>'FA Continuity 2006'!L44</f>
        <v>-153507</v>
      </c>
      <c r="J44" s="289">
        <v>-67141</v>
      </c>
      <c r="K44" s="289"/>
      <c r="L44" s="289">
        <f t="shared" si="1"/>
        <v>-220648</v>
      </c>
      <c r="M44" s="289">
        <f t="shared" si="2"/>
        <v>-1457861.5699999998</v>
      </c>
    </row>
    <row r="45" spans="1:13" ht="12.75">
      <c r="A45" s="228">
        <v>47</v>
      </c>
      <c r="B45" s="464">
        <f>+'FA Continuity 2006'!B45</f>
        <v>1996</v>
      </c>
      <c r="C45" s="473" t="str">
        <f>+'FA Continuity 2006'!C45</f>
        <v>Contributions - Commerce Way TS</v>
      </c>
      <c r="D45" s="289">
        <f>'FA Continuity 2006'!G45</f>
        <v>0</v>
      </c>
      <c r="E45" s="289"/>
      <c r="F45" s="289"/>
      <c r="G45" s="289">
        <f t="shared" si="0"/>
        <v>0</v>
      </c>
      <c r="H45" s="623"/>
      <c r="I45" s="289">
        <f>'FA Continuity 2006'!L45</f>
        <v>0</v>
      </c>
      <c r="J45" s="289"/>
      <c r="K45" s="289"/>
      <c r="L45" s="289">
        <f t="shared" si="1"/>
        <v>0</v>
      </c>
      <c r="M45" s="289">
        <f t="shared" si="2"/>
        <v>0</v>
      </c>
    </row>
    <row r="46" spans="1:13" ht="12.75">
      <c r="A46" s="228">
        <f>+'FA Continuity 2006'!A46</f>
        <v>17</v>
      </c>
      <c r="B46" s="464">
        <f>+'FA Continuity 2006'!B46</f>
        <v>2075</v>
      </c>
      <c r="C46" s="473" t="str">
        <f>+'FA Continuity 2006'!C46</f>
        <v>NUP Owned - Generation Facility Assets</v>
      </c>
      <c r="D46" s="289">
        <f>'FA Continuity 2006'!G46</f>
        <v>0</v>
      </c>
      <c r="E46" s="289"/>
      <c r="F46" s="289">
        <v>0</v>
      </c>
      <c r="G46" s="289">
        <f t="shared" si="0"/>
        <v>0</v>
      </c>
      <c r="H46" s="623"/>
      <c r="I46" s="289">
        <f>'FA Continuity 2006'!L46</f>
        <v>0</v>
      </c>
      <c r="J46" s="289"/>
      <c r="K46" s="289"/>
      <c r="L46" s="289">
        <f t="shared" si="1"/>
        <v>0</v>
      </c>
      <c r="M46" s="289">
        <f t="shared" si="2"/>
        <v>0</v>
      </c>
    </row>
    <row r="47" spans="1:13" ht="12.75">
      <c r="A47" s="228"/>
      <c r="B47" s="474"/>
      <c r="C47" s="475" t="s">
        <v>235</v>
      </c>
      <c r="D47" s="463">
        <f>SUM(D10:D46)</f>
        <v>26866889.639999997</v>
      </c>
      <c r="E47" s="463">
        <f>SUM(E10:E46)</f>
        <v>2441055.13</v>
      </c>
      <c r="F47" s="463">
        <f>SUM(F10:F46)</f>
        <v>39747.95</v>
      </c>
      <c r="G47" s="463">
        <f>SUM(G10:G46)</f>
        <v>29268196.82</v>
      </c>
      <c r="H47" s="623"/>
      <c r="I47" s="463">
        <f>SUM(I10:I46)</f>
        <v>9562401.360000001</v>
      </c>
      <c r="J47" s="463">
        <f>SUM(J10:J46)</f>
        <v>1827871.54</v>
      </c>
      <c r="K47" s="463">
        <f>SUM(K10:K46)</f>
        <v>39747.95</v>
      </c>
      <c r="L47" s="463">
        <f>SUM(L10:L46)</f>
        <v>11350524.95</v>
      </c>
      <c r="M47" s="463">
        <f>SUM(M10:M46)</f>
        <v>17917671.869999997</v>
      </c>
    </row>
    <row r="48" spans="1:13" ht="12.75">
      <c r="A48" s="228"/>
      <c r="B48" s="474"/>
      <c r="C48" s="473"/>
      <c r="D48" s="289"/>
      <c r="E48" s="289"/>
      <c r="F48" s="289"/>
      <c r="G48" s="289"/>
      <c r="H48" s="623"/>
      <c r="I48" s="289"/>
      <c r="J48" s="289"/>
      <c r="K48" s="289"/>
      <c r="L48" s="289"/>
      <c r="M48" s="289"/>
    </row>
    <row r="49" spans="1:13" ht="12.75">
      <c r="A49" s="228">
        <f>+'FA Continuity 2006'!A49</f>
        <v>94</v>
      </c>
      <c r="B49" s="464">
        <f>+'FA Continuity 2006'!B49</f>
        <v>0</v>
      </c>
      <c r="C49" s="473" t="str">
        <f>+'FA Continuity 2006'!C49</f>
        <v>Work in Process</v>
      </c>
      <c r="D49" s="289">
        <f>'FA Continuity 2006'!G49</f>
        <v>0</v>
      </c>
      <c r="E49" s="289"/>
      <c r="F49" s="289"/>
      <c r="G49" s="289">
        <f>D49+E49-F49</f>
        <v>0</v>
      </c>
      <c r="H49" s="623"/>
      <c r="I49" s="289">
        <f>'FA Continuity 2006'!L49</f>
        <v>0</v>
      </c>
      <c r="J49" s="289">
        <v>0</v>
      </c>
      <c r="K49" s="289">
        <v>0</v>
      </c>
      <c r="L49" s="289">
        <f>I49+J49-K49</f>
        <v>0</v>
      </c>
      <c r="M49" s="289">
        <f>G49-L49</f>
        <v>0</v>
      </c>
    </row>
    <row r="50" spans="1:13" ht="12.75">
      <c r="A50" s="228"/>
      <c r="B50" s="474"/>
      <c r="C50" s="475" t="s">
        <v>236</v>
      </c>
      <c r="D50" s="463">
        <f>SUM(D47:D49)</f>
        <v>26866889.639999997</v>
      </c>
      <c r="E50" s="463">
        <f>SUM(E47:E49)</f>
        <v>2441055.13</v>
      </c>
      <c r="F50" s="463">
        <f>SUM(F47:F49)</f>
        <v>39747.95</v>
      </c>
      <c r="G50" s="463">
        <f>SUM(G47:G49)</f>
        <v>29268196.82</v>
      </c>
      <c r="H50" s="623"/>
      <c r="I50" s="463">
        <f>SUM(I47:I49)</f>
        <v>9562401.360000001</v>
      </c>
      <c r="J50" s="463">
        <f>SUM(J47:J49)</f>
        <v>1827871.54</v>
      </c>
      <c r="K50" s="463">
        <f>SUM(K47:K49)</f>
        <v>39747.95</v>
      </c>
      <c r="L50" s="463">
        <f>SUM(L47:L49)</f>
        <v>11350524.95</v>
      </c>
      <c r="M50" s="463">
        <f>SUM(M47:M49)</f>
        <v>17917671.869999997</v>
      </c>
    </row>
    <row r="51" spans="1:13" ht="12.75">
      <c r="A51" s="212"/>
      <c r="B51" s="476"/>
      <c r="C51" s="477"/>
      <c r="D51" s="478"/>
      <c r="E51" s="478"/>
      <c r="F51" s="478"/>
      <c r="G51" s="478"/>
      <c r="H51" s="478"/>
      <c r="I51" s="478"/>
      <c r="J51" s="478"/>
      <c r="K51" s="478"/>
      <c r="L51" s="478"/>
      <c r="M51" s="478"/>
    </row>
    <row r="52" spans="1:13" ht="12.75">
      <c r="A52" s="476"/>
      <c r="B52" s="476"/>
      <c r="C52" s="477"/>
      <c r="D52" s="478"/>
      <c r="E52" s="478"/>
      <c r="F52" s="478"/>
      <c r="G52" s="478"/>
      <c r="H52" s="482" t="s">
        <v>270</v>
      </c>
      <c r="I52" s="482"/>
      <c r="J52" s="479"/>
      <c r="K52" s="478"/>
      <c r="L52" s="480"/>
      <c r="M52" s="478"/>
    </row>
    <row r="53" spans="1:13" ht="12.75">
      <c r="A53" s="464"/>
      <c r="B53" s="464">
        <v>1930</v>
      </c>
      <c r="C53" s="473" t="s">
        <v>271</v>
      </c>
      <c r="D53" s="478"/>
      <c r="E53" s="478"/>
      <c r="F53" s="478"/>
      <c r="G53" s="478"/>
      <c r="H53" s="624" t="s">
        <v>271</v>
      </c>
      <c r="I53" s="624"/>
      <c r="J53" s="289">
        <f>+J32</f>
        <v>150809.32</v>
      </c>
      <c r="K53" s="478"/>
      <c r="L53" s="480"/>
      <c r="M53" s="478"/>
    </row>
    <row r="54" spans="1:13" ht="12.75">
      <c r="A54" s="464"/>
      <c r="B54" s="464">
        <v>1935</v>
      </c>
      <c r="C54" s="473" t="s">
        <v>536</v>
      </c>
      <c r="D54" s="478"/>
      <c r="E54" s="478"/>
      <c r="F54" s="478"/>
      <c r="G54" s="478"/>
      <c r="H54" s="624" t="s">
        <v>868</v>
      </c>
      <c r="I54" s="624"/>
      <c r="J54" s="289">
        <f>+J33</f>
        <v>4292</v>
      </c>
      <c r="K54" s="478"/>
      <c r="L54" s="480"/>
      <c r="M54" s="478"/>
    </row>
    <row r="55" spans="1:13" ht="13.5" thickBot="1">
      <c r="A55" s="476"/>
      <c r="B55" s="476"/>
      <c r="C55" s="477"/>
      <c r="D55" s="478"/>
      <c r="E55" s="478"/>
      <c r="F55" s="478"/>
      <c r="G55" s="478"/>
      <c r="H55" s="620" t="s">
        <v>272</v>
      </c>
      <c r="I55" s="620"/>
      <c r="J55" s="483">
        <f>J50-J53-J54</f>
        <v>1672770.22</v>
      </c>
      <c r="K55" s="478"/>
      <c r="L55" s="481"/>
      <c r="M55" s="478"/>
    </row>
    <row r="56" spans="1:13" ht="13.5" thickTop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 s="174"/>
      <c r="J57" s="290"/>
      <c r="K57"/>
      <c r="L57"/>
      <c r="M57"/>
    </row>
    <row r="58" spans="1:13" ht="12.75">
      <c r="A58"/>
      <c r="B58"/>
      <c r="C58"/>
      <c r="D58"/>
      <c r="E58"/>
      <c r="F58"/>
      <c r="G58"/>
      <c r="H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3.5" thickBot="1">
      <c r="A66" s="246"/>
      <c r="B66" s="247"/>
      <c r="C66" s="250"/>
      <c r="D66" s="250"/>
      <c r="E66" s="249"/>
      <c r="F66" s="249"/>
      <c r="G66" s="250"/>
      <c r="H66" s="250"/>
      <c r="I66" s="250"/>
      <c r="J66" s="248"/>
      <c r="K66" s="248"/>
      <c r="L66" s="250"/>
      <c r="M66" s="251"/>
    </row>
    <row r="68" ht="12.75">
      <c r="K68" s="205">
        <f>+K65-K50</f>
        <v>-39747.95</v>
      </c>
    </row>
    <row r="69" ht="12.75">
      <c r="A69" s="252" t="s">
        <v>836</v>
      </c>
    </row>
    <row r="70" ht="12.75">
      <c r="A70" s="264" t="s">
        <v>838</v>
      </c>
    </row>
    <row r="71" ht="12.75">
      <c r="A71" s="24" t="s">
        <v>837</v>
      </c>
    </row>
  </sheetData>
  <sheetProtection/>
  <mergeCells count="24">
    <mergeCell ref="A8:A9"/>
    <mergeCell ref="B8:B9"/>
    <mergeCell ref="C8:C9"/>
    <mergeCell ref="D8:D9"/>
    <mergeCell ref="M8:M9"/>
    <mergeCell ref="E8:E9"/>
    <mergeCell ref="F8:F9"/>
    <mergeCell ref="G8:G9"/>
    <mergeCell ref="I8:I9"/>
    <mergeCell ref="H55:I55"/>
    <mergeCell ref="J8:J9"/>
    <mergeCell ref="K8:K9"/>
    <mergeCell ref="L8:L9"/>
    <mergeCell ref="H8:H50"/>
    <mergeCell ref="H53:I53"/>
    <mergeCell ref="H54:I54"/>
    <mergeCell ref="A1:M1"/>
    <mergeCell ref="A2:M2"/>
    <mergeCell ref="D6:G6"/>
    <mergeCell ref="D7:G7"/>
    <mergeCell ref="I7:L7"/>
    <mergeCell ref="A3:C3"/>
    <mergeCell ref="A4:C4"/>
    <mergeCell ref="A5:C5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landscape" scale="65" r:id="rId1"/>
  <headerFooter alignWithMargins="0">
    <oddFooter>&amp;L&amp;A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showGridLines="0" zoomScalePageLayoutView="0" workbookViewId="0" topLeftCell="A44">
      <selection activeCell="P61" sqref="P61"/>
    </sheetView>
  </sheetViews>
  <sheetFormatPr defaultColWidth="8.8515625" defaultRowHeight="12.75"/>
  <cols>
    <col min="1" max="1" width="39.140625" style="439" customWidth="1"/>
    <col min="2" max="2" width="14.8515625" style="439" customWidth="1"/>
    <col min="3" max="3" width="16.421875" style="439" customWidth="1"/>
    <col min="4" max="4" width="20.8515625" style="439" customWidth="1"/>
    <col min="5" max="5" width="1.57421875" style="439" customWidth="1"/>
    <col min="6" max="6" width="0" style="439" hidden="1" customWidth="1"/>
    <col min="7" max="7" width="15.140625" style="439" hidden="1" customWidth="1"/>
    <col min="8" max="8" width="17.140625" style="439" hidden="1" customWidth="1"/>
    <col min="9" max="9" width="10.28125" style="439" hidden="1" customWidth="1"/>
    <col min="10" max="10" width="0" style="439" hidden="1" customWidth="1"/>
    <col min="11" max="11" width="8.8515625" style="439" customWidth="1"/>
    <col min="12" max="12" width="9.140625" style="439" bestFit="1" customWidth="1"/>
    <col min="13" max="13" width="12.00390625" style="439" bestFit="1" customWidth="1"/>
    <col min="14" max="16384" width="8.8515625" style="439" customWidth="1"/>
  </cols>
  <sheetData>
    <row r="1" spans="1:4" ht="13.5">
      <c r="A1" s="707" t="str">
        <f>'Trial Balance'!A1:J1</f>
        <v>Woodstock Hydro Services Inc.</v>
      </c>
      <c r="B1" s="707"/>
      <c r="C1" s="707"/>
      <c r="D1" s="707"/>
    </row>
    <row r="2" spans="1:4" ht="13.5">
      <c r="A2" s="707" t="str">
        <f>'Trial Balance'!A2:J2</f>
        <v>, License Number ED-2003-0011, File Number EB-2010-0145</v>
      </c>
      <c r="B2" s="707"/>
      <c r="C2" s="707"/>
      <c r="D2" s="707"/>
    </row>
    <row r="3" spans="1:4" ht="15">
      <c r="A3" s="763" t="str">
        <f>Notes!B4</f>
        <v>Woodstock Hydro Services Inc.</v>
      </c>
      <c r="B3" s="763"/>
      <c r="C3" s="763"/>
      <c r="D3" s="763"/>
    </row>
    <row r="4" spans="1:4" ht="15.75" thickBot="1">
      <c r="A4" s="763" t="s">
        <v>412</v>
      </c>
      <c r="B4" s="763"/>
      <c r="C4" s="763"/>
      <c r="D4" s="763"/>
    </row>
    <row r="5" spans="1:9" s="459" customFormat="1" ht="28.5">
      <c r="A5" s="550" t="s">
        <v>184</v>
      </c>
      <c r="B5" s="551" t="s">
        <v>859</v>
      </c>
      <c r="C5" s="551" t="s">
        <v>857</v>
      </c>
      <c r="D5" s="552" t="s">
        <v>858</v>
      </c>
      <c r="G5" s="439"/>
      <c r="H5" s="439"/>
      <c r="I5" s="439"/>
    </row>
    <row r="6" spans="1:4" ht="13.5">
      <c r="A6" s="553" t="s">
        <v>413</v>
      </c>
      <c r="B6" s="554"/>
      <c r="C6" s="554"/>
      <c r="D6" s="555"/>
    </row>
    <row r="7" spans="1:12" ht="13.5">
      <c r="A7" s="418" t="s">
        <v>239</v>
      </c>
      <c r="B7" s="556"/>
      <c r="C7" s="557"/>
      <c r="D7" s="558">
        <f>C67</f>
        <v>1756616.9393048866</v>
      </c>
      <c r="K7" s="559"/>
      <c r="L7" s="559"/>
    </row>
    <row r="8" spans="1:4" ht="13.5">
      <c r="A8" s="418" t="s">
        <v>240</v>
      </c>
      <c r="B8" s="557">
        <f>-'2010 Income Statement'!B31</f>
        <v>6350730.398946558</v>
      </c>
      <c r="C8" s="557">
        <f>-'2011 Income Statement'!B27-'Revenue Requirement'!F15</f>
        <v>6475857.129286346</v>
      </c>
      <c r="D8" s="560">
        <f>+C8</f>
        <v>6475857.129286346</v>
      </c>
    </row>
    <row r="9" spans="1:12" ht="13.5">
      <c r="A9" s="418" t="s">
        <v>241</v>
      </c>
      <c r="B9" s="557">
        <f>-'2010 Income Statement'!B43-'2010 Income Statement'!B67-'2010 Income Statement'!B72</f>
        <v>384328.1549690959</v>
      </c>
      <c r="C9" s="557">
        <f>'Revenue Requirement'!F49</f>
        <v>483278.80000000005</v>
      </c>
      <c r="D9" s="560">
        <f>C9</f>
        <v>483278.80000000005</v>
      </c>
      <c r="L9" s="559"/>
    </row>
    <row r="10" spans="1:12" ht="13.5">
      <c r="A10" s="561" t="s">
        <v>414</v>
      </c>
      <c r="B10" s="562">
        <f>B8+B9+B7</f>
        <v>6735058.553915654</v>
      </c>
      <c r="C10" s="562">
        <f>C8+C9+C7</f>
        <v>6959135.929286346</v>
      </c>
      <c r="D10" s="563">
        <f>D8+D9+D7</f>
        <v>8715752.868591232</v>
      </c>
      <c r="G10" s="559"/>
      <c r="L10" s="559"/>
    </row>
    <row r="11" spans="1:4" ht="6" customHeight="1">
      <c r="A11" s="418"/>
      <c r="B11" s="564"/>
      <c r="C11" s="564"/>
      <c r="D11" s="565"/>
    </row>
    <row r="12" spans="1:4" ht="13.5">
      <c r="A12" s="553" t="s">
        <v>415</v>
      </c>
      <c r="B12" s="564"/>
      <c r="C12" s="564"/>
      <c r="D12" s="565"/>
    </row>
    <row r="13" spans="1:9" ht="13.5">
      <c r="A13" s="418" t="s">
        <v>465</v>
      </c>
      <c r="B13" s="557">
        <f>+'2010 Income Statement'!B144+'2010 Income Statement'!B174+'2010 Income Statement'!B152</f>
        <v>2293601.551219096</v>
      </c>
      <c r="C13" s="557">
        <f>'2011 Income Statement'!B144+'2011 Income Statement'!B152+'2011 Income Statement'!B174</f>
        <v>2525930.0069131167</v>
      </c>
      <c r="D13" s="560">
        <f aca="true" t="shared" si="0" ref="D13:D18">C13</f>
        <v>2525930.0069131167</v>
      </c>
      <c r="G13" s="566">
        <f>D13/B13-1</f>
        <v>0.10129416575016426</v>
      </c>
      <c r="H13" s="559">
        <f aca="true" t="shared" si="1" ref="H13:H18">C13-B13</f>
        <v>232328.45569402073</v>
      </c>
      <c r="I13" s="439" t="s">
        <v>918</v>
      </c>
    </row>
    <row r="14" spans="1:12" ht="13.5">
      <c r="A14" s="418" t="s">
        <v>242</v>
      </c>
      <c r="B14" s="557">
        <f>'2010 Income Statement'!B112+'2010 Income Statement'!B133</f>
        <v>1474146</v>
      </c>
      <c r="C14" s="557">
        <f>'2011 Income Statement'!B112+'2011 Income Statement'!B133</f>
        <v>1516330.8761937218</v>
      </c>
      <c r="D14" s="560">
        <f t="shared" si="0"/>
        <v>1516330.8761937218</v>
      </c>
      <c r="G14" s="566">
        <f aca="true" t="shared" si="2" ref="G14:G19">D14/B14-1</f>
        <v>0.028616484523053876</v>
      </c>
      <c r="H14" s="559">
        <f t="shared" si="1"/>
        <v>42184.87619372178</v>
      </c>
      <c r="I14" s="439" t="s">
        <v>919</v>
      </c>
      <c r="L14" s="559"/>
    </row>
    <row r="15" spans="1:9" ht="13.5">
      <c r="A15" s="418" t="s">
        <v>243</v>
      </c>
      <c r="B15" s="557">
        <f>'2010 Income Statement'!B185</f>
        <v>1865396.6750760712</v>
      </c>
      <c r="C15" s="557">
        <f>'2011 Income Statement'!B185</f>
        <v>2031381.5493114232</v>
      </c>
      <c r="D15" s="560">
        <f t="shared" si="0"/>
        <v>2031381.5493114232</v>
      </c>
      <c r="G15" s="566">
        <f t="shared" si="2"/>
        <v>0.08898100680306142</v>
      </c>
      <c r="H15" s="559">
        <f t="shared" si="1"/>
        <v>165984.87423535204</v>
      </c>
      <c r="I15" s="439" t="s">
        <v>920</v>
      </c>
    </row>
    <row r="16" spans="1:9" ht="13.5">
      <c r="A16" s="418" t="s">
        <v>244</v>
      </c>
      <c r="B16" s="557">
        <f>'2010 Income Statement'!B202</f>
        <v>123852.05000000002</v>
      </c>
      <c r="C16" s="557">
        <f>'2011 Income Statement'!B202</f>
        <v>126946.24999999999</v>
      </c>
      <c r="D16" s="560">
        <f t="shared" si="0"/>
        <v>126946.24999999999</v>
      </c>
      <c r="G16" s="566">
        <f t="shared" si="2"/>
        <v>0.02498303419281278</v>
      </c>
      <c r="H16" s="559">
        <f t="shared" si="1"/>
        <v>3094.199999999968</v>
      </c>
      <c r="I16" s="439" t="s">
        <v>921</v>
      </c>
    </row>
    <row r="17" spans="1:8" ht="13.5">
      <c r="A17" s="418" t="s">
        <v>245</v>
      </c>
      <c r="B17" s="557">
        <f>'Capital Tax &amp; Expense Schedules'!C12</f>
        <v>9738.26513029595</v>
      </c>
      <c r="C17" s="557">
        <f>+'2011 Rev Deficiency'!C35</f>
        <v>0</v>
      </c>
      <c r="D17" s="560">
        <f t="shared" si="0"/>
        <v>0</v>
      </c>
      <c r="G17" s="566">
        <f t="shared" si="2"/>
        <v>-1</v>
      </c>
      <c r="H17" s="559">
        <f t="shared" si="1"/>
        <v>-9738.26513029595</v>
      </c>
    </row>
    <row r="18" spans="1:9" ht="13.5">
      <c r="A18" s="418" t="s">
        <v>246</v>
      </c>
      <c r="B18" s="557">
        <f>'Return on Capital'!AC41</f>
        <v>744193.5088790708</v>
      </c>
      <c r="C18" s="557">
        <f>'Return on Capital'!AI41</f>
        <v>934896.793539601</v>
      </c>
      <c r="D18" s="560">
        <f t="shared" si="0"/>
        <v>934896.793539601</v>
      </c>
      <c r="G18" s="566">
        <f t="shared" si="2"/>
        <v>0.2562549691514697</v>
      </c>
      <c r="H18" s="559">
        <f t="shared" si="1"/>
        <v>190703.28466053028</v>
      </c>
      <c r="I18" s="439" t="s">
        <v>922</v>
      </c>
    </row>
    <row r="19" spans="1:8" ht="13.5">
      <c r="A19" s="567" t="s">
        <v>416</v>
      </c>
      <c r="B19" s="562">
        <f>SUM(B13:B18)</f>
        <v>6510928.050304535</v>
      </c>
      <c r="C19" s="562">
        <f>SUM(C13:C18)</f>
        <v>7135485.475957863</v>
      </c>
      <c r="D19" s="563">
        <f>SUM(D13:D18)</f>
        <v>7135485.475957863</v>
      </c>
      <c r="G19" s="566">
        <f t="shared" si="2"/>
        <v>0.09592448585330571</v>
      </c>
      <c r="H19" s="559">
        <f>SUM(H13:H18)</f>
        <v>624557.4256533289</v>
      </c>
    </row>
    <row r="20" spans="1:4" ht="13.5">
      <c r="A20" s="418" t="s">
        <v>261</v>
      </c>
      <c r="B20" s="568">
        <f>'Return on Capital'!AC24</f>
        <v>0</v>
      </c>
      <c r="C20" s="568">
        <f>'Return on Capital'!AI24</f>
        <v>0</v>
      </c>
      <c r="D20" s="569">
        <f>C20</f>
        <v>0</v>
      </c>
    </row>
    <row r="21" spans="1:4" ht="13.5">
      <c r="A21" s="567" t="s">
        <v>417</v>
      </c>
      <c r="B21" s="562">
        <f>+B19+B20</f>
        <v>6510928.050304535</v>
      </c>
      <c r="C21" s="562">
        <f>+C19+C20</f>
        <v>7135485.475957863</v>
      </c>
      <c r="D21" s="563">
        <f>+D19+D20</f>
        <v>7135485.475957863</v>
      </c>
    </row>
    <row r="22" spans="1:4" ht="13.5">
      <c r="A22" s="418"/>
      <c r="B22" s="564"/>
      <c r="C22" s="564"/>
      <c r="D22" s="565"/>
    </row>
    <row r="23" spans="1:4" ht="13.5">
      <c r="A23" s="567" t="s">
        <v>418</v>
      </c>
      <c r="B23" s="562">
        <f>+B10-B21</f>
        <v>224130.50361111946</v>
      </c>
      <c r="C23" s="562">
        <f>+C10-C21</f>
        <v>-176349.5466715172</v>
      </c>
      <c r="D23" s="563">
        <f>+D10-D21</f>
        <v>1580267.3926333692</v>
      </c>
    </row>
    <row r="24" spans="1:4" ht="13.5">
      <c r="A24" s="418"/>
      <c r="B24" s="564"/>
      <c r="C24" s="564"/>
      <c r="D24" s="565"/>
    </row>
    <row r="25" spans="1:4" ht="13.5">
      <c r="A25" s="553" t="s">
        <v>419</v>
      </c>
      <c r="B25" s="564"/>
      <c r="C25" s="564"/>
      <c r="D25" s="565"/>
    </row>
    <row r="26" spans="1:8" ht="13.5">
      <c r="A26" s="418" t="s">
        <v>247</v>
      </c>
      <c r="B26" s="557">
        <f>+B41</f>
        <v>37894.46191540425</v>
      </c>
      <c r="C26" s="557">
        <f>+C41</f>
        <v>-84092.25387471051</v>
      </c>
      <c r="D26" s="560">
        <f>+D41</f>
        <v>333824.97534334</v>
      </c>
      <c r="H26" s="559"/>
    </row>
    <row r="27" spans="1:8" ht="13.5">
      <c r="A27" s="567" t="s">
        <v>376</v>
      </c>
      <c r="B27" s="562">
        <f>+B26</f>
        <v>37894.46191540425</v>
      </c>
      <c r="C27" s="562">
        <f>+C26</f>
        <v>-84092.25387471051</v>
      </c>
      <c r="D27" s="570">
        <f>+D26</f>
        <v>333824.97534334</v>
      </c>
      <c r="H27" s="571"/>
    </row>
    <row r="28" spans="1:4" ht="13.5">
      <c r="A28" s="567"/>
      <c r="B28" s="564"/>
      <c r="C28" s="564"/>
      <c r="D28" s="565"/>
    </row>
    <row r="29" spans="1:5" ht="14.25" thickBot="1">
      <c r="A29" s="567" t="s">
        <v>420</v>
      </c>
      <c r="B29" s="572">
        <f>+B23-B27</f>
        <v>186236.04169571522</v>
      </c>
      <c r="C29" s="572">
        <f>+C23-C27</f>
        <v>-92257.29279680668</v>
      </c>
      <c r="D29" s="573">
        <f>+D23-D27</f>
        <v>1246442.417290029</v>
      </c>
      <c r="E29" s="574"/>
    </row>
    <row r="30" spans="1:4" ht="14.25" thickTop="1">
      <c r="A30" s="418"/>
      <c r="B30" s="564"/>
      <c r="C30" s="564"/>
      <c r="D30" s="565"/>
    </row>
    <row r="31" spans="1:4" ht="13.5">
      <c r="A31" s="553" t="s">
        <v>421</v>
      </c>
      <c r="B31" s="564"/>
      <c r="C31" s="564"/>
      <c r="D31" s="565"/>
    </row>
    <row r="32" spans="1:4" ht="13.5">
      <c r="A32" s="418" t="s">
        <v>248</v>
      </c>
      <c r="B32" s="557">
        <f>'Return on Capital'!AC38</f>
        <v>27984353.507061265</v>
      </c>
      <c r="C32" s="557">
        <f>'Return on Capital'!AI38</f>
        <v>31635594.347462673</v>
      </c>
      <c r="D32" s="560">
        <f>C32</f>
        <v>31635594.347462673</v>
      </c>
    </row>
    <row r="33" spans="1:4" ht="13.5">
      <c r="A33" s="418" t="s">
        <v>249</v>
      </c>
      <c r="B33" s="557">
        <v>15000000</v>
      </c>
      <c r="C33" s="557">
        <f>'Tax rates'!C7</f>
        <v>15000000</v>
      </c>
      <c r="D33" s="560">
        <f>C33</f>
        <v>15000000</v>
      </c>
    </row>
    <row r="34" spans="1:4" ht="13.5">
      <c r="A34" s="418" t="s">
        <v>250</v>
      </c>
      <c r="B34" s="562">
        <f>+B32-B33</f>
        <v>12984353.507061265</v>
      </c>
      <c r="C34" s="562">
        <f>+C32-C33</f>
        <v>16635594.347462673</v>
      </c>
      <c r="D34" s="563">
        <f>+D32-D33</f>
        <v>16635594.347462673</v>
      </c>
    </row>
    <row r="35" spans="1:4" ht="13.5">
      <c r="A35" s="418" t="s">
        <v>251</v>
      </c>
      <c r="B35" s="568">
        <f>'Capital Tax &amp; Expense Schedules'!C12</f>
        <v>9738.26513029595</v>
      </c>
      <c r="C35" s="568">
        <f>+C34*'Tax rates'!C15</f>
        <v>0</v>
      </c>
      <c r="D35" s="569">
        <f>+D34*'Tax rates'!C15</f>
        <v>0</v>
      </c>
    </row>
    <row r="36" spans="1:4" ht="13.5">
      <c r="A36" s="418"/>
      <c r="B36" s="564"/>
      <c r="C36" s="564"/>
      <c r="D36" s="565"/>
    </row>
    <row r="37" spans="1:4" ht="13.5">
      <c r="A37" s="553" t="s">
        <v>422</v>
      </c>
      <c r="B37" s="564"/>
      <c r="C37" s="564"/>
      <c r="D37" s="565"/>
    </row>
    <row r="38" spans="1:4" ht="13.5">
      <c r="A38" s="418" t="s">
        <v>252</v>
      </c>
      <c r="B38" s="557">
        <f>+B23</f>
        <v>224130.50361111946</v>
      </c>
      <c r="C38" s="557">
        <f>+C23</f>
        <v>-176349.5466715172</v>
      </c>
      <c r="D38" s="560">
        <f>+D23</f>
        <v>1580267.3926333692</v>
      </c>
    </row>
    <row r="39" spans="1:4" ht="13.5">
      <c r="A39" s="418" t="s">
        <v>253</v>
      </c>
      <c r="B39" s="557">
        <f>'Tax Adjustments 2010'!F78</f>
        <v>-61567.723238847684</v>
      </c>
      <c r="C39" s="557">
        <f>'Tax Adjustments 2011'!F78</f>
        <v>-177112.4962718496</v>
      </c>
      <c r="D39" s="560">
        <f>C39</f>
        <v>-177112.4962718496</v>
      </c>
    </row>
    <row r="40" spans="1:14" ht="13.5">
      <c r="A40" s="567" t="s">
        <v>401</v>
      </c>
      <c r="B40" s="562">
        <f>+B38+B39</f>
        <v>162562.78037227178</v>
      </c>
      <c r="C40" s="562">
        <f>+C38+C39</f>
        <v>-353462.0429433668</v>
      </c>
      <c r="D40" s="563">
        <f>+D38+D39</f>
        <v>1403154.8963615196</v>
      </c>
      <c r="M40" s="546"/>
      <c r="N40" s="546"/>
    </row>
    <row r="41" spans="1:14" ht="13.5">
      <c r="A41" s="567" t="s">
        <v>425</v>
      </c>
      <c r="B41" s="568">
        <f>+B40*B42</f>
        <v>37894.46191540425</v>
      </c>
      <c r="C41" s="568">
        <f>+C40*C42</f>
        <v>-84092.25387471051</v>
      </c>
      <c r="D41" s="569">
        <f>D40*D42</f>
        <v>333824.97534334</v>
      </c>
      <c r="G41" s="571"/>
      <c r="M41" s="546"/>
      <c r="N41" s="546"/>
    </row>
    <row r="42" spans="1:14" ht="13.5">
      <c r="A42" s="567" t="s">
        <v>860</v>
      </c>
      <c r="B42" s="575">
        <f>'Tax rates'!B13-SUM('Capital Tax &amp; Expense Schedules'!H11:H13)/'Capital Tax &amp; Expense Schedules'!H8</f>
        <v>0.23310663011930055</v>
      </c>
      <c r="C42" s="575">
        <f>D42</f>
        <v>0.23791028076014412</v>
      </c>
      <c r="D42" s="576">
        <f>333825/(1069330+333825)</f>
        <v>0.23791028076014412</v>
      </c>
      <c r="M42" s="575"/>
      <c r="N42" s="546"/>
    </row>
    <row r="43" spans="1:14" ht="13.5">
      <c r="A43" s="418"/>
      <c r="B43" s="575"/>
      <c r="C43" s="575"/>
      <c r="D43" s="576"/>
      <c r="M43" s="546"/>
      <c r="N43" s="546"/>
    </row>
    <row r="44" spans="1:4" ht="13.5">
      <c r="A44" s="553" t="s">
        <v>426</v>
      </c>
      <c r="B44" s="577"/>
      <c r="C44" s="577"/>
      <c r="D44" s="578"/>
    </row>
    <row r="45" spans="1:4" ht="13.5">
      <c r="A45" s="418" t="s">
        <v>254</v>
      </c>
      <c r="B45" s="579">
        <f>+B32</f>
        <v>27984353.507061265</v>
      </c>
      <c r="C45" s="579">
        <f>+C32</f>
        <v>31635594.347462673</v>
      </c>
      <c r="D45" s="580">
        <f>+D32</f>
        <v>31635594.347462673</v>
      </c>
    </row>
    <row r="46" spans="1:4" ht="13.5">
      <c r="A46" s="418"/>
      <c r="B46" s="579"/>
      <c r="C46" s="579"/>
      <c r="D46" s="580"/>
    </row>
    <row r="47" spans="1:4" ht="13.5">
      <c r="A47" s="418" t="s">
        <v>255</v>
      </c>
      <c r="B47" s="579">
        <f>+B18</f>
        <v>744193.5088790708</v>
      </c>
      <c r="C47" s="579">
        <f>+C18</f>
        <v>934896.793539601</v>
      </c>
      <c r="D47" s="580">
        <f>+D18</f>
        <v>934896.793539601</v>
      </c>
    </row>
    <row r="48" spans="1:4" ht="13.5">
      <c r="A48" s="418" t="s">
        <v>256</v>
      </c>
      <c r="B48" s="579">
        <f>+B29</f>
        <v>186236.04169571522</v>
      </c>
      <c r="C48" s="579">
        <f>+C29</f>
        <v>-92257.29279680668</v>
      </c>
      <c r="D48" s="580">
        <f>+D29</f>
        <v>1246442.417290029</v>
      </c>
    </row>
    <row r="49" spans="1:14" ht="14.25" thickBot="1">
      <c r="A49" s="567" t="s">
        <v>427</v>
      </c>
      <c r="B49" s="581">
        <f>+B47+B48</f>
        <v>930429.550574786</v>
      </c>
      <c r="C49" s="581">
        <f>+C47+C48</f>
        <v>842639.5007427944</v>
      </c>
      <c r="D49" s="582">
        <f>+D47+D48</f>
        <v>2181339.21082963</v>
      </c>
      <c r="M49" s="583"/>
      <c r="N49" s="583"/>
    </row>
    <row r="50" spans="1:4" ht="14.25" thickTop="1">
      <c r="A50" s="418"/>
      <c r="B50" s="577"/>
      <c r="C50" s="577"/>
      <c r="D50" s="578"/>
    </row>
    <row r="51" spans="1:4" ht="13.5">
      <c r="A51" s="553" t="s">
        <v>428</v>
      </c>
      <c r="B51" s="575">
        <f>+B49/B45</f>
        <v>0.033248206014121845</v>
      </c>
      <c r="C51" s="575">
        <f>+C49/C45</f>
        <v>0.02663580432495899</v>
      </c>
      <c r="D51" s="576">
        <f>+D49/D45</f>
        <v>0.0689520540335473</v>
      </c>
    </row>
    <row r="52" spans="1:4" ht="13.5">
      <c r="A52" s="418"/>
      <c r="B52" s="577"/>
      <c r="C52" s="577"/>
      <c r="D52" s="578"/>
    </row>
    <row r="53" spans="1:4" ht="13.5">
      <c r="A53" s="553" t="s">
        <v>429</v>
      </c>
      <c r="B53" s="577"/>
      <c r="C53" s="577"/>
      <c r="D53" s="578"/>
    </row>
    <row r="54" spans="1:4" ht="13.5">
      <c r="A54" s="418" t="s">
        <v>254</v>
      </c>
      <c r="B54" s="579">
        <f>+B45</f>
        <v>27984353.507061265</v>
      </c>
      <c r="C54" s="579">
        <f>+C32</f>
        <v>31635594.347462673</v>
      </c>
      <c r="D54" s="580">
        <f>+D32</f>
        <v>31635594.347462673</v>
      </c>
    </row>
    <row r="55" spans="1:4" ht="13.5">
      <c r="A55" s="418"/>
      <c r="B55" s="577"/>
      <c r="C55" s="577"/>
      <c r="D55" s="578"/>
    </row>
    <row r="56" spans="1:4" ht="13.5">
      <c r="A56" s="553" t="s">
        <v>430</v>
      </c>
      <c r="B56" s="577"/>
      <c r="C56" s="577"/>
      <c r="D56" s="578"/>
    </row>
    <row r="57" spans="1:4" ht="13.5">
      <c r="A57" s="418" t="s">
        <v>257</v>
      </c>
      <c r="B57" s="575">
        <f>'Return on Capital'!AC11</f>
        <v>0.04432199995206185</v>
      </c>
      <c r="C57" s="575">
        <f>'Return on Capital'!AI11</f>
        <v>0.04925342338924552</v>
      </c>
      <c r="D57" s="576">
        <f>C57</f>
        <v>0.04925342338924552</v>
      </c>
    </row>
    <row r="58" spans="1:4" ht="13.5">
      <c r="A58" s="418" t="s">
        <v>258</v>
      </c>
      <c r="B58" s="575">
        <f>'Return on Capital'!AC10</f>
        <v>0.0985</v>
      </c>
      <c r="C58" s="575">
        <f>'Return on Capital'!AC10</f>
        <v>0.0985</v>
      </c>
      <c r="D58" s="576">
        <f>C58</f>
        <v>0.0985</v>
      </c>
    </row>
    <row r="59" spans="1:4" ht="13.5">
      <c r="A59" s="418"/>
      <c r="B59" s="577"/>
      <c r="C59" s="577"/>
      <c r="D59" s="578"/>
    </row>
    <row r="60" spans="1:4" ht="13.5">
      <c r="A60" s="418" t="s">
        <v>259</v>
      </c>
      <c r="B60" s="579">
        <f>'Return on Capital'!AC41</f>
        <v>744193.5088790708</v>
      </c>
      <c r="C60" s="579">
        <f>'Return on Capital'!AI41</f>
        <v>934896.793539601</v>
      </c>
      <c r="D60" s="580">
        <f>C60</f>
        <v>934896.793539601</v>
      </c>
    </row>
    <row r="61" spans="1:16" ht="13.5">
      <c r="A61" s="418" t="s">
        <v>260</v>
      </c>
      <c r="B61" s="579">
        <f>'Return on Capital'!AC42</f>
        <v>1102583.5281782139</v>
      </c>
      <c r="C61" s="579">
        <f>'Return on Capital'!AI42</f>
        <v>1246442.4172900293</v>
      </c>
      <c r="D61" s="580">
        <f>C61</f>
        <v>1246442.4172900293</v>
      </c>
      <c r="P61" s="439">
        <f>934897-744194</f>
        <v>190703</v>
      </c>
    </row>
    <row r="62" spans="1:4" ht="14.25" thickBot="1">
      <c r="A62" s="567" t="s">
        <v>431</v>
      </c>
      <c r="B62" s="581">
        <f>+B60+B61</f>
        <v>1846777.0370572847</v>
      </c>
      <c r="C62" s="581">
        <f>+C60+C61</f>
        <v>2181339.2108296305</v>
      </c>
      <c r="D62" s="582">
        <f>+D60+D61</f>
        <v>2181339.2108296305</v>
      </c>
    </row>
    <row r="63" spans="1:4" ht="14.25" thickTop="1">
      <c r="A63" s="418"/>
      <c r="B63" s="577"/>
      <c r="C63" s="577"/>
      <c r="D63" s="578"/>
    </row>
    <row r="64" spans="1:4" ht="13.5">
      <c r="A64" s="553" t="s">
        <v>432</v>
      </c>
      <c r="B64" s="575">
        <f>+B62/B54</f>
        <v>0.06599319997123712</v>
      </c>
      <c r="C64" s="575">
        <f>+C62/C54</f>
        <v>0.06895205403354733</v>
      </c>
      <c r="D64" s="576">
        <f>+D62/D54</f>
        <v>0.06895205403354733</v>
      </c>
    </row>
    <row r="65" spans="1:4" ht="13.5">
      <c r="A65" s="418"/>
      <c r="B65" s="577"/>
      <c r="C65" s="577"/>
      <c r="D65" s="578"/>
    </row>
    <row r="66" spans="1:4" ht="13.5">
      <c r="A66" s="584" t="s">
        <v>433</v>
      </c>
      <c r="B66" s="585">
        <f>(+B64-B51)*B54</f>
        <v>916347.4864824988</v>
      </c>
      <c r="C66" s="585">
        <f>+C62-C49</f>
        <v>1338699.710086836</v>
      </c>
      <c r="D66" s="586">
        <f>(+D64-D51)*D54</f>
        <v>8.780641310563628E-10</v>
      </c>
    </row>
    <row r="67" spans="1:4" ht="14.25" thickBot="1">
      <c r="A67" s="587" t="s">
        <v>434</v>
      </c>
      <c r="B67" s="588">
        <f>+B66/(1-B42)</f>
        <v>1194882.525356881</v>
      </c>
      <c r="C67" s="589">
        <f>+C66/(1-C42)</f>
        <v>1756616.9393048866</v>
      </c>
      <c r="D67" s="590">
        <f>+D66/(1-D42)</f>
        <v>1.1521794729525879E-09</v>
      </c>
    </row>
    <row r="68" ht="14.25" thickBot="1">
      <c r="B68" s="591"/>
    </row>
    <row r="69" spans="1:4" ht="6" customHeight="1">
      <c r="A69" s="416"/>
      <c r="B69" s="545"/>
      <c r="C69" s="545"/>
      <c r="D69" s="417"/>
    </row>
    <row r="70" spans="1:4" ht="21">
      <c r="A70" s="592" t="s">
        <v>278</v>
      </c>
      <c r="B70" s="546"/>
      <c r="C70" s="546"/>
      <c r="D70" s="593">
        <v>2011</v>
      </c>
    </row>
    <row r="71" spans="1:4" ht="13.5">
      <c r="A71" s="418"/>
      <c r="B71" s="546"/>
      <c r="C71" s="546"/>
      <c r="D71" s="419"/>
    </row>
    <row r="72" spans="1:4" ht="13.5">
      <c r="A72" s="418" t="s">
        <v>280</v>
      </c>
      <c r="B72" s="546"/>
      <c r="C72" s="546"/>
      <c r="D72" s="580">
        <f>D29</f>
        <v>1246442.417290029</v>
      </c>
    </row>
    <row r="73" spans="1:4" ht="13.5">
      <c r="A73" s="418" t="str">
        <f>A39</f>
        <v>    Tax Adjustments to Accounting Income</v>
      </c>
      <c r="B73" s="546"/>
      <c r="C73" s="546"/>
      <c r="D73" s="594">
        <f>D39</f>
        <v>-177112.4962718496</v>
      </c>
    </row>
    <row r="74" spans="1:4" ht="13.5">
      <c r="A74" s="547" t="s">
        <v>281</v>
      </c>
      <c r="B74" s="546"/>
      <c r="C74" s="546"/>
      <c r="D74" s="586">
        <f>D72+D73</f>
        <v>1069329.9210181795</v>
      </c>
    </row>
    <row r="75" spans="1:4" ht="13.5">
      <c r="A75" s="418" t="s">
        <v>279</v>
      </c>
      <c r="B75" s="546"/>
      <c r="C75" s="546"/>
      <c r="D75" s="595">
        <f>D42</f>
        <v>0.23791028076014412</v>
      </c>
    </row>
    <row r="76" spans="1:4" ht="13.5">
      <c r="A76" s="418" t="s">
        <v>283</v>
      </c>
      <c r="B76" s="546"/>
      <c r="C76" s="546"/>
      <c r="D76" s="586">
        <f>D74*D75</f>
        <v>254404.5817346578</v>
      </c>
    </row>
    <row r="77" spans="1:4" ht="13.5">
      <c r="A77" s="418"/>
      <c r="B77" s="546"/>
      <c r="C77" s="546"/>
      <c r="D77" s="596"/>
    </row>
    <row r="78" spans="1:4" ht="14.25" thickBot="1">
      <c r="A78" s="547" t="s">
        <v>282</v>
      </c>
      <c r="B78" s="546"/>
      <c r="C78" s="546"/>
      <c r="D78" s="597">
        <f>D76/(1-D75)</f>
        <v>333824.97534334</v>
      </c>
    </row>
    <row r="79" spans="1:4" ht="8.25" customHeight="1" thickBot="1" thickTop="1">
      <c r="A79" s="440"/>
      <c r="B79" s="548"/>
      <c r="C79" s="548"/>
      <c r="D79" s="442"/>
    </row>
    <row r="81" ht="13.5">
      <c r="D81" s="598"/>
    </row>
  </sheetData>
  <sheetProtection/>
  <mergeCells count="4">
    <mergeCell ref="A3:D3"/>
    <mergeCell ref="A4:D4"/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5" fitToWidth="1" horizontalDpi="355" verticalDpi="355" orientation="portrait" scale="60" r:id="rId1"/>
  <headerFooter alignWithMargins="0">
    <oddFooter>&amp;L&amp;A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0.71875" style="0" customWidth="1"/>
    <col min="2" max="2" width="25.00390625" style="0" customWidth="1"/>
    <col min="3" max="4" width="11.7109375" style="0" bestFit="1" customWidth="1"/>
    <col min="5" max="5" width="1.1484375" style="0" customWidth="1"/>
    <col min="6" max="6" width="26.8515625" style="0" customWidth="1"/>
    <col min="7" max="7" width="15.8515625" style="0" customWidth="1"/>
    <col min="8" max="8" width="21.57421875" style="0" customWidth="1"/>
    <col min="9" max="9" width="1.28515625" style="0" customWidth="1"/>
    <col min="10" max="10" width="27.421875" style="0" bestFit="1" customWidth="1"/>
    <col min="11" max="11" width="12.421875" style="0" customWidth="1"/>
  </cols>
  <sheetData>
    <row r="1" spans="1:11" ht="12.75">
      <c r="A1" s="614" t="str">
        <f>'Trial Balance'!A1:J1</f>
        <v>Woodstock Hydro Services Inc.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</row>
    <row r="2" spans="1:11" ht="12.75">
      <c r="A2" s="614" t="str">
        <f>'Trial Balance'!A2:J2</f>
        <v>, License Number ED-2003-0011, File Number EB-2010-0145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</row>
    <row r="3" ht="7.5" customHeight="1"/>
    <row r="4" spans="2:11" ht="18">
      <c r="B4" s="764" t="s">
        <v>813</v>
      </c>
      <c r="C4" s="764"/>
      <c r="D4" s="764"/>
      <c r="F4" s="765" t="s">
        <v>814</v>
      </c>
      <c r="G4" s="765"/>
      <c r="H4" s="765"/>
      <c r="J4" s="664" t="s">
        <v>815</v>
      </c>
      <c r="K4" s="664"/>
    </row>
    <row r="5" spans="2:11" ht="25.5">
      <c r="B5" s="152" t="s">
        <v>184</v>
      </c>
      <c r="C5" s="153" t="s">
        <v>370</v>
      </c>
      <c r="D5" s="153" t="s">
        <v>371</v>
      </c>
      <c r="F5" s="152" t="s">
        <v>184</v>
      </c>
      <c r="G5" s="126" t="s">
        <v>381</v>
      </c>
      <c r="H5" s="126" t="s">
        <v>379</v>
      </c>
      <c r="J5" s="126" t="s">
        <v>184</v>
      </c>
      <c r="K5" s="126" t="s">
        <v>439</v>
      </c>
    </row>
    <row r="6" spans="2:11" ht="12.75">
      <c r="B6" s="129" t="s">
        <v>190</v>
      </c>
      <c r="C6" s="130">
        <f>'Return on Capital'!AC38</f>
        <v>27984353.507061265</v>
      </c>
      <c r="D6" s="131">
        <f>'Return on Capital'!Q38</f>
        <v>23384662.090499997</v>
      </c>
      <c r="F6" s="142" t="s">
        <v>423</v>
      </c>
      <c r="G6" s="143" t="s">
        <v>816</v>
      </c>
      <c r="H6" s="144">
        <f>'2011 Rev Deficiency'!B38</f>
        <v>224130.50361111946</v>
      </c>
      <c r="J6" s="190" t="str">
        <f>F14</f>
        <v>Total PILs</v>
      </c>
      <c r="K6" s="189">
        <f>H14</f>
        <v>37894.46191540425</v>
      </c>
    </row>
    <row r="7" spans="2:11" ht="15.75" thickBot="1">
      <c r="B7" s="132" t="s">
        <v>372</v>
      </c>
      <c r="C7" s="133">
        <f>-'Tax rates'!B7</f>
        <v>-15000000</v>
      </c>
      <c r="D7" s="134">
        <f>'Tax rates'!B19</f>
        <v>0</v>
      </c>
      <c r="F7" s="183" t="s">
        <v>437</v>
      </c>
      <c r="G7" s="143" t="s">
        <v>816</v>
      </c>
      <c r="H7" s="147">
        <f>'2011 Rev Deficiency'!B39</f>
        <v>-61567.723238847684</v>
      </c>
      <c r="J7" s="190" t="str">
        <f>B12</f>
        <v>Net Capital Tax Payable</v>
      </c>
      <c r="K7" s="192">
        <f>C12</f>
        <v>9738.26513029595</v>
      </c>
    </row>
    <row r="8" spans="2:11" ht="13.5" thickBot="1">
      <c r="B8" s="135" t="s">
        <v>373</v>
      </c>
      <c r="C8" s="188">
        <f>C6+C7</f>
        <v>12984353.507061265</v>
      </c>
      <c r="D8" s="188">
        <f>D6+D7</f>
        <v>23384662.090499997</v>
      </c>
      <c r="F8" s="183" t="s">
        <v>401</v>
      </c>
      <c r="G8" s="184"/>
      <c r="H8" s="151">
        <f>SUM(H6:H7)</f>
        <v>162562.78037227178</v>
      </c>
      <c r="J8" s="191" t="s">
        <v>442</v>
      </c>
      <c r="K8" s="193">
        <f>SUM(K6:K7)</f>
        <v>47632.7270457002</v>
      </c>
    </row>
    <row r="9" spans="2:8" ht="15">
      <c r="B9" s="132" t="s">
        <v>178</v>
      </c>
      <c r="C9" s="137">
        <f>'Tax rates'!B15</f>
        <v>0.00075</v>
      </c>
      <c r="D9" s="138">
        <f>'Tax rates'!B17</f>
        <v>0</v>
      </c>
      <c r="F9" s="145" t="s">
        <v>378</v>
      </c>
      <c r="G9" s="146" t="s">
        <v>438</v>
      </c>
      <c r="H9" s="187">
        <f>'Tax rates'!B13</f>
        <v>0.31</v>
      </c>
    </row>
    <row r="10" spans="2:8" ht="12.75">
      <c r="B10" s="135" t="s">
        <v>374</v>
      </c>
      <c r="C10" s="136">
        <f>C8*C9</f>
        <v>9738.26513029595</v>
      </c>
      <c r="D10" s="136">
        <f>D8*D9</f>
        <v>0</v>
      </c>
      <c r="F10" s="145" t="s">
        <v>376</v>
      </c>
      <c r="G10" s="148"/>
      <c r="H10" s="151">
        <f>H8*H9</f>
        <v>50394.46191540425</v>
      </c>
    </row>
    <row r="11" spans="2:8" ht="12.75">
      <c r="B11" s="132" t="s">
        <v>375</v>
      </c>
      <c r="C11" s="136">
        <v>0</v>
      </c>
      <c r="D11" s="139">
        <v>0</v>
      </c>
      <c r="F11" s="145" t="s">
        <v>377</v>
      </c>
      <c r="G11" s="149"/>
      <c r="H11" s="154"/>
    </row>
    <row r="12" spans="2:8" ht="15">
      <c r="B12" s="140" t="s">
        <v>440</v>
      </c>
      <c r="C12" s="141">
        <f>C10+C11</f>
        <v>9738.26513029595</v>
      </c>
      <c r="D12" s="141">
        <f>D10+D11</f>
        <v>0</v>
      </c>
      <c r="F12" s="145" t="s">
        <v>853</v>
      </c>
      <c r="G12" s="150"/>
      <c r="H12" s="154">
        <v>12500</v>
      </c>
    </row>
    <row r="13" spans="6:8" ht="15">
      <c r="F13" s="145" t="s">
        <v>861</v>
      </c>
      <c r="G13" s="149"/>
      <c r="H13" s="125">
        <v>0</v>
      </c>
    </row>
    <row r="14" spans="6:8" ht="12.75">
      <c r="F14" s="185" t="s">
        <v>380</v>
      </c>
      <c r="G14" s="186"/>
      <c r="H14" s="151">
        <f>H10-H11-H12-H13</f>
        <v>37894.46191540425</v>
      </c>
    </row>
    <row r="15" ht="12.75">
      <c r="J15" s="412">
        <v>333824.9725853405</v>
      </c>
    </row>
    <row r="17" spans="2:11" ht="18">
      <c r="B17" s="764" t="s">
        <v>902</v>
      </c>
      <c r="C17" s="764"/>
      <c r="D17" s="764"/>
      <c r="F17" s="765" t="s">
        <v>852</v>
      </c>
      <c r="G17" s="765"/>
      <c r="H17" s="765"/>
      <c r="J17" s="664" t="s">
        <v>903</v>
      </c>
      <c r="K17" s="664"/>
    </row>
    <row r="18" spans="2:11" ht="25.5">
      <c r="B18" s="152" t="s">
        <v>184</v>
      </c>
      <c r="C18" s="127" t="s">
        <v>370</v>
      </c>
      <c r="D18" s="128" t="s">
        <v>371</v>
      </c>
      <c r="F18" s="152" t="s">
        <v>184</v>
      </c>
      <c r="G18" s="126" t="s">
        <v>381</v>
      </c>
      <c r="H18" s="126" t="s">
        <v>379</v>
      </c>
      <c r="J18" s="126" t="s">
        <v>184</v>
      </c>
      <c r="K18" s="126" t="s">
        <v>439</v>
      </c>
    </row>
    <row r="19" spans="2:11" ht="19.5" customHeight="1">
      <c r="B19" s="129" t="s">
        <v>190</v>
      </c>
      <c r="C19" s="130">
        <f>'Return on Capital'!AI38</f>
        <v>31635594.347462673</v>
      </c>
      <c r="D19" s="130">
        <f>'Return on Capital'!AC38</f>
        <v>27984353.507061265</v>
      </c>
      <c r="F19" s="142" t="s">
        <v>423</v>
      </c>
      <c r="G19" s="376" t="s">
        <v>899</v>
      </c>
      <c r="H19" s="144">
        <f>'2011 Rev Deficiency'!D38</f>
        <v>1580267.3926333692</v>
      </c>
      <c r="J19" s="190" t="str">
        <f>F27</f>
        <v>Total PILs</v>
      </c>
      <c r="K19" s="189">
        <f>H27</f>
        <v>333824.6804408911</v>
      </c>
    </row>
    <row r="20" spans="2:11" ht="17.25" customHeight="1" thickBot="1">
      <c r="B20" s="132" t="s">
        <v>372</v>
      </c>
      <c r="C20" s="133">
        <f>-'Tax rates'!C7</f>
        <v>-15000000</v>
      </c>
      <c r="D20" s="134">
        <f>'Tax rates'!C19</f>
        <v>0</v>
      </c>
      <c r="F20" s="183" t="s">
        <v>437</v>
      </c>
      <c r="G20" s="376" t="s">
        <v>899</v>
      </c>
      <c r="H20" s="147">
        <f>'2011 Rev Deficiency'!D39</f>
        <v>-177112.4962718496</v>
      </c>
      <c r="J20" s="190" t="str">
        <f>B25</f>
        <v>Net Capital Tax Payable</v>
      </c>
      <c r="K20" s="192">
        <f>C25</f>
        <v>0</v>
      </c>
    </row>
    <row r="21" spans="2:11" ht="17.25" customHeight="1" thickBot="1">
      <c r="B21" s="135" t="s">
        <v>373</v>
      </c>
      <c r="C21" s="188">
        <f>C19+C20</f>
        <v>16635594.347462673</v>
      </c>
      <c r="D21" s="188">
        <f>D19+D20</f>
        <v>27984353.507061265</v>
      </c>
      <c r="F21" s="183" t="s">
        <v>401</v>
      </c>
      <c r="G21" s="184"/>
      <c r="H21" s="151">
        <f>SUM(H19:H20)</f>
        <v>1403154.8963615196</v>
      </c>
      <c r="J21" s="191" t="s">
        <v>442</v>
      </c>
      <c r="K21" s="193">
        <f>SUM(K19:K20)</f>
        <v>333824.6804408911</v>
      </c>
    </row>
    <row r="22" spans="2:8" ht="18.75" customHeight="1">
      <c r="B22" s="132" t="s">
        <v>178</v>
      </c>
      <c r="C22" s="137">
        <f>'Tax rates'!C15</f>
        <v>0</v>
      </c>
      <c r="D22" s="138">
        <f>'Tax rates'!C17</f>
        <v>0</v>
      </c>
      <c r="F22" s="145" t="s">
        <v>378</v>
      </c>
      <c r="G22" s="146" t="s">
        <v>438</v>
      </c>
      <c r="H22" s="187">
        <f>'Tax rates'!C13</f>
        <v>0.24860026597592205</v>
      </c>
    </row>
    <row r="23" spans="2:8" ht="12.75">
      <c r="B23" s="135" t="s">
        <v>374</v>
      </c>
      <c r="C23" s="188">
        <f>C21*C22</f>
        <v>0</v>
      </c>
      <c r="D23" s="136">
        <f>D21*D22</f>
        <v>0</v>
      </c>
      <c r="F23" s="145" t="s">
        <v>376</v>
      </c>
      <c r="G23" s="148"/>
      <c r="H23" s="151">
        <f>H21*H22</f>
        <v>348824.6804408911</v>
      </c>
    </row>
    <row r="24" spans="2:8" ht="12.75">
      <c r="B24" s="132" t="s">
        <v>375</v>
      </c>
      <c r="C24" s="136">
        <v>0</v>
      </c>
      <c r="D24" s="139">
        <v>0</v>
      </c>
      <c r="F24" s="145" t="s">
        <v>377</v>
      </c>
      <c r="G24" s="149"/>
      <c r="H24" s="154"/>
    </row>
    <row r="25" spans="2:8" ht="15">
      <c r="B25" s="140" t="s">
        <v>440</v>
      </c>
      <c r="C25" s="141">
        <f>C23+C24</f>
        <v>0</v>
      </c>
      <c r="D25" s="141">
        <f>D23+D24</f>
        <v>0</v>
      </c>
      <c r="F25" s="145" t="s">
        <v>853</v>
      </c>
      <c r="G25" s="150"/>
      <c r="H25" s="154">
        <v>15000</v>
      </c>
    </row>
    <row r="26" spans="6:8" ht="15">
      <c r="F26" s="145" t="s">
        <v>861</v>
      </c>
      <c r="G26" s="149"/>
      <c r="H26" s="125">
        <v>0</v>
      </c>
    </row>
    <row r="27" spans="6:8" ht="12.75">
      <c r="F27" s="185" t="s">
        <v>380</v>
      </c>
      <c r="G27" s="186"/>
      <c r="H27" s="151">
        <f>H23-H24-H25-H26</f>
        <v>333824.6804408911</v>
      </c>
    </row>
    <row r="28" ht="12" customHeight="1"/>
    <row r="29" ht="12.75">
      <c r="H29" s="414"/>
    </row>
    <row r="32" ht="12.75">
      <c r="H32" s="412"/>
    </row>
  </sheetData>
  <sheetProtection/>
  <mergeCells count="8">
    <mergeCell ref="A1:K1"/>
    <mergeCell ref="A2:K2"/>
    <mergeCell ref="J17:K17"/>
    <mergeCell ref="J4:K4"/>
    <mergeCell ref="B4:D4"/>
    <mergeCell ref="B17:D17"/>
    <mergeCell ref="F4:H4"/>
    <mergeCell ref="F17:H17"/>
  </mergeCells>
  <printOptions/>
  <pageMargins left="0.7480314960629921" right="0.7480314960629921" top="0.984251968503937" bottom="0.984251968503937" header="0.5118110236220472" footer="0.5118110236220472"/>
  <pageSetup fitToHeight="5" fitToWidth="1" horizontalDpi="355" verticalDpi="355" orientation="landscape" scale="79" r:id="rId3"/>
  <headerFooter alignWithMargins="0">
    <oddFooter>&amp;L&amp;A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29">
      <selection activeCell="H54" sqref="H54"/>
    </sheetView>
  </sheetViews>
  <sheetFormatPr defaultColWidth="9.140625" defaultRowHeight="12.75"/>
  <cols>
    <col min="1" max="1" width="1.421875" style="0" customWidth="1"/>
    <col min="2" max="2" width="31.7109375" style="0" customWidth="1"/>
    <col min="3" max="3" width="55.7109375" style="0" customWidth="1"/>
    <col min="4" max="4" width="16.57421875" style="0" bestFit="1" customWidth="1"/>
    <col min="5" max="5" width="13.421875" style="0" bestFit="1" customWidth="1"/>
    <col min="6" max="6" width="11.28125" style="0" bestFit="1" customWidth="1"/>
    <col min="7" max="7" width="1.28515625" style="0" customWidth="1"/>
    <col min="9" max="9" width="9.57421875" style="0" bestFit="1" customWidth="1"/>
  </cols>
  <sheetData>
    <row r="1" spans="1:7" ht="12.75">
      <c r="A1" s="614" t="str">
        <f>'Trial Balance'!A1:J1</f>
        <v>Woodstock Hydro Services Inc.</v>
      </c>
      <c r="B1" s="614"/>
      <c r="C1" s="614"/>
      <c r="D1" s="614"/>
      <c r="E1" s="614"/>
      <c r="F1" s="614"/>
      <c r="G1" s="614"/>
    </row>
    <row r="2" spans="1:7" ht="12.75">
      <c r="A2" s="614" t="str">
        <f>'Trial Balance'!A2:J2</f>
        <v>, License Number ED-2003-0011, File Number EB-2010-0145</v>
      </c>
      <c r="B2" s="614"/>
      <c r="C2" s="614"/>
      <c r="D2" s="614"/>
      <c r="E2" s="614"/>
      <c r="F2" s="614"/>
      <c r="G2" s="614"/>
    </row>
    <row r="3" ht="8.25" customHeight="1"/>
    <row r="4" spans="2:3" ht="18.75" thickBot="1">
      <c r="B4" s="766" t="s">
        <v>447</v>
      </c>
      <c r="C4" s="766"/>
    </row>
    <row r="5" spans="2:3" ht="12.75">
      <c r="B5" s="156" t="s">
        <v>402</v>
      </c>
      <c r="C5" s="157">
        <f>'Return on Capital'!AI25</f>
        <v>4169207.1331068384</v>
      </c>
    </row>
    <row r="6" spans="2:3" ht="12.75">
      <c r="B6" s="158" t="s">
        <v>403</v>
      </c>
      <c r="C6" s="159">
        <f>'FA Continuity 2011'!J55</f>
        <v>2031381.5493114232</v>
      </c>
    </row>
    <row r="7" spans="2:3" ht="12.75">
      <c r="B7" s="160" t="s">
        <v>404</v>
      </c>
      <c r="C7" s="221">
        <f>C5+C6</f>
        <v>6200588.682418262</v>
      </c>
    </row>
    <row r="8" spans="2:3" ht="12.75">
      <c r="B8" s="158" t="s">
        <v>191</v>
      </c>
      <c r="C8" s="159">
        <f>'Return on Capital'!AI40</f>
        <v>2181339.2108296305</v>
      </c>
    </row>
    <row r="9" spans="2:6" ht="12.75">
      <c r="B9" s="158" t="s">
        <v>441</v>
      </c>
      <c r="C9" s="159">
        <f>'Capital Tax &amp; Expense Schedules'!K21</f>
        <v>333824.6804408911</v>
      </c>
      <c r="E9" s="410"/>
      <c r="F9" s="245"/>
    </row>
    <row r="10" spans="2:4" ht="13.5" thickBot="1">
      <c r="B10" s="161" t="s">
        <v>447</v>
      </c>
      <c r="C10" s="162">
        <f>C7+C8+C9</f>
        <v>8715752.573688783</v>
      </c>
      <c r="D10" s="279"/>
    </row>
    <row r="11" ht="8.25" customHeight="1" thickBot="1"/>
    <row r="12" spans="1:7" ht="8.25" customHeight="1">
      <c r="A12" s="35"/>
      <c r="B12" s="36"/>
      <c r="C12" s="36"/>
      <c r="D12" s="36"/>
      <c r="E12" s="36"/>
      <c r="F12" s="36"/>
      <c r="G12" s="37"/>
    </row>
    <row r="13" spans="1:7" ht="18">
      <c r="A13" s="38"/>
      <c r="B13" s="743" t="s">
        <v>408</v>
      </c>
      <c r="C13" s="743"/>
      <c r="D13" s="743"/>
      <c r="E13" s="743"/>
      <c r="F13" s="743"/>
      <c r="G13" s="47"/>
    </row>
    <row r="14" spans="1:7" ht="12.75">
      <c r="A14" s="38"/>
      <c r="B14" s="165" t="s">
        <v>502</v>
      </c>
      <c r="C14" s="165" t="s">
        <v>530</v>
      </c>
      <c r="D14" s="163" t="s">
        <v>405</v>
      </c>
      <c r="E14" s="164" t="s">
        <v>406</v>
      </c>
      <c r="F14" s="163" t="s">
        <v>407</v>
      </c>
      <c r="G14" s="47"/>
    </row>
    <row r="15" spans="1:7" ht="12.75">
      <c r="A15" s="38"/>
      <c r="B15" s="166" t="s">
        <v>141</v>
      </c>
      <c r="C15" s="167" t="str">
        <f>+'2011 Income Statement'!A27</f>
        <v>4080-Distribution Services Revenue</v>
      </c>
      <c r="D15" s="361">
        <v>38565</v>
      </c>
      <c r="E15" s="169">
        <v>1</v>
      </c>
      <c r="F15" s="168">
        <f>D15*E15</f>
        <v>38565</v>
      </c>
      <c r="G15" s="47"/>
    </row>
    <row r="16" spans="1:7" ht="12.75">
      <c r="A16" s="38"/>
      <c r="B16" s="166">
        <v>4082</v>
      </c>
      <c r="C16" s="167" t="str">
        <f>+'2011 Income Statement'!A28</f>
        <v>4082-RS Rev</v>
      </c>
      <c r="D16" s="361">
        <f>-'2011 Income Statement'!B28</f>
        <v>25400</v>
      </c>
      <c r="E16" s="169">
        <v>1</v>
      </c>
      <c r="F16" s="168">
        <f aca="true" t="shared" si="0" ref="F16:F48">D16*E16</f>
        <v>25400</v>
      </c>
      <c r="G16" s="47"/>
    </row>
    <row r="17" spans="1:7" ht="12.75">
      <c r="A17" s="38"/>
      <c r="B17" s="166">
        <v>4084</v>
      </c>
      <c r="C17" s="167" t="str">
        <f>+'2011 Income Statement'!A29</f>
        <v>4084-Serv Tx Requests</v>
      </c>
      <c r="D17" s="361">
        <f>-'2011 Income Statement'!B29</f>
        <v>1000</v>
      </c>
      <c r="E17" s="169">
        <v>1</v>
      </c>
      <c r="F17" s="168">
        <f t="shared" si="0"/>
        <v>1000</v>
      </c>
      <c r="G17" s="47"/>
    </row>
    <row r="18" spans="1:7" ht="12.75">
      <c r="A18" s="38"/>
      <c r="B18" s="166">
        <v>4090</v>
      </c>
      <c r="C18" s="167" t="str">
        <f>+'2011 Income Statement'!A30</f>
        <v>4090-Electric Services Incidental to Energy Sales</v>
      </c>
      <c r="D18" s="361">
        <f>'2011 Income Statement'!B30</f>
        <v>0</v>
      </c>
      <c r="E18" s="169">
        <v>1</v>
      </c>
      <c r="F18" s="168">
        <f t="shared" si="0"/>
        <v>0</v>
      </c>
      <c r="G18" s="47"/>
    </row>
    <row r="19" spans="1:7" ht="12.75">
      <c r="A19" s="38"/>
      <c r="B19" s="166">
        <v>4205</v>
      </c>
      <c r="C19" s="167" t="str">
        <f>+'2011 Income Statement'!A34</f>
        <v>4205-Interdepartmental Rents</v>
      </c>
      <c r="D19" s="361">
        <f>'2011 Income Statement'!B34</f>
        <v>0</v>
      </c>
      <c r="E19" s="169">
        <v>1</v>
      </c>
      <c r="F19" s="168">
        <f t="shared" si="0"/>
        <v>0</v>
      </c>
      <c r="G19" s="47"/>
    </row>
    <row r="20" spans="1:7" ht="12.75">
      <c r="A20" s="38"/>
      <c r="B20" s="166">
        <v>4210</v>
      </c>
      <c r="C20" s="167" t="str">
        <f>+'2011 Income Statement'!A35</f>
        <v>4210-Rent from Electric Property</v>
      </c>
      <c r="D20" s="361">
        <f>-'2011 Income Statement'!B35</f>
        <v>40885</v>
      </c>
      <c r="E20" s="169">
        <v>1</v>
      </c>
      <c r="F20" s="168">
        <f t="shared" si="0"/>
        <v>40885</v>
      </c>
      <c r="G20" s="47"/>
    </row>
    <row r="21" spans="1:7" ht="12.75">
      <c r="A21" s="38"/>
      <c r="B21" s="166">
        <v>4215</v>
      </c>
      <c r="C21" s="167" t="str">
        <f>+'2011 Income Statement'!A36</f>
        <v>4215-Other Utility Operating Income</v>
      </c>
      <c r="D21" s="361">
        <f>'2011 Income Statement'!B36</f>
        <v>0</v>
      </c>
      <c r="E21" s="169">
        <v>1</v>
      </c>
      <c r="F21" s="168">
        <f t="shared" si="0"/>
        <v>0</v>
      </c>
      <c r="G21" s="47"/>
    </row>
    <row r="22" spans="1:7" ht="12.75">
      <c r="A22" s="38"/>
      <c r="B22" s="166">
        <v>4220</v>
      </c>
      <c r="C22" s="167" t="str">
        <f>+'2011 Income Statement'!A37</f>
        <v>4220-Other Electric Revenues</v>
      </c>
      <c r="D22" s="361">
        <f>'2011 Income Statement'!B37</f>
        <v>0</v>
      </c>
      <c r="E22" s="169">
        <v>1</v>
      </c>
      <c r="F22" s="168">
        <f t="shared" si="0"/>
        <v>0</v>
      </c>
      <c r="G22" s="47"/>
    </row>
    <row r="23" spans="1:7" ht="12.75">
      <c r="A23" s="38"/>
      <c r="B23" s="166">
        <v>4225</v>
      </c>
      <c r="C23" s="167" t="str">
        <f>+'2011 Income Statement'!A38</f>
        <v>4225-Late Payment Charges</v>
      </c>
      <c r="D23" s="361">
        <f>-'2011 Income Statement'!B38</f>
        <v>54253.8</v>
      </c>
      <c r="E23" s="169">
        <v>1</v>
      </c>
      <c r="F23" s="168">
        <f t="shared" si="0"/>
        <v>54253.8</v>
      </c>
      <c r="G23" s="47"/>
    </row>
    <row r="24" spans="1:7" ht="12.75">
      <c r="A24" s="38"/>
      <c r="B24" s="166">
        <v>4230</v>
      </c>
      <c r="C24" s="167" t="str">
        <f>+'2011 Income Statement'!A39</f>
        <v>4230-Sales of Water and Water Power</v>
      </c>
      <c r="D24" s="361">
        <f>'2011 Income Statement'!B39</f>
        <v>0</v>
      </c>
      <c r="E24" s="169">
        <v>1</v>
      </c>
      <c r="F24" s="168">
        <f t="shared" si="0"/>
        <v>0</v>
      </c>
      <c r="G24" s="47"/>
    </row>
    <row r="25" spans="1:11" ht="12.75">
      <c r="A25" s="38"/>
      <c r="B25" s="166">
        <v>4235</v>
      </c>
      <c r="C25" s="167" t="str">
        <f>+'2011 Income Statement'!A40</f>
        <v>4235-Miscellaneous Service Revenues</v>
      </c>
      <c r="D25" s="361">
        <f>-'2011 Income Statement'!B40</f>
        <v>234290</v>
      </c>
      <c r="E25" s="169">
        <v>1</v>
      </c>
      <c r="F25" s="168">
        <f t="shared" si="0"/>
        <v>234290</v>
      </c>
      <c r="G25" s="47"/>
      <c r="K25">
        <f>81/12</f>
        <v>6.75</v>
      </c>
    </row>
    <row r="26" spans="1:7" ht="12.75">
      <c r="A26" s="38"/>
      <c r="B26" s="166">
        <v>4240</v>
      </c>
      <c r="C26" s="167" t="str">
        <f>+'2011 Income Statement'!A41</f>
        <v>4240-Provision for Rate Refunds</v>
      </c>
      <c r="D26" s="361">
        <f>'2011 Income Statement'!B41</f>
        <v>0</v>
      </c>
      <c r="E26" s="169">
        <v>1</v>
      </c>
      <c r="F26" s="168">
        <f t="shared" si="0"/>
        <v>0</v>
      </c>
      <c r="G26" s="47"/>
    </row>
    <row r="27" spans="1:7" ht="12.75">
      <c r="A27" s="38"/>
      <c r="B27" s="166">
        <v>4245</v>
      </c>
      <c r="C27" s="167" t="str">
        <f>+'2011 Income Statement'!A42</f>
        <v>4245-Government Assistance Directly Credited to Income</v>
      </c>
      <c r="D27" s="361">
        <f>'2011 Income Statement'!B42</f>
        <v>0</v>
      </c>
      <c r="E27" s="169">
        <v>1</v>
      </c>
      <c r="F27" s="168">
        <f t="shared" si="0"/>
        <v>0</v>
      </c>
      <c r="G27" s="47"/>
    </row>
    <row r="28" spans="1:7" ht="12.75">
      <c r="A28" s="38"/>
      <c r="B28" s="166">
        <v>4305</v>
      </c>
      <c r="C28" s="167" t="str">
        <f>+'2011 Income Statement'!A46</f>
        <v>4305-Regulatory Debits</v>
      </c>
      <c r="D28" s="361">
        <f>'2011 Income Statement'!B46</f>
        <v>0</v>
      </c>
      <c r="E28" s="169">
        <v>1</v>
      </c>
      <c r="F28" s="168">
        <f t="shared" si="0"/>
        <v>0</v>
      </c>
      <c r="G28" s="47"/>
    </row>
    <row r="29" spans="1:7" ht="12.75">
      <c r="A29" s="38"/>
      <c r="B29" s="166">
        <v>4310</v>
      </c>
      <c r="C29" s="167" t="str">
        <f>+'2011 Income Statement'!A47</f>
        <v>4310-Regulatory Credits</v>
      </c>
      <c r="D29" s="361">
        <f>'2011 Income Statement'!B47</f>
        <v>0</v>
      </c>
      <c r="E29" s="169">
        <v>1</v>
      </c>
      <c r="F29" s="168">
        <f t="shared" si="0"/>
        <v>0</v>
      </c>
      <c r="G29" s="47"/>
    </row>
    <row r="30" spans="1:7" ht="12.75">
      <c r="A30" s="38"/>
      <c r="B30" s="166">
        <v>4315</v>
      </c>
      <c r="C30" s="167" t="str">
        <f>+'2011 Income Statement'!A48</f>
        <v>4315-Revenues from Electric Plant Leased to Others</v>
      </c>
      <c r="D30" s="361">
        <f>'2011 Income Statement'!B48</f>
        <v>0</v>
      </c>
      <c r="E30" s="169">
        <v>1</v>
      </c>
      <c r="F30" s="168">
        <f t="shared" si="0"/>
        <v>0</v>
      </c>
      <c r="G30" s="47"/>
    </row>
    <row r="31" spans="1:7" ht="12.75">
      <c r="A31" s="38"/>
      <c r="B31" s="166">
        <v>4320</v>
      </c>
      <c r="C31" s="167" t="str">
        <f>+'2011 Income Statement'!A49</f>
        <v>4320-Expenses of Electric Plant Leased to Others</v>
      </c>
      <c r="D31" s="361">
        <f>'2011 Income Statement'!B49</f>
        <v>0</v>
      </c>
      <c r="E31" s="169">
        <v>1</v>
      </c>
      <c r="F31" s="168">
        <f t="shared" si="0"/>
        <v>0</v>
      </c>
      <c r="G31" s="47"/>
    </row>
    <row r="32" spans="1:7" ht="12.75">
      <c r="A32" s="38"/>
      <c r="B32" s="166">
        <v>4325</v>
      </c>
      <c r="C32" s="167" t="str">
        <f>+'2011 Income Statement'!A51</f>
        <v>4325-Revenues from Merchandise, Jobbing, Etc.</v>
      </c>
      <c r="D32" s="361">
        <f>'2011 Income Statement'!B51</f>
        <v>0</v>
      </c>
      <c r="E32" s="169">
        <v>1</v>
      </c>
      <c r="F32" s="168">
        <f t="shared" si="0"/>
        <v>0</v>
      </c>
      <c r="G32" s="47"/>
    </row>
    <row r="33" spans="1:7" ht="12.75">
      <c r="A33" s="38"/>
      <c r="B33" s="166">
        <v>4330</v>
      </c>
      <c r="C33" s="167" t="str">
        <f>+'2011 Income Statement'!A52</f>
        <v>4330-Costs and Expenses of Merchandising, Jobbing, Etc</v>
      </c>
      <c r="D33" s="361">
        <f>'2011 Income Statement'!B52</f>
        <v>0</v>
      </c>
      <c r="E33" s="169">
        <v>1</v>
      </c>
      <c r="F33" s="168">
        <f t="shared" si="0"/>
        <v>0</v>
      </c>
      <c r="G33" s="47"/>
    </row>
    <row r="34" spans="1:7" ht="12.75">
      <c r="A34" s="38"/>
      <c r="B34" s="166">
        <v>4335</v>
      </c>
      <c r="C34" s="167" t="str">
        <f>+'2011 Income Statement'!A53</f>
        <v>4335-Profits and Losses from Financial Instrument Hedges</v>
      </c>
      <c r="D34" s="361">
        <f>'2011 Income Statement'!B53</f>
        <v>0</v>
      </c>
      <c r="E34" s="169">
        <v>1</v>
      </c>
      <c r="F34" s="168">
        <f t="shared" si="0"/>
        <v>0</v>
      </c>
      <c r="G34" s="47"/>
    </row>
    <row r="35" spans="1:7" ht="12.75">
      <c r="A35" s="38"/>
      <c r="B35" s="166">
        <v>4340</v>
      </c>
      <c r="C35" s="167" t="str">
        <f>+'2011 Income Statement'!A54</f>
        <v>4340-Profits and Losses from Financial Instrument Investments</v>
      </c>
      <c r="D35" s="361">
        <f>'2011 Income Statement'!B54</f>
        <v>0</v>
      </c>
      <c r="E35" s="169">
        <v>1</v>
      </c>
      <c r="F35" s="168">
        <f t="shared" si="0"/>
        <v>0</v>
      </c>
      <c r="G35" s="47"/>
    </row>
    <row r="36" spans="1:7" ht="12.75">
      <c r="A36" s="38"/>
      <c r="B36" s="166">
        <v>4345</v>
      </c>
      <c r="C36" s="167" t="str">
        <f>+'2011 Income Statement'!A55</f>
        <v>4345-Gains from Disposition of Future Use Utility Plant</v>
      </c>
      <c r="D36" s="361">
        <f>'2011 Income Statement'!B55</f>
        <v>0</v>
      </c>
      <c r="E36" s="169">
        <v>0.5</v>
      </c>
      <c r="F36" s="168">
        <f t="shared" si="0"/>
        <v>0</v>
      </c>
      <c r="G36" s="47"/>
    </row>
    <row r="37" spans="1:7" ht="12.75">
      <c r="A37" s="38"/>
      <c r="B37" s="166">
        <v>4350</v>
      </c>
      <c r="C37" s="167" t="str">
        <f>+'2011 Income Statement'!A56</f>
        <v>4350-Losses from Disposition of Future Use Utility Plant</v>
      </c>
      <c r="D37" s="361">
        <f>'2011 Income Statement'!B56</f>
        <v>0</v>
      </c>
      <c r="E37" s="169">
        <v>0.5</v>
      </c>
      <c r="F37" s="168">
        <f t="shared" si="0"/>
        <v>0</v>
      </c>
      <c r="G37" s="47"/>
    </row>
    <row r="38" spans="1:7" ht="12.75">
      <c r="A38" s="38"/>
      <c r="B38" s="166">
        <v>4355</v>
      </c>
      <c r="C38" s="167" t="str">
        <f>+'2011 Income Statement'!A57</f>
        <v>4355-Gain on Disposition of Utility and Other Property</v>
      </c>
      <c r="D38" s="361">
        <f>-'2011 Income Statement'!B57</f>
        <v>1000</v>
      </c>
      <c r="E38" s="169">
        <v>0.5</v>
      </c>
      <c r="F38" s="168">
        <f t="shared" si="0"/>
        <v>500</v>
      </c>
      <c r="G38" s="47"/>
    </row>
    <row r="39" spans="1:7" ht="12.75">
      <c r="A39" s="38"/>
      <c r="B39" s="166">
        <v>4360</v>
      </c>
      <c r="C39" s="167" t="str">
        <f>+'2011 Income Statement'!A58</f>
        <v>4360-Loss on Disposition of Utility and Other Property</v>
      </c>
      <c r="D39" s="361">
        <f>'2011 Income Statement'!B58</f>
        <v>0</v>
      </c>
      <c r="E39" s="169">
        <v>0.5</v>
      </c>
      <c r="F39" s="168">
        <f t="shared" si="0"/>
        <v>0</v>
      </c>
      <c r="G39" s="47"/>
    </row>
    <row r="40" spans="1:10" ht="12.75">
      <c r="A40" s="38"/>
      <c r="B40" s="166">
        <v>4365</v>
      </c>
      <c r="C40" s="167" t="str">
        <f>+'2011 Income Statement'!A59</f>
        <v>4365-Gains from Disposition of Allowances for Emission</v>
      </c>
      <c r="D40" s="361">
        <f>'2011 Income Statement'!B59</f>
        <v>0</v>
      </c>
      <c r="E40" s="169">
        <v>1</v>
      </c>
      <c r="F40" s="168">
        <f t="shared" si="0"/>
        <v>0</v>
      </c>
      <c r="G40" s="47"/>
      <c r="J40" s="375"/>
    </row>
    <row r="41" spans="1:7" ht="12.75">
      <c r="A41" s="38"/>
      <c r="B41" s="166">
        <v>4370</v>
      </c>
      <c r="C41" s="167" t="str">
        <f>+'2011 Income Statement'!A60</f>
        <v>4370-Losses from Disposition of Allowances for Emission</v>
      </c>
      <c r="D41" s="361">
        <f>'2011 Income Statement'!B60</f>
        <v>0</v>
      </c>
      <c r="E41" s="169">
        <v>1</v>
      </c>
      <c r="F41" s="168">
        <f t="shared" si="0"/>
        <v>0</v>
      </c>
      <c r="G41" s="47"/>
    </row>
    <row r="42" spans="1:9" ht="12.75">
      <c r="A42" s="38"/>
      <c r="B42" s="166">
        <v>4375</v>
      </c>
      <c r="C42" s="167" t="str">
        <f>+'2011 Income Statement'!A61</f>
        <v>4375-Revenues from Non-Utility Operations</v>
      </c>
      <c r="D42" s="361">
        <f>-'2011 Income Statement'!B61</f>
        <v>829343.8158076663</v>
      </c>
      <c r="E42" s="379">
        <v>0.535218435996562</v>
      </c>
      <c r="F42" s="168">
        <f>ROUND(D42*E42,0)</f>
        <v>443880</v>
      </c>
      <c r="G42" s="47"/>
      <c r="I42" s="290">
        <f>D42+D43-F42-F43</f>
        <v>12796.583115678513</v>
      </c>
    </row>
    <row r="43" spans="1:9" ht="12.75">
      <c r="A43" s="38"/>
      <c r="B43" s="166">
        <v>4380</v>
      </c>
      <c r="C43" s="167" t="str">
        <f>+'2011 Income Statement'!A62</f>
        <v>4380-Expenses of Non-Utility Operations</v>
      </c>
      <c r="D43" s="361">
        <f>-'2011 Income Statement'!B62</f>
        <v>-770512.2326919878</v>
      </c>
      <c r="E43" s="379">
        <v>0.5163388578041568</v>
      </c>
      <c r="F43" s="168">
        <f>ROUND(D43*E43,0)</f>
        <v>-397845</v>
      </c>
      <c r="G43" s="47"/>
      <c r="I43" s="290"/>
    </row>
    <row r="44" spans="1:7" ht="12.75">
      <c r="A44" s="38"/>
      <c r="B44" s="166">
        <v>4385</v>
      </c>
      <c r="C44" s="167" t="str">
        <f>+'2011 Income Statement'!A63</f>
        <v>4385-Expenses of Non-Utility Operations</v>
      </c>
      <c r="D44" s="361">
        <f>'2011 Income Statement'!B63</f>
        <v>0</v>
      </c>
      <c r="E44" s="169">
        <v>1</v>
      </c>
      <c r="F44" s="168">
        <f t="shared" si="0"/>
        <v>0</v>
      </c>
      <c r="G44" s="47"/>
    </row>
    <row r="45" spans="1:7" ht="12.75">
      <c r="A45" s="38"/>
      <c r="B45" s="166">
        <v>4390</v>
      </c>
      <c r="C45" s="167" t="str">
        <f>+'2011 Income Statement'!A64</f>
        <v>4390-Miscellaneous Non-Operating Income</v>
      </c>
      <c r="D45" s="361">
        <f>-'2011 Income Statement'!B64</f>
        <v>15350</v>
      </c>
      <c r="E45" s="169">
        <v>1</v>
      </c>
      <c r="F45" s="168">
        <f t="shared" si="0"/>
        <v>15350</v>
      </c>
      <c r="G45" s="47"/>
    </row>
    <row r="46" spans="1:7" ht="12.75">
      <c r="A46" s="38"/>
      <c r="B46" s="166">
        <v>4395</v>
      </c>
      <c r="C46" s="167" t="str">
        <f>+'2011 Income Statement'!A65</f>
        <v>4395-Rate-Payer Benefit Including Interest</v>
      </c>
      <c r="D46" s="361">
        <f>'2011 Income Statement'!B65</f>
        <v>0</v>
      </c>
      <c r="E46" s="169">
        <v>1</v>
      </c>
      <c r="F46" s="168">
        <f t="shared" si="0"/>
        <v>0</v>
      </c>
      <c r="G46" s="47"/>
    </row>
    <row r="47" spans="1:7" ht="12.75">
      <c r="A47" s="38"/>
      <c r="B47" s="166">
        <v>4398</v>
      </c>
      <c r="C47" s="167" t="str">
        <f>+'2011 Income Statement'!A66</f>
        <v>4398-Foreign Exchange Gains and Losses, Including Amortization</v>
      </c>
      <c r="D47" s="361">
        <f>'2011 Income Statement'!B66</f>
        <v>0</v>
      </c>
      <c r="E47" s="169">
        <v>1</v>
      </c>
      <c r="F47" s="168">
        <f t="shared" si="0"/>
        <v>0</v>
      </c>
      <c r="G47" s="47"/>
    </row>
    <row r="48" spans="1:9" ht="12.75">
      <c r="A48" s="38"/>
      <c r="B48" s="166">
        <v>4405</v>
      </c>
      <c r="C48" s="167" t="str">
        <f>+'2011 Income Statement'!A70</f>
        <v>4405-Interest and Dividend Income</v>
      </c>
      <c r="D48" s="361">
        <f>-'2011 Income Statement'!B70</f>
        <v>45700</v>
      </c>
      <c r="E48" s="411">
        <v>0.5908096280087527</v>
      </c>
      <c r="F48" s="168">
        <f t="shared" si="0"/>
        <v>27000</v>
      </c>
      <c r="G48" s="47"/>
      <c r="I48" s="290"/>
    </row>
    <row r="49" spans="1:9" ht="25.5" customHeight="1" thickBot="1">
      <c r="A49" s="38"/>
      <c r="B49" s="767" t="s">
        <v>409</v>
      </c>
      <c r="C49" s="767"/>
      <c r="D49" s="767"/>
      <c r="E49" s="767"/>
      <c r="F49" s="222">
        <f>SUM(F15:F48)</f>
        <v>483278.80000000005</v>
      </c>
      <c r="G49" s="47"/>
      <c r="I49" s="225"/>
    </row>
    <row r="50" spans="1:7" ht="7.5" customHeight="1" thickBot="1" thickTop="1">
      <c r="A50" s="41"/>
      <c r="B50" s="172"/>
      <c r="C50" s="172"/>
      <c r="D50" s="172"/>
      <c r="E50" s="172"/>
      <c r="F50" s="173"/>
      <c r="G50" s="43"/>
    </row>
    <row r="51" ht="8.25" customHeight="1"/>
    <row r="52" spans="3:5" ht="18" thickBot="1">
      <c r="C52" s="738" t="s">
        <v>446</v>
      </c>
      <c r="D52" s="738"/>
      <c r="E52" s="738"/>
    </row>
    <row r="53" spans="2:5" ht="12.75">
      <c r="B53" s="48"/>
      <c r="C53" s="156" t="s">
        <v>447</v>
      </c>
      <c r="D53" s="355">
        <f>C10</f>
        <v>8715752.573688783</v>
      </c>
      <c r="E53" s="356"/>
    </row>
    <row r="54" spans="2:5" ht="12.75">
      <c r="B54" s="48"/>
      <c r="C54" s="170" t="s">
        <v>410</v>
      </c>
      <c r="D54" s="357">
        <f>F49</f>
        <v>483278.80000000005</v>
      </c>
      <c r="E54" s="358"/>
    </row>
    <row r="55" spans="2:5" ht="13.5" thickBot="1">
      <c r="B55" s="48"/>
      <c r="C55" s="171" t="s">
        <v>446</v>
      </c>
      <c r="D55" s="359"/>
      <c r="E55" s="360">
        <f>D53-D54</f>
        <v>8232473.773688783</v>
      </c>
    </row>
    <row r="56" ht="12.75">
      <c r="B56" s="48"/>
    </row>
  </sheetData>
  <sheetProtection/>
  <mergeCells count="6">
    <mergeCell ref="A1:G1"/>
    <mergeCell ref="A2:G2"/>
    <mergeCell ref="C52:E52"/>
    <mergeCell ref="B4:C4"/>
    <mergeCell ref="B13:F13"/>
    <mergeCell ref="B49:E49"/>
  </mergeCells>
  <printOptions/>
  <pageMargins left="0.7480314960629921" right="0.7480314960629921" top="0.984251968503937" bottom="0.984251968503937" header="0.5118110236220472" footer="0.5118110236220472"/>
  <pageSetup fitToHeight="5" fitToWidth="1" horizontalDpi="355" verticalDpi="355" orientation="portrait" scale="54" r:id="rId3"/>
  <headerFooter alignWithMargins="0">
    <oddFooter>&amp;L&amp;A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H16" sqref="H16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5"/>
  <sheetViews>
    <sheetView showGridLines="0" zoomScalePageLayoutView="0" workbookViewId="0" topLeftCell="A1">
      <pane ySplit="9" topLeftCell="A38" activePane="bottomLeft" state="frozen"/>
      <selection pane="topLeft" activeCell="A1" sqref="A1:H2"/>
      <selection pane="bottomLeft" activeCell="J55" sqref="J55"/>
    </sheetView>
  </sheetViews>
  <sheetFormatPr defaultColWidth="9.140625" defaultRowHeight="12.75"/>
  <cols>
    <col min="1" max="1" width="7.28125" style="20" customWidth="1"/>
    <col min="2" max="2" width="8.00390625" style="206" customWidth="1"/>
    <col min="3" max="3" width="53.8515625" style="205" customWidth="1"/>
    <col min="4" max="4" width="12.7109375" style="205" customWidth="1"/>
    <col min="5" max="5" width="11.140625" style="205" customWidth="1"/>
    <col min="6" max="6" width="9.7109375" style="205" customWidth="1"/>
    <col min="7" max="7" width="11.28125" style="205" customWidth="1"/>
    <col min="8" max="8" width="1.1484375" style="205" customWidth="1"/>
    <col min="9" max="9" width="12.421875" style="205" customWidth="1"/>
    <col min="10" max="10" width="10.8515625" style="205" customWidth="1"/>
    <col min="11" max="11" width="11.7109375" style="205" bestFit="1" customWidth="1"/>
    <col min="12" max="12" width="10.140625" style="205" customWidth="1"/>
    <col min="13" max="13" width="10.28125" style="205" customWidth="1"/>
    <col min="16" max="16" width="16.00390625" style="0" customWidth="1"/>
    <col min="17" max="17" width="15.28125" style="0" customWidth="1"/>
  </cols>
  <sheetData>
    <row r="1" spans="1:13" ht="12.75">
      <c r="A1" s="614" t="str">
        <f>'Trial Balance'!A1:J1</f>
        <v>Woodstock Hydro Services Inc.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</row>
    <row r="2" spans="1:13" ht="12.75">
      <c r="A2" s="614" t="str">
        <f>'Trial Balance'!A2:J2</f>
        <v>, License Number ED-2003-0011, File Number EB-2010-0145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</row>
    <row r="3" spans="1:13" ht="12.75">
      <c r="A3" s="619"/>
      <c r="B3" s="619"/>
      <c r="C3" s="619"/>
      <c r="D3" s="202"/>
      <c r="E3" s="202"/>
      <c r="F3" s="202"/>
      <c r="G3" s="202"/>
      <c r="H3" s="203"/>
      <c r="I3" s="204"/>
      <c r="J3" s="204"/>
      <c r="K3" s="204"/>
      <c r="L3" s="204"/>
      <c r="M3" s="204"/>
    </row>
    <row r="4" spans="1:13" ht="12.75">
      <c r="A4" s="619" t="s">
        <v>224</v>
      </c>
      <c r="B4" s="619"/>
      <c r="C4" s="619"/>
      <c r="D4" s="202"/>
      <c r="E4" s="202"/>
      <c r="F4" s="202"/>
      <c r="H4" s="203"/>
      <c r="I4" s="204"/>
      <c r="J4" s="204"/>
      <c r="K4" s="204"/>
      <c r="L4" s="204"/>
      <c r="M4" s="204"/>
    </row>
    <row r="5" spans="1:13" ht="12.75">
      <c r="A5" s="619" t="s">
        <v>805</v>
      </c>
      <c r="B5" s="619"/>
      <c r="C5" s="619"/>
      <c r="D5" s="202"/>
      <c r="E5" s="202"/>
      <c r="F5" s="202"/>
      <c r="H5" s="203"/>
      <c r="I5" s="204"/>
      <c r="J5" s="204"/>
      <c r="K5" s="204"/>
      <c r="L5" s="204"/>
      <c r="M5" s="204"/>
    </row>
    <row r="6" spans="4:13" ht="12.75">
      <c r="D6" s="615" t="s">
        <v>842</v>
      </c>
      <c r="E6" s="616"/>
      <c r="F6" s="616"/>
      <c r="G6" s="617"/>
      <c r="H6" s="203"/>
      <c r="I6" s="471" t="s">
        <v>267</v>
      </c>
      <c r="J6" s="472"/>
      <c r="K6" s="472"/>
      <c r="L6" s="472"/>
      <c r="M6" s="470"/>
    </row>
    <row r="7" spans="3:13" ht="12.75">
      <c r="C7" s="201"/>
      <c r="D7" s="618"/>
      <c r="E7" s="618"/>
      <c r="F7" s="618"/>
      <c r="G7" s="618"/>
      <c r="H7" s="203"/>
      <c r="I7" s="618"/>
      <c r="J7" s="618"/>
      <c r="K7" s="618"/>
      <c r="L7" s="618"/>
      <c r="M7" s="204"/>
    </row>
    <row r="8" spans="1:24" s="484" customFormat="1" ht="12.75">
      <c r="A8" s="606" t="s">
        <v>218</v>
      </c>
      <c r="B8" s="606" t="s">
        <v>502</v>
      </c>
      <c r="C8" s="606" t="s">
        <v>184</v>
      </c>
      <c r="D8" s="608" t="s">
        <v>232</v>
      </c>
      <c r="E8" s="608" t="s">
        <v>332</v>
      </c>
      <c r="F8" s="608" t="s">
        <v>333</v>
      </c>
      <c r="G8" s="608" t="s">
        <v>233</v>
      </c>
      <c r="H8" s="625"/>
      <c r="I8" s="608" t="s">
        <v>232</v>
      </c>
      <c r="J8" s="608" t="s">
        <v>332</v>
      </c>
      <c r="K8" s="608" t="s">
        <v>333</v>
      </c>
      <c r="L8" s="608" t="s">
        <v>233</v>
      </c>
      <c r="M8" s="608" t="s">
        <v>234</v>
      </c>
      <c r="P8" s="18"/>
      <c r="Q8" s="18"/>
      <c r="R8" s="18"/>
      <c r="S8" s="18"/>
      <c r="T8" s="18"/>
      <c r="U8" s="18"/>
      <c r="V8" s="18"/>
      <c r="W8" s="18"/>
      <c r="X8" s="18"/>
    </row>
    <row r="9" spans="1:24" s="484" customFormat="1" ht="12.75">
      <c r="A9" s="607"/>
      <c r="B9" s="607"/>
      <c r="C9" s="607"/>
      <c r="D9" s="609" t="s">
        <v>268</v>
      </c>
      <c r="E9" s="609" t="s">
        <v>332</v>
      </c>
      <c r="F9" s="609"/>
      <c r="G9" s="609"/>
      <c r="H9" s="625"/>
      <c r="I9" s="609" t="s">
        <v>268</v>
      </c>
      <c r="J9" s="609" t="s">
        <v>332</v>
      </c>
      <c r="K9" s="609"/>
      <c r="L9" s="609"/>
      <c r="M9" s="609"/>
      <c r="P9" s="18"/>
      <c r="Q9" s="18"/>
      <c r="R9" s="18"/>
      <c r="S9" s="18"/>
      <c r="T9" s="18"/>
      <c r="U9" s="18"/>
      <c r="V9" s="18"/>
      <c r="W9" s="18"/>
      <c r="X9" s="18"/>
    </row>
    <row r="10" spans="1:13" s="18" customFormat="1" ht="12.75">
      <c r="A10" s="228" t="str">
        <f>+'FA Continuity 2007'!A10</f>
        <v>N/A</v>
      </c>
      <c r="B10" s="464">
        <f>+'FA Continuity 2007'!B10</f>
        <v>1805</v>
      </c>
      <c r="C10" s="473" t="str">
        <f>+'FA Continuity 2007'!C10</f>
        <v>Land</v>
      </c>
      <c r="D10" s="289">
        <f>'FA Continuity 2007'!G10</f>
        <v>21835.64</v>
      </c>
      <c r="E10" s="289"/>
      <c r="F10" s="289"/>
      <c r="G10" s="289">
        <f>D10+E10-F10</f>
        <v>21835.64</v>
      </c>
      <c r="H10" s="625"/>
      <c r="I10" s="289">
        <f>'FA Continuity 2007'!L10</f>
        <v>0</v>
      </c>
      <c r="J10" s="289">
        <v>0</v>
      </c>
      <c r="K10" s="289">
        <v>0</v>
      </c>
      <c r="L10" s="289">
        <f aca="true" t="shared" si="0" ref="L10:L45">I10+J10-K10</f>
        <v>0</v>
      </c>
      <c r="M10" s="289">
        <f aca="true" t="shared" si="1" ref="M10:M46">G10-L10</f>
        <v>21835.64</v>
      </c>
    </row>
    <row r="11" spans="1:13" s="18" customFormat="1" ht="12.75">
      <c r="A11" s="228" t="str">
        <f>+'FA Continuity 2007'!A11</f>
        <v>CEC</v>
      </c>
      <c r="B11" s="464">
        <f>+'FA Continuity 2007'!B11</f>
        <v>1806</v>
      </c>
      <c r="C11" s="473" t="str">
        <f>+'FA Continuity 2007'!C11</f>
        <v>Land Rights</v>
      </c>
      <c r="D11" s="289">
        <f>'FA Continuity 2007'!G11</f>
        <v>0</v>
      </c>
      <c r="E11" s="289"/>
      <c r="F11" s="289"/>
      <c r="G11" s="289">
        <f aca="true" t="shared" si="2" ref="G11:G46">D11+E11-F11</f>
        <v>0</v>
      </c>
      <c r="H11" s="625"/>
      <c r="I11" s="289">
        <f>'FA Continuity 2007'!L11</f>
        <v>0</v>
      </c>
      <c r="J11" s="289"/>
      <c r="K11" s="289"/>
      <c r="L11" s="289">
        <f t="shared" si="0"/>
        <v>0</v>
      </c>
      <c r="M11" s="289">
        <f t="shared" si="1"/>
        <v>0</v>
      </c>
    </row>
    <row r="12" spans="1:13" s="18" customFormat="1" ht="12.75">
      <c r="A12" s="228">
        <f>+'FA Continuity 2007'!A12</f>
        <v>1</v>
      </c>
      <c r="B12" s="464">
        <f>+'FA Continuity 2007'!B12</f>
        <v>1808</v>
      </c>
      <c r="C12" s="473" t="str">
        <f>+'FA Continuity 2007'!C12</f>
        <v>Buildings and Fixtures</v>
      </c>
      <c r="D12" s="289">
        <f>'FA Continuity 2007'!G12</f>
        <v>190773.89</v>
      </c>
      <c r="E12" s="289"/>
      <c r="F12" s="289"/>
      <c r="G12" s="289">
        <f t="shared" si="2"/>
        <v>190773.89</v>
      </c>
      <c r="H12" s="625"/>
      <c r="I12" s="289">
        <f>'FA Continuity 2007'!L12</f>
        <v>52174.950000000004</v>
      </c>
      <c r="J12" s="289">
        <v>7581.22</v>
      </c>
      <c r="K12" s="289"/>
      <c r="L12" s="289">
        <f t="shared" si="0"/>
        <v>59756.170000000006</v>
      </c>
      <c r="M12" s="289">
        <f t="shared" si="1"/>
        <v>131017.72</v>
      </c>
    </row>
    <row r="13" spans="1:13" s="18" customFormat="1" ht="12.75">
      <c r="A13" s="228">
        <f>+'FA Continuity 2007'!A13</f>
        <v>0</v>
      </c>
      <c r="B13" s="464">
        <f>+'FA Continuity 2007'!B13</f>
        <v>1810</v>
      </c>
      <c r="C13" s="473" t="str">
        <f>+'FA Continuity 2007'!C13</f>
        <v>Leasehold Improvements</v>
      </c>
      <c r="D13" s="289">
        <f>'FA Continuity 2007'!G13</f>
        <v>0</v>
      </c>
      <c r="E13" s="289"/>
      <c r="F13" s="289"/>
      <c r="G13" s="289">
        <f t="shared" si="2"/>
        <v>0</v>
      </c>
      <c r="H13" s="625"/>
      <c r="I13" s="289">
        <f>'FA Continuity 2007'!L13</f>
        <v>0</v>
      </c>
      <c r="J13" s="289"/>
      <c r="K13" s="289"/>
      <c r="L13" s="289">
        <f t="shared" si="0"/>
        <v>0</v>
      </c>
      <c r="M13" s="289">
        <f t="shared" si="1"/>
        <v>0</v>
      </c>
    </row>
    <row r="14" spans="1:13" s="18" customFormat="1" ht="12.75">
      <c r="A14" s="228">
        <f>+'FA Continuity 2007'!A14</f>
        <v>0</v>
      </c>
      <c r="B14" s="464">
        <f>+'FA Continuity 2007'!B14</f>
        <v>1815</v>
      </c>
      <c r="C14" s="473" t="str">
        <f>+'FA Continuity 2007'!C14</f>
        <v>Transformer Station Equipment - Normally Primary above 50 kV</v>
      </c>
      <c r="D14" s="289">
        <f>'FA Continuity 2007'!G14</f>
        <v>0</v>
      </c>
      <c r="E14" s="289"/>
      <c r="F14" s="289"/>
      <c r="G14" s="289">
        <f t="shared" si="2"/>
        <v>0</v>
      </c>
      <c r="H14" s="625"/>
      <c r="I14" s="289">
        <f>'FA Continuity 2007'!L14</f>
        <v>0</v>
      </c>
      <c r="J14" s="289"/>
      <c r="K14" s="289"/>
      <c r="L14" s="289">
        <f t="shared" si="0"/>
        <v>0</v>
      </c>
      <c r="M14" s="289">
        <f t="shared" si="1"/>
        <v>0</v>
      </c>
    </row>
    <row r="15" spans="1:13" s="18" customFormat="1" ht="12.75">
      <c r="A15" s="228">
        <f>+'FA Continuity 2007'!A15</f>
        <v>1</v>
      </c>
      <c r="B15" s="464">
        <f>+'FA Continuity 2007'!B15</f>
        <v>1820</v>
      </c>
      <c r="C15" s="473" t="str">
        <f>+'FA Continuity 2007'!C15</f>
        <v>Distribution Station Equipment - Normally Primary below 50 kV</v>
      </c>
      <c r="D15" s="289">
        <f>'FA Continuity 2007'!G15</f>
        <v>566170.39</v>
      </c>
      <c r="E15" s="289">
        <v>56488.05</v>
      </c>
      <c r="F15" s="289"/>
      <c r="G15" s="289">
        <f t="shared" si="2"/>
        <v>622658.4400000001</v>
      </c>
      <c r="H15" s="625"/>
      <c r="I15" s="289">
        <f>'FA Continuity 2007'!L15</f>
        <v>227008.63</v>
      </c>
      <c r="J15" s="289">
        <v>32466.34</v>
      </c>
      <c r="K15" s="289"/>
      <c r="L15" s="289">
        <f t="shared" si="0"/>
        <v>259474.97</v>
      </c>
      <c r="M15" s="289">
        <f t="shared" si="1"/>
        <v>363183.4700000001</v>
      </c>
    </row>
    <row r="16" spans="1:13" s="18" customFormat="1" ht="12.75">
      <c r="A16" s="228">
        <f>+'FA Continuity 2007'!A16</f>
        <v>0</v>
      </c>
      <c r="B16" s="464">
        <f>+'FA Continuity 2007'!B16</f>
        <v>1825</v>
      </c>
      <c r="C16" s="473" t="str">
        <f>+'FA Continuity 2007'!C16</f>
        <v>Storage Battery Equipment</v>
      </c>
      <c r="D16" s="289">
        <f>'FA Continuity 2007'!G16</f>
        <v>0</v>
      </c>
      <c r="E16" s="289"/>
      <c r="F16" s="289"/>
      <c r="G16" s="289">
        <f t="shared" si="2"/>
        <v>0</v>
      </c>
      <c r="H16" s="625"/>
      <c r="I16" s="289">
        <f>'FA Continuity 2007'!L16</f>
        <v>0</v>
      </c>
      <c r="J16" s="289"/>
      <c r="K16" s="289"/>
      <c r="L16" s="289">
        <f t="shared" si="0"/>
        <v>0</v>
      </c>
      <c r="M16" s="289">
        <f t="shared" si="1"/>
        <v>0</v>
      </c>
    </row>
    <row r="17" spans="1:14" s="18" customFormat="1" ht="12.75">
      <c r="A17" s="228">
        <f>+'FA Continuity 2007'!A17</f>
        <v>1</v>
      </c>
      <c r="B17" s="464">
        <f>+'FA Continuity 2007'!B17</f>
        <v>1830</v>
      </c>
      <c r="C17" s="473" t="str">
        <f>+'FA Continuity 2007'!C17</f>
        <v>Poles, Towers and Fixtures</v>
      </c>
      <c r="D17" s="289">
        <f>'FA Continuity 2007'!G17</f>
        <v>6324832.909999999</v>
      </c>
      <c r="E17" s="289">
        <v>368972.93</v>
      </c>
      <c r="F17" s="289"/>
      <c r="G17" s="289">
        <f t="shared" si="2"/>
        <v>6693805.839999999</v>
      </c>
      <c r="H17" s="625"/>
      <c r="I17" s="289">
        <f>'FA Continuity 2007'!L17</f>
        <v>2148193.41</v>
      </c>
      <c r="J17" s="289">
        <v>339373.46</v>
      </c>
      <c r="K17" s="289"/>
      <c r="L17" s="289">
        <f t="shared" si="0"/>
        <v>2487566.87</v>
      </c>
      <c r="M17" s="289">
        <f t="shared" si="1"/>
        <v>4206238.969999999</v>
      </c>
      <c r="N17" s="485"/>
    </row>
    <row r="18" spans="1:13" s="18" customFormat="1" ht="12.75">
      <c r="A18" s="228">
        <f>+'FA Continuity 2007'!A18</f>
        <v>1</v>
      </c>
      <c r="B18" s="464">
        <f>+'FA Continuity 2007'!B18</f>
        <v>1835</v>
      </c>
      <c r="C18" s="473" t="str">
        <f>+'FA Continuity 2007'!C18</f>
        <v>Overhead Conductors and Devices</v>
      </c>
      <c r="D18" s="289">
        <f>'FA Continuity 2007'!G18</f>
        <v>3199104.05</v>
      </c>
      <c r="E18" s="289">
        <v>196085.74</v>
      </c>
      <c r="F18" s="289"/>
      <c r="G18" s="289">
        <f t="shared" si="2"/>
        <v>3395189.79</v>
      </c>
      <c r="H18" s="625"/>
      <c r="I18" s="289">
        <f>'FA Continuity 2007'!L18</f>
        <v>1051371.93</v>
      </c>
      <c r="J18" s="289">
        <v>165921.88</v>
      </c>
      <c r="K18" s="289"/>
      <c r="L18" s="289">
        <f t="shared" si="0"/>
        <v>1217293.81</v>
      </c>
      <c r="M18" s="289">
        <f t="shared" si="1"/>
        <v>2177895.98</v>
      </c>
    </row>
    <row r="19" spans="1:13" s="18" customFormat="1" ht="12.75">
      <c r="A19" s="228">
        <f>+'FA Continuity 2007'!A19</f>
        <v>1</v>
      </c>
      <c r="B19" s="464">
        <f>+'FA Continuity 2007'!B19</f>
        <v>1840</v>
      </c>
      <c r="C19" s="473" t="str">
        <f>+'FA Continuity 2007'!C19</f>
        <v>Underground Conduit</v>
      </c>
      <c r="D19" s="289">
        <f>'FA Continuity 2007'!G19</f>
        <v>2794141.68</v>
      </c>
      <c r="E19" s="289">
        <v>569819.72</v>
      </c>
      <c r="F19" s="289"/>
      <c r="G19" s="289">
        <f t="shared" si="2"/>
        <v>3363961.4000000004</v>
      </c>
      <c r="H19" s="625"/>
      <c r="I19" s="289">
        <f>'FA Continuity 2007'!L19</f>
        <v>829918.02</v>
      </c>
      <c r="J19" s="289">
        <v>170476.76</v>
      </c>
      <c r="K19" s="289"/>
      <c r="L19" s="289">
        <f t="shared" si="0"/>
        <v>1000394.78</v>
      </c>
      <c r="M19" s="289">
        <f t="shared" si="1"/>
        <v>2363566.62</v>
      </c>
    </row>
    <row r="20" spans="1:13" s="18" customFormat="1" ht="12.75">
      <c r="A20" s="228">
        <f>+'FA Continuity 2007'!A20</f>
        <v>1</v>
      </c>
      <c r="B20" s="464">
        <f>+'FA Continuity 2007'!B20</f>
        <v>1845</v>
      </c>
      <c r="C20" s="473" t="str">
        <f>+'FA Continuity 2007'!C20</f>
        <v>Underground Conductors and Devices</v>
      </c>
      <c r="D20" s="289">
        <f>'FA Continuity 2007'!G20</f>
        <v>3566380.1599999997</v>
      </c>
      <c r="E20" s="289">
        <v>808364.16</v>
      </c>
      <c r="F20" s="289"/>
      <c r="G20" s="289">
        <f t="shared" si="2"/>
        <v>4374744.319999999</v>
      </c>
      <c r="H20" s="625"/>
      <c r="I20" s="289">
        <f>'FA Continuity 2007'!L20</f>
        <v>1376220.62</v>
      </c>
      <c r="J20" s="289">
        <v>246821.24</v>
      </c>
      <c r="K20" s="289"/>
      <c r="L20" s="289">
        <f t="shared" si="0"/>
        <v>1623041.86</v>
      </c>
      <c r="M20" s="289">
        <f t="shared" si="1"/>
        <v>2751702.459999999</v>
      </c>
    </row>
    <row r="21" spans="1:13" s="18" customFormat="1" ht="12.75">
      <c r="A21" s="228">
        <f>+'FA Continuity 2007'!A21</f>
        <v>1</v>
      </c>
      <c r="B21" s="464">
        <f>+'FA Continuity 2007'!B21</f>
        <v>1850</v>
      </c>
      <c r="C21" s="473" t="str">
        <f>+'FA Continuity 2007'!C21</f>
        <v>Line Transformers</v>
      </c>
      <c r="D21" s="289">
        <f>'FA Continuity 2007'!G21</f>
        <v>4492755.17</v>
      </c>
      <c r="E21" s="289">
        <v>2046397.44</v>
      </c>
      <c r="F21" s="289"/>
      <c r="G21" s="289">
        <f t="shared" si="2"/>
        <v>6539152.609999999</v>
      </c>
      <c r="H21" s="625"/>
      <c r="I21" s="289">
        <f>'FA Continuity 2007'!L21</f>
        <v>1169368.62</v>
      </c>
      <c r="J21" s="289">
        <f>92439.98+168210.83</f>
        <v>260650.81</v>
      </c>
      <c r="K21" s="289"/>
      <c r="L21" s="289">
        <f t="shared" si="0"/>
        <v>1430019.4300000002</v>
      </c>
      <c r="M21" s="289">
        <f t="shared" si="1"/>
        <v>5109133.18</v>
      </c>
    </row>
    <row r="22" spans="1:13" s="18" customFormat="1" ht="12.75">
      <c r="A22" s="228">
        <f>+'FA Continuity 2007'!A22</f>
        <v>1</v>
      </c>
      <c r="B22" s="464">
        <f>+'FA Continuity 2007'!B22</f>
        <v>1855</v>
      </c>
      <c r="C22" s="473" t="str">
        <f>+'FA Continuity 2007'!C22</f>
        <v>Services</v>
      </c>
      <c r="D22" s="289">
        <f>'FA Continuity 2007'!G22</f>
        <v>1502672.49</v>
      </c>
      <c r="E22" s="289">
        <f>13714.61+507652.18</f>
        <v>521366.79</v>
      </c>
      <c r="F22" s="289"/>
      <c r="G22" s="289">
        <f t="shared" si="2"/>
        <v>2024039.28</v>
      </c>
      <c r="H22" s="625"/>
      <c r="I22" s="289">
        <f>'FA Continuity 2007'!L22</f>
        <v>211162.24</v>
      </c>
      <c r="J22" s="289">
        <f>7416+73602</f>
        <v>81018</v>
      </c>
      <c r="K22" s="289"/>
      <c r="L22" s="289">
        <f t="shared" si="0"/>
        <v>292180.24</v>
      </c>
      <c r="M22" s="289">
        <f t="shared" si="1"/>
        <v>1731859.04</v>
      </c>
    </row>
    <row r="23" spans="1:13" s="18" customFormat="1" ht="12.75">
      <c r="A23" s="228">
        <f>+'FA Continuity 2007'!A23</f>
        <v>1</v>
      </c>
      <c r="B23" s="464">
        <f>+'FA Continuity 2007'!B23</f>
        <v>1860</v>
      </c>
      <c r="C23" s="473" t="str">
        <f>+'FA Continuity 2007'!C23</f>
        <v>Meters</v>
      </c>
      <c r="D23" s="289">
        <f>'FA Continuity 2007'!G23</f>
        <v>3944948.9299999997</v>
      </c>
      <c r="E23" s="289">
        <v>36254.38</v>
      </c>
      <c r="F23" s="289"/>
      <c r="G23" s="289">
        <f t="shared" si="2"/>
        <v>3981203.3099999996</v>
      </c>
      <c r="H23" s="625"/>
      <c r="I23" s="289">
        <f>'FA Continuity 2007'!L23</f>
        <v>1864153.3299999998</v>
      </c>
      <c r="J23" s="289">
        <v>296879.42</v>
      </c>
      <c r="K23" s="289"/>
      <c r="L23" s="289">
        <f t="shared" si="0"/>
        <v>2161032.75</v>
      </c>
      <c r="M23" s="289">
        <f t="shared" si="1"/>
        <v>1820170.5599999996</v>
      </c>
    </row>
    <row r="24" spans="1:13" s="18" customFormat="1" ht="12.75">
      <c r="A24" s="228">
        <f>+'FA Continuity 2007'!A24</f>
        <v>0</v>
      </c>
      <c r="B24" s="464">
        <f>+'FA Continuity 2007'!B24</f>
        <v>1865</v>
      </c>
      <c r="C24" s="473" t="str">
        <f>+'FA Continuity 2007'!C24</f>
        <v>Other Installations on Customer's Premises</v>
      </c>
      <c r="D24" s="289">
        <f>'FA Continuity 2007'!G24</f>
        <v>0</v>
      </c>
      <c r="E24" s="289"/>
      <c r="F24" s="289"/>
      <c r="G24" s="289">
        <f t="shared" si="2"/>
        <v>0</v>
      </c>
      <c r="H24" s="625"/>
      <c r="I24" s="289">
        <f>'FA Continuity 2007'!L24</f>
        <v>0</v>
      </c>
      <c r="J24" s="289"/>
      <c r="K24" s="289"/>
      <c r="L24" s="289">
        <f t="shared" si="0"/>
        <v>0</v>
      </c>
      <c r="M24" s="289">
        <f t="shared" si="1"/>
        <v>0</v>
      </c>
    </row>
    <row r="25" spans="1:13" s="18" customFormat="1" ht="12.75">
      <c r="A25" s="228" t="str">
        <f>+'FA Continuity 2007'!A25</f>
        <v>N/A</v>
      </c>
      <c r="B25" s="464">
        <f>+'FA Continuity 2007'!B25</f>
        <v>1905</v>
      </c>
      <c r="C25" s="473" t="str">
        <f>+'FA Continuity 2007'!C25</f>
        <v>Land</v>
      </c>
      <c r="D25" s="289">
        <f>'FA Continuity 2007'!G25</f>
        <v>17529.54</v>
      </c>
      <c r="E25" s="289"/>
      <c r="F25" s="289"/>
      <c r="G25" s="289">
        <f t="shared" si="2"/>
        <v>17529.54</v>
      </c>
      <c r="H25" s="625"/>
      <c r="I25" s="289">
        <f>'FA Continuity 2007'!L25</f>
        <v>0</v>
      </c>
      <c r="J25" s="289"/>
      <c r="K25" s="289"/>
      <c r="L25" s="289">
        <f t="shared" si="0"/>
        <v>0</v>
      </c>
      <c r="M25" s="289">
        <f t="shared" si="1"/>
        <v>17529.54</v>
      </c>
    </row>
    <row r="26" spans="1:13" s="18" customFormat="1" ht="12.75">
      <c r="A26" s="228" t="str">
        <f>+'FA Continuity 2007'!A26</f>
        <v>CEC</v>
      </c>
      <c r="B26" s="464">
        <f>+'FA Continuity 2007'!B26</f>
        <v>1906</v>
      </c>
      <c r="C26" s="473" t="str">
        <f>+'FA Continuity 2007'!C26</f>
        <v>Land Rights</v>
      </c>
      <c r="D26" s="289">
        <f>'FA Continuity 2007'!G26</f>
        <v>0</v>
      </c>
      <c r="E26" s="289"/>
      <c r="F26" s="289"/>
      <c r="G26" s="289">
        <f t="shared" si="2"/>
        <v>0</v>
      </c>
      <c r="H26" s="625"/>
      <c r="I26" s="289">
        <f>'FA Continuity 2007'!L26</f>
        <v>0</v>
      </c>
      <c r="J26" s="289"/>
      <c r="K26" s="289"/>
      <c r="L26" s="289">
        <f t="shared" si="0"/>
        <v>0</v>
      </c>
      <c r="M26" s="289">
        <f t="shared" si="1"/>
        <v>0</v>
      </c>
    </row>
    <row r="27" spans="1:13" s="18" customFormat="1" ht="12.75">
      <c r="A27" s="228">
        <f>+'FA Continuity 2007'!A27</f>
        <v>1</v>
      </c>
      <c r="B27" s="464">
        <f>+'FA Continuity 2007'!B27</f>
        <v>1908</v>
      </c>
      <c r="C27" s="473" t="str">
        <f>+'FA Continuity 2007'!C27</f>
        <v>Buildings and Fixtures</v>
      </c>
      <c r="D27" s="289">
        <f>'FA Continuity 2007'!G27</f>
        <v>501573.28</v>
      </c>
      <c r="E27" s="289">
        <v>181379.59</v>
      </c>
      <c r="F27" s="289"/>
      <c r="G27" s="289">
        <f t="shared" si="2"/>
        <v>682952.87</v>
      </c>
      <c r="H27" s="625"/>
      <c r="I27" s="289">
        <f>'FA Continuity 2007'!L27</f>
        <v>119594.23999999999</v>
      </c>
      <c r="J27" s="289">
        <v>27219.34</v>
      </c>
      <c r="K27" s="289"/>
      <c r="L27" s="289">
        <f t="shared" si="0"/>
        <v>146813.58</v>
      </c>
      <c r="M27" s="289">
        <f t="shared" si="1"/>
        <v>536139.29</v>
      </c>
    </row>
    <row r="28" spans="1:13" s="18" customFormat="1" ht="12.75">
      <c r="A28" s="228">
        <f>+'FA Continuity 2007'!A28</f>
        <v>0</v>
      </c>
      <c r="B28" s="464">
        <f>+'FA Continuity 2007'!B28</f>
        <v>1910</v>
      </c>
      <c r="C28" s="473" t="str">
        <f>+'FA Continuity 2007'!C28</f>
        <v>Leasehold Improvements</v>
      </c>
      <c r="D28" s="289">
        <f>'FA Continuity 2007'!G28</f>
        <v>0</v>
      </c>
      <c r="E28" s="289"/>
      <c r="F28" s="289"/>
      <c r="G28" s="289">
        <f t="shared" si="2"/>
        <v>0</v>
      </c>
      <c r="H28" s="625"/>
      <c r="I28" s="289">
        <f>'FA Continuity 2007'!L28</f>
        <v>0</v>
      </c>
      <c r="J28" s="289"/>
      <c r="K28" s="289"/>
      <c r="L28" s="289">
        <f t="shared" si="0"/>
        <v>0</v>
      </c>
      <c r="M28" s="289">
        <f t="shared" si="1"/>
        <v>0</v>
      </c>
    </row>
    <row r="29" spans="1:13" s="18" customFormat="1" ht="12.75">
      <c r="A29" s="228">
        <f>+'FA Continuity 2007'!A29</f>
        <v>8</v>
      </c>
      <c r="B29" s="464">
        <f>+'FA Continuity 2007'!B29</f>
        <v>1915</v>
      </c>
      <c r="C29" s="473" t="str">
        <f>+'FA Continuity 2007'!C29</f>
        <v>Office Furniture and Equipment</v>
      </c>
      <c r="D29" s="289">
        <f>'FA Continuity 2007'!G29</f>
        <v>175070.24</v>
      </c>
      <c r="E29" s="289">
        <v>13090.23</v>
      </c>
      <c r="F29" s="289"/>
      <c r="G29" s="289">
        <f t="shared" si="2"/>
        <v>188160.47</v>
      </c>
      <c r="H29" s="625"/>
      <c r="I29" s="289">
        <f>'FA Continuity 2007'!L29</f>
        <v>110142.74</v>
      </c>
      <c r="J29" s="289">
        <v>13049</v>
      </c>
      <c r="K29" s="289"/>
      <c r="L29" s="289">
        <f t="shared" si="0"/>
        <v>123191.74</v>
      </c>
      <c r="M29" s="289">
        <f t="shared" si="1"/>
        <v>64968.729999999996</v>
      </c>
    </row>
    <row r="30" spans="1:13" s="18" customFormat="1" ht="12.75">
      <c r="A30" s="228">
        <f>+'FA Continuity 2007'!A30</f>
        <v>45</v>
      </c>
      <c r="B30" s="464">
        <f>+'FA Continuity 2007'!B30</f>
        <v>1920</v>
      </c>
      <c r="C30" s="473" t="str">
        <f>+'FA Continuity 2007'!C30</f>
        <v>Computer Equipment - Hardware</v>
      </c>
      <c r="D30" s="289">
        <f>'FA Continuity 2007'!G30</f>
        <v>795911.3700000001</v>
      </c>
      <c r="E30" s="289">
        <v>62598.31</v>
      </c>
      <c r="F30" s="289"/>
      <c r="G30" s="289">
        <f t="shared" si="2"/>
        <v>858509.6800000002</v>
      </c>
      <c r="H30" s="625"/>
      <c r="I30" s="289">
        <f>'FA Continuity 2007'!L30</f>
        <v>600889.0700000001</v>
      </c>
      <c r="J30" s="289">
        <v>89865.8</v>
      </c>
      <c r="K30" s="289"/>
      <c r="L30" s="289">
        <f t="shared" si="0"/>
        <v>690754.8700000001</v>
      </c>
      <c r="M30" s="289">
        <f t="shared" si="1"/>
        <v>167754.81000000006</v>
      </c>
    </row>
    <row r="31" spans="1:13" s="18" customFormat="1" ht="12.75">
      <c r="A31" s="228">
        <f>+'FA Continuity 2007'!A31</f>
        <v>12</v>
      </c>
      <c r="B31" s="464">
        <f>+'FA Continuity 2007'!B31</f>
        <v>1925</v>
      </c>
      <c r="C31" s="473" t="str">
        <f>+'FA Continuity 2007'!C31</f>
        <v>Computer Software</v>
      </c>
      <c r="D31" s="289">
        <f>'FA Continuity 2007'!G31</f>
        <v>960813.8300000001</v>
      </c>
      <c r="E31" s="289">
        <v>168644.35</v>
      </c>
      <c r="F31" s="289"/>
      <c r="G31" s="289">
        <f t="shared" si="2"/>
        <v>1129458.1800000002</v>
      </c>
      <c r="H31" s="625"/>
      <c r="I31" s="289">
        <f>'FA Continuity 2007'!L31</f>
        <v>707123.98</v>
      </c>
      <c r="J31" s="289">
        <v>128457.08</v>
      </c>
      <c r="K31" s="289"/>
      <c r="L31" s="289">
        <f>I31+J31-K31</f>
        <v>835581.0599999999</v>
      </c>
      <c r="M31" s="289">
        <f>G31-L31</f>
        <v>293877.1200000002</v>
      </c>
    </row>
    <row r="32" spans="1:13" s="18" customFormat="1" ht="12.75">
      <c r="A32" s="228">
        <f>+'FA Continuity 2007'!A32</f>
        <v>10</v>
      </c>
      <c r="B32" s="464">
        <f>+'FA Continuity 2007'!B32</f>
        <v>1930</v>
      </c>
      <c r="C32" s="473" t="str">
        <f>+'FA Continuity 2007'!C32</f>
        <v>Transportation Equipment</v>
      </c>
      <c r="D32" s="289">
        <f>'FA Continuity 2007'!G32</f>
        <v>1301080.27</v>
      </c>
      <c r="E32" s="289"/>
      <c r="F32" s="289"/>
      <c r="G32" s="289">
        <f t="shared" si="2"/>
        <v>1301080.27</v>
      </c>
      <c r="H32" s="625"/>
      <c r="I32" s="289">
        <f>'FA Continuity 2007'!L32</f>
        <v>819198.27</v>
      </c>
      <c r="J32" s="289">
        <v>143599</v>
      </c>
      <c r="K32" s="289"/>
      <c r="L32" s="289">
        <f t="shared" si="0"/>
        <v>962797.27</v>
      </c>
      <c r="M32" s="289">
        <f t="shared" si="1"/>
        <v>338283</v>
      </c>
    </row>
    <row r="33" spans="1:13" s="18" customFormat="1" ht="12.75">
      <c r="A33" s="228">
        <f>+'FA Continuity 2007'!A33</f>
        <v>10</v>
      </c>
      <c r="B33" s="464">
        <f>+'FA Continuity 2007'!B33</f>
        <v>1935</v>
      </c>
      <c r="C33" s="473" t="str">
        <f>+'FA Continuity 2007'!C33</f>
        <v>Stores Equipment</v>
      </c>
      <c r="D33" s="289">
        <f>'FA Continuity 2007'!G33</f>
        <v>43075.149999999994</v>
      </c>
      <c r="E33" s="289"/>
      <c r="F33" s="289"/>
      <c r="G33" s="289">
        <f t="shared" si="2"/>
        <v>43075.149999999994</v>
      </c>
      <c r="H33" s="625"/>
      <c r="I33" s="289">
        <f>'FA Continuity 2007'!L33</f>
        <v>24793.95</v>
      </c>
      <c r="J33" s="289">
        <v>4292</v>
      </c>
      <c r="K33" s="289"/>
      <c r="L33" s="289">
        <f t="shared" si="0"/>
        <v>29085.95</v>
      </c>
      <c r="M33" s="289">
        <f t="shared" si="1"/>
        <v>13989.199999999993</v>
      </c>
    </row>
    <row r="34" spans="1:13" s="18" customFormat="1" ht="12.75">
      <c r="A34" s="228">
        <f>+'FA Continuity 2007'!A34</f>
        <v>8</v>
      </c>
      <c r="B34" s="464">
        <f>+'FA Continuity 2007'!B34</f>
        <v>1940</v>
      </c>
      <c r="C34" s="473" t="str">
        <f>+'FA Continuity 2007'!C34</f>
        <v>Tools, Shop and Garage Equipment</v>
      </c>
      <c r="D34" s="289">
        <f>'FA Continuity 2007'!G34</f>
        <v>197294.59000000003</v>
      </c>
      <c r="E34" s="289">
        <v>33602.19</v>
      </c>
      <c r="F34" s="289"/>
      <c r="G34" s="289">
        <f t="shared" si="2"/>
        <v>230896.78000000003</v>
      </c>
      <c r="H34" s="625"/>
      <c r="I34" s="289">
        <f>'FA Continuity 2007'!L34</f>
        <v>140287.02000000002</v>
      </c>
      <c r="J34" s="289">
        <v>17494</v>
      </c>
      <c r="K34" s="289"/>
      <c r="L34" s="289">
        <f t="shared" si="0"/>
        <v>157781.02000000002</v>
      </c>
      <c r="M34" s="289">
        <f t="shared" si="1"/>
        <v>73115.76000000001</v>
      </c>
    </row>
    <row r="35" spans="1:13" s="18" customFormat="1" ht="12.75">
      <c r="A35" s="228">
        <f>+'FA Continuity 2007'!A35</f>
        <v>0</v>
      </c>
      <c r="B35" s="464">
        <f>+'FA Continuity 2007'!B35</f>
        <v>1945</v>
      </c>
      <c r="C35" s="473" t="str">
        <f>+'FA Continuity 2007'!C35</f>
        <v>Measurement and Testing Equipment</v>
      </c>
      <c r="D35" s="289">
        <f>'FA Continuity 2007'!G35</f>
        <v>75162.71</v>
      </c>
      <c r="E35" s="289">
        <v>25922.54</v>
      </c>
      <c r="F35" s="289"/>
      <c r="G35" s="289">
        <f t="shared" si="2"/>
        <v>101085.25</v>
      </c>
      <c r="H35" s="625"/>
      <c r="I35" s="289">
        <f>'FA Continuity 2007'!L35</f>
        <v>68078.35</v>
      </c>
      <c r="J35" s="289">
        <v>5029.25</v>
      </c>
      <c r="K35" s="289"/>
      <c r="L35" s="289">
        <f t="shared" si="0"/>
        <v>73107.6</v>
      </c>
      <c r="M35" s="289">
        <f t="shared" si="1"/>
        <v>27977.649999999994</v>
      </c>
    </row>
    <row r="36" spans="1:13" s="18" customFormat="1" ht="12.75">
      <c r="A36" s="228">
        <f>+'FA Continuity 2007'!A36</f>
        <v>0</v>
      </c>
      <c r="B36" s="464">
        <f>+'FA Continuity 2007'!B36</f>
        <v>1950</v>
      </c>
      <c r="C36" s="473" t="str">
        <f>+'FA Continuity 2007'!C36</f>
        <v>Power Operated Equipment</v>
      </c>
      <c r="D36" s="289">
        <f>'FA Continuity 2007'!G36</f>
        <v>0</v>
      </c>
      <c r="E36" s="289"/>
      <c r="F36" s="289"/>
      <c r="G36" s="289">
        <f t="shared" si="2"/>
        <v>0</v>
      </c>
      <c r="H36" s="625"/>
      <c r="I36" s="289">
        <f>'FA Continuity 2007'!L36</f>
        <v>0</v>
      </c>
      <c r="J36" s="289"/>
      <c r="K36" s="289"/>
      <c r="L36" s="289">
        <f t="shared" si="0"/>
        <v>0</v>
      </c>
      <c r="M36" s="289">
        <f t="shared" si="1"/>
        <v>0</v>
      </c>
    </row>
    <row r="37" spans="1:13" s="18" customFormat="1" ht="12.75">
      <c r="A37" s="228">
        <f>+'FA Continuity 2007'!A37</f>
        <v>10</v>
      </c>
      <c r="B37" s="464">
        <f>+'FA Continuity 2007'!B37</f>
        <v>1955</v>
      </c>
      <c r="C37" s="473" t="str">
        <f>+'FA Continuity 2007'!C37</f>
        <v>Communication Equipment</v>
      </c>
      <c r="D37" s="289">
        <f>'FA Continuity 2007'!G37</f>
        <v>13859.640000000001</v>
      </c>
      <c r="E37" s="289">
        <v>9073.91</v>
      </c>
      <c r="F37" s="289"/>
      <c r="G37" s="289">
        <f t="shared" si="2"/>
        <v>22933.550000000003</v>
      </c>
      <c r="H37" s="625"/>
      <c r="I37" s="289">
        <f>'FA Continuity 2007'!L37</f>
        <v>4729.24</v>
      </c>
      <c r="J37" s="289">
        <v>2295</v>
      </c>
      <c r="K37" s="289"/>
      <c r="L37" s="289">
        <f t="shared" si="0"/>
        <v>7024.24</v>
      </c>
      <c r="M37" s="289">
        <f t="shared" si="1"/>
        <v>15909.310000000003</v>
      </c>
    </row>
    <row r="38" spans="1:13" s="18" customFormat="1" ht="12.75">
      <c r="A38" s="228">
        <f>+'FA Continuity 2007'!A38</f>
        <v>0</v>
      </c>
      <c r="B38" s="464">
        <f>+'FA Continuity 2007'!B38</f>
        <v>1960</v>
      </c>
      <c r="C38" s="473" t="str">
        <f>+'FA Continuity 2007'!C38</f>
        <v>Miscellaneous Equipment</v>
      </c>
      <c r="D38" s="289">
        <f>'FA Continuity 2007'!G38</f>
        <v>485.09</v>
      </c>
      <c r="E38" s="289"/>
      <c r="F38" s="289"/>
      <c r="G38" s="289">
        <f t="shared" si="2"/>
        <v>485.09</v>
      </c>
      <c r="H38" s="625"/>
      <c r="I38" s="289">
        <f>'FA Continuity 2007'!L38</f>
        <v>379.09</v>
      </c>
      <c r="J38" s="289">
        <v>53</v>
      </c>
      <c r="K38" s="289"/>
      <c r="L38" s="289">
        <f t="shared" si="0"/>
        <v>432.09</v>
      </c>
      <c r="M38" s="289">
        <f t="shared" si="1"/>
        <v>53</v>
      </c>
    </row>
    <row r="39" spans="1:13" s="18" customFormat="1" ht="12.75">
      <c r="A39" s="228">
        <f>+'FA Continuity 2007'!A39</f>
        <v>0</v>
      </c>
      <c r="B39" s="464">
        <f>+'FA Continuity 2007'!B39</f>
        <v>1970</v>
      </c>
      <c r="C39" s="473" t="str">
        <f>+'FA Continuity 2007'!C39</f>
        <v>Load Management Controls - Customer Premises </v>
      </c>
      <c r="D39" s="289">
        <f>'FA Continuity 2007'!G39</f>
        <v>0</v>
      </c>
      <c r="E39" s="289"/>
      <c r="F39" s="289"/>
      <c r="G39" s="289">
        <f t="shared" si="2"/>
        <v>0</v>
      </c>
      <c r="H39" s="625"/>
      <c r="I39" s="289">
        <f>'FA Continuity 2007'!L39</f>
        <v>0</v>
      </c>
      <c r="J39" s="289"/>
      <c r="K39" s="289"/>
      <c r="L39" s="289">
        <f t="shared" si="0"/>
        <v>0</v>
      </c>
      <c r="M39" s="289">
        <f t="shared" si="1"/>
        <v>0</v>
      </c>
    </row>
    <row r="40" spans="1:13" s="18" customFormat="1" ht="12.75">
      <c r="A40" s="228">
        <f>+'FA Continuity 2007'!A40</f>
        <v>0</v>
      </c>
      <c r="B40" s="464">
        <f>+'FA Continuity 2007'!B40</f>
        <v>1975</v>
      </c>
      <c r="C40" s="473" t="str">
        <f>+'FA Continuity 2007'!C40</f>
        <v>Load Management Controls - Utility Premises</v>
      </c>
      <c r="D40" s="289">
        <f>'FA Continuity 2007'!G40</f>
        <v>0</v>
      </c>
      <c r="E40" s="289"/>
      <c r="F40" s="289"/>
      <c r="G40" s="289">
        <f t="shared" si="2"/>
        <v>0</v>
      </c>
      <c r="H40" s="625"/>
      <c r="I40" s="289">
        <f>'FA Continuity 2007'!L40</f>
        <v>0</v>
      </c>
      <c r="J40" s="289"/>
      <c r="K40" s="289"/>
      <c r="L40" s="289">
        <f t="shared" si="0"/>
        <v>0</v>
      </c>
      <c r="M40" s="289">
        <f t="shared" si="1"/>
        <v>0</v>
      </c>
    </row>
    <row r="41" spans="1:13" s="18" customFormat="1" ht="12.75">
      <c r="A41" s="228">
        <f>+'FA Continuity 2007'!A41</f>
        <v>0</v>
      </c>
      <c r="B41" s="464">
        <f>+'FA Continuity 2007'!B41</f>
        <v>1980</v>
      </c>
      <c r="C41" s="473" t="str">
        <f>+'FA Continuity 2007'!C41</f>
        <v>System Supervisory Equipment</v>
      </c>
      <c r="D41" s="289">
        <f>'FA Continuity 2007'!G41</f>
        <v>261235.37</v>
      </c>
      <c r="E41" s="289">
        <v>641.92</v>
      </c>
      <c r="F41" s="289"/>
      <c r="G41" s="289">
        <f t="shared" si="2"/>
        <v>261877.29</v>
      </c>
      <c r="H41" s="625"/>
      <c r="I41" s="289">
        <f>'FA Continuity 2007'!L41</f>
        <v>46385.25</v>
      </c>
      <c r="J41" s="289">
        <v>17390</v>
      </c>
      <c r="K41" s="289"/>
      <c r="L41" s="289">
        <f t="shared" si="0"/>
        <v>63775.25</v>
      </c>
      <c r="M41" s="289">
        <f t="shared" si="1"/>
        <v>198102.04</v>
      </c>
    </row>
    <row r="42" spans="1:13" s="18" customFormat="1" ht="12.75">
      <c r="A42" s="228">
        <f>+'FA Continuity 2007'!A42</f>
        <v>0</v>
      </c>
      <c r="B42" s="464">
        <f>+'FA Continuity 2007'!B42</f>
        <v>1985</v>
      </c>
      <c r="C42" s="473" t="str">
        <f>+'FA Continuity 2007'!C42</f>
        <v>Sentinel Lighting Rentals</v>
      </c>
      <c r="D42" s="289">
        <f>'FA Continuity 2007'!G42</f>
        <v>0</v>
      </c>
      <c r="E42" s="289"/>
      <c r="F42" s="289"/>
      <c r="G42" s="289">
        <f t="shared" si="2"/>
        <v>0</v>
      </c>
      <c r="H42" s="625"/>
      <c r="I42" s="289">
        <f>'FA Continuity 2007'!L42</f>
        <v>0</v>
      </c>
      <c r="J42" s="289"/>
      <c r="K42" s="289"/>
      <c r="L42" s="289">
        <f t="shared" si="0"/>
        <v>0</v>
      </c>
      <c r="M42" s="289">
        <f t="shared" si="1"/>
        <v>0</v>
      </c>
    </row>
    <row r="43" spans="1:13" s="18" customFormat="1" ht="12.75">
      <c r="A43" s="228">
        <f>+'FA Continuity 2007'!A43</f>
        <v>0</v>
      </c>
      <c r="B43" s="464">
        <f>+'FA Continuity 2007'!B43</f>
        <v>1990</v>
      </c>
      <c r="C43" s="473" t="str">
        <f>+'FA Continuity 2007'!C43</f>
        <v>Other Tangible Property</v>
      </c>
      <c r="D43" s="289">
        <f>'FA Continuity 2007'!G43</f>
        <v>0</v>
      </c>
      <c r="E43" s="289"/>
      <c r="F43" s="289"/>
      <c r="G43" s="289">
        <f t="shared" si="2"/>
        <v>0</v>
      </c>
      <c r="H43" s="625"/>
      <c r="I43" s="289">
        <f>'FA Continuity 2007'!L43</f>
        <v>0</v>
      </c>
      <c r="J43" s="289"/>
      <c r="K43" s="289"/>
      <c r="L43" s="289">
        <f t="shared" si="0"/>
        <v>0</v>
      </c>
      <c r="M43" s="289">
        <f t="shared" si="1"/>
        <v>0</v>
      </c>
    </row>
    <row r="44" spans="1:13" s="18" customFormat="1" ht="12.75">
      <c r="A44" s="228">
        <v>1</v>
      </c>
      <c r="B44" s="464">
        <f>+'FA Continuity 2007'!B44</f>
        <v>1995</v>
      </c>
      <c r="C44" s="473" t="str">
        <f>+'FA Continuity 2007'!C44</f>
        <v>Contributions and Grants</v>
      </c>
      <c r="D44" s="289">
        <f>'FA Continuity 2007'!G44</f>
        <v>-1678509.5699999998</v>
      </c>
      <c r="E44" s="289">
        <f>-1713686.84+220648</f>
        <v>-1493038.84</v>
      </c>
      <c r="F44" s="289"/>
      <c r="G44" s="289">
        <f t="shared" si="2"/>
        <v>-3171548.41</v>
      </c>
      <c r="H44" s="625"/>
      <c r="I44" s="289">
        <f>'FA Continuity 2007'!L44</f>
        <v>-220648</v>
      </c>
      <c r="J44" s="289">
        <v>-135688</v>
      </c>
      <c r="K44" s="289"/>
      <c r="L44" s="289">
        <f>I44+J44-K44</f>
        <v>-356336</v>
      </c>
      <c r="M44" s="289">
        <f t="shared" si="1"/>
        <v>-2815212.41</v>
      </c>
    </row>
    <row r="45" spans="1:13" s="18" customFormat="1" ht="12.75">
      <c r="A45" s="228">
        <v>47</v>
      </c>
      <c r="B45" s="464">
        <f>+'FA Continuity 2007'!B45</f>
        <v>1996</v>
      </c>
      <c r="C45" s="473" t="str">
        <f>+'FA Continuity 2007'!C45</f>
        <v>Contributions - Commerce Way TS</v>
      </c>
      <c r="D45" s="289">
        <f>'FA Continuity 2007'!G45</f>
        <v>0</v>
      </c>
      <c r="E45" s="289"/>
      <c r="F45" s="289"/>
      <c r="G45" s="289">
        <v>0</v>
      </c>
      <c r="H45" s="625"/>
      <c r="I45" s="289">
        <f>'FA Continuity 2007'!L45</f>
        <v>0</v>
      </c>
      <c r="J45" s="289"/>
      <c r="K45" s="289"/>
      <c r="L45" s="289">
        <f t="shared" si="0"/>
        <v>0</v>
      </c>
      <c r="M45" s="289">
        <f t="shared" si="1"/>
        <v>0</v>
      </c>
    </row>
    <row r="46" spans="1:13" s="18" customFormat="1" ht="12.75">
      <c r="A46" s="228">
        <f>+'FA Continuity 2007'!A46</f>
        <v>17</v>
      </c>
      <c r="B46" s="464">
        <f>+'FA Continuity 2007'!B46</f>
        <v>2075</v>
      </c>
      <c r="C46" s="473" t="str">
        <f>+'FA Continuity 2007'!C46</f>
        <v>NUP Owned - Generation Facility Assets</v>
      </c>
      <c r="D46" s="289">
        <f>'FA Continuity 2007'!G46</f>
        <v>0</v>
      </c>
      <c r="E46" s="289"/>
      <c r="F46" s="289"/>
      <c r="G46" s="289">
        <f t="shared" si="2"/>
        <v>0</v>
      </c>
      <c r="H46" s="625"/>
      <c r="I46" s="289">
        <f>'FA Continuity 2007'!L46</f>
        <v>0</v>
      </c>
      <c r="J46" s="289"/>
      <c r="K46" s="289"/>
      <c r="L46" s="289">
        <f>I46+J46-K46</f>
        <v>0</v>
      </c>
      <c r="M46" s="289">
        <f t="shared" si="1"/>
        <v>0</v>
      </c>
    </row>
    <row r="47" spans="1:13" s="18" customFormat="1" ht="12.75">
      <c r="A47" s="228"/>
      <c r="B47" s="474"/>
      <c r="C47" s="475" t="s">
        <v>235</v>
      </c>
      <c r="D47" s="463">
        <f>SUM(D10:D46)</f>
        <v>29268196.82</v>
      </c>
      <c r="E47" s="463">
        <f>SUM(E10:E46)</f>
        <v>3605663.41</v>
      </c>
      <c r="F47" s="463">
        <f>SUM(F10:F46)</f>
        <v>0</v>
      </c>
      <c r="G47" s="463">
        <f>SUM(G10:G46)</f>
        <v>32873860.23</v>
      </c>
      <c r="H47" s="625"/>
      <c r="I47" s="463">
        <f>SUM(I10:I46)</f>
        <v>11350524.95</v>
      </c>
      <c r="J47" s="463">
        <f>SUM(J10:J46)</f>
        <v>1914244.6</v>
      </c>
      <c r="K47" s="463">
        <f>SUM(K10:K46)</f>
        <v>0</v>
      </c>
      <c r="L47" s="463">
        <f>SUM(L10:L46)</f>
        <v>13264769.549999999</v>
      </c>
      <c r="M47" s="463">
        <f>SUM(M10:M46)</f>
        <v>19609090.679999992</v>
      </c>
    </row>
    <row r="48" spans="1:13" s="18" customFormat="1" ht="12.75">
      <c r="A48" s="228"/>
      <c r="B48" s="474"/>
      <c r="C48" s="473"/>
      <c r="D48" s="289"/>
      <c r="E48" s="289"/>
      <c r="F48" s="289"/>
      <c r="G48" s="289"/>
      <c r="H48" s="625"/>
      <c r="I48" s="289"/>
      <c r="J48" s="289"/>
      <c r="K48" s="289"/>
      <c r="L48" s="289"/>
      <c r="M48" s="289"/>
    </row>
    <row r="49" spans="1:13" s="18" customFormat="1" ht="12.75">
      <c r="A49" s="228">
        <v>94</v>
      </c>
      <c r="B49" s="474"/>
      <c r="C49" s="473" t="s">
        <v>269</v>
      </c>
      <c r="D49" s="289">
        <f>'FA Continuity 2007'!G49</f>
        <v>0</v>
      </c>
      <c r="E49" s="289"/>
      <c r="F49" s="289"/>
      <c r="G49" s="289">
        <f>D49+E49-F49</f>
        <v>0</v>
      </c>
      <c r="H49" s="625"/>
      <c r="I49" s="289">
        <f>'FA Continuity 2007'!L49</f>
        <v>0</v>
      </c>
      <c r="J49" s="289"/>
      <c r="K49" s="289"/>
      <c r="L49" s="289">
        <f>I49+J49-K49</f>
        <v>0</v>
      </c>
      <c r="M49" s="289">
        <f>G49-L49</f>
        <v>0</v>
      </c>
    </row>
    <row r="50" spans="1:13" s="18" customFormat="1" ht="12.75">
      <c r="A50" s="228"/>
      <c r="B50" s="474"/>
      <c r="C50" s="475" t="s">
        <v>236</v>
      </c>
      <c r="D50" s="463">
        <f>SUM(D47:D49)</f>
        <v>29268196.82</v>
      </c>
      <c r="E50" s="463">
        <f>SUM(E47:E49)</f>
        <v>3605663.41</v>
      </c>
      <c r="F50" s="463">
        <f>SUM(F47:F49)</f>
        <v>0</v>
      </c>
      <c r="G50" s="463">
        <f>SUM(G47:G49)</f>
        <v>32873860.23</v>
      </c>
      <c r="H50" s="625"/>
      <c r="I50" s="463">
        <f>SUM(I47:I49)</f>
        <v>11350524.95</v>
      </c>
      <c r="J50" s="463">
        <f>SUM(J47:J49)</f>
        <v>1914244.6</v>
      </c>
      <c r="K50" s="463">
        <f>SUM(K47:K49)</f>
        <v>0</v>
      </c>
      <c r="L50" s="463">
        <f>SUM(L47:L49)</f>
        <v>13264769.549999999</v>
      </c>
      <c r="M50" s="463">
        <f>SUM(M47:M49)</f>
        <v>19609090.679999992</v>
      </c>
    </row>
    <row r="51" spans="1:13" s="18" customFormat="1" ht="12.75">
      <c r="A51" s="227"/>
      <c r="B51" s="476"/>
      <c r="C51" s="477"/>
      <c r="D51" s="478"/>
      <c r="E51" s="478"/>
      <c r="F51" s="478"/>
      <c r="G51" s="478"/>
      <c r="H51" s="480"/>
      <c r="I51" s="480"/>
      <c r="J51" s="480"/>
      <c r="K51" s="480"/>
      <c r="L51" s="480"/>
      <c r="M51" s="480"/>
    </row>
    <row r="52" spans="1:13" s="18" customFormat="1" ht="12.75">
      <c r="A52" s="476"/>
      <c r="B52" s="476"/>
      <c r="C52" s="477"/>
      <c r="D52" s="478"/>
      <c r="E52" s="478"/>
      <c r="F52" s="478"/>
      <c r="G52" s="478"/>
      <c r="H52" s="626" t="s">
        <v>270</v>
      </c>
      <c r="I52" s="626"/>
      <c r="J52" s="626"/>
      <c r="K52" s="480"/>
      <c r="L52" s="480"/>
      <c r="M52" s="480"/>
    </row>
    <row r="53" spans="1:13" s="18" customFormat="1" ht="12.75">
      <c r="A53" s="464"/>
      <c r="B53" s="464">
        <v>1930</v>
      </c>
      <c r="C53" s="473" t="s">
        <v>271</v>
      </c>
      <c r="D53" s="478"/>
      <c r="E53" s="478"/>
      <c r="F53" s="478"/>
      <c r="G53" s="478"/>
      <c r="H53" s="626" t="s">
        <v>271</v>
      </c>
      <c r="I53" s="626"/>
      <c r="J53" s="486">
        <f>+J32</f>
        <v>143599</v>
      </c>
      <c r="K53" s="480"/>
      <c r="L53" s="480"/>
      <c r="M53" s="480"/>
    </row>
    <row r="54" spans="1:13" s="18" customFormat="1" ht="12.75">
      <c r="A54" s="464"/>
      <c r="B54" s="464">
        <v>1935</v>
      </c>
      <c r="C54" s="473" t="s">
        <v>536</v>
      </c>
      <c r="D54" s="478"/>
      <c r="E54" s="478"/>
      <c r="F54" s="478"/>
      <c r="G54" s="478"/>
      <c r="H54" s="626" t="s">
        <v>868</v>
      </c>
      <c r="I54" s="626"/>
      <c r="J54" s="486">
        <f>+J33</f>
        <v>4292</v>
      </c>
      <c r="K54" s="480"/>
      <c r="L54" s="480"/>
      <c r="M54" s="480"/>
    </row>
    <row r="55" spans="1:13" s="18" customFormat="1" ht="13.5" thickBot="1">
      <c r="A55" s="476"/>
      <c r="B55" s="476"/>
      <c r="C55" s="477"/>
      <c r="D55" s="478"/>
      <c r="E55" s="478"/>
      <c r="F55" s="478"/>
      <c r="G55" s="478"/>
      <c r="H55" s="626" t="s">
        <v>272</v>
      </c>
      <c r="I55" s="626"/>
      <c r="J55" s="487">
        <f>J50-J53-J54</f>
        <v>1766353.6</v>
      </c>
      <c r="K55" s="480"/>
      <c r="M55" s="480"/>
    </row>
    <row r="56" spans="1:13" ht="6" customHeight="1" thickTop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 s="174"/>
      <c r="J57" s="290"/>
      <c r="K57"/>
      <c r="L57"/>
      <c r="M57"/>
    </row>
    <row r="58" spans="1:13" ht="12.75">
      <c r="A58"/>
      <c r="B58"/>
      <c r="C58"/>
      <c r="D58"/>
      <c r="E58"/>
      <c r="F58"/>
      <c r="G58"/>
      <c r="H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J59"/>
      <c r="K59"/>
      <c r="L59"/>
      <c r="M59"/>
    </row>
    <row r="60" spans="4:13" ht="12.75">
      <c r="D60" s="207"/>
      <c r="E60" s="207"/>
      <c r="F60" s="207"/>
      <c r="G60" s="207"/>
      <c r="H60" s="203"/>
      <c r="J60" s="203"/>
      <c r="K60" s="203"/>
      <c r="L60" s="203"/>
      <c r="M60" s="203"/>
    </row>
    <row r="61" spans="4:13" ht="12.75">
      <c r="D61" s="207"/>
      <c r="E61" s="207"/>
      <c r="F61" s="207"/>
      <c r="G61" s="207"/>
      <c r="H61" s="203"/>
      <c r="J61" s="203"/>
      <c r="K61" s="203"/>
      <c r="L61" s="203"/>
      <c r="M61" s="203"/>
    </row>
    <row r="62" spans="3:13" ht="12.75">
      <c r="C62" s="201"/>
      <c r="D62" s="202"/>
      <c r="E62" s="202"/>
      <c r="F62" s="202"/>
      <c r="G62" s="202"/>
      <c r="H62" s="203"/>
      <c r="I62" s="204"/>
      <c r="J62" s="204"/>
      <c r="K62" s="204"/>
      <c r="L62" s="204"/>
      <c r="M62" s="204"/>
    </row>
    <row r="63" spans="3:13" ht="12.75">
      <c r="C63" s="201"/>
      <c r="D63" s="202"/>
      <c r="E63" s="202"/>
      <c r="F63" s="202"/>
      <c r="G63" s="202"/>
      <c r="H63" s="203"/>
      <c r="I63" s="204"/>
      <c r="J63" s="204"/>
      <c r="K63" s="204"/>
      <c r="L63" s="204"/>
      <c r="M63" s="204"/>
    </row>
    <row r="64" spans="3:13" ht="12.75">
      <c r="C64" s="201"/>
      <c r="D64" s="202"/>
      <c r="E64" s="202"/>
      <c r="F64" s="202"/>
      <c r="G64" s="202"/>
      <c r="H64" s="203"/>
      <c r="I64" s="204"/>
      <c r="J64" s="204"/>
      <c r="K64" s="204"/>
      <c r="L64" s="204"/>
      <c r="M64" s="204"/>
    </row>
    <row r="65" spans="3:13" ht="12.75">
      <c r="C65" s="201"/>
      <c r="D65" s="202"/>
      <c r="E65" s="202"/>
      <c r="F65" s="202"/>
      <c r="G65" s="202"/>
      <c r="H65" s="203"/>
      <c r="I65" s="204"/>
      <c r="J65" s="204"/>
      <c r="K65" s="204"/>
      <c r="L65" s="204"/>
      <c r="M65" s="204"/>
    </row>
  </sheetData>
  <sheetProtection/>
  <mergeCells count="25">
    <mergeCell ref="H54:I54"/>
    <mergeCell ref="H55:I55"/>
    <mergeCell ref="J8:J9"/>
    <mergeCell ref="K8:K9"/>
    <mergeCell ref="H52:J52"/>
    <mergeCell ref="H53:I53"/>
    <mergeCell ref="A1:M1"/>
    <mergeCell ref="A2:M2"/>
    <mergeCell ref="A3:C3"/>
    <mergeCell ref="A4:C4"/>
    <mergeCell ref="D7:G7"/>
    <mergeCell ref="M8:M9"/>
    <mergeCell ref="A5:C5"/>
    <mergeCell ref="H8:H50"/>
    <mergeCell ref="I7:L7"/>
    <mergeCell ref="D6:G6"/>
    <mergeCell ref="A8:A9"/>
    <mergeCell ref="B8:B9"/>
    <mergeCell ref="C8:C9"/>
    <mergeCell ref="D8:D9"/>
    <mergeCell ref="L8:L9"/>
    <mergeCell ref="E8:E9"/>
    <mergeCell ref="F8:F9"/>
    <mergeCell ref="G8:G9"/>
    <mergeCell ref="I8:I9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landscape" scale="65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PageLayoutView="0" workbookViewId="0" topLeftCell="A1">
      <pane ySplit="9" topLeftCell="A37" activePane="bottomLeft" state="frozen"/>
      <selection pane="topLeft" activeCell="A1" sqref="A1:H2"/>
      <selection pane="bottomLeft" activeCell="H52" sqref="H52:J55"/>
    </sheetView>
  </sheetViews>
  <sheetFormatPr defaultColWidth="9.140625" defaultRowHeight="12.75"/>
  <cols>
    <col min="1" max="1" width="7.140625" style="20" customWidth="1"/>
    <col min="2" max="2" width="7.421875" style="206" customWidth="1"/>
    <col min="3" max="3" width="55.00390625" style="205" bestFit="1" customWidth="1"/>
    <col min="4" max="4" width="13.8515625" style="205" customWidth="1"/>
    <col min="5" max="5" width="9.28125" style="205" bestFit="1" customWidth="1"/>
    <col min="6" max="6" width="9.421875" style="205" bestFit="1" customWidth="1"/>
    <col min="7" max="7" width="13.28125" style="205" customWidth="1"/>
    <col min="8" max="8" width="0.85546875" style="205" customWidth="1"/>
    <col min="9" max="9" width="12.28125" style="205" customWidth="1"/>
    <col min="10" max="10" width="9.8515625" style="205" customWidth="1"/>
    <col min="11" max="11" width="12.7109375" style="205" customWidth="1"/>
    <col min="12" max="12" width="12.140625" style="205" customWidth="1"/>
    <col min="13" max="13" width="10.421875" style="205" customWidth="1"/>
    <col min="14" max="14" width="13.7109375" style="0" customWidth="1"/>
  </cols>
  <sheetData>
    <row r="1" spans="1:13" ht="12.75">
      <c r="A1" s="614" t="str">
        <f>'Trial Balance'!A1:J1</f>
        <v>Woodstock Hydro Services Inc.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</row>
    <row r="2" spans="1:13" ht="12.75">
      <c r="A2" s="614" t="str">
        <f>'Trial Balance'!A2:J2</f>
        <v>, License Number ED-2003-0011, File Number EB-2010-0145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</row>
    <row r="3" spans="1:13" ht="12.75">
      <c r="A3" s="619"/>
      <c r="B3" s="619"/>
      <c r="C3" s="619"/>
      <c r="D3" s="202"/>
      <c r="E3" s="202"/>
      <c r="F3" s="202"/>
      <c r="G3" s="202"/>
      <c r="H3" s="203"/>
      <c r="I3" s="204"/>
      <c r="J3" s="204"/>
      <c r="K3" s="204"/>
      <c r="L3" s="204"/>
      <c r="M3" s="204"/>
    </row>
    <row r="4" spans="1:13" ht="12.75">
      <c r="A4" s="619" t="s">
        <v>224</v>
      </c>
      <c r="B4" s="619"/>
      <c r="C4" s="619"/>
      <c r="D4" s="364"/>
      <c r="E4" s="202"/>
      <c r="F4" s="202"/>
      <c r="H4" s="203"/>
      <c r="I4" s="204"/>
      <c r="J4" s="204"/>
      <c r="K4" s="204"/>
      <c r="L4" s="204"/>
      <c r="M4" s="204"/>
    </row>
    <row r="5" spans="1:13" ht="12.75">
      <c r="A5" s="619" t="s">
        <v>806</v>
      </c>
      <c r="B5" s="619"/>
      <c r="C5" s="619"/>
      <c r="D5" s="202"/>
      <c r="E5" s="202"/>
      <c r="F5" s="202"/>
      <c r="H5" s="203"/>
      <c r="I5" s="204"/>
      <c r="J5" s="204"/>
      <c r="K5" s="204"/>
      <c r="L5" s="204"/>
      <c r="M5" s="204"/>
    </row>
    <row r="6" spans="4:13" ht="12.75">
      <c r="D6" s="615" t="s">
        <v>842</v>
      </c>
      <c r="E6" s="616"/>
      <c r="F6" s="616"/>
      <c r="G6" s="617"/>
      <c r="H6" s="203"/>
      <c r="I6" s="471" t="s">
        <v>267</v>
      </c>
      <c r="J6" s="472"/>
      <c r="K6" s="472"/>
      <c r="L6" s="472"/>
      <c r="M6" s="470"/>
    </row>
    <row r="7" spans="3:13" ht="12.75">
      <c r="C7" s="201"/>
      <c r="D7" s="618"/>
      <c r="E7" s="618"/>
      <c r="F7" s="618"/>
      <c r="G7" s="618"/>
      <c r="H7" s="203"/>
      <c r="I7" s="618"/>
      <c r="J7" s="618"/>
      <c r="K7" s="618"/>
      <c r="L7" s="618"/>
      <c r="M7" s="204"/>
    </row>
    <row r="8" spans="1:13" s="484" customFormat="1" ht="12.75">
      <c r="A8" s="606" t="s">
        <v>218</v>
      </c>
      <c r="B8" s="606" t="s">
        <v>502</v>
      </c>
      <c r="C8" s="606" t="s">
        <v>184</v>
      </c>
      <c r="D8" s="608" t="s">
        <v>232</v>
      </c>
      <c r="E8" s="608" t="s">
        <v>332</v>
      </c>
      <c r="F8" s="608" t="s">
        <v>333</v>
      </c>
      <c r="G8" s="608" t="s">
        <v>233</v>
      </c>
      <c r="H8" s="625"/>
      <c r="I8" s="608" t="s">
        <v>232</v>
      </c>
      <c r="J8" s="608" t="s">
        <v>332</v>
      </c>
      <c r="K8" s="608" t="s">
        <v>333</v>
      </c>
      <c r="L8" s="608" t="s">
        <v>233</v>
      </c>
      <c r="M8" s="608" t="s">
        <v>234</v>
      </c>
    </row>
    <row r="9" spans="1:13" s="484" customFormat="1" ht="12.75">
      <c r="A9" s="607"/>
      <c r="B9" s="607"/>
      <c r="C9" s="607"/>
      <c r="D9" s="609" t="s">
        <v>268</v>
      </c>
      <c r="E9" s="609" t="s">
        <v>332</v>
      </c>
      <c r="F9" s="609"/>
      <c r="G9" s="609"/>
      <c r="H9" s="625"/>
      <c r="I9" s="609" t="s">
        <v>268</v>
      </c>
      <c r="J9" s="609" t="s">
        <v>332</v>
      </c>
      <c r="K9" s="609"/>
      <c r="L9" s="609"/>
      <c r="M9" s="609"/>
    </row>
    <row r="10" spans="1:14" s="18" customFormat="1" ht="12.75">
      <c r="A10" s="228" t="s">
        <v>219</v>
      </c>
      <c r="B10" s="464">
        <v>1805</v>
      </c>
      <c r="C10" s="473" t="s">
        <v>533</v>
      </c>
      <c r="D10" s="289">
        <f>'FA Continuity 2008'!G10</f>
        <v>21835.64</v>
      </c>
      <c r="E10" s="289"/>
      <c r="F10" s="289"/>
      <c r="G10" s="289">
        <f aca="true" t="shared" si="0" ref="G10:G46">D10+E10-F10</f>
        <v>21835.64</v>
      </c>
      <c r="H10" s="625"/>
      <c r="I10" s="289">
        <f>'FA Continuity 2008'!L10</f>
        <v>0</v>
      </c>
      <c r="J10" s="289">
        <v>0</v>
      </c>
      <c r="K10" s="289"/>
      <c r="L10" s="289">
        <f aca="true" t="shared" si="1" ref="L10:L46">I10+J10-K10</f>
        <v>0</v>
      </c>
      <c r="M10" s="289">
        <f aca="true" t="shared" si="2" ref="M10:M46">G10-L10</f>
        <v>21835.64</v>
      </c>
      <c r="N10" s="488"/>
    </row>
    <row r="11" spans="1:14" s="18" customFormat="1" ht="12.75">
      <c r="A11" s="228" t="s">
        <v>490</v>
      </c>
      <c r="B11" s="464">
        <v>1806</v>
      </c>
      <c r="C11" s="473" t="s">
        <v>534</v>
      </c>
      <c r="D11" s="289">
        <f>'FA Continuity 2008'!G11</f>
        <v>0</v>
      </c>
      <c r="E11" s="289"/>
      <c r="F11" s="289"/>
      <c r="G11" s="289">
        <f t="shared" si="0"/>
        <v>0</v>
      </c>
      <c r="H11" s="625"/>
      <c r="I11" s="289">
        <f>'FA Continuity 2008'!L11</f>
        <v>0</v>
      </c>
      <c r="J11" s="289"/>
      <c r="K11" s="289"/>
      <c r="L11" s="289">
        <f t="shared" si="1"/>
        <v>0</v>
      </c>
      <c r="M11" s="289">
        <f t="shared" si="2"/>
        <v>0</v>
      </c>
      <c r="N11" s="488"/>
    </row>
    <row r="12" spans="1:14" s="18" customFormat="1" ht="12.75">
      <c r="A12" s="228">
        <v>47</v>
      </c>
      <c r="B12" s="464">
        <v>1808</v>
      </c>
      <c r="C12" s="473" t="s">
        <v>631</v>
      </c>
      <c r="D12" s="289">
        <f>'FA Continuity 2008'!G12</f>
        <v>190773.89</v>
      </c>
      <c r="E12" s="289"/>
      <c r="F12" s="289"/>
      <c r="G12" s="289">
        <f t="shared" si="0"/>
        <v>190773.89</v>
      </c>
      <c r="H12" s="625"/>
      <c r="I12" s="289">
        <f>'FA Continuity 2008'!L12</f>
        <v>59756.170000000006</v>
      </c>
      <c r="J12" s="289">
        <v>7581.22</v>
      </c>
      <c r="K12" s="289"/>
      <c r="L12" s="289">
        <f t="shared" si="1"/>
        <v>67337.39</v>
      </c>
      <c r="M12" s="289">
        <f t="shared" si="2"/>
        <v>123436.50000000001</v>
      </c>
      <c r="N12" s="488"/>
    </row>
    <row r="13" spans="1:13" s="18" customFormat="1" ht="12.75">
      <c r="A13" s="228">
        <v>13</v>
      </c>
      <c r="B13" s="464">
        <v>1810</v>
      </c>
      <c r="C13" s="473" t="s">
        <v>531</v>
      </c>
      <c r="D13" s="289">
        <f>'FA Continuity 2008'!G13</f>
        <v>0</v>
      </c>
      <c r="E13" s="289"/>
      <c r="F13" s="289"/>
      <c r="G13" s="289">
        <f t="shared" si="0"/>
        <v>0</v>
      </c>
      <c r="H13" s="625"/>
      <c r="I13" s="289">
        <f>'FA Continuity 2008'!L13</f>
        <v>0</v>
      </c>
      <c r="J13" s="289"/>
      <c r="K13" s="289"/>
      <c r="L13" s="289">
        <f t="shared" si="1"/>
        <v>0</v>
      </c>
      <c r="M13" s="289">
        <f t="shared" si="2"/>
        <v>0</v>
      </c>
    </row>
    <row r="14" spans="1:14" s="18" customFormat="1" ht="12.75">
      <c r="A14" s="228">
        <v>47</v>
      </c>
      <c r="B14" s="464">
        <v>1815</v>
      </c>
      <c r="C14" s="473" t="s">
        <v>632</v>
      </c>
      <c r="D14" s="289">
        <f>'FA Continuity 2008'!G14</f>
        <v>0</v>
      </c>
      <c r="E14" s="289"/>
      <c r="F14" s="289"/>
      <c r="G14" s="289">
        <f t="shared" si="0"/>
        <v>0</v>
      </c>
      <c r="H14" s="625"/>
      <c r="I14" s="289">
        <f>'FA Continuity 2008'!L14</f>
        <v>0</v>
      </c>
      <c r="J14" s="289"/>
      <c r="K14" s="289"/>
      <c r="L14" s="289">
        <f t="shared" si="1"/>
        <v>0</v>
      </c>
      <c r="M14" s="289">
        <f t="shared" si="2"/>
        <v>0</v>
      </c>
      <c r="N14" s="488"/>
    </row>
    <row r="15" spans="1:13" s="18" customFormat="1" ht="12.75">
      <c r="A15" s="228">
        <v>47</v>
      </c>
      <c r="B15" s="464">
        <v>1820</v>
      </c>
      <c r="C15" s="473" t="s">
        <v>633</v>
      </c>
      <c r="D15" s="289">
        <f>'FA Continuity 2008'!G15</f>
        <v>622658.4400000001</v>
      </c>
      <c r="E15" s="289"/>
      <c r="F15" s="289"/>
      <c r="G15" s="289">
        <f t="shared" si="0"/>
        <v>622658.4400000001</v>
      </c>
      <c r="H15" s="625"/>
      <c r="I15" s="289">
        <f>'FA Continuity 2008'!L15</f>
        <v>259474.97</v>
      </c>
      <c r="J15" s="289">
        <v>32466.34</v>
      </c>
      <c r="K15" s="289"/>
      <c r="L15" s="289">
        <f t="shared" si="1"/>
        <v>291941.31</v>
      </c>
      <c r="M15" s="289">
        <f t="shared" si="2"/>
        <v>330717.13000000006</v>
      </c>
    </row>
    <row r="16" spans="1:14" s="18" customFormat="1" ht="12.75">
      <c r="A16" s="228">
        <v>47</v>
      </c>
      <c r="B16" s="464">
        <v>1825</v>
      </c>
      <c r="C16" s="473" t="s">
        <v>220</v>
      </c>
      <c r="D16" s="289">
        <f>'FA Continuity 2008'!G16</f>
        <v>0</v>
      </c>
      <c r="E16" s="289"/>
      <c r="F16" s="289"/>
      <c r="G16" s="289">
        <f t="shared" si="0"/>
        <v>0</v>
      </c>
      <c r="H16" s="625"/>
      <c r="I16" s="289">
        <f>'FA Continuity 2008'!L16</f>
        <v>0</v>
      </c>
      <c r="J16" s="289"/>
      <c r="K16" s="289"/>
      <c r="L16" s="289">
        <f t="shared" si="1"/>
        <v>0</v>
      </c>
      <c r="M16" s="289">
        <f t="shared" si="2"/>
        <v>0</v>
      </c>
      <c r="N16" s="488"/>
    </row>
    <row r="17" spans="1:14" s="18" customFormat="1" ht="12.75">
      <c r="A17" s="228">
        <v>47</v>
      </c>
      <c r="B17" s="464">
        <v>1830</v>
      </c>
      <c r="C17" s="473" t="s">
        <v>634</v>
      </c>
      <c r="D17" s="289">
        <f>'FA Continuity 2008'!G17</f>
        <v>6693805.839999999</v>
      </c>
      <c r="E17" s="289">
        <v>1009510.9699999999</v>
      </c>
      <c r="F17" s="289"/>
      <c r="G17" s="289">
        <f t="shared" si="0"/>
        <v>7703316.809999999</v>
      </c>
      <c r="H17" s="625"/>
      <c r="I17" s="289">
        <f>'FA Continuity 2008'!L17</f>
        <v>2487566.87</v>
      </c>
      <c r="J17" s="289">
        <v>378396.39</v>
      </c>
      <c r="K17" s="289"/>
      <c r="L17" s="289">
        <f t="shared" si="1"/>
        <v>2865963.2600000002</v>
      </c>
      <c r="M17" s="289">
        <f t="shared" si="2"/>
        <v>4837353.549999999</v>
      </c>
      <c r="N17" s="488"/>
    </row>
    <row r="18" spans="1:14" s="18" customFormat="1" ht="12.75">
      <c r="A18" s="228">
        <v>47</v>
      </c>
      <c r="B18" s="464">
        <v>1835</v>
      </c>
      <c r="C18" s="473" t="s">
        <v>635</v>
      </c>
      <c r="D18" s="289">
        <f>'FA Continuity 2008'!G18</f>
        <v>3395189.79</v>
      </c>
      <c r="E18" s="289">
        <v>132732.34000000008</v>
      </c>
      <c r="F18" s="289"/>
      <c r="G18" s="289">
        <f t="shared" si="0"/>
        <v>3527922.13</v>
      </c>
      <c r="H18" s="625"/>
      <c r="I18" s="289">
        <f>'FA Continuity 2008'!L18</f>
        <v>1217293.81</v>
      </c>
      <c r="J18" s="289">
        <v>169799.91</v>
      </c>
      <c r="K18" s="289"/>
      <c r="L18" s="289">
        <f t="shared" si="1"/>
        <v>1387093.72</v>
      </c>
      <c r="M18" s="289">
        <f t="shared" si="2"/>
        <v>2140828.41</v>
      </c>
      <c r="N18" s="488"/>
    </row>
    <row r="19" spans="1:14" s="18" customFormat="1" ht="12.75">
      <c r="A19" s="228">
        <v>47</v>
      </c>
      <c r="B19" s="464">
        <v>1840</v>
      </c>
      <c r="C19" s="473" t="s">
        <v>636</v>
      </c>
      <c r="D19" s="289">
        <f>'FA Continuity 2008'!G19</f>
        <v>3363961.4000000004</v>
      </c>
      <c r="E19" s="289">
        <v>205096.89</v>
      </c>
      <c r="F19" s="289"/>
      <c r="G19" s="289">
        <f t="shared" si="0"/>
        <v>3569058.2900000005</v>
      </c>
      <c r="H19" s="625"/>
      <c r="I19" s="289">
        <f>'FA Continuity 2008'!L19</f>
        <v>1000394.78</v>
      </c>
      <c r="J19" s="289">
        <v>169842.87</v>
      </c>
      <c r="K19" s="289"/>
      <c r="L19" s="289">
        <f t="shared" si="1"/>
        <v>1170237.65</v>
      </c>
      <c r="M19" s="289">
        <f t="shared" si="2"/>
        <v>2398820.6400000006</v>
      </c>
      <c r="N19" s="488"/>
    </row>
    <row r="20" spans="1:14" s="18" customFormat="1" ht="12.75">
      <c r="A20" s="228">
        <v>47</v>
      </c>
      <c r="B20" s="464">
        <v>1845</v>
      </c>
      <c r="C20" s="473" t="s">
        <v>637</v>
      </c>
      <c r="D20" s="289">
        <f>'FA Continuity 2008'!G20</f>
        <v>4374744.319999999</v>
      </c>
      <c r="E20" s="289">
        <v>287267.08</v>
      </c>
      <c r="F20" s="289"/>
      <c r="G20" s="289">
        <f t="shared" si="0"/>
        <v>4662011.399999999</v>
      </c>
      <c r="H20" s="625"/>
      <c r="I20" s="289">
        <f>'FA Continuity 2008'!L20</f>
        <v>1623041.86</v>
      </c>
      <c r="J20" s="289">
        <v>240520.27</v>
      </c>
      <c r="K20" s="289"/>
      <c r="L20" s="289">
        <f t="shared" si="1"/>
        <v>1863562.1300000001</v>
      </c>
      <c r="M20" s="289">
        <f t="shared" si="2"/>
        <v>2798449.2699999996</v>
      </c>
      <c r="N20" s="488"/>
    </row>
    <row r="21" spans="1:14" s="18" customFormat="1" ht="12.75">
      <c r="A21" s="228"/>
      <c r="B21" s="464">
        <v>1850</v>
      </c>
      <c r="C21" s="473" t="s">
        <v>532</v>
      </c>
      <c r="D21" s="289">
        <f>'FA Continuity 2008'!G21</f>
        <v>6539152.609999999</v>
      </c>
      <c r="E21" s="289">
        <v>236917.89</v>
      </c>
      <c r="F21" s="289"/>
      <c r="G21" s="289">
        <f t="shared" si="0"/>
        <v>6776070.499999999</v>
      </c>
      <c r="H21" s="625"/>
      <c r="I21" s="289">
        <f>'FA Continuity 2008'!L21</f>
        <v>1430019.4300000002</v>
      </c>
      <c r="J21" s="289">
        <f>103587.19+203473.53</f>
        <v>307060.72</v>
      </c>
      <c r="K21" s="289"/>
      <c r="L21" s="289">
        <f t="shared" si="1"/>
        <v>1737080.1500000001</v>
      </c>
      <c r="M21" s="289">
        <f t="shared" si="2"/>
        <v>5038990.349999999</v>
      </c>
      <c r="N21" s="488"/>
    </row>
    <row r="22" spans="1:14" s="18" customFormat="1" ht="12.75">
      <c r="A22" s="228">
        <v>47</v>
      </c>
      <c r="B22" s="464">
        <v>1855</v>
      </c>
      <c r="C22" s="473" t="s">
        <v>559</v>
      </c>
      <c r="D22" s="289">
        <f>'FA Continuity 2008'!G22</f>
        <v>2024039.28</v>
      </c>
      <c r="E22" s="289">
        <f>18811.15+250570.18</f>
        <v>269381.33</v>
      </c>
      <c r="F22" s="289"/>
      <c r="G22" s="289">
        <f t="shared" si="0"/>
        <v>2293420.61</v>
      </c>
      <c r="H22" s="625"/>
      <c r="I22" s="289">
        <f>'FA Continuity 2008'!L22</f>
        <v>292180.24</v>
      </c>
      <c r="J22" s="289">
        <f>8168.45+83624.81</f>
        <v>91793.26</v>
      </c>
      <c r="K22" s="289"/>
      <c r="L22" s="289">
        <f t="shared" si="1"/>
        <v>383973.5</v>
      </c>
      <c r="M22" s="289">
        <f t="shared" si="2"/>
        <v>1909447.1099999999</v>
      </c>
      <c r="N22" s="488"/>
    </row>
    <row r="23" spans="1:14" s="18" customFormat="1" ht="12.75">
      <c r="A23" s="228">
        <v>47</v>
      </c>
      <c r="B23" s="464">
        <v>1860</v>
      </c>
      <c r="C23" s="473" t="s">
        <v>560</v>
      </c>
      <c r="D23" s="289">
        <f>'FA Continuity 2008'!G23</f>
        <v>3981203.3099999996</v>
      </c>
      <c r="E23" s="289">
        <v>299178.55</v>
      </c>
      <c r="F23" s="289"/>
      <c r="G23" s="289">
        <f t="shared" si="0"/>
        <v>4280381.859999999</v>
      </c>
      <c r="H23" s="625"/>
      <c r="I23" s="289">
        <f>'FA Continuity 2008'!L23</f>
        <v>2161032.75</v>
      </c>
      <c r="J23" s="289">
        <f>82668.18+150321+14835+41002</f>
        <v>288826.18</v>
      </c>
      <c r="K23" s="289"/>
      <c r="L23" s="289">
        <f t="shared" si="1"/>
        <v>2449858.93</v>
      </c>
      <c r="M23" s="289">
        <f t="shared" si="2"/>
        <v>1830522.9299999992</v>
      </c>
      <c r="N23" s="488"/>
    </row>
    <row r="24" spans="1:14" s="18" customFormat="1" ht="12.75">
      <c r="A24" s="228" t="s">
        <v>219</v>
      </c>
      <c r="B24" s="464">
        <v>1865</v>
      </c>
      <c r="C24" s="473" t="s">
        <v>638</v>
      </c>
      <c r="D24" s="289">
        <f>'FA Continuity 2008'!G24</f>
        <v>0</v>
      </c>
      <c r="E24" s="289"/>
      <c r="F24" s="289"/>
      <c r="G24" s="289">
        <f t="shared" si="0"/>
        <v>0</v>
      </c>
      <c r="H24" s="625"/>
      <c r="I24" s="289">
        <f>'FA Continuity 2008'!L24</f>
        <v>0</v>
      </c>
      <c r="J24" s="289"/>
      <c r="K24" s="289"/>
      <c r="L24" s="289">
        <f t="shared" si="1"/>
        <v>0</v>
      </c>
      <c r="M24" s="289">
        <f t="shared" si="2"/>
        <v>0</v>
      </c>
      <c r="N24" s="488"/>
    </row>
    <row r="25" spans="1:14" s="18" customFormat="1" ht="12.75">
      <c r="A25" s="228" t="s">
        <v>219</v>
      </c>
      <c r="B25" s="464">
        <v>1905</v>
      </c>
      <c r="C25" s="473" t="s">
        <v>533</v>
      </c>
      <c r="D25" s="289">
        <f>'FA Continuity 2008'!G25</f>
        <v>17529.54</v>
      </c>
      <c r="E25" s="289"/>
      <c r="F25" s="289"/>
      <c r="G25" s="289">
        <f t="shared" si="0"/>
        <v>17529.54</v>
      </c>
      <c r="H25" s="625"/>
      <c r="I25" s="289">
        <f>'FA Continuity 2008'!L25</f>
        <v>0</v>
      </c>
      <c r="J25" s="289"/>
      <c r="K25" s="289"/>
      <c r="L25" s="289">
        <f t="shared" si="1"/>
        <v>0</v>
      </c>
      <c r="M25" s="289">
        <f t="shared" si="2"/>
        <v>17529.54</v>
      </c>
      <c r="N25" s="488"/>
    </row>
    <row r="26" spans="1:14" s="18" customFormat="1" ht="12.75">
      <c r="A26" s="228" t="s">
        <v>490</v>
      </c>
      <c r="B26" s="464">
        <v>1906</v>
      </c>
      <c r="C26" s="473" t="s">
        <v>534</v>
      </c>
      <c r="D26" s="289">
        <f>'FA Continuity 2008'!G26</f>
        <v>0</v>
      </c>
      <c r="E26" s="289"/>
      <c r="F26" s="289"/>
      <c r="G26" s="289">
        <f t="shared" si="0"/>
        <v>0</v>
      </c>
      <c r="H26" s="625"/>
      <c r="I26" s="289">
        <f>'FA Continuity 2008'!L26</f>
        <v>0</v>
      </c>
      <c r="J26" s="289"/>
      <c r="K26" s="289"/>
      <c r="L26" s="289">
        <f t="shared" si="1"/>
        <v>0</v>
      </c>
      <c r="M26" s="289">
        <f t="shared" si="2"/>
        <v>0</v>
      </c>
      <c r="N26" s="488"/>
    </row>
    <row r="27" spans="1:14" s="18" customFormat="1" ht="12.75">
      <c r="A27" s="228">
        <v>47</v>
      </c>
      <c r="B27" s="464">
        <v>1908</v>
      </c>
      <c r="C27" s="473" t="s">
        <v>631</v>
      </c>
      <c r="D27" s="289">
        <f>'FA Continuity 2008'!G27</f>
        <v>682952.87</v>
      </c>
      <c r="E27" s="289">
        <v>221770.23</v>
      </c>
      <c r="F27" s="289"/>
      <c r="G27" s="289">
        <f t="shared" si="0"/>
        <v>904723.1</v>
      </c>
      <c r="H27" s="625"/>
      <c r="I27" s="289">
        <f>'FA Continuity 2008'!L27</f>
        <v>146813.58</v>
      </c>
      <c r="J27" s="289">
        <v>36090.15</v>
      </c>
      <c r="K27" s="289"/>
      <c r="L27" s="289">
        <f t="shared" si="1"/>
        <v>182903.72999999998</v>
      </c>
      <c r="M27" s="289">
        <f t="shared" si="2"/>
        <v>721819.37</v>
      </c>
      <c r="N27" s="488"/>
    </row>
    <row r="28" spans="1:14" s="18" customFormat="1" ht="12.75">
      <c r="A28" s="228">
        <v>13</v>
      </c>
      <c r="B28" s="464">
        <v>1910</v>
      </c>
      <c r="C28" s="473" t="s">
        <v>531</v>
      </c>
      <c r="D28" s="289">
        <f>'FA Continuity 2008'!G28</f>
        <v>0</v>
      </c>
      <c r="E28" s="289"/>
      <c r="F28" s="289"/>
      <c r="G28" s="289">
        <f t="shared" si="0"/>
        <v>0</v>
      </c>
      <c r="H28" s="625"/>
      <c r="I28" s="289">
        <f>'FA Continuity 2008'!L28</f>
        <v>0</v>
      </c>
      <c r="J28" s="289"/>
      <c r="K28" s="289"/>
      <c r="L28" s="289">
        <f t="shared" si="1"/>
        <v>0</v>
      </c>
      <c r="M28" s="289">
        <f t="shared" si="2"/>
        <v>0</v>
      </c>
      <c r="N28" s="488"/>
    </row>
    <row r="29" spans="1:14" s="18" customFormat="1" ht="12.75">
      <c r="A29" s="228">
        <v>8</v>
      </c>
      <c r="B29" s="464">
        <v>1915</v>
      </c>
      <c r="C29" s="473" t="s">
        <v>639</v>
      </c>
      <c r="D29" s="289">
        <f>'FA Continuity 2008'!G29</f>
        <v>188160.47</v>
      </c>
      <c r="E29" s="289">
        <v>18230.6</v>
      </c>
      <c r="F29" s="289"/>
      <c r="G29" s="289">
        <f t="shared" si="0"/>
        <v>206391.07</v>
      </c>
      <c r="H29" s="625"/>
      <c r="I29" s="289">
        <f>'FA Continuity 2008'!L29</f>
        <v>123191.74</v>
      </c>
      <c r="J29" s="289">
        <v>14242.06</v>
      </c>
      <c r="K29" s="289"/>
      <c r="L29" s="289">
        <f>I29+J29-K29</f>
        <v>137433.80000000002</v>
      </c>
      <c r="M29" s="289">
        <f>G29-L29</f>
        <v>68957.26999999999</v>
      </c>
      <c r="N29" s="488"/>
    </row>
    <row r="30" spans="1:14" s="18" customFormat="1" ht="12.75">
      <c r="A30" s="228">
        <v>10</v>
      </c>
      <c r="B30" s="464">
        <v>1920</v>
      </c>
      <c r="C30" s="473" t="s">
        <v>640</v>
      </c>
      <c r="D30" s="289">
        <f>'FA Continuity 2008'!G30</f>
        <v>858509.6800000002</v>
      </c>
      <c r="E30" s="289">
        <v>150965.61</v>
      </c>
      <c r="F30" s="289"/>
      <c r="G30" s="289">
        <f t="shared" si="0"/>
        <v>1009475.2900000002</v>
      </c>
      <c r="H30" s="625"/>
      <c r="I30" s="289">
        <f>'FA Continuity 2008'!L30</f>
        <v>690754.8700000001</v>
      </c>
      <c r="J30" s="289">
        <v>99569.78</v>
      </c>
      <c r="K30" s="289"/>
      <c r="L30" s="289">
        <f t="shared" si="1"/>
        <v>790324.6500000001</v>
      </c>
      <c r="M30" s="289">
        <f t="shared" si="2"/>
        <v>219150.64</v>
      </c>
      <c r="N30" s="488"/>
    </row>
    <row r="31" spans="1:14" s="18" customFormat="1" ht="12.75">
      <c r="A31" s="228">
        <v>12</v>
      </c>
      <c r="B31" s="464">
        <v>1925</v>
      </c>
      <c r="C31" s="473" t="s">
        <v>525</v>
      </c>
      <c r="D31" s="289">
        <f>'FA Continuity 2008'!G31</f>
        <v>1129458.1800000002</v>
      </c>
      <c r="E31" s="289">
        <v>89577.46</v>
      </c>
      <c r="F31" s="289"/>
      <c r="G31" s="289">
        <f t="shared" si="0"/>
        <v>1219035.6400000001</v>
      </c>
      <c r="H31" s="625"/>
      <c r="I31" s="289">
        <f>'FA Continuity 2008'!L31</f>
        <v>835581.0599999999</v>
      </c>
      <c r="J31" s="289">
        <v>123253.91</v>
      </c>
      <c r="K31" s="289"/>
      <c r="L31" s="289">
        <f t="shared" si="1"/>
        <v>958834.97</v>
      </c>
      <c r="M31" s="289">
        <f t="shared" si="2"/>
        <v>260200.67000000016</v>
      </c>
      <c r="N31" s="488"/>
    </row>
    <row r="32" spans="1:14" s="18" customFormat="1" ht="12.75">
      <c r="A32" s="228">
        <v>10</v>
      </c>
      <c r="B32" s="464">
        <v>1930</v>
      </c>
      <c r="C32" s="473" t="s">
        <v>535</v>
      </c>
      <c r="D32" s="289">
        <f>'FA Continuity 2008'!G32</f>
        <v>1301080.27</v>
      </c>
      <c r="E32" s="289">
        <f>54769.09+50513.82</f>
        <v>105282.91</v>
      </c>
      <c r="F32" s="289">
        <v>50513.82</v>
      </c>
      <c r="G32" s="289">
        <f t="shared" si="0"/>
        <v>1355849.3599999999</v>
      </c>
      <c r="H32" s="625"/>
      <c r="I32" s="289">
        <f>'FA Continuity 2008'!L32</f>
        <v>962797.27</v>
      </c>
      <c r="J32" s="289">
        <v>122455.91</v>
      </c>
      <c r="K32" s="289">
        <v>50513.82</v>
      </c>
      <c r="L32" s="289">
        <f t="shared" si="1"/>
        <v>1034739.36</v>
      </c>
      <c r="M32" s="289">
        <f t="shared" si="2"/>
        <v>321109.9999999999</v>
      </c>
      <c r="N32" s="488"/>
    </row>
    <row r="33" spans="1:14" s="18" customFormat="1" ht="12.75">
      <c r="A33" s="228">
        <v>8</v>
      </c>
      <c r="B33" s="464">
        <v>1935</v>
      </c>
      <c r="C33" s="473" t="s">
        <v>536</v>
      </c>
      <c r="D33" s="289">
        <f>'FA Continuity 2008'!G33</f>
        <v>43075.149999999994</v>
      </c>
      <c r="E33" s="289">
        <v>8763.68</v>
      </c>
      <c r="F33" s="289"/>
      <c r="G33" s="289">
        <f t="shared" si="0"/>
        <v>51838.829999999994</v>
      </c>
      <c r="H33" s="625"/>
      <c r="I33" s="289">
        <f>'FA Continuity 2008'!L33</f>
        <v>29085.95</v>
      </c>
      <c r="J33" s="489">
        <v>2902.35</v>
      </c>
      <c r="K33" s="289"/>
      <c r="L33" s="289">
        <f t="shared" si="1"/>
        <v>31988.3</v>
      </c>
      <c r="M33" s="289">
        <f t="shared" si="2"/>
        <v>19850.529999999995</v>
      </c>
      <c r="N33" s="488"/>
    </row>
    <row r="34" spans="1:14" s="18" customFormat="1" ht="12.75">
      <c r="A34" s="228">
        <v>8</v>
      </c>
      <c r="B34" s="464">
        <v>1940</v>
      </c>
      <c r="C34" s="473" t="s">
        <v>641</v>
      </c>
      <c r="D34" s="289">
        <f>'FA Continuity 2008'!G34</f>
        <v>230896.78000000003</v>
      </c>
      <c r="E34" s="289">
        <v>14338.79</v>
      </c>
      <c r="F34" s="289"/>
      <c r="G34" s="289">
        <f t="shared" si="0"/>
        <v>245235.57000000004</v>
      </c>
      <c r="H34" s="625"/>
      <c r="I34" s="289">
        <f>'FA Continuity 2008'!L34</f>
        <v>157781.02000000002</v>
      </c>
      <c r="J34" s="289">
        <v>17676.88</v>
      </c>
      <c r="K34" s="289"/>
      <c r="L34" s="289">
        <f t="shared" si="1"/>
        <v>175457.90000000002</v>
      </c>
      <c r="M34" s="289">
        <f t="shared" si="2"/>
        <v>69777.67000000001</v>
      </c>
      <c r="N34" s="488"/>
    </row>
    <row r="35" spans="1:14" s="18" customFormat="1" ht="12.75">
      <c r="A35" s="228">
        <v>8</v>
      </c>
      <c r="B35" s="464">
        <v>1945</v>
      </c>
      <c r="C35" s="473" t="s">
        <v>642</v>
      </c>
      <c r="D35" s="289">
        <f>'FA Continuity 2008'!G35</f>
        <v>101085.25</v>
      </c>
      <c r="E35" s="289">
        <v>10877.76</v>
      </c>
      <c r="F35" s="289"/>
      <c r="G35" s="289">
        <f t="shared" si="0"/>
        <v>111963.01</v>
      </c>
      <c r="H35" s="625"/>
      <c r="I35" s="289">
        <f>'FA Continuity 2008'!L35</f>
        <v>73107.6</v>
      </c>
      <c r="J35" s="289">
        <v>5051.03</v>
      </c>
      <c r="K35" s="289"/>
      <c r="L35" s="289">
        <f t="shared" si="1"/>
        <v>78158.63</v>
      </c>
      <c r="M35" s="289">
        <f t="shared" si="2"/>
        <v>33804.37999999999</v>
      </c>
      <c r="N35" s="488"/>
    </row>
    <row r="36" spans="1:14" s="18" customFormat="1" ht="12.75">
      <c r="A36" s="228">
        <v>8</v>
      </c>
      <c r="B36" s="464">
        <v>1950</v>
      </c>
      <c r="C36" s="473" t="s">
        <v>643</v>
      </c>
      <c r="D36" s="289">
        <f>'FA Continuity 2008'!G36</f>
        <v>0</v>
      </c>
      <c r="E36" s="289"/>
      <c r="F36" s="289"/>
      <c r="G36" s="289">
        <f t="shared" si="0"/>
        <v>0</v>
      </c>
      <c r="H36" s="625"/>
      <c r="I36" s="289">
        <f>'FA Continuity 2008'!L36</f>
        <v>0</v>
      </c>
      <c r="J36" s="289"/>
      <c r="K36" s="289"/>
      <c r="L36" s="289">
        <f t="shared" si="1"/>
        <v>0</v>
      </c>
      <c r="M36" s="289">
        <f t="shared" si="2"/>
        <v>0</v>
      </c>
      <c r="N36" s="488"/>
    </row>
    <row r="37" spans="1:14" s="18" customFormat="1" ht="12.75">
      <c r="A37" s="228">
        <v>8</v>
      </c>
      <c r="B37" s="464">
        <v>1955</v>
      </c>
      <c r="C37" s="473" t="s">
        <v>644</v>
      </c>
      <c r="D37" s="289">
        <f>'FA Continuity 2008'!G37</f>
        <v>22933.550000000003</v>
      </c>
      <c r="E37" s="289">
        <v>4935.6</v>
      </c>
      <c r="F37" s="289"/>
      <c r="G37" s="289">
        <f t="shared" si="0"/>
        <v>27869.15</v>
      </c>
      <c r="H37" s="625"/>
      <c r="I37" s="289">
        <f>'FA Continuity 2008'!L37</f>
        <v>7024.24</v>
      </c>
      <c r="J37" s="289">
        <v>2788.56</v>
      </c>
      <c r="K37" s="289"/>
      <c r="L37" s="289">
        <f t="shared" si="1"/>
        <v>9812.8</v>
      </c>
      <c r="M37" s="289">
        <f t="shared" si="2"/>
        <v>18056.350000000002</v>
      </c>
      <c r="N37" s="488"/>
    </row>
    <row r="38" spans="1:14" s="18" customFormat="1" ht="12.75">
      <c r="A38" s="228">
        <v>8</v>
      </c>
      <c r="B38" s="464">
        <v>1960</v>
      </c>
      <c r="C38" s="473" t="s">
        <v>537</v>
      </c>
      <c r="D38" s="289">
        <f>'FA Continuity 2008'!G38</f>
        <v>485.09</v>
      </c>
      <c r="E38" s="289"/>
      <c r="F38" s="289"/>
      <c r="G38" s="289">
        <f t="shared" si="0"/>
        <v>485.09</v>
      </c>
      <c r="H38" s="625"/>
      <c r="I38" s="289">
        <f>'FA Continuity 2008'!L38</f>
        <v>432.09</v>
      </c>
      <c r="J38" s="289">
        <v>53</v>
      </c>
      <c r="K38" s="289"/>
      <c r="L38" s="289">
        <f>I38+J38-K38</f>
        <v>485.09</v>
      </c>
      <c r="M38" s="289">
        <f>G38-L38</f>
        <v>0</v>
      </c>
      <c r="N38" s="488"/>
    </row>
    <row r="39" spans="1:14" s="18" customFormat="1" ht="12.75">
      <c r="A39" s="228">
        <v>47</v>
      </c>
      <c r="B39" s="464">
        <v>1970</v>
      </c>
      <c r="C39" s="473" t="s">
        <v>645</v>
      </c>
      <c r="D39" s="289">
        <f>'FA Continuity 2008'!G39</f>
        <v>0</v>
      </c>
      <c r="E39" s="289"/>
      <c r="F39" s="289"/>
      <c r="G39" s="289">
        <f t="shared" si="0"/>
        <v>0</v>
      </c>
      <c r="H39" s="625"/>
      <c r="I39" s="289">
        <f>'FA Continuity 2008'!L39</f>
        <v>0</v>
      </c>
      <c r="J39" s="289"/>
      <c r="K39" s="289"/>
      <c r="L39" s="289">
        <f>I39+J39-K39</f>
        <v>0</v>
      </c>
      <c r="M39" s="289">
        <f>G39-L39</f>
        <v>0</v>
      </c>
      <c r="N39" s="488"/>
    </row>
    <row r="40" spans="1:14" s="18" customFormat="1" ht="12.75">
      <c r="A40" s="228">
        <v>47</v>
      </c>
      <c r="B40" s="464">
        <v>1975</v>
      </c>
      <c r="C40" s="473" t="s">
        <v>646</v>
      </c>
      <c r="D40" s="289">
        <f>'FA Continuity 2008'!G40</f>
        <v>0</v>
      </c>
      <c r="E40" s="289"/>
      <c r="F40" s="289"/>
      <c r="G40" s="289">
        <f t="shared" si="0"/>
        <v>0</v>
      </c>
      <c r="H40" s="625"/>
      <c r="I40" s="289">
        <f>'FA Continuity 2008'!L40</f>
        <v>0</v>
      </c>
      <c r="J40" s="289"/>
      <c r="K40" s="289"/>
      <c r="L40" s="289">
        <f>I40+J40-K40</f>
        <v>0</v>
      </c>
      <c r="M40" s="289">
        <f>G40-L40</f>
        <v>0</v>
      </c>
      <c r="N40" s="488"/>
    </row>
    <row r="41" spans="1:14" s="18" customFormat="1" ht="12.75">
      <c r="A41" s="228">
        <v>47</v>
      </c>
      <c r="B41" s="464">
        <v>1980</v>
      </c>
      <c r="C41" s="473" t="s">
        <v>538</v>
      </c>
      <c r="D41" s="289">
        <f>'FA Continuity 2008'!G41</f>
        <v>261877.29</v>
      </c>
      <c r="E41" s="289">
        <v>75095.31</v>
      </c>
      <c r="F41" s="289"/>
      <c r="G41" s="289">
        <f t="shared" si="0"/>
        <v>336972.6</v>
      </c>
      <c r="H41" s="625"/>
      <c r="I41" s="289">
        <f>'FA Continuity 2008'!L41</f>
        <v>63775.25</v>
      </c>
      <c r="J41" s="289">
        <v>22396.35</v>
      </c>
      <c r="K41" s="289"/>
      <c r="L41" s="289">
        <f>I41+J41-K41</f>
        <v>86171.6</v>
      </c>
      <c r="M41" s="289">
        <f>G41-L41</f>
        <v>250800.99999999997</v>
      </c>
      <c r="N41" s="488"/>
    </row>
    <row r="42" spans="1:14" s="18" customFormat="1" ht="12.75">
      <c r="A42" s="228">
        <v>47</v>
      </c>
      <c r="B42" s="464">
        <v>1985</v>
      </c>
      <c r="C42" s="473" t="s">
        <v>647</v>
      </c>
      <c r="D42" s="289">
        <f>'FA Continuity 2008'!G42</f>
        <v>0</v>
      </c>
      <c r="E42" s="289"/>
      <c r="F42" s="289"/>
      <c r="G42" s="289">
        <f t="shared" si="0"/>
        <v>0</v>
      </c>
      <c r="H42" s="625"/>
      <c r="I42" s="289">
        <f>'FA Continuity 2008'!L42</f>
        <v>0</v>
      </c>
      <c r="J42" s="289"/>
      <c r="K42" s="289"/>
      <c r="L42" s="289">
        <f>I42+J42-K42</f>
        <v>0</v>
      </c>
      <c r="M42" s="289">
        <f>G42-L42</f>
        <v>0</v>
      </c>
      <c r="N42" s="488"/>
    </row>
    <row r="43" spans="1:14" s="18" customFormat="1" ht="12.75">
      <c r="A43" s="228">
        <v>47</v>
      </c>
      <c r="B43" s="464">
        <v>1990</v>
      </c>
      <c r="C43" s="473" t="s">
        <v>648</v>
      </c>
      <c r="D43" s="289">
        <f>'FA Continuity 2008'!G43</f>
        <v>0</v>
      </c>
      <c r="E43" s="289"/>
      <c r="F43" s="289"/>
      <c r="G43" s="289">
        <f t="shared" si="0"/>
        <v>0</v>
      </c>
      <c r="H43" s="625"/>
      <c r="I43" s="289">
        <f>'FA Continuity 2008'!L43</f>
        <v>0</v>
      </c>
      <c r="J43" s="289"/>
      <c r="K43" s="289"/>
      <c r="L43" s="289">
        <f t="shared" si="1"/>
        <v>0</v>
      </c>
      <c r="M43" s="289">
        <f t="shared" si="2"/>
        <v>0</v>
      </c>
      <c r="N43" s="488"/>
    </row>
    <row r="44" spans="1:14" s="18" customFormat="1" ht="12.75">
      <c r="A44" s="228">
        <v>47</v>
      </c>
      <c r="B44" s="464">
        <v>1995</v>
      </c>
      <c r="C44" s="473" t="s">
        <v>649</v>
      </c>
      <c r="D44" s="289">
        <f>'FA Continuity 2008'!G44</f>
        <v>-3171548.41</v>
      </c>
      <c r="E44" s="289">
        <v>-241196.31000000006</v>
      </c>
      <c r="F44" s="289"/>
      <c r="G44" s="289">
        <f t="shared" si="0"/>
        <v>-3412744.72</v>
      </c>
      <c r="H44" s="625"/>
      <c r="I44" s="289">
        <f>'FA Continuity 2008'!L44</f>
        <v>-356336</v>
      </c>
      <c r="J44" s="289">
        <v>-136509.93</v>
      </c>
      <c r="K44" s="289"/>
      <c r="L44" s="289">
        <f t="shared" si="1"/>
        <v>-492845.93</v>
      </c>
      <c r="M44" s="289">
        <f t="shared" si="2"/>
        <v>-2919898.79</v>
      </c>
      <c r="N44" s="488"/>
    </row>
    <row r="45" spans="1:14" s="18" customFormat="1" ht="12.75">
      <c r="A45" s="228">
        <v>47</v>
      </c>
      <c r="B45" s="464">
        <v>1996</v>
      </c>
      <c r="C45" s="490" t="s">
        <v>862</v>
      </c>
      <c r="D45" s="289">
        <f>'FA Continuity 2008'!G45</f>
        <v>0</v>
      </c>
      <c r="E45" s="289"/>
      <c r="F45" s="289"/>
      <c r="G45" s="289">
        <f t="shared" si="0"/>
        <v>0</v>
      </c>
      <c r="H45" s="625"/>
      <c r="I45" s="289">
        <f>'FA Continuity 2008'!L45</f>
        <v>0</v>
      </c>
      <c r="J45" s="289"/>
      <c r="K45" s="289"/>
      <c r="L45" s="289">
        <f>I45+J45-K45</f>
        <v>0</v>
      </c>
      <c r="M45" s="289">
        <f t="shared" si="2"/>
        <v>0</v>
      </c>
      <c r="N45" s="488"/>
    </row>
    <row r="46" spans="1:14" s="18" customFormat="1" ht="12.75">
      <c r="A46" s="228">
        <f>'FA Continuity 2008'!A46</f>
        <v>17</v>
      </c>
      <c r="B46" s="464">
        <f>'FA Continuity 2008'!B46</f>
        <v>2075</v>
      </c>
      <c r="C46" s="473" t="str">
        <f>'FA Continuity 2008'!C46</f>
        <v>NUP Owned - Generation Facility Assets</v>
      </c>
      <c r="D46" s="289">
        <f>'FA Continuity 2008'!G46</f>
        <v>0</v>
      </c>
      <c r="E46" s="289">
        <v>0</v>
      </c>
      <c r="F46" s="289"/>
      <c r="G46" s="289">
        <f t="shared" si="0"/>
        <v>0</v>
      </c>
      <c r="H46" s="625"/>
      <c r="I46" s="289">
        <f>'FA Continuity 2008'!L46</f>
        <v>0</v>
      </c>
      <c r="J46" s="289"/>
      <c r="K46" s="289"/>
      <c r="L46" s="289">
        <f t="shared" si="1"/>
        <v>0</v>
      </c>
      <c r="M46" s="289">
        <f t="shared" si="2"/>
        <v>0</v>
      </c>
      <c r="N46" s="488"/>
    </row>
    <row r="47" spans="1:14" s="18" customFormat="1" ht="12.75">
      <c r="A47" s="228"/>
      <c r="B47" s="474"/>
      <c r="C47" s="475" t="s">
        <v>235</v>
      </c>
      <c r="D47" s="463">
        <f>SUM(D10:D46)</f>
        <v>32873860.23</v>
      </c>
      <c r="E47" s="463">
        <f aca="true" t="shared" si="3" ref="E47:M47">SUM(E10:E46)</f>
        <v>2898726.6900000004</v>
      </c>
      <c r="F47" s="463">
        <f t="shared" si="3"/>
        <v>50513.82</v>
      </c>
      <c r="G47" s="463">
        <f t="shared" si="3"/>
        <v>35722073.1</v>
      </c>
      <c r="H47" s="625"/>
      <c r="I47" s="463">
        <f>SUM(I10:I46)</f>
        <v>13264769.549999999</v>
      </c>
      <c r="J47" s="463">
        <f>SUM(J10:J46)</f>
        <v>1996257.2099999997</v>
      </c>
      <c r="K47" s="463">
        <f t="shared" si="3"/>
        <v>50513.82</v>
      </c>
      <c r="L47" s="463">
        <f>SUM(L10:L46)</f>
        <v>15210512.940000003</v>
      </c>
      <c r="M47" s="463">
        <f t="shared" si="3"/>
        <v>20511560.160000004</v>
      </c>
      <c r="N47" s="488"/>
    </row>
    <row r="48" spans="1:14" s="18" customFormat="1" ht="12.75">
      <c r="A48" s="228"/>
      <c r="B48" s="474"/>
      <c r="C48" s="473"/>
      <c r="D48" s="289"/>
      <c r="E48" s="289"/>
      <c r="F48" s="289"/>
      <c r="G48" s="289"/>
      <c r="H48" s="625"/>
      <c r="I48" s="289"/>
      <c r="J48" s="289"/>
      <c r="K48" s="289"/>
      <c r="L48" s="289"/>
      <c r="M48" s="289"/>
      <c r="N48" s="488"/>
    </row>
    <row r="49" spans="1:14" s="18" customFormat="1" ht="12.75">
      <c r="A49" s="228">
        <v>94</v>
      </c>
      <c r="B49" s="474"/>
      <c r="C49" s="473" t="s">
        <v>269</v>
      </c>
      <c r="D49" s="289">
        <f>'FA Continuity 2008'!G49</f>
        <v>0</v>
      </c>
      <c r="E49" s="289">
        <v>87708.07</v>
      </c>
      <c r="F49" s="289"/>
      <c r="G49" s="289">
        <f>D49+E49-F49</f>
        <v>87708.07</v>
      </c>
      <c r="H49" s="625"/>
      <c r="I49" s="289">
        <f>'FA Continuity 2008'!L49</f>
        <v>0</v>
      </c>
      <c r="J49" s="289">
        <v>0</v>
      </c>
      <c r="K49" s="289">
        <v>0</v>
      </c>
      <c r="L49" s="289">
        <f>I49+J49-K49</f>
        <v>0</v>
      </c>
      <c r="M49" s="289">
        <f>G49-L49</f>
        <v>87708.07</v>
      </c>
      <c r="N49" s="488"/>
    </row>
    <row r="50" spans="1:14" s="18" customFormat="1" ht="12.75">
      <c r="A50" s="228"/>
      <c r="B50" s="474"/>
      <c r="C50" s="475" t="s">
        <v>236</v>
      </c>
      <c r="D50" s="463">
        <f>SUM(D47:D49)</f>
        <v>32873860.23</v>
      </c>
      <c r="E50" s="463">
        <f>SUM(E47:E49)</f>
        <v>2986434.7600000002</v>
      </c>
      <c r="F50" s="463">
        <f>SUM(F47:F49)</f>
        <v>50513.82</v>
      </c>
      <c r="G50" s="463">
        <f>SUM(G47:G49)</f>
        <v>35809781.17</v>
      </c>
      <c r="H50" s="625"/>
      <c r="I50" s="463">
        <f>SUM(I47:I49)</f>
        <v>13264769.549999999</v>
      </c>
      <c r="J50" s="463">
        <f>SUM(J47:J49)</f>
        <v>1996257.2099999997</v>
      </c>
      <c r="K50" s="463">
        <f>SUM(K47:K49)</f>
        <v>50513.82</v>
      </c>
      <c r="L50" s="463">
        <f>SUM(L47:L49)</f>
        <v>15210512.940000003</v>
      </c>
      <c r="M50" s="463">
        <f>SUM(M47:M49)</f>
        <v>20599268.230000004</v>
      </c>
      <c r="N50" s="488"/>
    </row>
    <row r="51" spans="1:13" s="18" customFormat="1" ht="12.75">
      <c r="A51" s="227"/>
      <c r="B51" s="476"/>
      <c r="C51" s="477"/>
      <c r="D51" s="478"/>
      <c r="E51" s="478"/>
      <c r="F51" s="478"/>
      <c r="G51" s="478"/>
      <c r="H51" s="480"/>
      <c r="I51" s="480"/>
      <c r="J51" s="480"/>
      <c r="K51" s="480"/>
      <c r="L51" s="480"/>
      <c r="M51" s="480"/>
    </row>
    <row r="52" spans="1:13" s="18" customFormat="1" ht="12.75">
      <c r="A52" s="476"/>
      <c r="B52" s="476"/>
      <c r="C52" s="477"/>
      <c r="D52" s="478"/>
      <c r="E52" s="478"/>
      <c r="F52" s="478"/>
      <c r="G52" s="478"/>
      <c r="H52" s="628" t="s">
        <v>270</v>
      </c>
      <c r="I52" s="628"/>
      <c r="J52" s="628"/>
      <c r="K52" s="480"/>
      <c r="L52" s="480"/>
      <c r="M52" s="480"/>
    </row>
    <row r="53" spans="1:13" s="18" customFormat="1" ht="12.75">
      <c r="A53" s="464"/>
      <c r="B53" s="464">
        <v>1930</v>
      </c>
      <c r="C53" s="473" t="s">
        <v>271</v>
      </c>
      <c r="D53" s="478"/>
      <c r="E53" s="478"/>
      <c r="F53" s="478"/>
      <c r="G53" s="478"/>
      <c r="H53" s="627" t="s">
        <v>271</v>
      </c>
      <c r="I53" s="627"/>
      <c r="J53" s="491">
        <f>J32</f>
        <v>122455.91</v>
      </c>
      <c r="K53" s="480"/>
      <c r="L53" s="480"/>
      <c r="M53" s="480"/>
    </row>
    <row r="54" spans="1:13" s="18" customFormat="1" ht="12.75">
      <c r="A54" s="464"/>
      <c r="B54" s="464">
        <v>1935</v>
      </c>
      <c r="C54" s="473" t="s">
        <v>536</v>
      </c>
      <c r="D54" s="478"/>
      <c r="E54" s="478"/>
      <c r="F54" s="478"/>
      <c r="G54" s="478"/>
      <c r="H54" s="627" t="s">
        <v>868</v>
      </c>
      <c r="I54" s="627"/>
      <c r="J54" s="491">
        <f>J33</f>
        <v>2902.35</v>
      </c>
      <c r="K54" s="480"/>
      <c r="L54" s="480"/>
      <c r="M54" s="480"/>
    </row>
    <row r="55" spans="1:13" s="18" customFormat="1" ht="13.5" thickBot="1">
      <c r="A55" s="476"/>
      <c r="B55" s="476"/>
      <c r="C55" s="477"/>
      <c r="D55" s="478"/>
      <c r="E55" s="478"/>
      <c r="F55" s="478"/>
      <c r="G55" s="478"/>
      <c r="H55" s="627" t="s">
        <v>272</v>
      </c>
      <c r="I55" s="627"/>
      <c r="J55" s="487">
        <f>J50-J53-J54</f>
        <v>1870898.9499999997</v>
      </c>
      <c r="K55" s="480"/>
      <c r="M55" s="480"/>
    </row>
    <row r="56" spans="1:13" ht="5.25" customHeight="1" thickTop="1">
      <c r="A56" s="206"/>
      <c r="D56" s="282"/>
      <c r="E56" s="282"/>
      <c r="F56" s="282"/>
      <c r="G56" s="282"/>
      <c r="H56" s="283"/>
      <c r="I56" s="283"/>
      <c r="J56" s="283"/>
      <c r="K56" s="283"/>
      <c r="L56"/>
      <c r="M56" s="283"/>
    </row>
    <row r="57" spans="1:13" ht="12.75">
      <c r="A57"/>
      <c r="B57"/>
      <c r="C57"/>
      <c r="D57"/>
      <c r="E57"/>
      <c r="F57"/>
      <c r="G57"/>
      <c r="H57"/>
      <c r="I57" s="174"/>
      <c r="J57" s="290"/>
      <c r="K57"/>
      <c r="L57"/>
      <c r="M57"/>
    </row>
    <row r="58" spans="1:13" ht="12.75">
      <c r="A58"/>
      <c r="B58"/>
      <c r="C58"/>
      <c r="D58"/>
      <c r="E58"/>
      <c r="F58"/>
      <c r="G58"/>
      <c r="H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I60" s="203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3:13" ht="12.75">
      <c r="C64" s="201"/>
      <c r="D64" s="202"/>
      <c r="E64" s="202"/>
      <c r="F64" s="202"/>
      <c r="G64" s="202"/>
      <c r="H64" s="203"/>
      <c r="I64" s="204"/>
      <c r="J64" s="204"/>
      <c r="K64" s="204"/>
      <c r="L64" s="204"/>
      <c r="M64" s="204"/>
    </row>
    <row r="65" spans="3:13" ht="12.75">
      <c r="C65" s="201"/>
      <c r="D65" s="202"/>
      <c r="E65" s="202"/>
      <c r="F65" s="202"/>
      <c r="G65" s="202"/>
      <c r="H65" s="203"/>
      <c r="I65" s="204"/>
      <c r="J65" s="204"/>
      <c r="K65" s="204"/>
      <c r="L65" s="204"/>
      <c r="M65" s="204"/>
    </row>
  </sheetData>
  <sheetProtection/>
  <mergeCells count="25">
    <mergeCell ref="H55:I55"/>
    <mergeCell ref="H8:H50"/>
    <mergeCell ref="A3:C3"/>
    <mergeCell ref="A4:C4"/>
    <mergeCell ref="A5:C5"/>
    <mergeCell ref="H52:J52"/>
    <mergeCell ref="J8:J9"/>
    <mergeCell ref="E8:E9"/>
    <mergeCell ref="F8:F9"/>
    <mergeCell ref="G8:G9"/>
    <mergeCell ref="C8:C9"/>
    <mergeCell ref="D8:D9"/>
    <mergeCell ref="I7:L7"/>
    <mergeCell ref="D6:G6"/>
    <mergeCell ref="D7:G7"/>
    <mergeCell ref="A1:M1"/>
    <mergeCell ref="A2:M2"/>
    <mergeCell ref="H53:I53"/>
    <mergeCell ref="H54:I54"/>
    <mergeCell ref="K8:K9"/>
    <mergeCell ref="L8:L9"/>
    <mergeCell ref="M8:M9"/>
    <mergeCell ref="I8:I9"/>
    <mergeCell ref="A8:A9"/>
    <mergeCell ref="B8:B9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landscape" scale="65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PageLayoutView="0" workbookViewId="0" topLeftCell="A1">
      <pane ySplit="9" topLeftCell="A39" activePane="bottomLeft" state="frozen"/>
      <selection pane="topLeft" activeCell="A1" sqref="A1:H2"/>
      <selection pane="bottomLeft" activeCell="J58" sqref="J58"/>
    </sheetView>
  </sheetViews>
  <sheetFormatPr defaultColWidth="9.140625" defaultRowHeight="12.75"/>
  <cols>
    <col min="1" max="1" width="7.140625" style="20" customWidth="1"/>
    <col min="2" max="2" width="7.421875" style="206" customWidth="1"/>
    <col min="3" max="3" width="40.421875" style="205" customWidth="1"/>
    <col min="4" max="4" width="13.00390625" style="205" customWidth="1"/>
    <col min="5" max="5" width="11.140625" style="205" bestFit="1" customWidth="1"/>
    <col min="6" max="6" width="10.421875" style="205" bestFit="1" customWidth="1"/>
    <col min="7" max="7" width="12.140625" style="205" customWidth="1"/>
    <col min="8" max="8" width="0.85546875" style="205" customWidth="1"/>
    <col min="9" max="9" width="14.00390625" style="205" customWidth="1"/>
    <col min="10" max="10" width="9.7109375" style="205" customWidth="1"/>
    <col min="11" max="11" width="9.421875" style="205" bestFit="1" customWidth="1"/>
    <col min="12" max="12" width="11.421875" style="205" customWidth="1"/>
    <col min="13" max="13" width="12.00390625" style="205" customWidth="1"/>
    <col min="14" max="14" width="15.28125" style="0" customWidth="1"/>
    <col min="15" max="15" width="9.57421875" style="0" bestFit="1" customWidth="1"/>
  </cols>
  <sheetData>
    <row r="1" spans="1:13" ht="12.75">
      <c r="A1" s="614" t="str">
        <f>'Trial Balance'!A1:J1</f>
        <v>Woodstock Hydro Services Inc.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</row>
    <row r="2" spans="1:13" ht="12.75">
      <c r="A2" s="614" t="str">
        <f>'Trial Balance'!A2:J2</f>
        <v>, License Number ED-2003-0011, File Number EB-2010-0145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</row>
    <row r="3" spans="1:13" ht="12.75">
      <c r="A3" s="619"/>
      <c r="B3" s="619"/>
      <c r="C3" s="619"/>
      <c r="D3" s="202"/>
      <c r="E3" s="202"/>
      <c r="F3" s="202"/>
      <c r="G3" s="202"/>
      <c r="H3" s="203"/>
      <c r="I3" s="204"/>
      <c r="J3" s="204"/>
      <c r="K3" s="204"/>
      <c r="L3" s="204"/>
      <c r="M3" s="204"/>
    </row>
    <row r="4" spans="1:13" ht="12.75">
      <c r="A4" s="619" t="s">
        <v>224</v>
      </c>
      <c r="B4" s="619"/>
      <c r="C4" s="619"/>
      <c r="E4" s="202"/>
      <c r="F4" s="202"/>
      <c r="H4" s="203"/>
      <c r="I4" s="204"/>
      <c r="J4" s="204"/>
      <c r="K4" s="204"/>
      <c r="L4" s="204"/>
      <c r="M4" s="204"/>
    </row>
    <row r="5" spans="1:13" ht="12.75">
      <c r="A5" s="619" t="s">
        <v>807</v>
      </c>
      <c r="B5" s="619"/>
      <c r="C5" s="619"/>
      <c r="D5" s="202"/>
      <c r="E5" s="202"/>
      <c r="F5" s="202"/>
      <c r="H5" s="203"/>
      <c r="I5" s="204"/>
      <c r="J5" s="204"/>
      <c r="K5" s="204"/>
      <c r="L5" s="204"/>
      <c r="M5" s="204"/>
    </row>
    <row r="6" spans="4:13" ht="12.75">
      <c r="D6" s="615" t="s">
        <v>842</v>
      </c>
      <c r="E6" s="616"/>
      <c r="F6" s="616"/>
      <c r="G6" s="617"/>
      <c r="H6" s="203"/>
      <c r="I6" s="471" t="s">
        <v>267</v>
      </c>
      <c r="J6" s="472"/>
      <c r="K6" s="472"/>
      <c r="L6" s="472"/>
      <c r="M6" s="470"/>
    </row>
    <row r="7" spans="3:13" ht="12.75">
      <c r="C7" s="201"/>
      <c r="D7" s="618"/>
      <c r="E7" s="618"/>
      <c r="F7" s="618"/>
      <c r="G7" s="618"/>
      <c r="H7" s="203"/>
      <c r="I7" s="618"/>
      <c r="J7" s="618"/>
      <c r="K7" s="618"/>
      <c r="L7" s="618"/>
      <c r="M7" s="204"/>
    </row>
    <row r="8" spans="1:13" s="484" customFormat="1" ht="12.75">
      <c r="A8" s="606" t="s">
        <v>218</v>
      </c>
      <c r="B8" s="606" t="s">
        <v>502</v>
      </c>
      <c r="C8" s="608" t="s">
        <v>184</v>
      </c>
      <c r="D8" s="608" t="s">
        <v>232</v>
      </c>
      <c r="E8" s="608" t="s">
        <v>332</v>
      </c>
      <c r="F8" s="608" t="s">
        <v>333</v>
      </c>
      <c r="G8" s="608" t="s">
        <v>233</v>
      </c>
      <c r="H8" s="625"/>
      <c r="I8" s="608" t="s">
        <v>232</v>
      </c>
      <c r="J8" s="608" t="s">
        <v>332</v>
      </c>
      <c r="K8" s="608" t="s">
        <v>333</v>
      </c>
      <c r="L8" s="608" t="s">
        <v>233</v>
      </c>
      <c r="M8" s="608" t="s">
        <v>234</v>
      </c>
    </row>
    <row r="9" spans="1:13" s="484" customFormat="1" ht="12.75">
      <c r="A9" s="607"/>
      <c r="B9" s="607"/>
      <c r="C9" s="609"/>
      <c r="D9" s="609" t="s">
        <v>268</v>
      </c>
      <c r="E9" s="609" t="s">
        <v>332</v>
      </c>
      <c r="F9" s="609"/>
      <c r="G9" s="609"/>
      <c r="H9" s="625"/>
      <c r="I9" s="609" t="s">
        <v>268</v>
      </c>
      <c r="J9" s="609" t="s">
        <v>332</v>
      </c>
      <c r="K9" s="609"/>
      <c r="L9" s="609"/>
      <c r="M9" s="609"/>
    </row>
    <row r="10" spans="1:14" s="18" customFormat="1" ht="12.75">
      <c r="A10" s="228" t="s">
        <v>219</v>
      </c>
      <c r="B10" s="464">
        <v>1805</v>
      </c>
      <c r="C10" s="490" t="s">
        <v>533</v>
      </c>
      <c r="D10" s="468">
        <f>'FA Continuity 2009'!G10</f>
        <v>21835.64</v>
      </c>
      <c r="E10" s="467"/>
      <c r="F10" s="467"/>
      <c r="G10" s="289">
        <f aca="true" t="shared" si="0" ref="G10:G46">D10+E10-F10</f>
        <v>21835.64</v>
      </c>
      <c r="H10" s="625"/>
      <c r="I10" s="289">
        <f>'FA Continuity 2009'!L10</f>
        <v>0</v>
      </c>
      <c r="J10" s="289"/>
      <c r="K10" s="289"/>
      <c r="L10" s="289">
        <f aca="true" t="shared" si="1" ref="L10:L43">I10+J10-K10</f>
        <v>0</v>
      </c>
      <c r="M10" s="289">
        <f aca="true" t="shared" si="2" ref="M10:M45">G10-L10</f>
        <v>21835.64</v>
      </c>
      <c r="N10" s="488"/>
    </row>
    <row r="11" spans="1:14" s="18" customFormat="1" ht="12.75">
      <c r="A11" s="228" t="s">
        <v>490</v>
      </c>
      <c r="B11" s="464">
        <v>1806</v>
      </c>
      <c r="C11" s="490" t="s">
        <v>534</v>
      </c>
      <c r="D11" s="468">
        <f>'FA Continuity 2009'!G11</f>
        <v>0</v>
      </c>
      <c r="E11" s="467"/>
      <c r="F11" s="467"/>
      <c r="G11" s="289">
        <f t="shared" si="0"/>
        <v>0</v>
      </c>
      <c r="H11" s="625"/>
      <c r="I11" s="289">
        <f>'FA Continuity 2009'!L11</f>
        <v>0</v>
      </c>
      <c r="J11" s="289"/>
      <c r="K11" s="289"/>
      <c r="L11" s="289">
        <f t="shared" si="1"/>
        <v>0</v>
      </c>
      <c r="M11" s="289">
        <f t="shared" si="2"/>
        <v>0</v>
      </c>
      <c r="N11" s="488"/>
    </row>
    <row r="12" spans="1:14" s="18" customFormat="1" ht="12.75">
      <c r="A12" s="228">
        <v>47</v>
      </c>
      <c r="B12" s="464">
        <v>1808</v>
      </c>
      <c r="C12" s="490" t="s">
        <v>631</v>
      </c>
      <c r="D12" s="468">
        <f>'FA Continuity 2009'!G12</f>
        <v>190773.89</v>
      </c>
      <c r="E12" s="467"/>
      <c r="F12" s="467"/>
      <c r="G12" s="289">
        <f t="shared" si="0"/>
        <v>190773.89</v>
      </c>
      <c r="H12" s="625"/>
      <c r="I12" s="289">
        <f>'FA Continuity 2009'!L12</f>
        <v>67337.39</v>
      </c>
      <c r="J12" s="289">
        <v>7581.22</v>
      </c>
      <c r="K12" s="289"/>
      <c r="L12" s="289">
        <f t="shared" si="1"/>
        <v>74918.61</v>
      </c>
      <c r="M12" s="289">
        <f t="shared" si="2"/>
        <v>115855.28000000001</v>
      </c>
      <c r="N12" s="488"/>
    </row>
    <row r="13" spans="1:13" s="18" customFormat="1" ht="12.75">
      <c r="A13" s="228">
        <v>13</v>
      </c>
      <c r="B13" s="464">
        <v>1810</v>
      </c>
      <c r="C13" s="490" t="s">
        <v>531</v>
      </c>
      <c r="D13" s="468">
        <f>'FA Continuity 2009'!G13</f>
        <v>0</v>
      </c>
      <c r="E13" s="467"/>
      <c r="F13" s="467"/>
      <c r="G13" s="289">
        <f t="shared" si="0"/>
        <v>0</v>
      </c>
      <c r="H13" s="625"/>
      <c r="I13" s="289">
        <f>'FA Continuity 2009'!L13</f>
        <v>0</v>
      </c>
      <c r="J13" s="289"/>
      <c r="K13" s="289"/>
      <c r="L13" s="289">
        <f t="shared" si="1"/>
        <v>0</v>
      </c>
      <c r="M13" s="289">
        <f t="shared" si="2"/>
        <v>0</v>
      </c>
    </row>
    <row r="14" spans="1:14" s="18" customFormat="1" ht="12.75">
      <c r="A14" s="228">
        <v>47</v>
      </c>
      <c r="B14" s="464">
        <v>1815</v>
      </c>
      <c r="C14" s="490" t="s">
        <v>632</v>
      </c>
      <c r="D14" s="468">
        <f>'FA Continuity 2009'!G14</f>
        <v>0</v>
      </c>
      <c r="E14" s="467"/>
      <c r="F14" s="467"/>
      <c r="G14" s="289">
        <f t="shared" si="0"/>
        <v>0</v>
      </c>
      <c r="H14" s="625"/>
      <c r="I14" s="289">
        <f>'FA Continuity 2009'!L14</f>
        <v>0</v>
      </c>
      <c r="J14" s="289"/>
      <c r="K14" s="289"/>
      <c r="L14" s="289">
        <f t="shared" si="1"/>
        <v>0</v>
      </c>
      <c r="M14" s="289">
        <f t="shared" si="2"/>
        <v>0</v>
      </c>
      <c r="N14" s="488"/>
    </row>
    <row r="15" spans="1:15" s="18" customFormat="1" ht="12.75">
      <c r="A15" s="228">
        <v>47</v>
      </c>
      <c r="B15" s="464">
        <v>1820</v>
      </c>
      <c r="C15" s="490" t="s">
        <v>633</v>
      </c>
      <c r="D15" s="468">
        <f>'FA Continuity 2009'!G15</f>
        <v>622658.4400000001</v>
      </c>
      <c r="E15" s="289">
        <v>24901.6</v>
      </c>
      <c r="F15" s="467"/>
      <c r="G15" s="289">
        <f t="shared" si="0"/>
        <v>647560.04</v>
      </c>
      <c r="H15" s="625"/>
      <c r="I15" s="289">
        <f>'FA Continuity 2009'!L15</f>
        <v>291941.31</v>
      </c>
      <c r="J15" s="289">
        <v>32881.36666666667</v>
      </c>
      <c r="K15" s="289"/>
      <c r="L15" s="289">
        <f t="shared" si="1"/>
        <v>324822.67666666664</v>
      </c>
      <c r="M15" s="289">
        <f t="shared" si="2"/>
        <v>322737.3633333334</v>
      </c>
      <c r="O15" s="488"/>
    </row>
    <row r="16" spans="1:14" s="18" customFormat="1" ht="12.75">
      <c r="A16" s="228">
        <v>47</v>
      </c>
      <c r="B16" s="464">
        <v>1825</v>
      </c>
      <c r="C16" s="490" t="s">
        <v>220</v>
      </c>
      <c r="D16" s="468">
        <f>'FA Continuity 2009'!G16</f>
        <v>0</v>
      </c>
      <c r="E16" s="467"/>
      <c r="F16" s="467"/>
      <c r="G16" s="289">
        <f t="shared" si="0"/>
        <v>0</v>
      </c>
      <c r="H16" s="625"/>
      <c r="I16" s="289">
        <f>'FA Continuity 2009'!L16</f>
        <v>0</v>
      </c>
      <c r="J16" s="289"/>
      <c r="K16" s="289"/>
      <c r="L16" s="289">
        <f t="shared" si="1"/>
        <v>0</v>
      </c>
      <c r="M16" s="289">
        <f t="shared" si="2"/>
        <v>0</v>
      </c>
      <c r="N16" s="488"/>
    </row>
    <row r="17" spans="1:14" s="18" customFormat="1" ht="12.75">
      <c r="A17" s="228">
        <v>47</v>
      </c>
      <c r="B17" s="464">
        <v>1830</v>
      </c>
      <c r="C17" s="490" t="s">
        <v>634</v>
      </c>
      <c r="D17" s="468">
        <f>'FA Continuity 2009'!G17</f>
        <v>7703316.809999999</v>
      </c>
      <c r="E17" s="289">
        <v>395605.1492127031</v>
      </c>
      <c r="F17" s="289"/>
      <c r="G17" s="289">
        <f t="shared" si="0"/>
        <v>8098921.959212702</v>
      </c>
      <c r="H17" s="625"/>
      <c r="I17" s="289">
        <f>'FA Continuity 2009'!L17</f>
        <v>2865963.2600000002</v>
      </c>
      <c r="J17" s="289">
        <v>382666.195</v>
      </c>
      <c r="K17" s="289"/>
      <c r="L17" s="289">
        <f t="shared" si="1"/>
        <v>3248629.455</v>
      </c>
      <c r="M17" s="289">
        <f t="shared" si="2"/>
        <v>4850292.504212702</v>
      </c>
      <c r="N17" s="488"/>
    </row>
    <row r="18" spans="1:14" s="18" customFormat="1" ht="12.75">
      <c r="A18" s="228">
        <v>47</v>
      </c>
      <c r="B18" s="464">
        <v>1835</v>
      </c>
      <c r="C18" s="490" t="s">
        <v>635</v>
      </c>
      <c r="D18" s="468">
        <f>'FA Continuity 2009'!G18</f>
        <v>3527922.13</v>
      </c>
      <c r="E18" s="289">
        <v>250203.38228360415</v>
      </c>
      <c r="F18" s="289"/>
      <c r="G18" s="289">
        <f t="shared" si="0"/>
        <v>3778125.512283604</v>
      </c>
      <c r="H18" s="625"/>
      <c r="I18" s="289">
        <f>'FA Continuity 2009'!L18</f>
        <v>1387093.72</v>
      </c>
      <c r="J18" s="289">
        <v>173329.68</v>
      </c>
      <c r="K18" s="289"/>
      <c r="L18" s="289">
        <f t="shared" si="1"/>
        <v>1560423.4</v>
      </c>
      <c r="M18" s="289">
        <f t="shared" si="2"/>
        <v>2217702.112283604</v>
      </c>
      <c r="N18" s="488"/>
    </row>
    <row r="19" spans="1:14" s="18" customFormat="1" ht="12.75">
      <c r="A19" s="228">
        <v>47</v>
      </c>
      <c r="B19" s="464">
        <v>1840</v>
      </c>
      <c r="C19" s="490" t="s">
        <v>636</v>
      </c>
      <c r="D19" s="468">
        <f>'FA Continuity 2009'!G19</f>
        <v>3569058.2900000005</v>
      </c>
      <c r="E19" s="289">
        <v>556282.5263810931</v>
      </c>
      <c r="F19" s="289"/>
      <c r="G19" s="289">
        <f t="shared" si="0"/>
        <v>4125340.8163810936</v>
      </c>
      <c r="H19" s="625"/>
      <c r="I19" s="289">
        <f>'FA Continuity 2009'!L19</f>
        <v>1170237.65</v>
      </c>
      <c r="J19" s="289">
        <v>160508.05</v>
      </c>
      <c r="K19" s="289"/>
      <c r="L19" s="289">
        <f t="shared" si="1"/>
        <v>1330745.7</v>
      </c>
      <c r="M19" s="289">
        <f t="shared" si="2"/>
        <v>2794595.116381094</v>
      </c>
      <c r="N19" s="488"/>
    </row>
    <row r="20" spans="1:14" s="18" customFormat="1" ht="12.75">
      <c r="A20" s="228">
        <v>47</v>
      </c>
      <c r="B20" s="464">
        <v>1845</v>
      </c>
      <c r="C20" s="490" t="s">
        <v>637</v>
      </c>
      <c r="D20" s="468">
        <f>'FA Continuity 2009'!G20</f>
        <v>4662011.399999999</v>
      </c>
      <c r="E20" s="289">
        <v>357489.4220487444</v>
      </c>
      <c r="F20" s="289"/>
      <c r="G20" s="289">
        <f t="shared" si="0"/>
        <v>5019500.822048744</v>
      </c>
      <c r="H20" s="625"/>
      <c r="I20" s="289">
        <f>'FA Continuity 2009'!L20</f>
        <v>1863562.1300000001</v>
      </c>
      <c r="J20" s="289">
        <v>206480.27999999997</v>
      </c>
      <c r="K20" s="289"/>
      <c r="L20" s="289">
        <f t="shared" si="1"/>
        <v>2070042.4100000001</v>
      </c>
      <c r="M20" s="289">
        <f t="shared" si="2"/>
        <v>2949458.412048744</v>
      </c>
      <c r="N20" s="488"/>
    </row>
    <row r="21" spans="1:14" s="18" customFormat="1" ht="12.75">
      <c r="A21" s="228">
        <v>47</v>
      </c>
      <c r="B21" s="464">
        <v>1850</v>
      </c>
      <c r="C21" s="490" t="s">
        <v>532</v>
      </c>
      <c r="D21" s="468">
        <f>'FA Continuity 2009'!G21</f>
        <v>6776070.499999999</v>
      </c>
      <c r="E21" s="289">
        <v>575017.584254062</v>
      </c>
      <c r="F21" s="289"/>
      <c r="G21" s="289">
        <f t="shared" si="0"/>
        <v>7351088.084254061</v>
      </c>
      <c r="H21" s="625"/>
      <c r="I21" s="289">
        <f>'FA Continuity 2009'!L21</f>
        <v>1737080.1500000001</v>
      </c>
      <c r="J21" s="289">
        <v>310664.985</v>
      </c>
      <c r="K21" s="289"/>
      <c r="L21" s="289">
        <f t="shared" si="1"/>
        <v>2047745.1350000002</v>
      </c>
      <c r="M21" s="289">
        <f t="shared" si="2"/>
        <v>5303342.94925406</v>
      </c>
      <c r="N21" s="488"/>
    </row>
    <row r="22" spans="1:14" s="18" customFormat="1" ht="12.75">
      <c r="A22" s="228">
        <v>47</v>
      </c>
      <c r="B22" s="464">
        <v>1855</v>
      </c>
      <c r="C22" s="490" t="s">
        <v>559</v>
      </c>
      <c r="D22" s="468">
        <f>'FA Continuity 2009'!G22</f>
        <v>2293420.61</v>
      </c>
      <c r="E22" s="289">
        <v>323530.30488921714</v>
      </c>
      <c r="F22" s="289"/>
      <c r="G22" s="289">
        <f t="shared" si="0"/>
        <v>2616950.914889217</v>
      </c>
      <c r="H22" s="625"/>
      <c r="I22" s="289">
        <f>'FA Continuity 2009'!L22</f>
        <v>383973.5</v>
      </c>
      <c r="J22" s="289">
        <v>98263.865</v>
      </c>
      <c r="K22" s="289"/>
      <c r="L22" s="289">
        <f t="shared" si="1"/>
        <v>482237.365</v>
      </c>
      <c r="M22" s="289">
        <f t="shared" si="2"/>
        <v>2134713.549889217</v>
      </c>
      <c r="N22" s="488"/>
    </row>
    <row r="23" spans="1:14" s="18" customFormat="1" ht="12.75">
      <c r="A23" s="228">
        <v>47</v>
      </c>
      <c r="B23" s="464">
        <v>1860</v>
      </c>
      <c r="C23" s="490" t="s">
        <v>560</v>
      </c>
      <c r="D23" s="468">
        <f>'FA Continuity 2009'!G23</f>
        <v>4280381.859999999</v>
      </c>
      <c r="E23" s="289">
        <v>1526624.36</v>
      </c>
      <c r="F23" s="289"/>
      <c r="G23" s="289">
        <f t="shared" si="0"/>
        <v>5807006.22</v>
      </c>
      <c r="H23" s="625"/>
      <c r="I23" s="289">
        <f>'FA Continuity 2009'!L23</f>
        <v>2449858.93</v>
      </c>
      <c r="J23" s="289">
        <v>282473.91500000004</v>
      </c>
      <c r="K23" s="289"/>
      <c r="L23" s="289">
        <f t="shared" si="1"/>
        <v>2732332.845</v>
      </c>
      <c r="M23" s="289">
        <f t="shared" si="2"/>
        <v>3074673.3749999995</v>
      </c>
      <c r="N23" s="488"/>
    </row>
    <row r="24" spans="1:14" s="18" customFormat="1" ht="12.75">
      <c r="A24" s="228" t="s">
        <v>219</v>
      </c>
      <c r="B24" s="464">
        <v>1865</v>
      </c>
      <c r="C24" s="490" t="s">
        <v>638</v>
      </c>
      <c r="D24" s="468">
        <f>'FA Continuity 2009'!G24</f>
        <v>0</v>
      </c>
      <c r="E24" s="289"/>
      <c r="F24" s="289"/>
      <c r="G24" s="289">
        <f t="shared" si="0"/>
        <v>0</v>
      </c>
      <c r="H24" s="625"/>
      <c r="I24" s="289">
        <f>'FA Continuity 2009'!L24</f>
        <v>0</v>
      </c>
      <c r="J24" s="289"/>
      <c r="K24" s="289"/>
      <c r="L24" s="289">
        <f t="shared" si="1"/>
        <v>0</v>
      </c>
      <c r="M24" s="289">
        <f t="shared" si="2"/>
        <v>0</v>
      </c>
      <c r="N24" s="488"/>
    </row>
    <row r="25" spans="1:14" s="18" customFormat="1" ht="12.75">
      <c r="A25" s="228" t="s">
        <v>219</v>
      </c>
      <c r="B25" s="464">
        <v>1905</v>
      </c>
      <c r="C25" s="490" t="s">
        <v>533</v>
      </c>
      <c r="D25" s="468">
        <f>'FA Continuity 2009'!G25</f>
        <v>17529.54</v>
      </c>
      <c r="E25" s="289"/>
      <c r="F25" s="289"/>
      <c r="G25" s="289">
        <f t="shared" si="0"/>
        <v>17529.54</v>
      </c>
      <c r="H25" s="625"/>
      <c r="I25" s="289">
        <f>'FA Continuity 2009'!L25</f>
        <v>0</v>
      </c>
      <c r="J25" s="289"/>
      <c r="K25" s="289"/>
      <c r="L25" s="289">
        <f t="shared" si="1"/>
        <v>0</v>
      </c>
      <c r="M25" s="289">
        <f t="shared" si="2"/>
        <v>17529.54</v>
      </c>
      <c r="N25" s="488"/>
    </row>
    <row r="26" spans="1:14" s="18" customFormat="1" ht="12.75">
      <c r="A26" s="228" t="s">
        <v>490</v>
      </c>
      <c r="B26" s="464">
        <v>1906</v>
      </c>
      <c r="C26" s="490" t="s">
        <v>534</v>
      </c>
      <c r="D26" s="468">
        <f>'FA Continuity 2009'!G26</f>
        <v>0</v>
      </c>
      <c r="E26" s="289"/>
      <c r="F26" s="289"/>
      <c r="G26" s="289">
        <f t="shared" si="0"/>
        <v>0</v>
      </c>
      <c r="H26" s="625"/>
      <c r="I26" s="289">
        <f>'FA Continuity 2009'!L26</f>
        <v>0</v>
      </c>
      <c r="J26" s="289"/>
      <c r="K26" s="289"/>
      <c r="L26" s="289">
        <f t="shared" si="1"/>
        <v>0</v>
      </c>
      <c r="M26" s="289">
        <f t="shared" si="2"/>
        <v>0</v>
      </c>
      <c r="N26" s="488"/>
    </row>
    <row r="27" spans="1:14" s="18" customFormat="1" ht="12.75">
      <c r="A27" s="228">
        <v>1</v>
      </c>
      <c r="B27" s="464">
        <v>1908</v>
      </c>
      <c r="C27" s="490" t="s">
        <v>631</v>
      </c>
      <c r="D27" s="468">
        <f>'FA Continuity 2009'!G27</f>
        <v>904723.1</v>
      </c>
      <c r="E27" s="289">
        <v>79000</v>
      </c>
      <c r="F27" s="289"/>
      <c r="G27" s="289">
        <f t="shared" si="0"/>
        <v>983723.1</v>
      </c>
      <c r="H27" s="625"/>
      <c r="I27" s="289">
        <f>'FA Continuity 2009'!L27</f>
        <v>182903.72999999998</v>
      </c>
      <c r="J27" s="289">
        <v>37670.15</v>
      </c>
      <c r="K27" s="289"/>
      <c r="L27" s="289">
        <f t="shared" si="1"/>
        <v>220573.87999999998</v>
      </c>
      <c r="M27" s="289">
        <f t="shared" si="2"/>
        <v>763149.22</v>
      </c>
      <c r="N27" s="488"/>
    </row>
    <row r="28" spans="1:14" s="18" customFormat="1" ht="12.75">
      <c r="A28" s="228">
        <v>13</v>
      </c>
      <c r="B28" s="464">
        <v>1910</v>
      </c>
      <c r="C28" s="490" t="s">
        <v>531</v>
      </c>
      <c r="D28" s="468">
        <f>'FA Continuity 2009'!G28</f>
        <v>0</v>
      </c>
      <c r="E28" s="289"/>
      <c r="F28" s="289"/>
      <c r="G28" s="289">
        <f t="shared" si="0"/>
        <v>0</v>
      </c>
      <c r="H28" s="625"/>
      <c r="I28" s="289">
        <f>'FA Continuity 2009'!L28</f>
        <v>0</v>
      </c>
      <c r="J28" s="289"/>
      <c r="K28" s="289"/>
      <c r="L28" s="289">
        <f t="shared" si="1"/>
        <v>0</v>
      </c>
      <c r="M28" s="289">
        <f t="shared" si="2"/>
        <v>0</v>
      </c>
      <c r="N28" s="488"/>
    </row>
    <row r="29" spans="1:14" s="18" customFormat="1" ht="12.75">
      <c r="A29" s="228">
        <v>8</v>
      </c>
      <c r="B29" s="464">
        <v>1915</v>
      </c>
      <c r="C29" s="490" t="s">
        <v>639</v>
      </c>
      <c r="D29" s="468">
        <f>'FA Continuity 2009'!G29</f>
        <v>206391.07</v>
      </c>
      <c r="E29" s="289">
        <v>34550.2</v>
      </c>
      <c r="F29" s="289"/>
      <c r="G29" s="289">
        <f t="shared" si="0"/>
        <v>240941.27000000002</v>
      </c>
      <c r="H29" s="625"/>
      <c r="I29" s="289">
        <f>'FA Continuity 2009'!L29</f>
        <v>137433.80000000002</v>
      </c>
      <c r="J29" s="289">
        <v>14797.24</v>
      </c>
      <c r="K29" s="289"/>
      <c r="L29" s="289">
        <f t="shared" si="1"/>
        <v>152231.04</v>
      </c>
      <c r="M29" s="289">
        <f t="shared" si="2"/>
        <v>88710.23000000001</v>
      </c>
      <c r="N29" s="488"/>
    </row>
    <row r="30" spans="1:14" s="18" customFormat="1" ht="12.75">
      <c r="A30" s="513">
        <v>52</v>
      </c>
      <c r="B30" s="464">
        <v>1920</v>
      </c>
      <c r="C30" s="490" t="s">
        <v>640</v>
      </c>
      <c r="D30" s="468">
        <f>'FA Continuity 2009'!G30</f>
        <v>1009475.2900000002</v>
      </c>
      <c r="E30" s="289">
        <v>150697.35</v>
      </c>
      <c r="F30" s="289"/>
      <c r="G30" s="289">
        <f t="shared" si="0"/>
        <v>1160172.6400000001</v>
      </c>
      <c r="H30" s="625"/>
      <c r="I30" s="289">
        <f>'FA Continuity 2009'!L30</f>
        <v>790324.6500000001</v>
      </c>
      <c r="J30" s="289">
        <v>97320.925</v>
      </c>
      <c r="K30" s="289"/>
      <c r="L30" s="289">
        <f t="shared" si="1"/>
        <v>887645.5750000002</v>
      </c>
      <c r="M30" s="289">
        <f t="shared" si="2"/>
        <v>272527.06499999994</v>
      </c>
      <c r="N30" s="488"/>
    </row>
    <row r="31" spans="1:14" s="18" customFormat="1" ht="12.75">
      <c r="A31" s="513">
        <v>12</v>
      </c>
      <c r="B31" s="464">
        <v>1925</v>
      </c>
      <c r="C31" s="490" t="s">
        <v>525</v>
      </c>
      <c r="D31" s="468">
        <f>'FA Continuity 2009'!G31</f>
        <v>1219035.6400000001</v>
      </c>
      <c r="E31" s="289">
        <v>123087.01000000001</v>
      </c>
      <c r="F31" s="289"/>
      <c r="G31" s="289">
        <f t="shared" si="0"/>
        <v>1342122.6500000001</v>
      </c>
      <c r="H31" s="625"/>
      <c r="I31" s="289">
        <f>'FA Continuity 2009'!L31</f>
        <v>958834.97</v>
      </c>
      <c r="J31" s="289">
        <v>117833.08</v>
      </c>
      <c r="K31" s="289"/>
      <c r="L31" s="289">
        <f t="shared" si="1"/>
        <v>1076668.05</v>
      </c>
      <c r="M31" s="289">
        <f t="shared" si="2"/>
        <v>265454.6000000001</v>
      </c>
      <c r="N31" s="488"/>
    </row>
    <row r="32" spans="1:14" s="18" customFormat="1" ht="12.75">
      <c r="A32" s="228">
        <v>10</v>
      </c>
      <c r="B32" s="464">
        <v>1930</v>
      </c>
      <c r="C32" s="490" t="s">
        <v>535</v>
      </c>
      <c r="D32" s="468">
        <f>'FA Continuity 2009'!G32</f>
        <v>1355849.3599999999</v>
      </c>
      <c r="E32" s="289">
        <v>0</v>
      </c>
      <c r="F32" s="289"/>
      <c r="G32" s="289">
        <f t="shared" si="0"/>
        <v>1355849.3599999999</v>
      </c>
      <c r="H32" s="625"/>
      <c r="I32" s="289">
        <f>'FA Continuity 2009'!L32</f>
        <v>1034739.36</v>
      </c>
      <c r="J32" s="289">
        <v>89194</v>
      </c>
      <c r="K32" s="289"/>
      <c r="L32" s="289">
        <f t="shared" si="1"/>
        <v>1123933.3599999999</v>
      </c>
      <c r="M32" s="289">
        <f t="shared" si="2"/>
        <v>231916</v>
      </c>
      <c r="N32" s="488"/>
    </row>
    <row r="33" spans="1:14" s="18" customFormat="1" ht="12.75">
      <c r="A33" s="228">
        <v>8</v>
      </c>
      <c r="B33" s="464">
        <v>1935</v>
      </c>
      <c r="C33" s="490" t="s">
        <v>536</v>
      </c>
      <c r="D33" s="468">
        <f>'FA Continuity 2009'!G33</f>
        <v>51838.829999999994</v>
      </c>
      <c r="E33" s="289">
        <v>25000</v>
      </c>
      <c r="F33" s="289"/>
      <c r="G33" s="289">
        <f t="shared" si="0"/>
        <v>76838.82999999999</v>
      </c>
      <c r="H33" s="625"/>
      <c r="I33" s="289">
        <f>'FA Continuity 2009'!L33</f>
        <v>31988.3</v>
      </c>
      <c r="J33" s="289">
        <v>4141.37</v>
      </c>
      <c r="K33" s="289"/>
      <c r="L33" s="289">
        <f t="shared" si="1"/>
        <v>36129.67</v>
      </c>
      <c r="M33" s="289">
        <f t="shared" si="2"/>
        <v>40709.15999999999</v>
      </c>
      <c r="N33" s="488"/>
    </row>
    <row r="34" spans="1:14" s="18" customFormat="1" ht="12.75">
      <c r="A34" s="228">
        <v>8</v>
      </c>
      <c r="B34" s="464">
        <v>1940</v>
      </c>
      <c r="C34" s="490" t="s">
        <v>641</v>
      </c>
      <c r="D34" s="468">
        <f>'FA Continuity 2009'!G34</f>
        <v>245235.57000000004</v>
      </c>
      <c r="E34" s="289">
        <v>25000</v>
      </c>
      <c r="F34" s="289"/>
      <c r="G34" s="289">
        <f t="shared" si="0"/>
        <v>270235.57000000007</v>
      </c>
      <c r="H34" s="625"/>
      <c r="I34" s="289">
        <f>'FA Continuity 2009'!L34</f>
        <v>175457.90000000002</v>
      </c>
      <c r="J34" s="289">
        <v>16660.5</v>
      </c>
      <c r="K34" s="289"/>
      <c r="L34" s="289">
        <f t="shared" si="1"/>
        <v>192118.40000000002</v>
      </c>
      <c r="M34" s="289">
        <f t="shared" si="2"/>
        <v>78117.17000000004</v>
      </c>
      <c r="N34" s="488"/>
    </row>
    <row r="35" spans="1:14" s="18" customFormat="1" ht="12.75">
      <c r="A35" s="228">
        <v>8</v>
      </c>
      <c r="B35" s="464">
        <v>1945</v>
      </c>
      <c r="C35" s="490" t="s">
        <v>642</v>
      </c>
      <c r="D35" s="468">
        <f>'FA Continuity 2009'!G35</f>
        <v>111963.01</v>
      </c>
      <c r="E35" s="289">
        <v>10000</v>
      </c>
      <c r="F35" s="289"/>
      <c r="G35" s="289">
        <f t="shared" si="0"/>
        <v>121963.01</v>
      </c>
      <c r="H35" s="625"/>
      <c r="I35" s="289">
        <f>'FA Continuity 2009'!L35</f>
        <v>78158.63</v>
      </c>
      <c r="J35" s="289">
        <v>5353.03</v>
      </c>
      <c r="K35" s="289"/>
      <c r="L35" s="289">
        <f t="shared" si="1"/>
        <v>83511.66</v>
      </c>
      <c r="M35" s="289">
        <f t="shared" si="2"/>
        <v>38451.34999999999</v>
      </c>
      <c r="N35" s="488"/>
    </row>
    <row r="36" spans="1:14" s="18" customFormat="1" ht="12.75">
      <c r="A36" s="228">
        <v>8</v>
      </c>
      <c r="B36" s="464">
        <v>1950</v>
      </c>
      <c r="C36" s="490" t="s">
        <v>643</v>
      </c>
      <c r="D36" s="468">
        <f>'FA Continuity 2009'!G36</f>
        <v>0</v>
      </c>
      <c r="E36" s="289">
        <v>0</v>
      </c>
      <c r="F36" s="289"/>
      <c r="G36" s="289">
        <f t="shared" si="0"/>
        <v>0</v>
      </c>
      <c r="H36" s="625"/>
      <c r="I36" s="289">
        <f>'FA Continuity 2009'!L36</f>
        <v>0</v>
      </c>
      <c r="J36" s="289"/>
      <c r="K36" s="289"/>
      <c r="L36" s="289">
        <f t="shared" si="1"/>
        <v>0</v>
      </c>
      <c r="M36" s="289">
        <f t="shared" si="2"/>
        <v>0</v>
      </c>
      <c r="N36" s="488"/>
    </row>
    <row r="37" spans="1:14" s="18" customFormat="1" ht="12.75">
      <c r="A37" s="228">
        <v>8</v>
      </c>
      <c r="B37" s="464">
        <v>1955</v>
      </c>
      <c r="C37" s="490" t="s">
        <v>644</v>
      </c>
      <c r="D37" s="468">
        <f>'FA Continuity 2009'!G37</f>
        <v>27869.15</v>
      </c>
      <c r="E37" s="289">
        <v>1890</v>
      </c>
      <c r="F37" s="289"/>
      <c r="G37" s="289">
        <f t="shared" si="0"/>
        <v>29759.15</v>
      </c>
      <c r="H37" s="625"/>
      <c r="I37" s="289">
        <f>'FA Continuity 2009'!L37</f>
        <v>9812.8</v>
      </c>
      <c r="J37" s="289">
        <v>2859.06</v>
      </c>
      <c r="K37" s="289"/>
      <c r="L37" s="289">
        <f t="shared" si="1"/>
        <v>12671.859999999999</v>
      </c>
      <c r="M37" s="289">
        <f t="shared" si="2"/>
        <v>17087.29</v>
      </c>
      <c r="N37" s="488"/>
    </row>
    <row r="38" spans="1:14" s="18" customFormat="1" ht="12.75">
      <c r="A38" s="228">
        <v>8</v>
      </c>
      <c r="B38" s="464">
        <v>1960</v>
      </c>
      <c r="C38" s="490" t="s">
        <v>537</v>
      </c>
      <c r="D38" s="468">
        <f>'FA Continuity 2009'!G38</f>
        <v>485.09</v>
      </c>
      <c r="E38" s="289">
        <v>1420</v>
      </c>
      <c r="F38" s="289"/>
      <c r="G38" s="289">
        <f t="shared" si="0"/>
        <v>1905.09</v>
      </c>
      <c r="H38" s="625"/>
      <c r="I38" s="289">
        <f>'FA Continuity 2009'!L38</f>
        <v>485.09</v>
      </c>
      <c r="J38" s="289">
        <v>71</v>
      </c>
      <c r="K38" s="289"/>
      <c r="L38" s="289">
        <f t="shared" si="1"/>
        <v>556.0899999999999</v>
      </c>
      <c r="M38" s="289">
        <f t="shared" si="2"/>
        <v>1349</v>
      </c>
      <c r="N38" s="488"/>
    </row>
    <row r="39" spans="1:14" s="18" customFormat="1" ht="12.75">
      <c r="A39" s="228">
        <v>47</v>
      </c>
      <c r="B39" s="464">
        <v>1970</v>
      </c>
      <c r="C39" s="490" t="s">
        <v>645</v>
      </c>
      <c r="D39" s="468">
        <f>'FA Continuity 2009'!G39</f>
        <v>0</v>
      </c>
      <c r="E39" s="289">
        <v>0</v>
      </c>
      <c r="F39" s="289"/>
      <c r="G39" s="289">
        <f t="shared" si="0"/>
        <v>0</v>
      </c>
      <c r="H39" s="625"/>
      <c r="I39" s="289">
        <f>'FA Continuity 2009'!L39</f>
        <v>0</v>
      </c>
      <c r="J39" s="289">
        <v>0</v>
      </c>
      <c r="K39" s="289"/>
      <c r="L39" s="289">
        <f t="shared" si="1"/>
        <v>0</v>
      </c>
      <c r="M39" s="289">
        <f t="shared" si="2"/>
        <v>0</v>
      </c>
      <c r="N39" s="488"/>
    </row>
    <row r="40" spans="1:14" s="18" customFormat="1" ht="12.75">
      <c r="A40" s="228">
        <v>47</v>
      </c>
      <c r="B40" s="464">
        <v>1975</v>
      </c>
      <c r="C40" s="490" t="s">
        <v>646</v>
      </c>
      <c r="D40" s="468">
        <f>'FA Continuity 2009'!G40</f>
        <v>0</v>
      </c>
      <c r="E40" s="289">
        <v>0</v>
      </c>
      <c r="F40" s="289"/>
      <c r="G40" s="289">
        <f t="shared" si="0"/>
        <v>0</v>
      </c>
      <c r="H40" s="625"/>
      <c r="I40" s="289">
        <f>'FA Continuity 2009'!L40</f>
        <v>0</v>
      </c>
      <c r="J40" s="289">
        <v>0</v>
      </c>
      <c r="K40" s="289"/>
      <c r="L40" s="289">
        <f t="shared" si="1"/>
        <v>0</v>
      </c>
      <c r="M40" s="289">
        <f t="shared" si="2"/>
        <v>0</v>
      </c>
      <c r="N40" s="488"/>
    </row>
    <row r="41" spans="1:14" s="18" customFormat="1" ht="12.75">
      <c r="A41" s="228">
        <v>47</v>
      </c>
      <c r="B41" s="464">
        <v>1980</v>
      </c>
      <c r="C41" s="490" t="s">
        <v>538</v>
      </c>
      <c r="D41" s="468">
        <f>'FA Continuity 2009'!G41</f>
        <v>336972.6</v>
      </c>
      <c r="E41" s="289">
        <v>0</v>
      </c>
      <c r="F41" s="289"/>
      <c r="G41" s="289">
        <f t="shared" si="0"/>
        <v>336972.6</v>
      </c>
      <c r="H41" s="625"/>
      <c r="I41" s="289">
        <f>'FA Continuity 2009'!L41</f>
        <v>86171.6</v>
      </c>
      <c r="J41" s="289">
        <v>22396.35</v>
      </c>
      <c r="K41" s="289"/>
      <c r="L41" s="289">
        <f t="shared" si="1"/>
        <v>108567.95000000001</v>
      </c>
      <c r="M41" s="289">
        <f t="shared" si="2"/>
        <v>228404.64999999997</v>
      </c>
      <c r="N41" s="488"/>
    </row>
    <row r="42" spans="1:14" s="18" customFormat="1" ht="12.75">
      <c r="A42" s="228">
        <v>47</v>
      </c>
      <c r="B42" s="464">
        <v>1985</v>
      </c>
      <c r="C42" s="490" t="s">
        <v>647</v>
      </c>
      <c r="D42" s="468">
        <f>'FA Continuity 2009'!G42</f>
        <v>0</v>
      </c>
      <c r="E42" s="289"/>
      <c r="F42" s="289"/>
      <c r="G42" s="289">
        <f t="shared" si="0"/>
        <v>0</v>
      </c>
      <c r="H42" s="625"/>
      <c r="I42" s="289">
        <f>'FA Continuity 2009'!L42</f>
        <v>0</v>
      </c>
      <c r="J42" s="289">
        <v>0</v>
      </c>
      <c r="K42" s="289"/>
      <c r="L42" s="289">
        <f t="shared" si="1"/>
        <v>0</v>
      </c>
      <c r="M42" s="289">
        <f t="shared" si="2"/>
        <v>0</v>
      </c>
      <c r="N42" s="488"/>
    </row>
    <row r="43" spans="1:14" s="18" customFormat="1" ht="12.75">
      <c r="A43" s="228">
        <v>47</v>
      </c>
      <c r="B43" s="464">
        <v>1990</v>
      </c>
      <c r="C43" s="490" t="s">
        <v>648</v>
      </c>
      <c r="D43" s="468">
        <f>'FA Continuity 2009'!G43</f>
        <v>0</v>
      </c>
      <c r="E43" s="289"/>
      <c r="F43" s="289"/>
      <c r="G43" s="289">
        <f t="shared" si="0"/>
        <v>0</v>
      </c>
      <c r="H43" s="625"/>
      <c r="I43" s="289">
        <f>'FA Continuity 2009'!L43</f>
        <v>0</v>
      </c>
      <c r="J43" s="289">
        <v>0</v>
      </c>
      <c r="K43" s="289"/>
      <c r="L43" s="289">
        <f t="shared" si="1"/>
        <v>0</v>
      </c>
      <c r="M43" s="289">
        <f t="shared" si="2"/>
        <v>0</v>
      </c>
      <c r="N43" s="488"/>
    </row>
    <row r="44" spans="1:14" s="18" customFormat="1" ht="12.75">
      <c r="A44" s="228">
        <v>47</v>
      </c>
      <c r="B44" s="464">
        <v>1995</v>
      </c>
      <c r="C44" s="490" t="s">
        <v>649</v>
      </c>
      <c r="D44" s="468">
        <f>'FA Continuity 2009'!G44</f>
        <v>-3412744.72</v>
      </c>
      <c r="E44" s="289">
        <v>-435530.871196455</v>
      </c>
      <c r="F44" s="289"/>
      <c r="G44" s="289">
        <f t="shared" si="0"/>
        <v>-3848275.591196455</v>
      </c>
      <c r="H44" s="625"/>
      <c r="I44" s="289">
        <f>'FA Continuity 2009'!L44</f>
        <v>-492845.93</v>
      </c>
      <c r="J44" s="289">
        <v>-154414.21659059578</v>
      </c>
      <c r="K44" s="289"/>
      <c r="L44" s="289">
        <f>I44+J44-K44</f>
        <v>-647260.1465905958</v>
      </c>
      <c r="M44" s="289">
        <f t="shared" si="2"/>
        <v>-3201015.444605859</v>
      </c>
      <c r="N44" s="488"/>
    </row>
    <row r="45" spans="1:14" s="18" customFormat="1" ht="12.75">
      <c r="A45" s="228">
        <v>47</v>
      </c>
      <c r="B45" s="464">
        <v>1996</v>
      </c>
      <c r="C45" s="490" t="s">
        <v>872</v>
      </c>
      <c r="D45" s="468">
        <f>'FA Continuity 2009'!G45</f>
        <v>0</v>
      </c>
      <c r="E45" s="289">
        <v>2500000</v>
      </c>
      <c r="F45" s="289"/>
      <c r="G45" s="289">
        <f t="shared" si="0"/>
        <v>2500000</v>
      </c>
      <c r="H45" s="625"/>
      <c r="I45" s="289">
        <f>'FA Continuity 2009'!L45</f>
        <v>0</v>
      </c>
      <c r="J45" s="289">
        <v>50000</v>
      </c>
      <c r="K45" s="289"/>
      <c r="L45" s="289">
        <f>I45+J45-K45</f>
        <v>50000</v>
      </c>
      <c r="M45" s="289">
        <f t="shared" si="2"/>
        <v>2450000</v>
      </c>
      <c r="N45" s="488"/>
    </row>
    <row r="46" spans="1:14" s="18" customFormat="1" ht="12.75">
      <c r="A46" s="228">
        <v>17</v>
      </c>
      <c r="B46" s="464">
        <v>2005</v>
      </c>
      <c r="C46" s="467" t="str">
        <f>'FA Continuity 2008'!C46</f>
        <v>NUP Owned - Generation Facility Assets</v>
      </c>
      <c r="D46" s="490">
        <f>'FA Continuity 2008'!D46</f>
        <v>0</v>
      </c>
      <c r="E46" s="289">
        <v>0</v>
      </c>
      <c r="F46" s="289"/>
      <c r="G46" s="289">
        <f t="shared" si="0"/>
        <v>0</v>
      </c>
      <c r="H46" s="625"/>
      <c r="I46" s="289">
        <f>'FA Continuity 2009'!L46</f>
        <v>0</v>
      </c>
      <c r="J46" s="289">
        <v>0</v>
      </c>
      <c r="K46" s="289"/>
      <c r="L46" s="289">
        <f>I46+J46-K46</f>
        <v>0</v>
      </c>
      <c r="M46" s="289">
        <f>G46-L46</f>
        <v>0</v>
      </c>
      <c r="N46" s="488"/>
    </row>
    <row r="47" spans="1:14" s="18" customFormat="1" ht="12.75">
      <c r="A47" s="228"/>
      <c r="B47" s="474"/>
      <c r="C47" s="492" t="s">
        <v>235</v>
      </c>
      <c r="D47" s="463">
        <f>SUM(D10:D46)</f>
        <v>35722073.1</v>
      </c>
      <c r="E47" s="463">
        <f>SUM(E10:E46)</f>
        <v>6524768.017872969</v>
      </c>
      <c r="F47" s="463">
        <f>SUM(F10:F46)</f>
        <v>0</v>
      </c>
      <c r="G47" s="463">
        <f>SUM(G10:G46)</f>
        <v>42246841.11787297</v>
      </c>
      <c r="H47" s="625"/>
      <c r="I47" s="463">
        <f>SUM(I10:I46)</f>
        <v>15210512.940000003</v>
      </c>
      <c r="J47" s="463">
        <f>SUM(J10:J46)</f>
        <v>1958732.0450760713</v>
      </c>
      <c r="K47" s="463">
        <f>SUM(K10:K46)</f>
        <v>0</v>
      </c>
      <c r="L47" s="463">
        <f>SUM(L10:L46)</f>
        <v>17169244.985076074</v>
      </c>
      <c r="M47" s="463">
        <f>SUM(M10:M46)</f>
        <v>25077596.1327969</v>
      </c>
      <c r="N47" s="488"/>
    </row>
    <row r="48" spans="1:14" s="18" customFormat="1" ht="12.75">
      <c r="A48" s="228"/>
      <c r="B48" s="474"/>
      <c r="C48" s="490"/>
      <c r="D48" s="289"/>
      <c r="E48" s="289"/>
      <c r="F48" s="289"/>
      <c r="G48" s="289"/>
      <c r="H48" s="625"/>
      <c r="I48" s="289"/>
      <c r="J48" s="289"/>
      <c r="K48" s="289"/>
      <c r="L48" s="289"/>
      <c r="M48" s="289"/>
      <c r="N48" s="488"/>
    </row>
    <row r="49" spans="1:14" s="18" customFormat="1" ht="12.75">
      <c r="A49" s="228">
        <v>94</v>
      </c>
      <c r="B49" s="464">
        <v>2055</v>
      </c>
      <c r="C49" s="490" t="s">
        <v>873</v>
      </c>
      <c r="D49" s="289">
        <f>'FA Continuity 2009'!G49</f>
        <v>87708.07</v>
      </c>
      <c r="E49" s="289">
        <v>0</v>
      </c>
      <c r="F49" s="289">
        <v>87708</v>
      </c>
      <c r="G49" s="289">
        <f>D49+E49-F49</f>
        <v>0.07000000000698492</v>
      </c>
      <c r="H49" s="625"/>
      <c r="I49" s="289">
        <f>'FA Continuity 2009'!L49</f>
        <v>0</v>
      </c>
      <c r="J49" s="289">
        <v>0</v>
      </c>
      <c r="K49" s="289"/>
      <c r="L49" s="289">
        <f>I49+J49-K49</f>
        <v>0</v>
      </c>
      <c r="M49" s="289">
        <f>G49-L49</f>
        <v>0.07000000000698492</v>
      </c>
      <c r="N49" s="488"/>
    </row>
    <row r="50" spans="1:14" s="18" customFormat="1" ht="12.75">
      <c r="A50" s="228"/>
      <c r="B50" s="474"/>
      <c r="C50" s="492" t="s">
        <v>236</v>
      </c>
      <c r="D50" s="463">
        <f>SUM(D47:D49)</f>
        <v>35809781.17</v>
      </c>
      <c r="E50" s="463">
        <f>SUM(E47:E49)</f>
        <v>6524768.017872969</v>
      </c>
      <c r="F50" s="463">
        <f>SUM(F47:F49)</f>
        <v>87708</v>
      </c>
      <c r="G50" s="463">
        <f>SUM(G47:G49)</f>
        <v>42246841.18787297</v>
      </c>
      <c r="H50" s="625"/>
      <c r="I50" s="463">
        <f>SUM(I47:I49)</f>
        <v>15210512.940000003</v>
      </c>
      <c r="J50" s="463">
        <f>SUM(J47:J49)</f>
        <v>1958732.0450760713</v>
      </c>
      <c r="K50" s="463">
        <f>SUM(K47:K49)</f>
        <v>0</v>
      </c>
      <c r="L50" s="463">
        <f>SUM(L47:L49)</f>
        <v>17169244.985076074</v>
      </c>
      <c r="M50" s="463">
        <f>SUM(M47:M49)</f>
        <v>25077596.2027969</v>
      </c>
      <c r="N50" s="488"/>
    </row>
    <row r="51" spans="1:13" s="18" customFormat="1" ht="12.75" hidden="1">
      <c r="A51" s="227"/>
      <c r="B51" s="476"/>
      <c r="C51" s="477"/>
      <c r="D51" s="477"/>
      <c r="E51" s="477"/>
      <c r="F51" s="493"/>
      <c r="G51" s="493"/>
      <c r="H51" s="494"/>
      <c r="I51" s="494"/>
      <c r="J51" s="494"/>
      <c r="K51" s="494"/>
      <c r="L51" s="494"/>
      <c r="M51" s="494"/>
    </row>
    <row r="52" spans="1:14" s="18" customFormat="1" ht="12.75">
      <c r="A52" s="476"/>
      <c r="B52" s="476"/>
      <c r="C52" s="477"/>
      <c r="D52" s="495"/>
      <c r="E52" s="477"/>
      <c r="F52" s="478"/>
      <c r="G52" s="478"/>
      <c r="H52" s="628" t="s">
        <v>270</v>
      </c>
      <c r="I52" s="628"/>
      <c r="J52" s="628"/>
      <c r="K52" s="480"/>
      <c r="M52" s="494"/>
      <c r="N52" s="488"/>
    </row>
    <row r="53" spans="1:14" s="18" customFormat="1" ht="12.75">
      <c r="A53" s="464"/>
      <c r="B53" s="464">
        <v>1930</v>
      </c>
      <c r="C53" s="473" t="s">
        <v>271</v>
      </c>
      <c r="D53" s="477"/>
      <c r="E53" s="477"/>
      <c r="F53" s="478"/>
      <c r="G53" s="478"/>
      <c r="H53" s="627" t="s">
        <v>271</v>
      </c>
      <c r="I53" s="627"/>
      <c r="J53" s="491">
        <f>J32</f>
        <v>89194</v>
      </c>
      <c r="K53" s="480"/>
      <c r="M53" s="494"/>
      <c r="N53" s="496"/>
    </row>
    <row r="54" spans="1:14" s="18" customFormat="1" ht="12.75">
      <c r="A54" s="464"/>
      <c r="B54" s="464">
        <v>1935</v>
      </c>
      <c r="C54" s="473" t="s">
        <v>536</v>
      </c>
      <c r="D54" s="477"/>
      <c r="E54" s="477"/>
      <c r="F54" s="478"/>
      <c r="G54" s="478"/>
      <c r="H54" s="627" t="s">
        <v>868</v>
      </c>
      <c r="I54" s="627"/>
      <c r="J54" s="491">
        <f>J33</f>
        <v>4141.37</v>
      </c>
      <c r="K54" s="480"/>
      <c r="M54" s="494"/>
      <c r="N54" s="496"/>
    </row>
    <row r="55" spans="1:14" s="18" customFormat="1" ht="13.5" thickBot="1">
      <c r="A55" s="476"/>
      <c r="B55" s="476"/>
      <c r="C55" s="477"/>
      <c r="D55" s="477"/>
      <c r="E55" s="477"/>
      <c r="F55" s="478"/>
      <c r="G55" s="478"/>
      <c r="H55" s="627" t="s">
        <v>272</v>
      </c>
      <c r="I55" s="627"/>
      <c r="J55" s="487">
        <f>J50-J53-J54</f>
        <v>1865396.6750760712</v>
      </c>
      <c r="K55" s="480"/>
      <c r="M55" s="494"/>
      <c r="N55" s="497"/>
    </row>
    <row r="56" spans="1:14" s="18" customFormat="1" ht="13.5" thickTop="1">
      <c r="A56" s="476"/>
      <c r="B56" s="476"/>
      <c r="C56" s="514" t="s">
        <v>936</v>
      </c>
      <c r="D56" s="498"/>
      <c r="E56" s="499"/>
      <c r="F56" s="478"/>
      <c r="G56" s="478"/>
      <c r="H56" s="480"/>
      <c r="I56" s="480"/>
      <c r="J56" s="489"/>
      <c r="K56" s="480"/>
      <c r="M56" s="494"/>
      <c r="N56" s="497"/>
    </row>
    <row r="57" spans="3:12" s="18" customFormat="1" ht="12.75">
      <c r="C57" s="516" t="s">
        <v>943</v>
      </c>
      <c r="D57" s="500"/>
      <c r="E57" s="501">
        <f>E50-F50</f>
        <v>6437060.017872969</v>
      </c>
      <c r="F57" s="549"/>
      <c r="I57" s="500"/>
      <c r="J57" s="502"/>
      <c r="K57" s="10"/>
      <c r="L57" s="502"/>
    </row>
    <row r="58" spans="3:12" s="18" customFormat="1" ht="12.75">
      <c r="C58" s="517" t="s">
        <v>935</v>
      </c>
      <c r="D58" s="515"/>
      <c r="E58" s="505">
        <v>-1384779.06</v>
      </c>
      <c r="I58" s="504"/>
      <c r="J58" s="494"/>
      <c r="K58" s="494"/>
      <c r="L58" s="506"/>
    </row>
    <row r="59" spans="3:12" s="18" customFormat="1" ht="12.75">
      <c r="C59" s="517" t="s">
        <v>933</v>
      </c>
      <c r="D59" s="515"/>
      <c r="E59" s="505">
        <v>-10697.35</v>
      </c>
      <c r="I59" s="504"/>
      <c r="J59" s="494"/>
      <c r="K59" s="494"/>
      <c r="L59" s="506"/>
    </row>
    <row r="60" spans="3:12" s="18" customFormat="1" ht="12.75">
      <c r="C60" s="517" t="s">
        <v>934</v>
      </c>
      <c r="D60" s="515"/>
      <c r="E60" s="505">
        <v>-47255.01</v>
      </c>
      <c r="I60" s="415"/>
      <c r="J60" s="494"/>
      <c r="K60" s="494"/>
      <c r="L60" s="506"/>
    </row>
    <row r="61" spans="3:12" s="18" customFormat="1" ht="12.75">
      <c r="C61" s="518" t="s">
        <v>942</v>
      </c>
      <c r="D61" s="507"/>
      <c r="E61" s="508">
        <f>SUM(E57:E60)</f>
        <v>4994328.597872969</v>
      </c>
      <c r="G61" s="481"/>
      <c r="I61" s="509"/>
      <c r="J61" s="502"/>
      <c r="K61" s="10"/>
      <c r="L61" s="510"/>
    </row>
    <row r="62" spans="3:12" s="18" customFormat="1" ht="12.75">
      <c r="C62" s="519" t="s">
        <v>938</v>
      </c>
      <c r="D62" s="520"/>
      <c r="E62" s="521"/>
      <c r="I62" s="10"/>
      <c r="J62" s="10"/>
      <c r="K62" s="10"/>
      <c r="L62" s="10"/>
    </row>
    <row r="63" spans="1:13" s="18" customFormat="1" ht="12.75">
      <c r="A63" s="227"/>
      <c r="B63" s="476"/>
      <c r="C63" s="522" t="s">
        <v>939</v>
      </c>
      <c r="D63" s="523"/>
      <c r="E63" s="524"/>
      <c r="F63" s="511"/>
      <c r="G63" s="511"/>
      <c r="H63" s="494"/>
      <c r="I63" s="512"/>
      <c r="J63" s="512"/>
      <c r="K63" s="512"/>
      <c r="L63" s="512"/>
      <c r="M63" s="512"/>
    </row>
    <row r="64" spans="3:13" ht="12.75">
      <c r="C64" s="201"/>
      <c r="D64" s="202"/>
      <c r="E64" s="202"/>
      <c r="F64" s="202"/>
      <c r="G64" s="202"/>
      <c r="H64" s="203"/>
      <c r="I64" s="204"/>
      <c r="J64" s="204"/>
      <c r="K64" s="204"/>
      <c r="L64" s="204"/>
      <c r="M64" s="204"/>
    </row>
  </sheetData>
  <sheetProtection/>
  <mergeCells count="25">
    <mergeCell ref="A1:M1"/>
    <mergeCell ref="A2:M2"/>
    <mergeCell ref="H53:I53"/>
    <mergeCell ref="H54:I54"/>
    <mergeCell ref="K8:K9"/>
    <mergeCell ref="L8:L9"/>
    <mergeCell ref="M8:M9"/>
    <mergeCell ref="I8:I9"/>
    <mergeCell ref="A8:A9"/>
    <mergeCell ref="B8:B9"/>
    <mergeCell ref="H55:I55"/>
    <mergeCell ref="H8:H50"/>
    <mergeCell ref="A3:C3"/>
    <mergeCell ref="A4:C4"/>
    <mergeCell ref="A5:C5"/>
    <mergeCell ref="H52:J52"/>
    <mergeCell ref="J8:J9"/>
    <mergeCell ref="E8:E9"/>
    <mergeCell ref="F8:F9"/>
    <mergeCell ref="G8:G9"/>
    <mergeCell ref="C8:C9"/>
    <mergeCell ref="D8:D9"/>
    <mergeCell ref="I7:L7"/>
    <mergeCell ref="D6:G6"/>
    <mergeCell ref="D7:G7"/>
  </mergeCells>
  <printOptions/>
  <pageMargins left="0.7480314960629921" right="0.7480314960629921" top="0.5905511811023623" bottom="0.5905511811023623" header="0.5118110236220472" footer="0.5118110236220472"/>
  <pageSetup fitToHeight="1" fitToWidth="1" horizontalDpi="355" verticalDpi="355" orientation="landscape" scale="66" r:id="rId3"/>
  <headerFooter alignWithMargins="0">
    <oddFooter>&amp;L&amp;A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zoomScalePageLayoutView="0" workbookViewId="0" topLeftCell="B1">
      <pane ySplit="9" topLeftCell="A38" activePane="bottomLeft" state="frozen"/>
      <selection pane="topLeft" activeCell="A1" sqref="A1:H2"/>
      <selection pane="bottomLeft" activeCell="M50" sqref="M50"/>
    </sheetView>
  </sheetViews>
  <sheetFormatPr defaultColWidth="9.140625" defaultRowHeight="12.75"/>
  <cols>
    <col min="1" max="1" width="7.140625" style="20" customWidth="1"/>
    <col min="2" max="2" width="7.421875" style="206" customWidth="1"/>
    <col min="3" max="3" width="40.421875" style="205" customWidth="1"/>
    <col min="4" max="4" width="12.28125" style="205" customWidth="1"/>
    <col min="5" max="5" width="10.421875" style="205" bestFit="1" customWidth="1"/>
    <col min="6" max="6" width="9.421875" style="205" bestFit="1" customWidth="1"/>
    <col min="7" max="7" width="11.57421875" style="205" customWidth="1"/>
    <col min="8" max="8" width="0.85546875" style="205" customWidth="1"/>
    <col min="9" max="9" width="15.28125" style="205" customWidth="1"/>
    <col min="10" max="10" width="9.28125" style="205" bestFit="1" customWidth="1"/>
    <col min="11" max="11" width="9.421875" style="205" bestFit="1" customWidth="1"/>
    <col min="12" max="12" width="11.7109375" style="205" customWidth="1"/>
    <col min="13" max="13" width="12.140625" style="205" customWidth="1"/>
    <col min="14" max="14" width="15.28125" style="0" customWidth="1"/>
    <col min="15" max="15" width="9.57421875" style="0" bestFit="1" customWidth="1"/>
    <col min="16" max="17" width="12.8515625" style="245" bestFit="1" customWidth="1"/>
  </cols>
  <sheetData>
    <row r="1" spans="1:13" ht="12.75">
      <c r="A1" s="614" t="str">
        <f>'Trial Balance'!A1:J1</f>
        <v>Woodstock Hydro Services Inc.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</row>
    <row r="2" spans="1:13" ht="12.75">
      <c r="A2" s="614" t="str">
        <f>'Trial Balance'!A2:J2</f>
        <v>, License Number ED-2003-0011, File Number EB-2010-0145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</row>
    <row r="3" spans="1:13" ht="12.75">
      <c r="A3" s="619"/>
      <c r="B3" s="619"/>
      <c r="C3" s="619"/>
      <c r="D3" s="202"/>
      <c r="E3" s="202"/>
      <c r="F3" s="202"/>
      <c r="G3" s="202"/>
      <c r="H3" s="203"/>
      <c r="I3" s="204"/>
      <c r="J3" s="204"/>
      <c r="K3" s="204"/>
      <c r="L3" s="204"/>
      <c r="M3" s="204"/>
    </row>
    <row r="4" spans="1:13" ht="12.75">
      <c r="A4" s="619" t="s">
        <v>224</v>
      </c>
      <c r="B4" s="619"/>
      <c r="C4" s="619"/>
      <c r="E4" s="202"/>
      <c r="F4" s="202"/>
      <c r="H4" s="203"/>
      <c r="I4" s="204"/>
      <c r="J4" s="204"/>
      <c r="K4" s="204"/>
      <c r="L4" s="204"/>
      <c r="M4" s="204"/>
    </row>
    <row r="5" spans="1:13" ht="12.75">
      <c r="A5" s="619" t="s">
        <v>841</v>
      </c>
      <c r="B5" s="619"/>
      <c r="C5" s="619"/>
      <c r="D5" s="202"/>
      <c r="E5" s="202"/>
      <c r="F5" s="202"/>
      <c r="H5" s="203"/>
      <c r="I5" s="204"/>
      <c r="J5" s="204"/>
      <c r="K5" s="204"/>
      <c r="L5" s="204"/>
      <c r="M5" s="204"/>
    </row>
    <row r="6" spans="4:13" ht="12.75">
      <c r="D6" s="615" t="s">
        <v>842</v>
      </c>
      <c r="E6" s="616"/>
      <c r="F6" s="616"/>
      <c r="G6" s="617"/>
      <c r="H6" s="203"/>
      <c r="I6" s="471" t="s">
        <v>267</v>
      </c>
      <c r="J6" s="472"/>
      <c r="K6" s="472"/>
      <c r="L6" s="472"/>
      <c r="M6" s="470"/>
    </row>
    <row r="7" spans="3:15" ht="12.75">
      <c r="C7" s="201"/>
      <c r="D7" s="618"/>
      <c r="E7" s="618"/>
      <c r="F7" s="618"/>
      <c r="G7" s="618"/>
      <c r="H7" s="203"/>
      <c r="I7" s="618"/>
      <c r="J7" s="618"/>
      <c r="K7" s="618"/>
      <c r="L7" s="618"/>
      <c r="M7" s="204"/>
      <c r="O7" s="375" t="s">
        <v>898</v>
      </c>
    </row>
    <row r="8" spans="1:17" s="484" customFormat="1" ht="12.75">
      <c r="A8" s="606" t="s">
        <v>218</v>
      </c>
      <c r="B8" s="606" t="s">
        <v>502</v>
      </c>
      <c r="C8" s="606" t="s">
        <v>184</v>
      </c>
      <c r="D8" s="608" t="s">
        <v>232</v>
      </c>
      <c r="E8" s="608" t="s">
        <v>332</v>
      </c>
      <c r="F8" s="608" t="s">
        <v>333</v>
      </c>
      <c r="G8" s="608" t="s">
        <v>233</v>
      </c>
      <c r="H8" s="625"/>
      <c r="I8" s="608" t="s">
        <v>232</v>
      </c>
      <c r="J8" s="608" t="s">
        <v>332</v>
      </c>
      <c r="K8" s="608" t="s">
        <v>333</v>
      </c>
      <c r="L8" s="608" t="s">
        <v>233</v>
      </c>
      <c r="M8" s="608" t="s">
        <v>234</v>
      </c>
      <c r="O8" s="526"/>
      <c r="P8" s="527"/>
      <c r="Q8" s="527"/>
    </row>
    <row r="9" spans="1:17" s="484" customFormat="1" ht="25.5">
      <c r="A9" s="607"/>
      <c r="B9" s="607"/>
      <c r="C9" s="607"/>
      <c r="D9" s="609" t="s">
        <v>268</v>
      </c>
      <c r="E9" s="609" t="s">
        <v>332</v>
      </c>
      <c r="F9" s="609"/>
      <c r="G9" s="609"/>
      <c r="H9" s="625"/>
      <c r="I9" s="609" t="s">
        <v>268</v>
      </c>
      <c r="J9" s="609" t="s">
        <v>332</v>
      </c>
      <c r="K9" s="609"/>
      <c r="L9" s="609"/>
      <c r="M9" s="609"/>
      <c r="O9" s="528" t="s">
        <v>894</v>
      </c>
      <c r="P9" s="529" t="s">
        <v>895</v>
      </c>
      <c r="Q9" s="530" t="s">
        <v>896</v>
      </c>
    </row>
    <row r="10" spans="1:17" s="18" customFormat="1" ht="12.75">
      <c r="A10" s="228" t="s">
        <v>219</v>
      </c>
      <c r="B10" s="464">
        <v>1805</v>
      </c>
      <c r="C10" s="473" t="s">
        <v>533</v>
      </c>
      <c r="D10" s="468">
        <f>'FA Continuity 2010'!G10</f>
        <v>21835.64</v>
      </c>
      <c r="E10" s="467"/>
      <c r="F10" s="467"/>
      <c r="G10" s="289">
        <f aca="true" t="shared" si="0" ref="G10:G46">D10+E10-F10</f>
        <v>21835.64</v>
      </c>
      <c r="H10" s="625"/>
      <c r="I10" s="289">
        <f>'FA Continuity 2010'!L10</f>
        <v>0</v>
      </c>
      <c r="J10" s="289"/>
      <c r="K10" s="289"/>
      <c r="L10" s="289">
        <f aca="true" t="shared" si="1" ref="L10:L46">I10+J10-K10</f>
        <v>0</v>
      </c>
      <c r="M10" s="289">
        <f aca="true" t="shared" si="2" ref="M10:M46">G10-L10</f>
        <v>21835.64</v>
      </c>
      <c r="N10" s="488"/>
      <c r="O10" s="531">
        <f>B10</f>
        <v>1805</v>
      </c>
      <c r="P10" s="532">
        <f>(D10+G10)/2</f>
        <v>21835.64</v>
      </c>
      <c r="Q10" s="533">
        <f>(I10+L10)/2</f>
        <v>0</v>
      </c>
    </row>
    <row r="11" spans="1:17" s="18" customFormat="1" ht="12.75">
      <c r="A11" s="228" t="s">
        <v>490</v>
      </c>
      <c r="B11" s="464">
        <v>1806</v>
      </c>
      <c r="C11" s="473" t="s">
        <v>534</v>
      </c>
      <c r="D11" s="468">
        <f>'FA Continuity 2010'!G11</f>
        <v>0</v>
      </c>
      <c r="E11" s="467"/>
      <c r="F11" s="467"/>
      <c r="G11" s="289">
        <f t="shared" si="0"/>
        <v>0</v>
      </c>
      <c r="H11" s="625"/>
      <c r="I11" s="289">
        <f>'FA Continuity 2010'!L11</f>
        <v>0</v>
      </c>
      <c r="J11" s="289"/>
      <c r="K11" s="289"/>
      <c r="L11" s="289">
        <f t="shared" si="1"/>
        <v>0</v>
      </c>
      <c r="M11" s="289">
        <f t="shared" si="2"/>
        <v>0</v>
      </c>
      <c r="N11" s="488"/>
      <c r="O11" s="503">
        <f aca="true" t="shared" si="3" ref="O11:O47">B11</f>
        <v>1806</v>
      </c>
      <c r="P11" s="269">
        <f aca="true" t="shared" si="4" ref="P11:P43">(D11+G11)/2</f>
        <v>0</v>
      </c>
      <c r="Q11" s="534">
        <f aca="true" t="shared" si="5" ref="Q11:Q44">(I11+L11)/2</f>
        <v>0</v>
      </c>
    </row>
    <row r="12" spans="1:17" s="18" customFormat="1" ht="12.75">
      <c r="A12" s="228">
        <v>47</v>
      </c>
      <c r="B12" s="464">
        <v>1808</v>
      </c>
      <c r="C12" s="473" t="s">
        <v>631</v>
      </c>
      <c r="D12" s="468">
        <f>'FA Continuity 2010'!G12</f>
        <v>190773.89</v>
      </c>
      <c r="E12" s="467"/>
      <c r="F12" s="467"/>
      <c r="G12" s="289">
        <f t="shared" si="0"/>
        <v>190773.89</v>
      </c>
      <c r="H12" s="625"/>
      <c r="I12" s="289">
        <f>'FA Continuity 2010'!L12</f>
        <v>74918.61</v>
      </c>
      <c r="J12" s="289">
        <v>7581.22</v>
      </c>
      <c r="K12" s="289"/>
      <c r="L12" s="289">
        <f t="shared" si="1"/>
        <v>82499.83</v>
      </c>
      <c r="M12" s="289">
        <f t="shared" si="2"/>
        <v>108274.06000000001</v>
      </c>
      <c r="N12" s="488"/>
      <c r="O12" s="503">
        <f t="shared" si="3"/>
        <v>1808</v>
      </c>
      <c r="P12" s="269">
        <f t="shared" si="4"/>
        <v>190773.89</v>
      </c>
      <c r="Q12" s="534">
        <f>(I12+L12)/2</f>
        <v>78709.22</v>
      </c>
    </row>
    <row r="13" spans="1:17" s="18" customFormat="1" ht="12.75">
      <c r="A13" s="228">
        <v>13</v>
      </c>
      <c r="B13" s="464">
        <v>1810</v>
      </c>
      <c r="C13" s="473" t="s">
        <v>531</v>
      </c>
      <c r="D13" s="468">
        <f>'FA Continuity 2010'!G13</f>
        <v>0</v>
      </c>
      <c r="E13" s="467"/>
      <c r="F13" s="467"/>
      <c r="G13" s="289">
        <f t="shared" si="0"/>
        <v>0</v>
      </c>
      <c r="H13" s="625"/>
      <c r="I13" s="289">
        <f>'FA Continuity 2010'!L13</f>
        <v>0</v>
      </c>
      <c r="J13" s="289"/>
      <c r="K13" s="289"/>
      <c r="L13" s="289">
        <f t="shared" si="1"/>
        <v>0</v>
      </c>
      <c r="M13" s="289">
        <f t="shared" si="2"/>
        <v>0</v>
      </c>
      <c r="O13" s="503">
        <f t="shared" si="3"/>
        <v>1810</v>
      </c>
      <c r="P13" s="269">
        <f t="shared" si="4"/>
        <v>0</v>
      </c>
      <c r="Q13" s="534">
        <f t="shared" si="5"/>
        <v>0</v>
      </c>
    </row>
    <row r="14" spans="1:17" s="18" customFormat="1" ht="12.75">
      <c r="A14" s="228">
        <v>47</v>
      </c>
      <c r="B14" s="464">
        <v>1815</v>
      </c>
      <c r="C14" s="473" t="s">
        <v>632</v>
      </c>
      <c r="D14" s="468">
        <f>'FA Continuity 2010'!G14</f>
        <v>0</v>
      </c>
      <c r="E14" s="467"/>
      <c r="F14" s="467"/>
      <c r="G14" s="289">
        <f t="shared" si="0"/>
        <v>0</v>
      </c>
      <c r="H14" s="625"/>
      <c r="I14" s="289">
        <f>'FA Continuity 2010'!L14</f>
        <v>0</v>
      </c>
      <c r="J14" s="289"/>
      <c r="K14" s="289"/>
      <c r="L14" s="289">
        <f t="shared" si="1"/>
        <v>0</v>
      </c>
      <c r="M14" s="289">
        <f t="shared" si="2"/>
        <v>0</v>
      </c>
      <c r="N14" s="488"/>
      <c r="O14" s="503">
        <f t="shared" si="3"/>
        <v>1815</v>
      </c>
      <c r="P14" s="269">
        <f t="shared" si="4"/>
        <v>0</v>
      </c>
      <c r="Q14" s="534">
        <f t="shared" si="5"/>
        <v>0</v>
      </c>
    </row>
    <row r="15" spans="1:17" s="18" customFormat="1" ht="12.75">
      <c r="A15" s="228">
        <v>47</v>
      </c>
      <c r="B15" s="464">
        <v>1820</v>
      </c>
      <c r="C15" s="473" t="s">
        <v>633</v>
      </c>
      <c r="D15" s="468">
        <f>'FA Continuity 2010'!G15</f>
        <v>647560.04</v>
      </c>
      <c r="E15" s="467">
        <v>0</v>
      </c>
      <c r="F15" s="467"/>
      <c r="G15" s="289">
        <f t="shared" si="0"/>
        <v>647560.04</v>
      </c>
      <c r="H15" s="625"/>
      <c r="I15" s="289">
        <f>'FA Continuity 2010'!L15</f>
        <v>324822.67666666664</v>
      </c>
      <c r="J15" s="289">
        <v>33296.39333333333</v>
      </c>
      <c r="K15" s="289"/>
      <c r="L15" s="289">
        <f t="shared" si="1"/>
        <v>358119.06999999995</v>
      </c>
      <c r="M15" s="289">
        <f t="shared" si="2"/>
        <v>289440.9700000001</v>
      </c>
      <c r="O15" s="503">
        <f t="shared" si="3"/>
        <v>1820</v>
      </c>
      <c r="P15" s="269">
        <f t="shared" si="4"/>
        <v>647560.04</v>
      </c>
      <c r="Q15" s="534">
        <f t="shared" si="5"/>
        <v>341470.8733333333</v>
      </c>
    </row>
    <row r="16" spans="1:17" s="18" customFormat="1" ht="12.75">
      <c r="A16" s="228">
        <v>47</v>
      </c>
      <c r="B16" s="464">
        <v>1825</v>
      </c>
      <c r="C16" s="473" t="s">
        <v>220</v>
      </c>
      <c r="D16" s="468">
        <f>'FA Continuity 2010'!G16</f>
        <v>0</v>
      </c>
      <c r="E16" s="467"/>
      <c r="F16" s="467"/>
      <c r="G16" s="289">
        <f t="shared" si="0"/>
        <v>0</v>
      </c>
      <c r="H16" s="625"/>
      <c r="I16" s="289">
        <f>'FA Continuity 2010'!L16</f>
        <v>0</v>
      </c>
      <c r="J16" s="289"/>
      <c r="K16" s="289"/>
      <c r="L16" s="289">
        <f t="shared" si="1"/>
        <v>0</v>
      </c>
      <c r="M16" s="289">
        <f t="shared" si="2"/>
        <v>0</v>
      </c>
      <c r="N16" s="488"/>
      <c r="O16" s="503">
        <f t="shared" si="3"/>
        <v>1825</v>
      </c>
      <c r="P16" s="269">
        <f t="shared" si="4"/>
        <v>0</v>
      </c>
      <c r="Q16" s="534">
        <f t="shared" si="5"/>
        <v>0</v>
      </c>
    </row>
    <row r="17" spans="1:17" s="18" customFormat="1" ht="12.75">
      <c r="A17" s="228">
        <v>47</v>
      </c>
      <c r="B17" s="464">
        <v>1830</v>
      </c>
      <c r="C17" s="473" t="s">
        <v>634</v>
      </c>
      <c r="D17" s="468">
        <f>'FA Continuity 2010'!G17</f>
        <v>8098921.959212702</v>
      </c>
      <c r="E17" s="289">
        <v>602926.6242434268</v>
      </c>
      <c r="F17" s="289"/>
      <c r="G17" s="289">
        <f t="shared" si="0"/>
        <v>8701848.583456129</v>
      </c>
      <c r="H17" s="625"/>
      <c r="I17" s="289">
        <f>'FA Continuity 2010'!L17</f>
        <v>3248629.455</v>
      </c>
      <c r="J17" s="289">
        <v>396693.27</v>
      </c>
      <c r="K17" s="289"/>
      <c r="L17" s="289">
        <f t="shared" si="1"/>
        <v>3645322.725</v>
      </c>
      <c r="M17" s="289">
        <f t="shared" si="2"/>
        <v>5056525.858456129</v>
      </c>
      <c r="N17" s="488"/>
      <c r="O17" s="503">
        <f t="shared" si="3"/>
        <v>1830</v>
      </c>
      <c r="P17" s="269">
        <f>(D17+G17)/2</f>
        <v>8400385.271334415</v>
      </c>
      <c r="Q17" s="534">
        <f>(I17+L17)/2</f>
        <v>3446976.09</v>
      </c>
    </row>
    <row r="18" spans="1:17" s="18" customFormat="1" ht="12.75">
      <c r="A18" s="228">
        <v>47</v>
      </c>
      <c r="B18" s="464">
        <v>1835</v>
      </c>
      <c r="C18" s="473" t="s">
        <v>635</v>
      </c>
      <c r="D18" s="468">
        <f>'FA Continuity 2010'!G18</f>
        <v>3778125.512283604</v>
      </c>
      <c r="E18" s="289">
        <v>529765.4904579025</v>
      </c>
      <c r="F18" s="289"/>
      <c r="G18" s="289">
        <f t="shared" si="0"/>
        <v>4307891.002741506</v>
      </c>
      <c r="H18" s="625"/>
      <c r="I18" s="289">
        <f>'FA Continuity 2010'!L18</f>
        <v>1560423.4</v>
      </c>
      <c r="J18" s="289">
        <v>186523.27999999997</v>
      </c>
      <c r="K18" s="289"/>
      <c r="L18" s="289">
        <f t="shared" si="1"/>
        <v>1746946.68</v>
      </c>
      <c r="M18" s="289">
        <f t="shared" si="2"/>
        <v>2560944.3227415066</v>
      </c>
      <c r="N18" s="488"/>
      <c r="O18" s="503">
        <f t="shared" si="3"/>
        <v>1835</v>
      </c>
      <c r="P18" s="269">
        <f t="shared" si="4"/>
        <v>4043008.2575125555</v>
      </c>
      <c r="Q18" s="534">
        <f t="shared" si="5"/>
        <v>1653685.04</v>
      </c>
    </row>
    <row r="19" spans="1:17" s="18" customFormat="1" ht="12.75">
      <c r="A19" s="228">
        <v>47</v>
      </c>
      <c r="B19" s="464">
        <v>1840</v>
      </c>
      <c r="C19" s="473" t="s">
        <v>636</v>
      </c>
      <c r="D19" s="468">
        <f>'FA Continuity 2010'!G19</f>
        <v>4125340.8163810936</v>
      </c>
      <c r="E19" s="289">
        <v>472513.1353028065</v>
      </c>
      <c r="F19" s="289"/>
      <c r="G19" s="289">
        <f t="shared" si="0"/>
        <v>4597853.9516839</v>
      </c>
      <c r="H19" s="625"/>
      <c r="I19" s="289">
        <f>'FA Continuity 2010'!L19</f>
        <v>1330745.7</v>
      </c>
      <c r="J19" s="289">
        <v>177698.65499999997</v>
      </c>
      <c r="K19" s="289"/>
      <c r="L19" s="289">
        <f t="shared" si="1"/>
        <v>1508444.355</v>
      </c>
      <c r="M19" s="289">
        <f t="shared" si="2"/>
        <v>3089409.5966839003</v>
      </c>
      <c r="N19" s="488"/>
      <c r="O19" s="503">
        <f t="shared" si="3"/>
        <v>1840</v>
      </c>
      <c r="P19" s="269">
        <f t="shared" si="4"/>
        <v>4361597.384032497</v>
      </c>
      <c r="Q19" s="534">
        <f t="shared" si="5"/>
        <v>1419595.0274999999</v>
      </c>
    </row>
    <row r="20" spans="1:17" s="18" customFormat="1" ht="12.75">
      <c r="A20" s="228">
        <v>47</v>
      </c>
      <c r="B20" s="464">
        <v>1845</v>
      </c>
      <c r="C20" s="473" t="s">
        <v>637</v>
      </c>
      <c r="D20" s="468">
        <f>'FA Continuity 2010'!G20</f>
        <v>5019500.822048744</v>
      </c>
      <c r="E20" s="289">
        <v>373275.422422452</v>
      </c>
      <c r="F20" s="289"/>
      <c r="G20" s="289">
        <f t="shared" si="0"/>
        <v>5392776.244471196</v>
      </c>
      <c r="H20" s="625"/>
      <c r="I20" s="289">
        <f>'FA Continuity 2010'!L20</f>
        <v>2070042.4100000001</v>
      </c>
      <c r="J20" s="289">
        <v>214280.46999999997</v>
      </c>
      <c r="K20" s="289"/>
      <c r="L20" s="289">
        <f t="shared" si="1"/>
        <v>2284322.88</v>
      </c>
      <c r="M20" s="289">
        <f t="shared" si="2"/>
        <v>3108453.364471196</v>
      </c>
      <c r="N20" s="488"/>
      <c r="O20" s="503">
        <f t="shared" si="3"/>
        <v>1845</v>
      </c>
      <c r="P20" s="269">
        <f t="shared" si="4"/>
        <v>5206138.53325997</v>
      </c>
      <c r="Q20" s="534">
        <f t="shared" si="5"/>
        <v>2177182.645</v>
      </c>
    </row>
    <row r="21" spans="1:17" s="18" customFormat="1" ht="12.75">
      <c r="A21" s="228">
        <v>47</v>
      </c>
      <c r="B21" s="464">
        <v>1850</v>
      </c>
      <c r="C21" s="473" t="s">
        <v>532</v>
      </c>
      <c r="D21" s="468">
        <f>'FA Continuity 2010'!G21</f>
        <v>7351088.084254061</v>
      </c>
      <c r="E21" s="289">
        <v>507727.1568685378</v>
      </c>
      <c r="F21" s="289"/>
      <c r="G21" s="289">
        <f t="shared" si="0"/>
        <v>7858815.241122599</v>
      </c>
      <c r="H21" s="625"/>
      <c r="I21" s="289">
        <f>'FA Continuity 2010'!L21</f>
        <v>2047745.1350000002</v>
      </c>
      <c r="J21" s="289">
        <v>327718.745</v>
      </c>
      <c r="K21" s="289"/>
      <c r="L21" s="289">
        <f t="shared" si="1"/>
        <v>2375463.8800000004</v>
      </c>
      <c r="M21" s="289">
        <f t="shared" si="2"/>
        <v>5483351.361122599</v>
      </c>
      <c r="N21" s="488"/>
      <c r="O21" s="503">
        <f t="shared" si="3"/>
        <v>1850</v>
      </c>
      <c r="P21" s="269">
        <f t="shared" si="4"/>
        <v>7604951.66268833</v>
      </c>
      <c r="Q21" s="534">
        <f t="shared" si="5"/>
        <v>2211604.5075000003</v>
      </c>
    </row>
    <row r="22" spans="1:17" s="18" customFormat="1" ht="12.75">
      <c r="A22" s="228">
        <v>47</v>
      </c>
      <c r="B22" s="464">
        <v>1855</v>
      </c>
      <c r="C22" s="473" t="s">
        <v>559</v>
      </c>
      <c r="D22" s="468">
        <f>'FA Continuity 2010'!G22</f>
        <v>2616950.914889217</v>
      </c>
      <c r="E22" s="289">
        <v>199813.55903988183</v>
      </c>
      <c r="F22" s="289"/>
      <c r="G22" s="289">
        <f t="shared" si="0"/>
        <v>2816764.473929099</v>
      </c>
      <c r="H22" s="625"/>
      <c r="I22" s="289">
        <f>'FA Continuity 2010'!L22</f>
        <v>482237.365</v>
      </c>
      <c r="J22" s="289">
        <v>108730.74</v>
      </c>
      <c r="K22" s="289"/>
      <c r="L22" s="289">
        <f t="shared" si="1"/>
        <v>590968.105</v>
      </c>
      <c r="M22" s="289">
        <f t="shared" si="2"/>
        <v>2225796.368929099</v>
      </c>
      <c r="N22" s="488"/>
      <c r="O22" s="503">
        <f t="shared" si="3"/>
        <v>1855</v>
      </c>
      <c r="P22" s="269">
        <f t="shared" si="4"/>
        <v>2716857.694409158</v>
      </c>
      <c r="Q22" s="534">
        <f t="shared" si="5"/>
        <v>536602.735</v>
      </c>
    </row>
    <row r="23" spans="1:17" s="18" customFormat="1" ht="12.75">
      <c r="A23" s="228">
        <v>47</v>
      </c>
      <c r="B23" s="464">
        <v>1860</v>
      </c>
      <c r="C23" s="473" t="s">
        <v>560</v>
      </c>
      <c r="D23" s="468">
        <f>'FA Continuity 2010'!G23</f>
        <v>5807006.22</v>
      </c>
      <c r="E23" s="289">
        <v>126991.20000000001</v>
      </c>
      <c r="F23" s="289"/>
      <c r="G23" s="289">
        <f t="shared" si="0"/>
        <v>5933997.42</v>
      </c>
      <c r="H23" s="625"/>
      <c r="I23" s="289">
        <f>'FA Continuity 2010'!L23</f>
        <v>2732332.845</v>
      </c>
      <c r="J23" s="289">
        <v>288819.625</v>
      </c>
      <c r="K23" s="289"/>
      <c r="L23" s="289">
        <f t="shared" si="1"/>
        <v>3021152.47</v>
      </c>
      <c r="M23" s="289">
        <f t="shared" si="2"/>
        <v>2912844.9499999997</v>
      </c>
      <c r="N23" s="488"/>
      <c r="O23" s="503">
        <f t="shared" si="3"/>
        <v>1860</v>
      </c>
      <c r="P23" s="269">
        <f t="shared" si="4"/>
        <v>5870501.82</v>
      </c>
      <c r="Q23" s="534">
        <f t="shared" si="5"/>
        <v>2876742.6575</v>
      </c>
    </row>
    <row r="24" spans="1:17" s="18" customFormat="1" ht="12.75">
      <c r="A24" s="228" t="s">
        <v>219</v>
      </c>
      <c r="B24" s="464">
        <v>1865</v>
      </c>
      <c r="C24" s="473" t="s">
        <v>638</v>
      </c>
      <c r="D24" s="468">
        <f>'FA Continuity 2010'!G24</f>
        <v>0</v>
      </c>
      <c r="E24" s="289"/>
      <c r="F24" s="289"/>
      <c r="G24" s="289">
        <f t="shared" si="0"/>
        <v>0</v>
      </c>
      <c r="H24" s="625"/>
      <c r="I24" s="289">
        <f>'FA Continuity 2010'!L24</f>
        <v>0</v>
      </c>
      <c r="J24" s="289"/>
      <c r="K24" s="289"/>
      <c r="L24" s="289">
        <f t="shared" si="1"/>
        <v>0</v>
      </c>
      <c r="M24" s="289">
        <f t="shared" si="2"/>
        <v>0</v>
      </c>
      <c r="N24" s="488"/>
      <c r="O24" s="503">
        <f t="shared" si="3"/>
        <v>1865</v>
      </c>
      <c r="P24" s="269">
        <f t="shared" si="4"/>
        <v>0</v>
      </c>
      <c r="Q24" s="534">
        <f t="shared" si="5"/>
        <v>0</v>
      </c>
    </row>
    <row r="25" spans="1:17" s="18" customFormat="1" ht="12.75">
      <c r="A25" s="228" t="s">
        <v>219</v>
      </c>
      <c r="B25" s="464">
        <v>1905</v>
      </c>
      <c r="C25" s="473" t="s">
        <v>533</v>
      </c>
      <c r="D25" s="468">
        <f>'FA Continuity 2010'!G25</f>
        <v>17529.54</v>
      </c>
      <c r="E25" s="289"/>
      <c r="F25" s="289"/>
      <c r="G25" s="289">
        <f t="shared" si="0"/>
        <v>17529.54</v>
      </c>
      <c r="H25" s="625"/>
      <c r="I25" s="289">
        <f>'FA Continuity 2010'!L25</f>
        <v>0</v>
      </c>
      <c r="J25" s="289"/>
      <c r="K25" s="289"/>
      <c r="L25" s="289">
        <f t="shared" si="1"/>
        <v>0</v>
      </c>
      <c r="M25" s="289">
        <f t="shared" si="2"/>
        <v>17529.54</v>
      </c>
      <c r="N25" s="488"/>
      <c r="O25" s="503">
        <f t="shared" si="3"/>
        <v>1905</v>
      </c>
      <c r="P25" s="269">
        <f t="shared" si="4"/>
        <v>17529.54</v>
      </c>
      <c r="Q25" s="534">
        <f t="shared" si="5"/>
        <v>0</v>
      </c>
    </row>
    <row r="26" spans="1:17" s="18" customFormat="1" ht="12.75">
      <c r="A26" s="228" t="s">
        <v>490</v>
      </c>
      <c r="B26" s="464">
        <v>1906</v>
      </c>
      <c r="C26" s="473" t="s">
        <v>534</v>
      </c>
      <c r="D26" s="468">
        <f>'FA Continuity 2010'!G26</f>
        <v>0</v>
      </c>
      <c r="E26" s="289"/>
      <c r="F26" s="289"/>
      <c r="G26" s="289">
        <f t="shared" si="0"/>
        <v>0</v>
      </c>
      <c r="H26" s="625"/>
      <c r="I26" s="289">
        <f>'FA Continuity 2010'!L26</f>
        <v>0</v>
      </c>
      <c r="J26" s="289"/>
      <c r="K26" s="289"/>
      <c r="L26" s="289">
        <f t="shared" si="1"/>
        <v>0</v>
      </c>
      <c r="M26" s="289">
        <f t="shared" si="2"/>
        <v>0</v>
      </c>
      <c r="N26" s="488"/>
      <c r="O26" s="503">
        <f t="shared" si="3"/>
        <v>1906</v>
      </c>
      <c r="P26" s="269">
        <f t="shared" si="4"/>
        <v>0</v>
      </c>
      <c r="Q26" s="534">
        <f t="shared" si="5"/>
        <v>0</v>
      </c>
    </row>
    <row r="27" spans="1:17" s="18" customFormat="1" ht="12.75">
      <c r="A27" s="228">
        <v>1</v>
      </c>
      <c r="B27" s="464">
        <v>1908</v>
      </c>
      <c r="C27" s="473" t="s">
        <v>631</v>
      </c>
      <c r="D27" s="468">
        <f>'FA Continuity 2010'!G27</f>
        <v>983723.1</v>
      </c>
      <c r="E27" s="289">
        <v>90000</v>
      </c>
      <c r="F27" s="289"/>
      <c r="G27" s="289">
        <f t="shared" si="0"/>
        <v>1073723.1</v>
      </c>
      <c r="H27" s="625"/>
      <c r="I27" s="289">
        <f>'FA Continuity 2010'!L27</f>
        <v>220573.87999999998</v>
      </c>
      <c r="J27" s="289">
        <v>41050.15</v>
      </c>
      <c r="K27" s="289"/>
      <c r="L27" s="289">
        <f t="shared" si="1"/>
        <v>261624.02999999997</v>
      </c>
      <c r="M27" s="289">
        <f t="shared" si="2"/>
        <v>812099.0700000001</v>
      </c>
      <c r="N27" s="488"/>
      <c r="O27" s="503">
        <f t="shared" si="3"/>
        <v>1908</v>
      </c>
      <c r="P27" s="269">
        <f t="shared" si="4"/>
        <v>1028723.1000000001</v>
      </c>
      <c r="Q27" s="534">
        <f>(I27+L27)/2</f>
        <v>241098.95499999996</v>
      </c>
    </row>
    <row r="28" spans="1:17" s="18" customFormat="1" ht="12.75">
      <c r="A28" s="228">
        <v>13</v>
      </c>
      <c r="B28" s="464">
        <v>1910</v>
      </c>
      <c r="C28" s="473" t="s">
        <v>531</v>
      </c>
      <c r="D28" s="468">
        <f>'FA Continuity 2010'!G28</f>
        <v>0</v>
      </c>
      <c r="E28" s="289"/>
      <c r="F28" s="289"/>
      <c r="G28" s="289">
        <f t="shared" si="0"/>
        <v>0</v>
      </c>
      <c r="H28" s="625"/>
      <c r="I28" s="289">
        <f>'FA Continuity 2010'!L28</f>
        <v>0</v>
      </c>
      <c r="J28" s="289"/>
      <c r="K28" s="289"/>
      <c r="L28" s="289">
        <f t="shared" si="1"/>
        <v>0</v>
      </c>
      <c r="M28" s="289">
        <f t="shared" si="2"/>
        <v>0</v>
      </c>
      <c r="N28" s="488"/>
      <c r="O28" s="503">
        <f t="shared" si="3"/>
        <v>1910</v>
      </c>
      <c r="P28" s="269">
        <f t="shared" si="4"/>
        <v>0</v>
      </c>
      <c r="Q28" s="534">
        <f t="shared" si="5"/>
        <v>0</v>
      </c>
    </row>
    <row r="29" spans="1:17" s="18" customFormat="1" ht="12.75">
      <c r="A29" s="228">
        <v>8</v>
      </c>
      <c r="B29" s="464">
        <v>1915</v>
      </c>
      <c r="C29" s="473" t="s">
        <v>639</v>
      </c>
      <c r="D29" s="468">
        <f>'FA Continuity 2010'!G29</f>
        <v>240941.27000000002</v>
      </c>
      <c r="E29" s="289">
        <v>25000</v>
      </c>
      <c r="F29" s="289"/>
      <c r="G29" s="289">
        <f t="shared" si="0"/>
        <v>265941.27</v>
      </c>
      <c r="H29" s="625"/>
      <c r="I29" s="289">
        <f>'FA Continuity 2010'!L29</f>
        <v>152231.04</v>
      </c>
      <c r="J29" s="289">
        <v>15911.550000000003</v>
      </c>
      <c r="K29" s="289"/>
      <c r="L29" s="289">
        <f t="shared" si="1"/>
        <v>168142.59000000003</v>
      </c>
      <c r="M29" s="289">
        <f t="shared" si="2"/>
        <v>97798.68</v>
      </c>
      <c r="N29" s="488"/>
      <c r="O29" s="503">
        <f t="shared" si="3"/>
        <v>1915</v>
      </c>
      <c r="P29" s="269">
        <f t="shared" si="4"/>
        <v>253441.27000000002</v>
      </c>
      <c r="Q29" s="534">
        <f t="shared" si="5"/>
        <v>160186.815</v>
      </c>
    </row>
    <row r="30" spans="1:17" s="18" customFormat="1" ht="12.75">
      <c r="A30" s="228">
        <v>10</v>
      </c>
      <c r="B30" s="464">
        <v>1920</v>
      </c>
      <c r="C30" s="473" t="s">
        <v>640</v>
      </c>
      <c r="D30" s="468">
        <f>'FA Continuity 2010'!G30</f>
        <v>1160172.6400000001</v>
      </c>
      <c r="E30" s="289">
        <v>140000</v>
      </c>
      <c r="F30" s="289"/>
      <c r="G30" s="289">
        <f t="shared" si="0"/>
        <v>1300172.6400000001</v>
      </c>
      <c r="H30" s="625"/>
      <c r="I30" s="289">
        <f>'FA Continuity 2010'!L30</f>
        <v>887645.5750000002</v>
      </c>
      <c r="J30" s="289">
        <v>108134.36</v>
      </c>
      <c r="K30" s="289"/>
      <c r="L30" s="289">
        <f t="shared" si="1"/>
        <v>995779.9350000002</v>
      </c>
      <c r="M30" s="289">
        <f t="shared" si="2"/>
        <v>304392.70499999996</v>
      </c>
      <c r="N30" s="488"/>
      <c r="O30" s="503">
        <f t="shared" si="3"/>
        <v>1920</v>
      </c>
      <c r="P30" s="269">
        <f t="shared" si="4"/>
        <v>1230172.6400000001</v>
      </c>
      <c r="Q30" s="534">
        <f t="shared" si="5"/>
        <v>941712.7550000001</v>
      </c>
    </row>
    <row r="31" spans="1:17" s="18" customFormat="1" ht="12.75">
      <c r="A31" s="228">
        <v>12</v>
      </c>
      <c r="B31" s="464">
        <v>1925</v>
      </c>
      <c r="C31" s="473" t="s">
        <v>525</v>
      </c>
      <c r="D31" s="468">
        <f>'FA Continuity 2010'!G31</f>
        <v>1342122.6500000001</v>
      </c>
      <c r="E31" s="289">
        <v>60000.00000000001</v>
      </c>
      <c r="F31" s="289"/>
      <c r="G31" s="289">
        <f t="shared" si="0"/>
        <v>1402122.6500000001</v>
      </c>
      <c r="H31" s="625"/>
      <c r="I31" s="289">
        <f>'FA Continuity 2010'!L31</f>
        <v>1076668.05</v>
      </c>
      <c r="J31" s="289">
        <v>115734.35</v>
      </c>
      <c r="K31" s="289"/>
      <c r="L31" s="289">
        <f t="shared" si="1"/>
        <v>1192402.4000000001</v>
      </c>
      <c r="M31" s="289">
        <f t="shared" si="2"/>
        <v>209720.25</v>
      </c>
      <c r="N31" s="488"/>
      <c r="O31" s="503">
        <f t="shared" si="3"/>
        <v>1925</v>
      </c>
      <c r="P31" s="269">
        <f t="shared" si="4"/>
        <v>1372122.6500000001</v>
      </c>
      <c r="Q31" s="534">
        <f t="shared" si="5"/>
        <v>1134535.225</v>
      </c>
    </row>
    <row r="32" spans="1:17" s="18" customFormat="1" ht="12.75">
      <c r="A32" s="228">
        <v>10</v>
      </c>
      <c r="B32" s="464">
        <v>1930</v>
      </c>
      <c r="C32" s="473" t="s">
        <v>535</v>
      </c>
      <c r="D32" s="468">
        <f>'FA Continuity 2010'!G32</f>
        <v>1355849.3599999999</v>
      </c>
      <c r="E32" s="289">
        <v>450000</v>
      </c>
      <c r="F32" s="289">
        <v>178961.55</v>
      </c>
      <c r="G32" s="289">
        <f t="shared" si="0"/>
        <v>1626887.8099999998</v>
      </c>
      <c r="H32" s="625"/>
      <c r="I32" s="289">
        <f>'FA Continuity 2010'!L32</f>
        <v>1123933.3599999999</v>
      </c>
      <c r="J32" s="289">
        <v>117319</v>
      </c>
      <c r="K32" s="289">
        <v>178961.55</v>
      </c>
      <c r="L32" s="289">
        <f t="shared" si="1"/>
        <v>1062290.8099999998</v>
      </c>
      <c r="M32" s="289">
        <f t="shared" si="2"/>
        <v>564597</v>
      </c>
      <c r="N32" s="488"/>
      <c r="O32" s="503">
        <f t="shared" si="3"/>
        <v>1930</v>
      </c>
      <c r="P32" s="269">
        <f t="shared" si="4"/>
        <v>1491368.585</v>
      </c>
      <c r="Q32" s="534">
        <f t="shared" si="5"/>
        <v>1093112.085</v>
      </c>
    </row>
    <row r="33" spans="1:17" s="18" customFormat="1" ht="12.75">
      <c r="A33" s="228">
        <v>8</v>
      </c>
      <c r="B33" s="464">
        <v>1935</v>
      </c>
      <c r="C33" s="473" t="s">
        <v>536</v>
      </c>
      <c r="D33" s="468">
        <f>'FA Continuity 2010'!G33</f>
        <v>76838.82999999999</v>
      </c>
      <c r="E33" s="289">
        <v>40000</v>
      </c>
      <c r="F33" s="289"/>
      <c r="G33" s="289">
        <f t="shared" si="0"/>
        <v>116838.82999999999</v>
      </c>
      <c r="H33" s="625"/>
      <c r="I33" s="289">
        <f>'FA Continuity 2010'!L33</f>
        <v>36129.67</v>
      </c>
      <c r="J33" s="289">
        <v>7391.369999999999</v>
      </c>
      <c r="K33" s="289"/>
      <c r="L33" s="289">
        <f t="shared" si="1"/>
        <v>43521.03999999999</v>
      </c>
      <c r="M33" s="289">
        <f t="shared" si="2"/>
        <v>73317.79</v>
      </c>
      <c r="N33" s="488"/>
      <c r="O33" s="503">
        <f t="shared" si="3"/>
        <v>1935</v>
      </c>
      <c r="P33" s="269">
        <f t="shared" si="4"/>
        <v>96838.82999999999</v>
      </c>
      <c r="Q33" s="534">
        <f t="shared" si="5"/>
        <v>39825.354999999996</v>
      </c>
    </row>
    <row r="34" spans="1:17" s="18" customFormat="1" ht="12.75">
      <c r="A34" s="228">
        <v>8</v>
      </c>
      <c r="B34" s="464">
        <v>1940</v>
      </c>
      <c r="C34" s="473" t="s">
        <v>641</v>
      </c>
      <c r="D34" s="468">
        <f>'FA Continuity 2010'!G34</f>
        <v>270235.57000000007</v>
      </c>
      <c r="E34" s="289">
        <v>20000</v>
      </c>
      <c r="F34" s="289"/>
      <c r="G34" s="289">
        <f t="shared" si="0"/>
        <v>290235.57000000007</v>
      </c>
      <c r="H34" s="625"/>
      <c r="I34" s="289">
        <f>'FA Continuity 2010'!L34</f>
        <v>192118.40000000002</v>
      </c>
      <c r="J34" s="289">
        <v>15948.080000000002</v>
      </c>
      <c r="K34" s="289"/>
      <c r="L34" s="289">
        <f t="shared" si="1"/>
        <v>208066.48000000004</v>
      </c>
      <c r="M34" s="289">
        <f t="shared" si="2"/>
        <v>82169.09000000003</v>
      </c>
      <c r="N34" s="488"/>
      <c r="O34" s="503">
        <f t="shared" si="3"/>
        <v>1940</v>
      </c>
      <c r="P34" s="269">
        <f t="shared" si="4"/>
        <v>280235.57000000007</v>
      </c>
      <c r="Q34" s="534">
        <f t="shared" si="5"/>
        <v>200092.44000000003</v>
      </c>
    </row>
    <row r="35" spans="1:17" s="18" customFormat="1" ht="12.75">
      <c r="A35" s="228">
        <v>8</v>
      </c>
      <c r="B35" s="464">
        <v>1945</v>
      </c>
      <c r="C35" s="473" t="s">
        <v>642</v>
      </c>
      <c r="D35" s="468">
        <f>'FA Continuity 2010'!G35</f>
        <v>121963.01</v>
      </c>
      <c r="E35" s="289">
        <v>10000</v>
      </c>
      <c r="F35" s="289"/>
      <c r="G35" s="289">
        <f t="shared" si="0"/>
        <v>131963.01</v>
      </c>
      <c r="H35" s="625"/>
      <c r="I35" s="289">
        <f>'FA Continuity 2010'!L35</f>
        <v>83511.66</v>
      </c>
      <c r="J35" s="289">
        <v>6355.15</v>
      </c>
      <c r="K35" s="289"/>
      <c r="L35" s="289">
        <f t="shared" si="1"/>
        <v>89866.81</v>
      </c>
      <c r="M35" s="289">
        <f t="shared" si="2"/>
        <v>42096.20000000001</v>
      </c>
      <c r="N35" s="488"/>
      <c r="O35" s="503">
        <f t="shared" si="3"/>
        <v>1945</v>
      </c>
      <c r="P35" s="269">
        <f t="shared" si="4"/>
        <v>126963.01000000001</v>
      </c>
      <c r="Q35" s="534">
        <f t="shared" si="5"/>
        <v>86689.235</v>
      </c>
    </row>
    <row r="36" spans="1:17" s="18" customFormat="1" ht="12.75">
      <c r="A36" s="228">
        <v>8</v>
      </c>
      <c r="B36" s="464">
        <v>1950</v>
      </c>
      <c r="C36" s="473" t="s">
        <v>643</v>
      </c>
      <c r="D36" s="468">
        <f>'FA Continuity 2010'!G36</f>
        <v>0</v>
      </c>
      <c r="E36" s="289">
        <v>0</v>
      </c>
      <c r="F36" s="289"/>
      <c r="G36" s="289">
        <f t="shared" si="0"/>
        <v>0</v>
      </c>
      <c r="H36" s="625"/>
      <c r="I36" s="289">
        <f>'FA Continuity 2010'!L36</f>
        <v>0</v>
      </c>
      <c r="J36" s="289"/>
      <c r="K36" s="289"/>
      <c r="L36" s="289">
        <f t="shared" si="1"/>
        <v>0</v>
      </c>
      <c r="M36" s="289">
        <f t="shared" si="2"/>
        <v>0</v>
      </c>
      <c r="N36" s="488"/>
      <c r="O36" s="503">
        <f t="shared" si="3"/>
        <v>1950</v>
      </c>
      <c r="P36" s="269">
        <f t="shared" si="4"/>
        <v>0</v>
      </c>
      <c r="Q36" s="534">
        <f t="shared" si="5"/>
        <v>0</v>
      </c>
    </row>
    <row r="37" spans="1:17" s="18" customFormat="1" ht="12.75">
      <c r="A37" s="228">
        <v>8</v>
      </c>
      <c r="B37" s="464">
        <v>1955</v>
      </c>
      <c r="C37" s="473" t="s">
        <v>644</v>
      </c>
      <c r="D37" s="468">
        <f>'FA Continuity 2010'!G37</f>
        <v>29759.15</v>
      </c>
      <c r="E37" s="289">
        <v>20000</v>
      </c>
      <c r="F37" s="289"/>
      <c r="G37" s="289">
        <f t="shared" si="0"/>
        <v>49759.15</v>
      </c>
      <c r="H37" s="625"/>
      <c r="I37" s="289">
        <f>'FA Continuity 2010'!L37</f>
        <v>12671.859999999999</v>
      </c>
      <c r="J37" s="289">
        <v>3683.5599999999995</v>
      </c>
      <c r="K37" s="289"/>
      <c r="L37" s="289">
        <f t="shared" si="1"/>
        <v>16355.419999999998</v>
      </c>
      <c r="M37" s="289">
        <f t="shared" si="2"/>
        <v>33403.73</v>
      </c>
      <c r="N37" s="488"/>
      <c r="O37" s="503">
        <f t="shared" si="3"/>
        <v>1955</v>
      </c>
      <c r="P37" s="269">
        <f t="shared" si="4"/>
        <v>39759.15</v>
      </c>
      <c r="Q37" s="534">
        <f t="shared" si="5"/>
        <v>14513.64</v>
      </c>
    </row>
    <row r="38" spans="1:17" s="18" customFormat="1" ht="12.75">
      <c r="A38" s="228">
        <v>8</v>
      </c>
      <c r="B38" s="464">
        <v>1960</v>
      </c>
      <c r="C38" s="473" t="s">
        <v>537</v>
      </c>
      <c r="D38" s="468">
        <f>'FA Continuity 2010'!G38</f>
        <v>1905.09</v>
      </c>
      <c r="E38" s="289">
        <v>0</v>
      </c>
      <c r="F38" s="289"/>
      <c r="G38" s="289">
        <f t="shared" si="0"/>
        <v>1905.09</v>
      </c>
      <c r="H38" s="625"/>
      <c r="I38" s="289">
        <f>'FA Continuity 2010'!L38</f>
        <v>556.0899999999999</v>
      </c>
      <c r="J38" s="289">
        <v>142</v>
      </c>
      <c r="K38" s="289"/>
      <c r="L38" s="289">
        <f t="shared" si="1"/>
        <v>698.0899999999999</v>
      </c>
      <c r="M38" s="289">
        <f t="shared" si="2"/>
        <v>1207</v>
      </c>
      <c r="N38" s="488"/>
      <c r="O38" s="503">
        <f t="shared" si="3"/>
        <v>1960</v>
      </c>
      <c r="P38" s="269">
        <f t="shared" si="4"/>
        <v>1905.09</v>
      </c>
      <c r="Q38" s="534">
        <f t="shared" si="5"/>
        <v>627.0899999999999</v>
      </c>
    </row>
    <row r="39" spans="1:17" s="18" customFormat="1" ht="12.75">
      <c r="A39" s="228">
        <v>47</v>
      </c>
      <c r="B39" s="464">
        <v>1970</v>
      </c>
      <c r="C39" s="473" t="s">
        <v>645</v>
      </c>
      <c r="D39" s="468">
        <f>'FA Continuity 2010'!G39</f>
        <v>0</v>
      </c>
      <c r="E39" s="289">
        <v>0</v>
      </c>
      <c r="F39" s="289"/>
      <c r="G39" s="289">
        <f t="shared" si="0"/>
        <v>0</v>
      </c>
      <c r="H39" s="625"/>
      <c r="I39" s="289">
        <f>'FA Continuity 2010'!L39</f>
        <v>0</v>
      </c>
      <c r="J39" s="289"/>
      <c r="K39" s="289"/>
      <c r="L39" s="289">
        <f t="shared" si="1"/>
        <v>0</v>
      </c>
      <c r="M39" s="289">
        <f t="shared" si="2"/>
        <v>0</v>
      </c>
      <c r="N39" s="488"/>
      <c r="O39" s="503">
        <f t="shared" si="3"/>
        <v>1970</v>
      </c>
      <c r="P39" s="269">
        <f t="shared" si="4"/>
        <v>0</v>
      </c>
      <c r="Q39" s="534">
        <f t="shared" si="5"/>
        <v>0</v>
      </c>
    </row>
    <row r="40" spans="1:17" s="18" customFormat="1" ht="12.75">
      <c r="A40" s="228">
        <v>47</v>
      </c>
      <c r="B40" s="464">
        <v>1975</v>
      </c>
      <c r="C40" s="473" t="s">
        <v>646</v>
      </c>
      <c r="D40" s="468">
        <f>'FA Continuity 2010'!G40</f>
        <v>0</v>
      </c>
      <c r="E40" s="289">
        <v>0</v>
      </c>
      <c r="F40" s="289"/>
      <c r="G40" s="289">
        <f t="shared" si="0"/>
        <v>0</v>
      </c>
      <c r="H40" s="625"/>
      <c r="I40" s="289">
        <f>'FA Continuity 2010'!L40</f>
        <v>0</v>
      </c>
      <c r="J40" s="289"/>
      <c r="K40" s="289"/>
      <c r="L40" s="289">
        <f t="shared" si="1"/>
        <v>0</v>
      </c>
      <c r="M40" s="289">
        <f t="shared" si="2"/>
        <v>0</v>
      </c>
      <c r="N40" s="488"/>
      <c r="O40" s="503">
        <f t="shared" si="3"/>
        <v>1975</v>
      </c>
      <c r="P40" s="269">
        <f t="shared" si="4"/>
        <v>0</v>
      </c>
      <c r="Q40" s="534">
        <f t="shared" si="5"/>
        <v>0</v>
      </c>
    </row>
    <row r="41" spans="1:17" s="18" customFormat="1" ht="12.75">
      <c r="A41" s="228">
        <v>47</v>
      </c>
      <c r="B41" s="464">
        <v>1980</v>
      </c>
      <c r="C41" s="473" t="s">
        <v>538</v>
      </c>
      <c r="D41" s="468">
        <f>'FA Continuity 2010'!G41</f>
        <v>336972.6</v>
      </c>
      <c r="E41" s="289">
        <v>20000</v>
      </c>
      <c r="F41" s="289"/>
      <c r="G41" s="289">
        <f t="shared" si="0"/>
        <v>356972.6</v>
      </c>
      <c r="H41" s="625"/>
      <c r="I41" s="289">
        <f>'FA Continuity 2010'!L41</f>
        <v>108567.95000000001</v>
      </c>
      <c r="J41" s="289">
        <v>23063.04</v>
      </c>
      <c r="K41" s="289"/>
      <c r="L41" s="289">
        <f t="shared" si="1"/>
        <v>131630.99000000002</v>
      </c>
      <c r="M41" s="289">
        <f t="shared" si="2"/>
        <v>225341.60999999996</v>
      </c>
      <c r="N41" s="488"/>
      <c r="O41" s="503">
        <f t="shared" si="3"/>
        <v>1980</v>
      </c>
      <c r="P41" s="269">
        <f t="shared" si="4"/>
        <v>346972.6</v>
      </c>
      <c r="Q41" s="534">
        <f t="shared" si="5"/>
        <v>120099.47000000002</v>
      </c>
    </row>
    <row r="42" spans="1:17" s="18" customFormat="1" ht="12.75">
      <c r="A42" s="228">
        <v>47</v>
      </c>
      <c r="B42" s="464">
        <v>1985</v>
      </c>
      <c r="C42" s="473" t="s">
        <v>647</v>
      </c>
      <c r="D42" s="468">
        <f>'FA Continuity 2010'!G42</f>
        <v>0</v>
      </c>
      <c r="E42" s="289"/>
      <c r="F42" s="289"/>
      <c r="G42" s="289">
        <f t="shared" si="0"/>
        <v>0</v>
      </c>
      <c r="H42" s="625"/>
      <c r="I42" s="289">
        <f>'FA Continuity 2010'!L42</f>
        <v>0</v>
      </c>
      <c r="J42" s="289"/>
      <c r="K42" s="289"/>
      <c r="L42" s="289">
        <f t="shared" si="1"/>
        <v>0</v>
      </c>
      <c r="M42" s="289">
        <f t="shared" si="2"/>
        <v>0</v>
      </c>
      <c r="N42" s="488"/>
      <c r="O42" s="503">
        <f t="shared" si="3"/>
        <v>1985</v>
      </c>
      <c r="P42" s="269">
        <f t="shared" si="4"/>
        <v>0</v>
      </c>
      <c r="Q42" s="534">
        <f t="shared" si="5"/>
        <v>0</v>
      </c>
    </row>
    <row r="43" spans="1:17" s="18" customFormat="1" ht="12.75">
      <c r="A43" s="228">
        <v>47</v>
      </c>
      <c r="B43" s="464">
        <v>1990</v>
      </c>
      <c r="C43" s="473" t="s">
        <v>648</v>
      </c>
      <c r="D43" s="468">
        <f>'FA Continuity 2010'!G43</f>
        <v>0</v>
      </c>
      <c r="E43" s="289"/>
      <c r="F43" s="289"/>
      <c r="G43" s="289">
        <f t="shared" si="0"/>
        <v>0</v>
      </c>
      <c r="H43" s="625"/>
      <c r="I43" s="289">
        <f>'FA Continuity 2010'!L43</f>
        <v>0</v>
      </c>
      <c r="J43" s="289"/>
      <c r="K43" s="289"/>
      <c r="L43" s="289">
        <f t="shared" si="1"/>
        <v>0</v>
      </c>
      <c r="M43" s="289">
        <f t="shared" si="2"/>
        <v>0</v>
      </c>
      <c r="N43" s="488"/>
      <c r="O43" s="503">
        <f t="shared" si="3"/>
        <v>1990</v>
      </c>
      <c r="P43" s="269">
        <f t="shared" si="4"/>
        <v>0</v>
      </c>
      <c r="Q43" s="534">
        <f t="shared" si="5"/>
        <v>0</v>
      </c>
    </row>
    <row r="44" spans="1:17" s="18" customFormat="1" ht="12.75">
      <c r="A44" s="228">
        <v>47</v>
      </c>
      <c r="B44" s="464">
        <v>1995</v>
      </c>
      <c r="C44" s="473" t="s">
        <v>649</v>
      </c>
      <c r="D44" s="468">
        <f>'FA Continuity 2010'!G44</f>
        <v>-3848275.591196455</v>
      </c>
      <c r="E44" s="289">
        <v>-442912.7503692762</v>
      </c>
      <c r="F44" s="289"/>
      <c r="G44" s="289">
        <f t="shared" si="0"/>
        <v>-4291188.341565731</v>
      </c>
      <c r="H44" s="625"/>
      <c r="I44" s="289">
        <f>'FA Continuity 2010'!L44</f>
        <v>-647260.1465905958</v>
      </c>
      <c r="J44" s="289">
        <v>-171983.0890219104</v>
      </c>
      <c r="K44" s="289"/>
      <c r="L44" s="289">
        <f t="shared" si="1"/>
        <v>-819243.2356125063</v>
      </c>
      <c r="M44" s="289">
        <f t="shared" si="2"/>
        <v>-3471945.105953225</v>
      </c>
      <c r="N44" s="488"/>
      <c r="O44" s="503">
        <f t="shared" si="3"/>
        <v>1995</v>
      </c>
      <c r="P44" s="269">
        <f>(D44+G44)/2</f>
        <v>-4069731.966381093</v>
      </c>
      <c r="Q44" s="534">
        <f t="shared" si="5"/>
        <v>-733251.691101551</v>
      </c>
    </row>
    <row r="45" spans="1:17" s="18" customFormat="1" ht="12.75">
      <c r="A45" s="228">
        <v>47</v>
      </c>
      <c r="B45" s="464">
        <v>1996</v>
      </c>
      <c r="C45" s="490" t="s">
        <v>862</v>
      </c>
      <c r="D45" s="468">
        <f>'FA Continuity 2010'!G45</f>
        <v>2500000</v>
      </c>
      <c r="E45" s="289">
        <v>1600000</v>
      </c>
      <c r="F45" s="289"/>
      <c r="G45" s="289">
        <f t="shared" si="0"/>
        <v>4100000</v>
      </c>
      <c r="H45" s="625"/>
      <c r="I45" s="289">
        <f>'FA Continuity 2010'!L45</f>
        <v>50000</v>
      </c>
      <c r="J45" s="289">
        <v>132000</v>
      </c>
      <c r="K45" s="289"/>
      <c r="L45" s="289">
        <f t="shared" si="1"/>
        <v>182000</v>
      </c>
      <c r="M45" s="289">
        <f t="shared" si="2"/>
        <v>3918000</v>
      </c>
      <c r="N45" s="488"/>
      <c r="O45" s="503">
        <f t="shared" si="3"/>
        <v>1996</v>
      </c>
      <c r="P45" s="269">
        <f>(D45+G45)/2</f>
        <v>3300000</v>
      </c>
      <c r="Q45" s="534">
        <f>(I45+L45)/2</f>
        <v>116000</v>
      </c>
    </row>
    <row r="46" spans="1:17" s="18" customFormat="1" ht="12.75">
      <c r="A46" s="228">
        <v>17</v>
      </c>
      <c r="B46" s="464">
        <v>2005</v>
      </c>
      <c r="C46" s="464" t="str">
        <f>'FA Continuity 2008'!C46</f>
        <v>NUP Owned - Generation Facility Assets</v>
      </c>
      <c r="D46" s="468">
        <f>'FA Continuity 2010'!G46</f>
        <v>0</v>
      </c>
      <c r="E46" s="289"/>
      <c r="F46" s="289"/>
      <c r="G46" s="289">
        <f t="shared" si="0"/>
        <v>0</v>
      </c>
      <c r="H46" s="625"/>
      <c r="I46" s="289">
        <f>'FA Continuity 2010'!L46</f>
        <v>0</v>
      </c>
      <c r="J46" s="289"/>
      <c r="K46" s="289"/>
      <c r="L46" s="289">
        <f t="shared" si="1"/>
        <v>0</v>
      </c>
      <c r="M46" s="289">
        <f t="shared" si="2"/>
        <v>0</v>
      </c>
      <c r="N46" s="488"/>
      <c r="O46" s="503"/>
      <c r="P46" s="269">
        <v>0</v>
      </c>
      <c r="Q46" s="534"/>
    </row>
    <row r="47" spans="1:18" s="18" customFormat="1" ht="12.75">
      <c r="A47" s="228"/>
      <c r="B47" s="474"/>
      <c r="C47" s="475" t="s">
        <v>235</v>
      </c>
      <c r="D47" s="463">
        <f>SUM(D10:D46)</f>
        <v>42246841.11787297</v>
      </c>
      <c r="E47" s="463">
        <f>SUM(E10:E46)</f>
        <v>4845099.8379657315</v>
      </c>
      <c r="F47" s="463">
        <f>SUM(F10:F46)</f>
        <v>178961.55</v>
      </c>
      <c r="G47" s="463">
        <f>SUM(G10:G46)</f>
        <v>46912979.405838706</v>
      </c>
      <c r="H47" s="625"/>
      <c r="I47" s="463">
        <f>SUM(I10:I46)</f>
        <v>17169244.985076074</v>
      </c>
      <c r="J47" s="463">
        <f>SUM(J10:J46)</f>
        <v>2156091.9193114233</v>
      </c>
      <c r="K47" s="463">
        <f>SUM(K10:K46)</f>
        <v>178961.55</v>
      </c>
      <c r="L47" s="463">
        <f>SUM(L10:L46)</f>
        <v>19146375.35438749</v>
      </c>
      <c r="M47" s="463">
        <f>SUM(M10:M46)</f>
        <v>27766604.051451202</v>
      </c>
      <c r="N47" s="488"/>
      <c r="O47" s="503">
        <f t="shared" si="3"/>
        <v>0</v>
      </c>
      <c r="P47" s="269">
        <f>(D47+G47)/2</f>
        <v>44579910.26185584</v>
      </c>
      <c r="Q47" s="534">
        <f>(I47+L47)/2</f>
        <v>18157810.16973178</v>
      </c>
      <c r="R47" s="535"/>
    </row>
    <row r="48" spans="1:17" s="18" customFormat="1" ht="12.75">
      <c r="A48" s="228"/>
      <c r="B48" s="474"/>
      <c r="C48" s="473"/>
      <c r="D48" s="289"/>
      <c r="E48" s="289"/>
      <c r="F48" s="289"/>
      <c r="G48" s="289"/>
      <c r="H48" s="625"/>
      <c r="I48" s="289"/>
      <c r="J48" s="289"/>
      <c r="K48" s="289"/>
      <c r="L48" s="289"/>
      <c r="M48" s="289"/>
      <c r="N48" s="488"/>
      <c r="O48" s="503"/>
      <c r="P48" s="269"/>
      <c r="Q48" s="534"/>
    </row>
    <row r="49" spans="1:17" s="18" customFormat="1" ht="12.75">
      <c r="A49" s="228">
        <v>94</v>
      </c>
      <c r="B49" s="474"/>
      <c r="C49" s="473" t="s">
        <v>269</v>
      </c>
      <c r="D49" s="289">
        <f>'FA Continuity 2010'!G49</f>
        <v>0.07000000000698492</v>
      </c>
      <c r="E49" s="289">
        <v>0</v>
      </c>
      <c r="F49" s="289">
        <v>0</v>
      </c>
      <c r="G49" s="289">
        <f>D49+E49-F49</f>
        <v>0.07000000000698492</v>
      </c>
      <c r="H49" s="625"/>
      <c r="I49" s="289">
        <f>'FA Continuity 2010'!L49</f>
        <v>0</v>
      </c>
      <c r="J49" s="289">
        <v>0</v>
      </c>
      <c r="K49" s="289">
        <v>0</v>
      </c>
      <c r="L49" s="289">
        <f>I49+J49-K49</f>
        <v>0</v>
      </c>
      <c r="M49" s="289">
        <f>G49-L49</f>
        <v>0.07000000000698492</v>
      </c>
      <c r="N49" s="488"/>
      <c r="O49" s="503"/>
      <c r="P49" s="269"/>
      <c r="Q49" s="534">
        <f>P47-Q47</f>
        <v>26422100.09212406</v>
      </c>
    </row>
    <row r="50" spans="1:17" s="18" customFormat="1" ht="12.75">
      <c r="A50" s="228"/>
      <c r="B50" s="474"/>
      <c r="C50" s="475" t="s">
        <v>236</v>
      </c>
      <c r="D50" s="463">
        <f>SUM(D47:D49)</f>
        <v>42246841.18787297</v>
      </c>
      <c r="E50" s="463">
        <f>SUM(E47:E49)</f>
        <v>4845099.8379657315</v>
      </c>
      <c r="F50" s="463">
        <f>SUM(F47:F49)</f>
        <v>178961.55</v>
      </c>
      <c r="G50" s="463">
        <f>SUM(G47:G49)</f>
        <v>46912979.475838706</v>
      </c>
      <c r="H50" s="625"/>
      <c r="I50" s="463">
        <f>SUM(I47:I49)</f>
        <v>17169244.985076074</v>
      </c>
      <c r="J50" s="463">
        <f>SUM(J47:J49)</f>
        <v>2156091.9193114233</v>
      </c>
      <c r="K50" s="463">
        <f>SUM(K47:K49)</f>
        <v>178961.55</v>
      </c>
      <c r="L50" s="463">
        <f>SUM(L47:L49)</f>
        <v>19146375.35438749</v>
      </c>
      <c r="M50" s="463">
        <f>SUM(M47:M49)</f>
        <v>27766604.121451203</v>
      </c>
      <c r="N50" s="488"/>
      <c r="O50" s="503"/>
      <c r="P50" s="269"/>
      <c r="Q50" s="534"/>
    </row>
    <row r="51" spans="1:17" s="18" customFormat="1" ht="7.5" customHeight="1">
      <c r="A51" s="227"/>
      <c r="B51" s="476"/>
      <c r="C51" s="477"/>
      <c r="D51" s="478"/>
      <c r="E51" s="481"/>
      <c r="F51" s="478"/>
      <c r="G51" s="478"/>
      <c r="H51" s="480"/>
      <c r="I51" s="480"/>
      <c r="J51" s="480"/>
      <c r="K51" s="480"/>
      <c r="L51" s="480"/>
      <c r="M51" s="480"/>
      <c r="O51" s="503"/>
      <c r="P51" s="269"/>
      <c r="Q51" s="534">
        <v>8756939.609244585</v>
      </c>
    </row>
    <row r="52" spans="1:17" s="18" customFormat="1" ht="10.5" customHeight="1">
      <c r="A52" s="476"/>
      <c r="B52" s="476"/>
      <c r="C52" s="477"/>
      <c r="D52" s="478"/>
      <c r="E52" s="477"/>
      <c r="F52" s="478"/>
      <c r="G52" s="478"/>
      <c r="H52" s="628" t="s">
        <v>270</v>
      </c>
      <c r="I52" s="628"/>
      <c r="J52" s="628"/>
      <c r="K52" s="480"/>
      <c r="L52" s="480"/>
      <c r="M52" s="480"/>
      <c r="N52" s="488"/>
      <c r="O52" s="503"/>
      <c r="P52" s="269"/>
      <c r="Q52" s="534"/>
    </row>
    <row r="53" spans="1:17" s="18" customFormat="1" ht="12.75">
      <c r="A53" s="464"/>
      <c r="B53" s="464">
        <v>1930</v>
      </c>
      <c r="C53" s="473" t="s">
        <v>271</v>
      </c>
      <c r="D53" s="478"/>
      <c r="F53" s="478"/>
      <c r="G53" s="478"/>
      <c r="H53" s="627" t="s">
        <v>271</v>
      </c>
      <c r="I53" s="627"/>
      <c r="J53" s="491">
        <f>J32</f>
        <v>117319</v>
      </c>
      <c r="K53" s="480"/>
      <c r="L53" s="480"/>
      <c r="M53" s="480"/>
      <c r="N53" s="536"/>
      <c r="O53" s="503"/>
      <c r="P53" s="269"/>
      <c r="Q53" s="534">
        <f>Q49-Q51</f>
        <v>17665160.482879475</v>
      </c>
    </row>
    <row r="54" spans="1:17" s="18" customFormat="1" ht="12.75">
      <c r="A54" s="464"/>
      <c r="B54" s="464">
        <v>1935</v>
      </c>
      <c r="C54" s="473" t="s">
        <v>536</v>
      </c>
      <c r="D54" s="478"/>
      <c r="F54" s="478"/>
      <c r="G54" s="478"/>
      <c r="H54" s="627" t="s">
        <v>868</v>
      </c>
      <c r="I54" s="627"/>
      <c r="J54" s="491">
        <f>J33</f>
        <v>7391.369999999999</v>
      </c>
      <c r="K54" s="480"/>
      <c r="L54" s="480"/>
      <c r="M54" s="480"/>
      <c r="N54" s="536"/>
      <c r="O54" s="537"/>
      <c r="P54" s="538"/>
      <c r="Q54" s="539"/>
    </row>
    <row r="55" spans="1:17" s="18" customFormat="1" ht="13.5" thickBot="1">
      <c r="A55" s="476"/>
      <c r="B55" s="476"/>
      <c r="F55" s="478"/>
      <c r="G55" s="478"/>
      <c r="H55" s="627" t="s">
        <v>272</v>
      </c>
      <c r="I55" s="627"/>
      <c r="J55" s="487">
        <f>J50-J53-J54</f>
        <v>2031381.5493114232</v>
      </c>
      <c r="K55" s="480"/>
      <c r="M55" s="480"/>
      <c r="N55" s="497"/>
      <c r="P55" s="540"/>
      <c r="Q55" s="540"/>
    </row>
    <row r="56" spans="1:17" s="18" customFormat="1" ht="13.5" thickTop="1">
      <c r="A56" s="476"/>
      <c r="B56" s="476"/>
      <c r="C56" s="514" t="s">
        <v>940</v>
      </c>
      <c r="D56" s="498"/>
      <c r="E56" s="499"/>
      <c r="F56" s="478"/>
      <c r="G56" s="478"/>
      <c r="H56" s="480"/>
      <c r="I56" s="525"/>
      <c r="J56" s="480"/>
      <c r="K56" s="480"/>
      <c r="L56" s="480"/>
      <c r="M56" s="480"/>
      <c r="N56" s="497"/>
      <c r="P56" s="540"/>
      <c r="Q56" s="540"/>
    </row>
    <row r="57" spans="3:17" s="18" customFormat="1" ht="12.75">
      <c r="C57" s="516" t="s">
        <v>925</v>
      </c>
      <c r="D57" s="500"/>
      <c r="E57" s="501">
        <f>E50</f>
        <v>4845099.8379657315</v>
      </c>
      <c r="I57" s="541"/>
      <c r="J57" s="481"/>
      <c r="M57" s="494"/>
      <c r="P57" s="540"/>
      <c r="Q57" s="540"/>
    </row>
    <row r="58" spans="3:17" s="18" customFormat="1" ht="12.75">
      <c r="C58" s="517" t="s">
        <v>935</v>
      </c>
      <c r="D58" s="504"/>
      <c r="E58" s="505">
        <v>1384779.06</v>
      </c>
      <c r="M58" s="494"/>
      <c r="P58" s="540"/>
      <c r="Q58" s="540"/>
    </row>
    <row r="59" spans="3:17" s="18" customFormat="1" ht="12.75">
      <c r="C59" s="517" t="s">
        <v>933</v>
      </c>
      <c r="D59" s="504"/>
      <c r="E59" s="505">
        <v>10697.35</v>
      </c>
      <c r="M59" s="494"/>
      <c r="P59" s="540"/>
      <c r="Q59" s="540"/>
    </row>
    <row r="60" spans="1:17" s="18" customFormat="1" ht="12.75">
      <c r="A60" s="227"/>
      <c r="B60" s="476"/>
      <c r="C60" s="517" t="s">
        <v>934</v>
      </c>
      <c r="D60" s="415"/>
      <c r="E60" s="505">
        <v>47255.01</v>
      </c>
      <c r="F60" s="493"/>
      <c r="G60" s="493"/>
      <c r="H60" s="494"/>
      <c r="I60" s="494"/>
      <c r="J60" s="494"/>
      <c r="K60" s="494"/>
      <c r="L60" s="494"/>
      <c r="M60" s="494"/>
      <c r="P60" s="540"/>
      <c r="Q60" s="540"/>
    </row>
    <row r="61" spans="1:17" s="18" customFormat="1" ht="12.75">
      <c r="A61" s="227"/>
      <c r="B61" s="476"/>
      <c r="C61" s="518" t="s">
        <v>937</v>
      </c>
      <c r="D61" s="507"/>
      <c r="E61" s="508">
        <f>SUM(E57:E60)</f>
        <v>6287831.2579657305</v>
      </c>
      <c r="F61" s="493"/>
      <c r="G61" s="493"/>
      <c r="H61" s="494"/>
      <c r="I61" s="494"/>
      <c r="J61" s="494"/>
      <c r="K61" s="494"/>
      <c r="L61" s="494"/>
      <c r="M61" s="494"/>
      <c r="P61" s="540"/>
      <c r="Q61" s="540"/>
    </row>
    <row r="62" spans="1:17" s="18" customFormat="1" ht="12.75">
      <c r="A62" s="227"/>
      <c r="B62" s="476"/>
      <c r="C62" s="519" t="s">
        <v>938</v>
      </c>
      <c r="D62" s="520"/>
      <c r="E62" s="521"/>
      <c r="F62" s="511"/>
      <c r="G62" s="511"/>
      <c r="H62" s="494"/>
      <c r="I62" s="512"/>
      <c r="J62" s="512"/>
      <c r="K62" s="512"/>
      <c r="L62" s="512"/>
      <c r="M62" s="512"/>
      <c r="P62" s="540"/>
      <c r="Q62" s="540"/>
    </row>
    <row r="63" spans="1:17" s="18" customFormat="1" ht="12.75">
      <c r="A63" s="227"/>
      <c r="B63" s="476"/>
      <c r="C63" s="522" t="s">
        <v>939</v>
      </c>
      <c r="D63" s="523"/>
      <c r="E63" s="524"/>
      <c r="F63" s="477"/>
      <c r="G63" s="477"/>
      <c r="H63" s="477"/>
      <c r="I63" s="477"/>
      <c r="J63" s="477"/>
      <c r="K63" s="477"/>
      <c r="L63" s="477"/>
      <c r="M63" s="477"/>
      <c r="P63" s="540"/>
      <c r="Q63" s="540"/>
    </row>
    <row r="64" ht="3" customHeight="1"/>
  </sheetData>
  <sheetProtection/>
  <mergeCells count="25">
    <mergeCell ref="H55:I55"/>
    <mergeCell ref="H8:H50"/>
    <mergeCell ref="A3:C3"/>
    <mergeCell ref="A4:C4"/>
    <mergeCell ref="A5:C5"/>
    <mergeCell ref="H52:J52"/>
    <mergeCell ref="J8:J9"/>
    <mergeCell ref="E8:E9"/>
    <mergeCell ref="F8:F9"/>
    <mergeCell ref="G8:G9"/>
    <mergeCell ref="C8:C9"/>
    <mergeCell ref="D8:D9"/>
    <mergeCell ref="I7:L7"/>
    <mergeCell ref="D6:G6"/>
    <mergeCell ref="D7:G7"/>
    <mergeCell ref="A1:M1"/>
    <mergeCell ref="A2:M2"/>
    <mergeCell ref="H53:I53"/>
    <mergeCell ref="H54:I54"/>
    <mergeCell ref="K8:K9"/>
    <mergeCell ref="L8:L9"/>
    <mergeCell ref="M8:M9"/>
    <mergeCell ref="I8:I9"/>
    <mergeCell ref="A8:A9"/>
    <mergeCell ref="B8:B9"/>
  </mergeCells>
  <printOptions/>
  <pageMargins left="0.7480314960629921" right="0.7480314960629921" top="0.3937007874015748" bottom="0.5905511811023623" header="0.5118110236220472" footer="0.5118110236220472"/>
  <pageSetup fitToHeight="1" fitToWidth="1" horizontalDpi="355" verticalDpi="355" orientation="landscape" scale="68" r:id="rId3"/>
  <headerFooter alignWithMargins="0">
    <oddFooter>&amp;L&amp;A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0"/>
  <sheetViews>
    <sheetView zoomScalePageLayoutView="0" workbookViewId="0" topLeftCell="A1">
      <selection activeCell="O388" sqref="O388"/>
    </sheetView>
  </sheetViews>
  <sheetFormatPr defaultColWidth="9.140625" defaultRowHeight="12.75"/>
  <cols>
    <col min="1" max="1" width="11.00390625" style="1" customWidth="1"/>
    <col min="2" max="2" width="57.140625" style="2" customWidth="1"/>
    <col min="3" max="3" width="0.85546875" style="3" customWidth="1"/>
    <col min="4" max="4" width="15.7109375" style="292" bestFit="1" customWidth="1"/>
    <col min="5" max="5" width="0.85546875" style="292" customWidth="1"/>
    <col min="6" max="6" width="15.7109375" style="292" bestFit="1" customWidth="1"/>
    <col min="7" max="7" width="0.85546875" style="292" customWidth="1"/>
    <col min="8" max="8" width="15.57421875" style="290" customWidth="1"/>
    <col min="9" max="9" width="0.85546875" style="292" customWidth="1"/>
    <col min="10" max="10" width="15.8515625" style="290" bestFit="1" customWidth="1"/>
    <col min="11" max="11" width="0.9921875" style="292" customWidth="1"/>
    <col min="12" max="12" width="15.421875" style="290" customWidth="1"/>
    <col min="13" max="13" width="1.1484375" style="290" customWidth="1"/>
    <col min="14" max="14" width="15.421875" style="290" customWidth="1"/>
    <col min="15" max="15" width="12.7109375" style="0" customWidth="1"/>
    <col min="16" max="16" width="15.00390625" style="0" bestFit="1" customWidth="1"/>
    <col min="17" max="17" width="14.57421875" style="0" bestFit="1" customWidth="1"/>
    <col min="18" max="18" width="31.8515625" style="0" customWidth="1"/>
    <col min="19" max="20" width="14.00390625" style="0" bestFit="1" customWidth="1"/>
    <col min="25" max="25" width="19.28125" style="0" customWidth="1"/>
    <col min="26" max="26" width="14.7109375" style="0" customWidth="1"/>
  </cols>
  <sheetData>
    <row r="1" spans="1:14" ht="12.75">
      <c r="A1" s="629" t="str">
        <f>Notes!B4</f>
        <v>Woodstock Hydro Services Inc.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291"/>
      <c r="N1" s="291"/>
    </row>
    <row r="2" spans="1:14" ht="12.75">
      <c r="A2" s="629" t="str">
        <f>Notes!A2&amp;", "&amp;Notes!A6&amp;" "&amp;Notes!B6&amp;", "&amp;Notes!A8&amp;" "&amp;Notes!B8</f>
        <v>, License Number ED-2003-0011, File Number EB-2010-0145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291"/>
      <c r="N2" s="291"/>
    </row>
    <row r="3" spans="1:10" ht="21.75" customHeight="1">
      <c r="A3" s="632" t="s">
        <v>550</v>
      </c>
      <c r="B3" s="632"/>
      <c r="C3" s="632"/>
      <c r="D3" s="632"/>
      <c r="E3" s="632"/>
      <c r="F3" s="632"/>
      <c r="G3" s="632"/>
      <c r="H3" s="632"/>
      <c r="I3" s="632"/>
      <c r="J3" s="632"/>
    </row>
    <row r="4" spans="1:14" ht="12.75">
      <c r="A4" s="630" t="s">
        <v>552</v>
      </c>
      <c r="B4" s="631" t="s">
        <v>553</v>
      </c>
      <c r="D4" s="293" t="s">
        <v>551</v>
      </c>
      <c r="F4" s="293" t="s">
        <v>164</v>
      </c>
      <c r="H4" s="293" t="s">
        <v>165</v>
      </c>
      <c r="J4" s="293" t="s">
        <v>201</v>
      </c>
      <c r="L4" s="293" t="s">
        <v>804</v>
      </c>
      <c r="N4" s="293" t="s">
        <v>843</v>
      </c>
    </row>
    <row r="5" spans="1:14" ht="12.75">
      <c r="A5" s="630"/>
      <c r="B5" s="631"/>
      <c r="D5" s="294" t="s">
        <v>554</v>
      </c>
      <c r="F5" s="294" t="s">
        <v>554</v>
      </c>
      <c r="H5" s="294" t="s">
        <v>554</v>
      </c>
      <c r="J5" s="294" t="s">
        <v>554</v>
      </c>
      <c r="L5" s="294" t="s">
        <v>461</v>
      </c>
      <c r="N5" s="294" t="s">
        <v>462</v>
      </c>
    </row>
    <row r="6" ht="3.75" customHeight="1"/>
    <row r="7" spans="1:14" ht="12.75" customHeight="1">
      <c r="A7" s="5"/>
      <c r="B7" s="237" t="s">
        <v>107</v>
      </c>
      <c r="D7" s="295"/>
      <c r="E7" s="295"/>
      <c r="F7" s="295"/>
      <c r="G7" s="295"/>
      <c r="H7" s="295"/>
      <c r="I7" s="295"/>
      <c r="J7" s="295"/>
      <c r="L7" s="295"/>
      <c r="N7" s="295"/>
    </row>
    <row r="8" spans="1:14" ht="12.75">
      <c r="A8" s="5">
        <v>1005</v>
      </c>
      <c r="B8" s="6" t="s">
        <v>555</v>
      </c>
      <c r="D8" s="296">
        <v>2635861.84</v>
      </c>
      <c r="E8" s="297"/>
      <c r="F8" s="296">
        <v>4651564.13</v>
      </c>
      <c r="H8" s="296">
        <v>4260906.91</v>
      </c>
      <c r="J8" s="296">
        <v>2156851.149999991</v>
      </c>
      <c r="L8" s="365">
        <f>-SUM(L9:L399)</f>
        <v>3401823.0842212494</v>
      </c>
      <c r="N8" s="365">
        <f>-SUM(N9:N399)</f>
        <v>1849837.3503143652</v>
      </c>
    </row>
    <row r="9" spans="1:14" ht="12.75" hidden="1">
      <c r="A9" s="5">
        <v>1010</v>
      </c>
      <c r="B9" s="6" t="s">
        <v>572</v>
      </c>
      <c r="D9" s="296">
        <v>500</v>
      </c>
      <c r="E9" s="297"/>
      <c r="F9" s="296">
        <v>450</v>
      </c>
      <c r="H9" s="296">
        <v>450</v>
      </c>
      <c r="J9" s="296">
        <v>450</v>
      </c>
      <c r="L9" s="365">
        <v>600</v>
      </c>
      <c r="N9" s="365">
        <v>600</v>
      </c>
    </row>
    <row r="10" spans="1:14" ht="12.75" hidden="1">
      <c r="A10" s="5">
        <v>1020</v>
      </c>
      <c r="B10" s="6" t="s">
        <v>573</v>
      </c>
      <c r="D10" s="296">
        <v>0</v>
      </c>
      <c r="E10" s="297"/>
      <c r="F10" s="296">
        <v>0</v>
      </c>
      <c r="H10" s="296">
        <v>0</v>
      </c>
      <c r="J10" s="296">
        <v>0</v>
      </c>
      <c r="L10" s="365">
        <v>0</v>
      </c>
      <c r="N10" s="365">
        <v>0</v>
      </c>
    </row>
    <row r="11" spans="1:26" ht="12.75" hidden="1">
      <c r="A11" s="5">
        <v>1030</v>
      </c>
      <c r="B11" s="6" t="s">
        <v>574</v>
      </c>
      <c r="D11" s="296">
        <v>0</v>
      </c>
      <c r="E11" s="297"/>
      <c r="F11" s="296">
        <v>0</v>
      </c>
      <c r="H11" s="296">
        <v>0</v>
      </c>
      <c r="J11" s="296">
        <v>0</v>
      </c>
      <c r="L11" s="365">
        <v>0</v>
      </c>
      <c r="N11" s="365">
        <v>0</v>
      </c>
      <c r="W11" s="231"/>
      <c r="Y11" s="232"/>
      <c r="Z11" s="236"/>
    </row>
    <row r="12" spans="1:26" ht="12.75" hidden="1">
      <c r="A12" s="5">
        <v>1040</v>
      </c>
      <c r="B12" s="6" t="s">
        <v>575</v>
      </c>
      <c r="D12" s="296">
        <v>0</v>
      </c>
      <c r="E12" s="297"/>
      <c r="F12" s="296">
        <v>0</v>
      </c>
      <c r="H12" s="296">
        <v>0</v>
      </c>
      <c r="J12" s="296">
        <v>0</v>
      </c>
      <c r="L12" s="365">
        <v>0</v>
      </c>
      <c r="N12" s="365">
        <v>0</v>
      </c>
      <c r="W12" s="233"/>
      <c r="Y12" s="232"/>
      <c r="Z12" s="236"/>
    </row>
    <row r="13" spans="1:26" ht="12.75" hidden="1">
      <c r="A13" s="5">
        <v>1060</v>
      </c>
      <c r="B13" s="6" t="s">
        <v>576</v>
      </c>
      <c r="D13" s="296">
        <v>0</v>
      </c>
      <c r="E13" s="297"/>
      <c r="F13" s="296">
        <v>0</v>
      </c>
      <c r="H13" s="296">
        <v>0</v>
      </c>
      <c r="J13" s="296">
        <v>0</v>
      </c>
      <c r="L13" s="365">
        <v>0</v>
      </c>
      <c r="N13" s="365">
        <v>0</v>
      </c>
      <c r="W13" s="233"/>
      <c r="Y13" s="232"/>
      <c r="Z13" s="236"/>
    </row>
    <row r="14" spans="1:26" ht="12.75" hidden="1">
      <c r="A14" s="5">
        <v>1070</v>
      </c>
      <c r="B14" s="6" t="s">
        <v>577</v>
      </c>
      <c r="D14" s="296">
        <v>50409</v>
      </c>
      <c r="E14" s="297"/>
      <c r="F14" s="296">
        <v>50451.51</v>
      </c>
      <c r="H14" s="296">
        <v>50437.39</v>
      </c>
      <c r="J14" s="296">
        <v>0</v>
      </c>
      <c r="L14" s="365">
        <v>0</v>
      </c>
      <c r="N14" s="365">
        <v>0</v>
      </c>
      <c r="Y14" s="232"/>
      <c r="Z14" s="236"/>
    </row>
    <row r="15" spans="1:26" ht="12.75" hidden="1">
      <c r="A15" s="5">
        <v>1100</v>
      </c>
      <c r="B15" s="6" t="s">
        <v>578</v>
      </c>
      <c r="D15" s="296">
        <v>3321178.35</v>
      </c>
      <c r="E15" s="297"/>
      <c r="F15" s="296">
        <v>3023615.07</v>
      </c>
      <c r="H15" s="296">
        <v>3177504.57</v>
      </c>
      <c r="J15" s="296">
        <v>3213994.2699999996</v>
      </c>
      <c r="L15" s="365">
        <v>3213994.2699999996</v>
      </c>
      <c r="N15" s="365">
        <v>3213994.2699999996</v>
      </c>
      <c r="Y15" s="232"/>
      <c r="Z15" s="236"/>
    </row>
    <row r="16" spans="1:26" ht="12.75" hidden="1">
      <c r="A16" s="5">
        <v>1102</v>
      </c>
      <c r="B16" s="6" t="s">
        <v>579</v>
      </c>
      <c r="D16" s="296">
        <v>0</v>
      </c>
      <c r="E16" s="297"/>
      <c r="F16" s="296">
        <v>889.11</v>
      </c>
      <c r="H16" s="296">
        <v>43647.39</v>
      </c>
      <c r="J16" s="296">
        <v>40325.68999999999</v>
      </c>
      <c r="L16" s="365">
        <v>40325.68999999999</v>
      </c>
      <c r="N16" s="365">
        <v>40325.68999999999</v>
      </c>
      <c r="Y16" s="232"/>
      <c r="Z16" s="236"/>
    </row>
    <row r="17" spans="1:26" ht="12.75" hidden="1">
      <c r="A17" s="5">
        <v>1104</v>
      </c>
      <c r="B17" s="6" t="s">
        <v>580</v>
      </c>
      <c r="D17" s="296">
        <v>119007.3</v>
      </c>
      <c r="E17" s="297"/>
      <c r="F17" s="296">
        <v>178678.56</v>
      </c>
      <c r="H17" s="296">
        <v>287000.71</v>
      </c>
      <c r="J17" s="296">
        <v>219327.82000000007</v>
      </c>
      <c r="L17" s="365">
        <v>219327.82000000007</v>
      </c>
      <c r="N17" s="365">
        <v>219327.82000000012</v>
      </c>
      <c r="Y17" s="232"/>
      <c r="Z17" s="236"/>
    </row>
    <row r="18" spans="1:26" ht="12.75" hidden="1">
      <c r="A18" s="5">
        <v>1105</v>
      </c>
      <c r="B18" s="6" t="s">
        <v>581</v>
      </c>
      <c r="D18" s="296">
        <v>0</v>
      </c>
      <c r="E18" s="297"/>
      <c r="F18" s="296">
        <v>0</v>
      </c>
      <c r="H18" s="296">
        <v>0</v>
      </c>
      <c r="J18" s="296">
        <v>0</v>
      </c>
      <c r="L18" s="365">
        <v>0</v>
      </c>
      <c r="N18" s="365">
        <v>0</v>
      </c>
      <c r="Y18" s="232"/>
      <c r="Z18" s="236"/>
    </row>
    <row r="19" spans="1:26" ht="12.75" hidden="1">
      <c r="A19" s="5">
        <v>1110</v>
      </c>
      <c r="B19" s="6" t="s">
        <v>582</v>
      </c>
      <c r="D19" s="296">
        <v>20132.12</v>
      </c>
      <c r="E19" s="297"/>
      <c r="F19" s="296">
        <v>74234.91</v>
      </c>
      <c r="H19" s="296">
        <v>56847.35</v>
      </c>
      <c r="J19" s="296">
        <v>100343.57</v>
      </c>
      <c r="L19" s="365">
        <v>100343.57000000002</v>
      </c>
      <c r="N19" s="365">
        <v>100343.56999999998</v>
      </c>
      <c r="Y19" s="232"/>
      <c r="Z19" s="236"/>
    </row>
    <row r="20" spans="1:26" ht="12.75" hidden="1">
      <c r="A20" s="5">
        <v>1120</v>
      </c>
      <c r="B20" s="6" t="s">
        <v>583</v>
      </c>
      <c r="D20" s="296">
        <v>2683549.38</v>
      </c>
      <c r="E20" s="297"/>
      <c r="F20" s="296">
        <v>2900261.73</v>
      </c>
      <c r="H20" s="296">
        <v>2977159.51</v>
      </c>
      <c r="J20" s="296">
        <v>3606542.919999999</v>
      </c>
      <c r="L20" s="365">
        <v>3606542.919999999</v>
      </c>
      <c r="N20" s="365">
        <v>3606542.919999999</v>
      </c>
      <c r="Y20" s="232"/>
      <c r="Z20" s="236"/>
    </row>
    <row r="21" spans="1:26" ht="12.75" hidden="1">
      <c r="A21" s="5">
        <v>1130</v>
      </c>
      <c r="B21" s="6" t="s">
        <v>584</v>
      </c>
      <c r="D21" s="296">
        <v>-19643.51</v>
      </c>
      <c r="E21" s="297"/>
      <c r="F21" s="296">
        <v>-19825.62</v>
      </c>
      <c r="H21" s="296">
        <v>-35918.57</v>
      </c>
      <c r="J21" s="296">
        <v>-35000</v>
      </c>
      <c r="L21" s="365">
        <v>-45000</v>
      </c>
      <c r="N21" s="365">
        <v>-50000</v>
      </c>
      <c r="Y21" s="232"/>
      <c r="Z21" s="236"/>
    </row>
    <row r="22" spans="1:26" ht="12.75" hidden="1">
      <c r="A22" s="5">
        <v>1140</v>
      </c>
      <c r="B22" s="6" t="s">
        <v>585</v>
      </c>
      <c r="D22" s="296">
        <v>0</v>
      </c>
      <c r="E22" s="297"/>
      <c r="F22" s="296">
        <v>0</v>
      </c>
      <c r="H22" s="296">
        <v>0</v>
      </c>
      <c r="J22" s="296">
        <v>0</v>
      </c>
      <c r="L22" s="365">
        <v>0</v>
      </c>
      <c r="N22" s="365">
        <v>0</v>
      </c>
      <c r="Y22" s="232"/>
      <c r="Z22" s="236"/>
    </row>
    <row r="23" spans="1:26" ht="12.75" hidden="1">
      <c r="A23" s="5">
        <v>1150</v>
      </c>
      <c r="B23" s="6" t="s">
        <v>586</v>
      </c>
      <c r="D23" s="296">
        <v>0</v>
      </c>
      <c r="E23" s="297"/>
      <c r="F23" s="296">
        <v>10325.7</v>
      </c>
      <c r="H23" s="296">
        <v>11130.3</v>
      </c>
      <c r="J23" s="296">
        <v>5565.149999999998</v>
      </c>
      <c r="L23" s="365">
        <v>5565.149999999998</v>
      </c>
      <c r="N23" s="365">
        <v>5565.149999999998</v>
      </c>
      <c r="Y23" s="232"/>
      <c r="Z23" s="236"/>
    </row>
    <row r="24" spans="1:26" ht="12.75" hidden="1">
      <c r="A24" s="5">
        <v>1170</v>
      </c>
      <c r="B24" s="6" t="s">
        <v>587</v>
      </c>
      <c r="D24" s="296">
        <v>0</v>
      </c>
      <c r="E24" s="297"/>
      <c r="F24" s="296">
        <v>0</v>
      </c>
      <c r="H24" s="296">
        <v>0</v>
      </c>
      <c r="J24" s="296">
        <v>0</v>
      </c>
      <c r="L24" s="365">
        <v>0</v>
      </c>
      <c r="N24" s="365">
        <v>0</v>
      </c>
      <c r="Y24" s="232"/>
      <c r="Z24" s="236"/>
    </row>
    <row r="25" spans="1:26" ht="12.75" hidden="1">
      <c r="A25" s="5">
        <v>1180</v>
      </c>
      <c r="B25" s="6" t="s">
        <v>556</v>
      </c>
      <c r="D25" s="296">
        <v>102788.86</v>
      </c>
      <c r="E25" s="297"/>
      <c r="F25" s="296">
        <v>129066.47</v>
      </c>
      <c r="H25" s="296">
        <v>155149.76</v>
      </c>
      <c r="J25" s="296">
        <v>140730.95999999996</v>
      </c>
      <c r="L25" s="365">
        <v>140730.95999999996</v>
      </c>
      <c r="N25" s="365">
        <v>140730.95999999996</v>
      </c>
      <c r="Y25" s="232"/>
      <c r="Z25" s="236"/>
    </row>
    <row r="26" spans="1:26" ht="12.75" hidden="1">
      <c r="A26" s="5">
        <v>1190</v>
      </c>
      <c r="B26" s="6" t="s">
        <v>588</v>
      </c>
      <c r="D26" s="296">
        <v>0</v>
      </c>
      <c r="E26" s="297"/>
      <c r="F26" s="296">
        <v>0</v>
      </c>
      <c r="H26" s="296">
        <v>0</v>
      </c>
      <c r="J26" s="296">
        <v>0</v>
      </c>
      <c r="L26" s="365">
        <v>0</v>
      </c>
      <c r="N26" s="365">
        <v>0</v>
      </c>
      <c r="Y26" s="232"/>
      <c r="Z26" s="236"/>
    </row>
    <row r="27" spans="1:26" ht="12.75" hidden="1">
      <c r="A27" s="5">
        <v>1200</v>
      </c>
      <c r="B27" s="6" t="s">
        <v>557</v>
      </c>
      <c r="D27" s="296">
        <v>20813.02</v>
      </c>
      <c r="E27" s="297"/>
      <c r="F27" s="296">
        <v>188.73</v>
      </c>
      <c r="H27" s="296">
        <v>25.45</v>
      </c>
      <c r="J27" s="296">
        <v>121214.2</v>
      </c>
      <c r="L27" s="365">
        <v>121214.2</v>
      </c>
      <c r="N27" s="365">
        <v>121214.2</v>
      </c>
      <c r="Y27" s="232"/>
      <c r="Z27" s="236"/>
    </row>
    <row r="28" spans="1:26" ht="12.75" hidden="1">
      <c r="A28" s="5">
        <v>1210</v>
      </c>
      <c r="B28" s="6" t="s">
        <v>589</v>
      </c>
      <c r="D28" s="296">
        <f>F28</f>
        <v>0</v>
      </c>
      <c r="E28" s="297"/>
      <c r="F28" s="296">
        <v>0</v>
      </c>
      <c r="H28" s="296">
        <v>0</v>
      </c>
      <c r="J28" s="296">
        <v>0</v>
      </c>
      <c r="L28" s="365">
        <v>0</v>
      </c>
      <c r="N28" s="365">
        <v>0</v>
      </c>
      <c r="Y28" s="232"/>
      <c r="Z28" s="236"/>
    </row>
    <row r="29" spans="1:26" ht="12.75" hidden="1">
      <c r="A29" s="5"/>
      <c r="B29" s="237" t="s">
        <v>108</v>
      </c>
      <c r="D29" s="295"/>
      <c r="E29" s="298"/>
      <c r="F29" s="295"/>
      <c r="G29" s="295"/>
      <c r="H29" s="295"/>
      <c r="I29" s="295"/>
      <c r="J29" s="295"/>
      <c r="L29" s="295"/>
      <c r="N29" s="295"/>
      <c r="Y29" s="232"/>
      <c r="Z29" s="236"/>
    </row>
    <row r="30" spans="1:26" ht="12.75" hidden="1">
      <c r="A30" s="5">
        <v>1305</v>
      </c>
      <c r="B30" s="6" t="s">
        <v>590</v>
      </c>
      <c r="D30" s="296">
        <f>F30</f>
        <v>0</v>
      </c>
      <c r="E30" s="297"/>
      <c r="F30" s="296">
        <v>0</v>
      </c>
      <c r="H30" s="296">
        <v>0</v>
      </c>
      <c r="J30" s="296">
        <v>0</v>
      </c>
      <c r="L30" s="365">
        <v>0</v>
      </c>
      <c r="N30" s="365">
        <v>0</v>
      </c>
      <c r="Y30" s="232"/>
      <c r="Z30" s="236"/>
    </row>
    <row r="31" spans="1:26" ht="12.75" hidden="1">
      <c r="A31" s="5">
        <v>1330</v>
      </c>
      <c r="B31" s="6" t="s">
        <v>591</v>
      </c>
      <c r="D31" s="296">
        <v>1589209.75</v>
      </c>
      <c r="E31" s="297"/>
      <c r="F31" s="296">
        <v>1322646.5</v>
      </c>
      <c r="H31" s="296">
        <v>911186.49</v>
      </c>
      <c r="J31" s="296">
        <v>943212.6299999999</v>
      </c>
      <c r="L31" s="365">
        <v>558643.7</v>
      </c>
      <c r="N31" s="365">
        <v>558643.7</v>
      </c>
      <c r="Y31" s="232"/>
      <c r="Z31" s="236"/>
    </row>
    <row r="32" spans="1:26" ht="12.75" hidden="1">
      <c r="A32" s="5">
        <v>1340</v>
      </c>
      <c r="B32" s="6" t="s">
        <v>592</v>
      </c>
      <c r="D32" s="296">
        <v>0</v>
      </c>
      <c r="E32" s="297"/>
      <c r="F32" s="296">
        <v>0</v>
      </c>
      <c r="H32" s="296">
        <v>0</v>
      </c>
      <c r="J32" s="296">
        <v>0</v>
      </c>
      <c r="L32" s="365">
        <v>0</v>
      </c>
      <c r="N32" s="365">
        <v>0</v>
      </c>
      <c r="Y32" s="232"/>
      <c r="Z32" s="236"/>
    </row>
    <row r="33" spans="1:26" ht="12.75" hidden="1">
      <c r="A33" s="5">
        <v>1350</v>
      </c>
      <c r="B33" s="6" t="s">
        <v>593</v>
      </c>
      <c r="D33" s="296">
        <v>0</v>
      </c>
      <c r="E33" s="297"/>
      <c r="F33" s="296">
        <v>0</v>
      </c>
      <c r="H33" s="296">
        <v>0</v>
      </c>
      <c r="J33" s="296">
        <v>0</v>
      </c>
      <c r="L33" s="365">
        <v>0</v>
      </c>
      <c r="N33" s="365">
        <v>0</v>
      </c>
      <c r="Y33" s="232"/>
      <c r="Z33" s="236"/>
    </row>
    <row r="34" spans="1:26" ht="12.75" hidden="1">
      <c r="A34" s="5"/>
      <c r="B34" s="237" t="s">
        <v>110</v>
      </c>
      <c r="D34" s="295"/>
      <c r="E34" s="298"/>
      <c r="F34" s="295"/>
      <c r="G34" s="295"/>
      <c r="H34" s="295"/>
      <c r="I34" s="295"/>
      <c r="J34" s="295"/>
      <c r="L34" s="295"/>
      <c r="N34" s="295"/>
      <c r="Y34" s="232"/>
      <c r="Z34" s="236"/>
    </row>
    <row r="35" spans="1:26" ht="12.75" hidden="1">
      <c r="A35" s="5">
        <v>1405</v>
      </c>
      <c r="B35" s="6" t="s">
        <v>594</v>
      </c>
      <c r="D35" s="296">
        <v>0</v>
      </c>
      <c r="E35" s="297"/>
      <c r="F35" s="296">
        <v>0</v>
      </c>
      <c r="H35" s="296">
        <v>0</v>
      </c>
      <c r="J35" s="296">
        <v>0</v>
      </c>
      <c r="L35" s="365">
        <v>0</v>
      </c>
      <c r="N35" s="365">
        <v>0</v>
      </c>
      <c r="Y35" s="232"/>
      <c r="Z35" s="236"/>
    </row>
    <row r="36" spans="1:26" ht="12.75" hidden="1">
      <c r="A36" s="5">
        <v>1408</v>
      </c>
      <c r="B36" s="6" t="s">
        <v>595</v>
      </c>
      <c r="D36" s="296">
        <v>0</v>
      </c>
      <c r="E36" s="297"/>
      <c r="F36" s="296">
        <v>0</v>
      </c>
      <c r="H36" s="296">
        <v>0</v>
      </c>
      <c r="J36" s="296">
        <v>0</v>
      </c>
      <c r="L36" s="365">
        <v>0</v>
      </c>
      <c r="N36" s="365">
        <v>0</v>
      </c>
      <c r="Y36" s="232"/>
      <c r="Z36" s="236"/>
    </row>
    <row r="37" spans="1:26" ht="12.75" hidden="1">
      <c r="A37" s="5">
        <v>1410</v>
      </c>
      <c r="B37" s="6" t="s">
        <v>596</v>
      </c>
      <c r="D37" s="296">
        <v>0</v>
      </c>
      <c r="E37" s="297"/>
      <c r="F37" s="296">
        <v>0</v>
      </c>
      <c r="H37" s="296">
        <v>169500</v>
      </c>
      <c r="J37" s="296">
        <v>169500</v>
      </c>
      <c r="L37" s="365">
        <v>0</v>
      </c>
      <c r="N37" s="365">
        <v>0</v>
      </c>
      <c r="Y37" s="232"/>
      <c r="Z37" s="236"/>
    </row>
    <row r="38" spans="1:26" ht="12.75" hidden="1">
      <c r="A38" s="5">
        <v>1415</v>
      </c>
      <c r="B38" s="6" t="s">
        <v>597</v>
      </c>
      <c r="D38" s="296">
        <v>0</v>
      </c>
      <c r="E38" s="297"/>
      <c r="F38" s="296">
        <v>0</v>
      </c>
      <c r="H38" s="296">
        <v>0</v>
      </c>
      <c r="J38" s="296">
        <v>0</v>
      </c>
      <c r="L38" s="365">
        <v>0</v>
      </c>
      <c r="N38" s="365">
        <v>0</v>
      </c>
      <c r="Y38" s="232"/>
      <c r="Z38" s="236"/>
    </row>
    <row r="39" spans="1:26" ht="12.75" hidden="1">
      <c r="A39" s="5">
        <v>1425</v>
      </c>
      <c r="B39" s="6" t="s">
        <v>598</v>
      </c>
      <c r="D39" s="296">
        <v>0</v>
      </c>
      <c r="E39" s="297"/>
      <c r="F39" s="296">
        <v>0</v>
      </c>
      <c r="H39" s="296">
        <v>0</v>
      </c>
      <c r="J39" s="296">
        <v>0</v>
      </c>
      <c r="L39" s="365">
        <v>0</v>
      </c>
      <c r="N39" s="365">
        <v>0</v>
      </c>
      <c r="Y39" s="232"/>
      <c r="Z39" s="236"/>
    </row>
    <row r="40" spans="1:26" ht="12.75" hidden="1">
      <c r="A40" s="5">
        <v>1445</v>
      </c>
      <c r="B40" s="6" t="s">
        <v>599</v>
      </c>
      <c r="D40" s="296">
        <v>0</v>
      </c>
      <c r="E40" s="297"/>
      <c r="F40" s="296">
        <v>0</v>
      </c>
      <c r="H40" s="296">
        <v>0</v>
      </c>
      <c r="J40" s="296">
        <v>0</v>
      </c>
      <c r="L40" s="365">
        <v>0</v>
      </c>
      <c r="N40" s="365">
        <v>0</v>
      </c>
      <c r="Y40" s="232"/>
      <c r="Z40" s="236"/>
    </row>
    <row r="41" spans="1:26" ht="12.75" hidden="1">
      <c r="A41" s="5">
        <v>1455</v>
      </c>
      <c r="B41" s="6" t="s">
        <v>600</v>
      </c>
      <c r="D41" s="296">
        <v>0</v>
      </c>
      <c r="E41" s="297"/>
      <c r="F41" s="296">
        <v>0</v>
      </c>
      <c r="H41" s="296">
        <v>0</v>
      </c>
      <c r="J41" s="296">
        <v>0</v>
      </c>
      <c r="L41" s="365">
        <v>0</v>
      </c>
      <c r="N41" s="365">
        <v>0</v>
      </c>
      <c r="Y41" s="232"/>
      <c r="Z41" s="236"/>
    </row>
    <row r="42" spans="1:26" ht="12.75" hidden="1">
      <c r="A42" s="5">
        <v>1460</v>
      </c>
      <c r="B42" s="6" t="s">
        <v>601</v>
      </c>
      <c r="D42" s="296">
        <v>0</v>
      </c>
      <c r="E42" s="297"/>
      <c r="F42" s="296">
        <v>0</v>
      </c>
      <c r="H42" s="296">
        <v>0</v>
      </c>
      <c r="J42" s="296">
        <v>0</v>
      </c>
      <c r="L42" s="365">
        <v>0</v>
      </c>
      <c r="N42" s="365">
        <v>0</v>
      </c>
      <c r="Y42" s="232"/>
      <c r="Z42" s="236"/>
    </row>
    <row r="43" spans="1:26" ht="12.75" hidden="1">
      <c r="A43" s="5">
        <v>1465</v>
      </c>
      <c r="B43" s="6" t="s">
        <v>602</v>
      </c>
      <c r="D43" s="296">
        <v>0</v>
      </c>
      <c r="E43" s="297"/>
      <c r="F43" s="296">
        <v>0</v>
      </c>
      <c r="H43" s="296">
        <v>0</v>
      </c>
      <c r="J43" s="296">
        <v>0</v>
      </c>
      <c r="L43" s="365">
        <v>0</v>
      </c>
      <c r="N43" s="365">
        <v>0</v>
      </c>
      <c r="Y43" s="232"/>
      <c r="Z43" s="236"/>
    </row>
    <row r="44" spans="1:26" ht="12.75" hidden="1">
      <c r="A44" s="5">
        <v>1470</v>
      </c>
      <c r="B44" s="6" t="s">
        <v>603</v>
      </c>
      <c r="D44" s="296">
        <v>0</v>
      </c>
      <c r="E44" s="297"/>
      <c r="F44" s="296">
        <v>0</v>
      </c>
      <c r="H44" s="296">
        <v>0</v>
      </c>
      <c r="J44" s="296">
        <v>0</v>
      </c>
      <c r="L44" s="365">
        <v>0</v>
      </c>
      <c r="N44" s="365">
        <v>0</v>
      </c>
      <c r="Y44" s="232"/>
      <c r="Z44" s="236"/>
    </row>
    <row r="45" spans="1:26" ht="12.75" hidden="1">
      <c r="A45" s="5">
        <v>1475</v>
      </c>
      <c r="B45" s="6" t="s">
        <v>604</v>
      </c>
      <c r="D45" s="296">
        <v>0</v>
      </c>
      <c r="E45" s="297"/>
      <c r="F45" s="296">
        <v>0</v>
      </c>
      <c r="H45" s="296">
        <v>0</v>
      </c>
      <c r="J45" s="296">
        <v>0</v>
      </c>
      <c r="L45" s="365">
        <v>0</v>
      </c>
      <c r="N45" s="365">
        <v>0</v>
      </c>
      <c r="Y45" s="232"/>
      <c r="Z45" s="236"/>
    </row>
    <row r="46" spans="1:26" ht="12.75" hidden="1">
      <c r="A46" s="5">
        <v>1480</v>
      </c>
      <c r="B46" s="6" t="s">
        <v>605</v>
      </c>
      <c r="D46" s="296">
        <v>0</v>
      </c>
      <c r="E46" s="297"/>
      <c r="F46" s="296">
        <v>0</v>
      </c>
      <c r="H46" s="296">
        <v>0</v>
      </c>
      <c r="J46" s="296">
        <v>0</v>
      </c>
      <c r="L46" s="365">
        <v>0</v>
      </c>
      <c r="N46" s="365">
        <v>0</v>
      </c>
      <c r="Y46" s="232"/>
      <c r="Z46" s="236"/>
    </row>
    <row r="47" spans="1:26" ht="12.75" hidden="1">
      <c r="A47" s="5">
        <v>1485</v>
      </c>
      <c r="B47" s="6" t="s">
        <v>606</v>
      </c>
      <c r="D47" s="296">
        <v>0</v>
      </c>
      <c r="E47" s="297"/>
      <c r="F47" s="296">
        <v>0</v>
      </c>
      <c r="H47" s="296">
        <v>0</v>
      </c>
      <c r="J47" s="296">
        <v>0</v>
      </c>
      <c r="L47" s="365">
        <v>0</v>
      </c>
      <c r="N47" s="365">
        <v>0</v>
      </c>
      <c r="Y47" s="232"/>
      <c r="Z47" s="236"/>
    </row>
    <row r="48" spans="1:26" ht="12.75" hidden="1">
      <c r="A48" s="5">
        <v>1490</v>
      </c>
      <c r="B48" s="6" t="s">
        <v>607</v>
      </c>
      <c r="D48" s="296">
        <v>0</v>
      </c>
      <c r="E48" s="297"/>
      <c r="F48" s="296">
        <v>0</v>
      </c>
      <c r="H48" s="296">
        <v>0</v>
      </c>
      <c r="J48" s="296">
        <v>0</v>
      </c>
      <c r="L48" s="365">
        <v>0</v>
      </c>
      <c r="N48" s="365">
        <v>0</v>
      </c>
      <c r="Y48" s="232"/>
      <c r="Z48" s="236"/>
    </row>
    <row r="49" spans="1:26" ht="12.75" hidden="1">
      <c r="A49" s="5"/>
      <c r="B49" s="237" t="s">
        <v>109</v>
      </c>
      <c r="D49" s="295"/>
      <c r="E49" s="298"/>
      <c r="F49" s="295"/>
      <c r="G49" s="295"/>
      <c r="H49" s="295"/>
      <c r="I49" s="295"/>
      <c r="J49" s="295"/>
      <c r="L49" s="295"/>
      <c r="N49" s="295"/>
      <c r="Y49" s="232"/>
      <c r="Z49" s="236"/>
    </row>
    <row r="50" spans="1:26" ht="12.75" hidden="1">
      <c r="A50" s="5">
        <v>1505</v>
      </c>
      <c r="B50" s="6" t="s">
        <v>608</v>
      </c>
      <c r="D50" s="296">
        <v>0</v>
      </c>
      <c r="E50" s="297"/>
      <c r="F50" s="296">
        <v>0</v>
      </c>
      <c r="H50" s="296">
        <v>0</v>
      </c>
      <c r="J50" s="296">
        <v>0</v>
      </c>
      <c r="L50" s="365">
        <v>0</v>
      </c>
      <c r="N50" s="365">
        <v>0</v>
      </c>
      <c r="Y50" s="232"/>
      <c r="Z50" s="236"/>
    </row>
    <row r="51" spans="1:26" ht="12.75" hidden="1">
      <c r="A51" s="5">
        <v>1508</v>
      </c>
      <c r="B51" s="6" t="s">
        <v>609</v>
      </c>
      <c r="D51" s="296">
        <v>230252.65</v>
      </c>
      <c r="E51" s="297"/>
      <c r="F51" s="296">
        <v>240559.67</v>
      </c>
      <c r="H51" s="296">
        <v>249251.09</v>
      </c>
      <c r="J51" s="296">
        <v>273723.41</v>
      </c>
      <c r="L51" s="365">
        <v>334658.0280931667</v>
      </c>
      <c r="N51" s="365">
        <v>337317.1076151667</v>
      </c>
      <c r="Y51" s="232"/>
      <c r="Z51" s="236"/>
    </row>
    <row r="52" spans="1:26" ht="12.75" hidden="1">
      <c r="A52" s="5">
        <v>1510</v>
      </c>
      <c r="B52" s="6" t="s">
        <v>610</v>
      </c>
      <c r="D52" s="296">
        <v>0</v>
      </c>
      <c r="E52" s="297"/>
      <c r="F52" s="296">
        <v>0</v>
      </c>
      <c r="H52" s="296">
        <v>0</v>
      </c>
      <c r="J52" s="296">
        <v>0</v>
      </c>
      <c r="L52" s="365">
        <v>0</v>
      </c>
      <c r="N52" s="365">
        <v>0</v>
      </c>
      <c r="Y52" s="232"/>
      <c r="Z52" s="236"/>
    </row>
    <row r="53" spans="1:26" ht="12.75" hidden="1">
      <c r="A53" s="5">
        <v>1515</v>
      </c>
      <c r="B53" s="6" t="s">
        <v>611</v>
      </c>
      <c r="D53" s="296">
        <v>0</v>
      </c>
      <c r="E53" s="297"/>
      <c r="F53" s="296">
        <v>0</v>
      </c>
      <c r="H53" s="296">
        <v>0</v>
      </c>
      <c r="J53" s="296">
        <v>0</v>
      </c>
      <c r="L53" s="365">
        <v>0</v>
      </c>
      <c r="N53" s="365">
        <v>0</v>
      </c>
      <c r="Y53" s="232"/>
      <c r="Z53" s="236"/>
    </row>
    <row r="54" spans="1:26" ht="12.75" hidden="1">
      <c r="A54" s="5">
        <v>1516</v>
      </c>
      <c r="B54" s="6" t="s">
        <v>612</v>
      </c>
      <c r="D54" s="296">
        <v>0</v>
      </c>
      <c r="E54" s="297"/>
      <c r="F54" s="296">
        <v>0</v>
      </c>
      <c r="H54" s="296">
        <v>0</v>
      </c>
      <c r="J54" s="296">
        <v>0</v>
      </c>
      <c r="L54" s="365">
        <v>0</v>
      </c>
      <c r="N54" s="365">
        <v>0</v>
      </c>
      <c r="Y54" s="232"/>
      <c r="Z54" s="236"/>
    </row>
    <row r="55" spans="1:26" ht="12.75" hidden="1">
      <c r="A55" s="5">
        <v>1518</v>
      </c>
      <c r="B55" s="244" t="s">
        <v>835</v>
      </c>
      <c r="D55" s="296">
        <v>0</v>
      </c>
      <c r="E55" s="297"/>
      <c r="F55" s="296">
        <v>0</v>
      </c>
      <c r="H55" s="296">
        <v>0</v>
      </c>
      <c r="J55" s="296">
        <v>0</v>
      </c>
      <c r="L55" s="365">
        <v>0</v>
      </c>
      <c r="N55" s="365">
        <v>0</v>
      </c>
      <c r="Y55" s="232"/>
      <c r="Z55" s="236"/>
    </row>
    <row r="56" spans="1:26" ht="12.75" hidden="1">
      <c r="A56" s="5">
        <v>1521</v>
      </c>
      <c r="B56" s="367" t="s">
        <v>874</v>
      </c>
      <c r="D56" s="296">
        <v>0</v>
      </c>
      <c r="E56" s="297"/>
      <c r="F56" s="296">
        <v>0</v>
      </c>
      <c r="H56" s="296">
        <v>0</v>
      </c>
      <c r="J56" s="296">
        <v>0</v>
      </c>
      <c r="L56" s="365">
        <v>64495.82090396231</v>
      </c>
      <c r="N56" s="365">
        <v>20448.334517152703</v>
      </c>
      <c r="Y56" s="232"/>
      <c r="Z56" s="236"/>
    </row>
    <row r="57" spans="1:26" ht="12.75" hidden="1">
      <c r="A57" s="5">
        <v>1522</v>
      </c>
      <c r="B57" s="367" t="s">
        <v>875</v>
      </c>
      <c r="D57" s="296"/>
      <c r="E57" s="297"/>
      <c r="F57" s="296"/>
      <c r="H57" s="296"/>
      <c r="J57" s="296"/>
      <c r="L57" s="365"/>
      <c r="N57" s="365"/>
      <c r="Y57" s="232"/>
      <c r="Z57" s="236"/>
    </row>
    <row r="58" spans="1:26" ht="12.75" hidden="1">
      <c r="A58" s="5">
        <v>1525</v>
      </c>
      <c r="B58" s="6" t="s">
        <v>613</v>
      </c>
      <c r="D58" s="296">
        <v>0</v>
      </c>
      <c r="E58" s="297"/>
      <c r="F58" s="296">
        <v>0</v>
      </c>
      <c r="H58" s="296">
        <v>0</v>
      </c>
      <c r="J58" s="296">
        <v>0</v>
      </c>
      <c r="L58" s="365">
        <v>0</v>
      </c>
      <c r="N58" s="365">
        <v>0</v>
      </c>
      <c r="Y58" s="232"/>
      <c r="Z58" s="236"/>
    </row>
    <row r="59" spans="1:26" ht="12.75" hidden="1">
      <c r="A59" s="5">
        <v>1530</v>
      </c>
      <c r="B59" s="6" t="s">
        <v>614</v>
      </c>
      <c r="D59" s="296">
        <v>0</v>
      </c>
      <c r="E59" s="297"/>
      <c r="F59" s="296">
        <v>0</v>
      </c>
      <c r="H59" s="296">
        <v>0</v>
      </c>
      <c r="J59" s="296">
        <v>0</v>
      </c>
      <c r="L59" s="365">
        <v>0</v>
      </c>
      <c r="N59" s="365">
        <v>0</v>
      </c>
      <c r="Y59" s="232"/>
      <c r="Z59" s="236"/>
    </row>
    <row r="60" spans="1:26" ht="12.75" hidden="1">
      <c r="A60" s="5">
        <v>1531</v>
      </c>
      <c r="B60" s="6" t="s">
        <v>867</v>
      </c>
      <c r="D60" s="296">
        <v>0</v>
      </c>
      <c r="E60" s="297"/>
      <c r="F60" s="296">
        <v>0</v>
      </c>
      <c r="H60" s="296">
        <v>0</v>
      </c>
      <c r="J60" s="296">
        <v>0</v>
      </c>
      <c r="L60" s="365">
        <v>0</v>
      </c>
      <c r="N60" s="365">
        <v>0</v>
      </c>
      <c r="Y60" s="232"/>
      <c r="Z60" s="236"/>
    </row>
    <row r="61" spans="1:26" ht="12.75" hidden="1">
      <c r="A61" s="5">
        <v>1532</v>
      </c>
      <c r="B61" s="6" t="s">
        <v>866</v>
      </c>
      <c r="D61" s="296">
        <v>0</v>
      </c>
      <c r="E61" s="297"/>
      <c r="F61" s="296">
        <v>0</v>
      </c>
      <c r="H61" s="296">
        <v>0</v>
      </c>
      <c r="J61" s="296">
        <v>1113.86</v>
      </c>
      <c r="L61" s="365">
        <v>15467.86</v>
      </c>
      <c r="N61" s="365">
        <v>49241.06655758567</v>
      </c>
      <c r="Y61" s="232"/>
      <c r="Z61" s="236"/>
    </row>
    <row r="62" spans="1:26" ht="12.75" hidden="1">
      <c r="A62" s="5">
        <v>1534</v>
      </c>
      <c r="B62" s="6" t="s">
        <v>864</v>
      </c>
      <c r="D62" s="296">
        <v>0</v>
      </c>
      <c r="E62" s="297"/>
      <c r="F62" s="296">
        <v>0</v>
      </c>
      <c r="H62" s="296">
        <v>0</v>
      </c>
      <c r="J62" s="296">
        <v>0</v>
      </c>
      <c r="L62" s="365">
        <v>0</v>
      </c>
      <c r="N62" s="365">
        <v>0</v>
      </c>
      <c r="Y62" s="232"/>
      <c r="Z62" s="236"/>
    </row>
    <row r="63" spans="1:26" ht="12.75" hidden="1">
      <c r="A63" s="5">
        <v>1535</v>
      </c>
      <c r="B63" s="6" t="s">
        <v>865</v>
      </c>
      <c r="D63" s="296">
        <v>0</v>
      </c>
      <c r="E63" s="297"/>
      <c r="F63" s="296">
        <v>0</v>
      </c>
      <c r="H63" s="296">
        <v>0</v>
      </c>
      <c r="J63" s="296">
        <v>0</v>
      </c>
      <c r="L63" s="365">
        <v>38997.62</v>
      </c>
      <c r="N63" s="365">
        <v>45003.082445137275</v>
      </c>
      <c r="Y63" s="232"/>
      <c r="Z63" s="236"/>
    </row>
    <row r="64" spans="1:26" ht="12.75" hidden="1">
      <c r="A64" s="5">
        <v>1540</v>
      </c>
      <c r="B64" s="6" t="s">
        <v>614</v>
      </c>
      <c r="D64" s="296">
        <v>0</v>
      </c>
      <c r="E64" s="297"/>
      <c r="F64" s="296">
        <v>0</v>
      </c>
      <c r="H64" s="296">
        <v>0</v>
      </c>
      <c r="J64" s="296">
        <v>0</v>
      </c>
      <c r="L64" s="365">
        <v>0</v>
      </c>
      <c r="N64" s="365">
        <v>0</v>
      </c>
      <c r="Y64" s="232"/>
      <c r="Z64" s="236"/>
    </row>
    <row r="65" spans="1:26" ht="12.75" hidden="1">
      <c r="A65" s="5">
        <v>1545</v>
      </c>
      <c r="B65" s="6" t="s">
        <v>615</v>
      </c>
      <c r="D65" s="296">
        <v>0</v>
      </c>
      <c r="E65" s="297"/>
      <c r="F65" s="296">
        <v>0</v>
      </c>
      <c r="H65" s="296">
        <v>0</v>
      </c>
      <c r="J65" s="296">
        <v>0</v>
      </c>
      <c r="L65" s="365">
        <v>0</v>
      </c>
      <c r="N65" s="365">
        <v>0</v>
      </c>
      <c r="Y65" s="232"/>
      <c r="Z65" s="236"/>
    </row>
    <row r="66" spans="1:26" ht="12.75" hidden="1">
      <c r="A66" s="5">
        <v>1548</v>
      </c>
      <c r="B66" s="6" t="s">
        <v>616</v>
      </c>
      <c r="D66" s="296">
        <v>0</v>
      </c>
      <c r="E66" s="297"/>
      <c r="F66" s="296">
        <v>0</v>
      </c>
      <c r="H66" s="296">
        <v>0</v>
      </c>
      <c r="J66" s="296">
        <v>0</v>
      </c>
      <c r="L66" s="365">
        <v>0</v>
      </c>
      <c r="N66" s="365">
        <v>0</v>
      </c>
      <c r="Y66" s="232"/>
      <c r="Z66" s="236"/>
    </row>
    <row r="67" spans="1:26" ht="12.75" hidden="1">
      <c r="A67" s="5">
        <v>1550</v>
      </c>
      <c r="B67" s="6" t="s">
        <v>617</v>
      </c>
      <c r="D67" s="296">
        <v>0</v>
      </c>
      <c r="E67" s="297"/>
      <c r="F67" s="296">
        <v>0</v>
      </c>
      <c r="H67" s="296">
        <v>0</v>
      </c>
      <c r="J67" s="296">
        <v>0</v>
      </c>
      <c r="L67" s="365">
        <v>0</v>
      </c>
      <c r="N67" s="365">
        <v>0</v>
      </c>
      <c r="Y67" s="232"/>
      <c r="Z67" s="236"/>
    </row>
    <row r="68" spans="1:26" ht="12.75" hidden="1">
      <c r="A68" s="5">
        <v>1555</v>
      </c>
      <c r="B68" s="6" t="s">
        <v>618</v>
      </c>
      <c r="D68" s="296">
        <v>-27130.71</v>
      </c>
      <c r="E68" s="297"/>
      <c r="F68" s="296">
        <v>-75459.85</v>
      </c>
      <c r="H68" s="296">
        <v>-127117.95</v>
      </c>
      <c r="J68" s="296">
        <v>1068159.42</v>
      </c>
      <c r="L68" s="365">
        <v>1651915.0499999998</v>
      </c>
      <c r="N68" s="365">
        <v>633048.0099999999</v>
      </c>
      <c r="Y68" s="232"/>
      <c r="Z68" s="236"/>
    </row>
    <row r="69" spans="1:26" ht="12.75" hidden="1">
      <c r="A69" s="5">
        <v>1556</v>
      </c>
      <c r="B69" s="6" t="s">
        <v>619</v>
      </c>
      <c r="D69" s="296">
        <v>0</v>
      </c>
      <c r="E69" s="297"/>
      <c r="F69" s="296">
        <v>0</v>
      </c>
      <c r="H69" s="296">
        <v>0</v>
      </c>
      <c r="J69" s="296">
        <v>211708.02000000002</v>
      </c>
      <c r="L69" s="365">
        <v>292123.36</v>
      </c>
      <c r="N69" s="365">
        <v>232584.29380783602</v>
      </c>
      <c r="Y69" s="232"/>
      <c r="Z69" s="236"/>
    </row>
    <row r="70" spans="1:26" ht="12.75" hidden="1">
      <c r="A70" s="5">
        <v>1562</v>
      </c>
      <c r="B70" s="6" t="s">
        <v>558</v>
      </c>
      <c r="D70" s="296">
        <v>374498.18</v>
      </c>
      <c r="E70" s="297"/>
      <c r="F70" s="296">
        <v>292987.22</v>
      </c>
      <c r="H70" s="296">
        <v>302578.01</v>
      </c>
      <c r="J70" s="296">
        <v>305297.56</v>
      </c>
      <c r="L70" s="365">
        <v>307297.56</v>
      </c>
      <c r="N70" s="365">
        <v>307297.56</v>
      </c>
      <c r="Y70" s="232"/>
      <c r="Z70" s="236"/>
    </row>
    <row r="71" spans="1:26" ht="12.75" hidden="1">
      <c r="A71" s="5">
        <v>1563</v>
      </c>
      <c r="B71" s="6" t="s">
        <v>620</v>
      </c>
      <c r="D71" s="296">
        <v>0</v>
      </c>
      <c r="E71" s="297"/>
      <c r="F71" s="296">
        <v>0</v>
      </c>
      <c r="H71" s="296">
        <v>0</v>
      </c>
      <c r="J71" s="296">
        <v>0</v>
      </c>
      <c r="L71" s="366">
        <v>0</v>
      </c>
      <c r="N71" s="366">
        <v>0</v>
      </c>
      <c r="Y71" s="232"/>
      <c r="Z71" s="236"/>
    </row>
    <row r="72" spans="1:26" ht="12.75" hidden="1">
      <c r="A72" s="5">
        <v>1565</v>
      </c>
      <c r="B72" s="6" t="s">
        <v>621</v>
      </c>
      <c r="D72" s="296">
        <v>-91951.51</v>
      </c>
      <c r="E72" s="297"/>
      <c r="F72" s="296">
        <v>-4267.7</v>
      </c>
      <c r="H72" s="296">
        <v>0</v>
      </c>
      <c r="J72" s="296">
        <v>0</v>
      </c>
      <c r="L72" s="365">
        <v>0</v>
      </c>
      <c r="N72" s="365">
        <v>0</v>
      </c>
      <c r="Y72" s="232"/>
      <c r="Z72" s="236"/>
    </row>
    <row r="73" spans="1:26" ht="12.75" hidden="1">
      <c r="A73" s="5">
        <v>1566</v>
      </c>
      <c r="B73" s="6" t="s">
        <v>622</v>
      </c>
      <c r="D73" s="296">
        <v>91951.51</v>
      </c>
      <c r="E73" s="297"/>
      <c r="F73" s="296">
        <v>4267.7</v>
      </c>
      <c r="H73" s="296">
        <v>0</v>
      </c>
      <c r="J73" s="296">
        <v>0</v>
      </c>
      <c r="L73" s="365">
        <v>0</v>
      </c>
      <c r="N73" s="365">
        <v>0</v>
      </c>
      <c r="Y73" s="232"/>
      <c r="Z73" s="236"/>
    </row>
    <row r="74" spans="1:26" ht="12.75" hidden="1">
      <c r="A74" s="5">
        <v>1570</v>
      </c>
      <c r="B74" s="6" t="s">
        <v>623</v>
      </c>
      <c r="D74" s="296">
        <v>0</v>
      </c>
      <c r="E74" s="297"/>
      <c r="F74" s="296">
        <v>0</v>
      </c>
      <c r="H74" s="296">
        <v>0</v>
      </c>
      <c r="J74" s="296">
        <v>0</v>
      </c>
      <c r="L74" s="365">
        <v>0</v>
      </c>
      <c r="N74" s="365">
        <v>0</v>
      </c>
      <c r="Y74" s="232"/>
      <c r="Z74" s="236"/>
    </row>
    <row r="75" spans="1:26" ht="12.75" hidden="1">
      <c r="A75" s="5">
        <v>1571</v>
      </c>
      <c r="B75" s="6" t="s">
        <v>624</v>
      </c>
      <c r="D75" s="296">
        <v>0</v>
      </c>
      <c r="E75" s="297"/>
      <c r="F75" s="296">
        <v>0</v>
      </c>
      <c r="H75" s="296">
        <v>0</v>
      </c>
      <c r="J75" s="296">
        <v>0</v>
      </c>
      <c r="L75" s="365">
        <v>0</v>
      </c>
      <c r="N75" s="365">
        <v>0</v>
      </c>
      <c r="Y75" s="232"/>
      <c r="Z75" s="236"/>
    </row>
    <row r="76" spans="1:26" ht="12.75" hidden="1">
      <c r="A76" s="5">
        <v>1572</v>
      </c>
      <c r="B76" s="6" t="s">
        <v>802</v>
      </c>
      <c r="D76" s="296">
        <v>0</v>
      </c>
      <c r="E76" s="297"/>
      <c r="F76" s="296">
        <v>0</v>
      </c>
      <c r="H76" s="296">
        <v>0</v>
      </c>
      <c r="J76" s="296">
        <v>0</v>
      </c>
      <c r="L76" s="365">
        <v>0</v>
      </c>
      <c r="N76" s="365">
        <v>0</v>
      </c>
      <c r="Y76" s="232"/>
      <c r="Z76" s="236"/>
    </row>
    <row r="77" spans="1:26" ht="12.75" hidden="1">
      <c r="A77" s="5">
        <v>1574</v>
      </c>
      <c r="B77" s="6" t="s">
        <v>625</v>
      </c>
      <c r="D77" s="296">
        <v>0</v>
      </c>
      <c r="E77" s="297"/>
      <c r="F77" s="296">
        <v>0</v>
      </c>
      <c r="H77" s="296">
        <v>0</v>
      </c>
      <c r="J77" s="296">
        <v>0</v>
      </c>
      <c r="L77" s="365">
        <v>0</v>
      </c>
      <c r="N77" s="365">
        <v>0</v>
      </c>
      <c r="Y77" s="232"/>
      <c r="Z77" s="236"/>
    </row>
    <row r="78" spans="1:26" ht="12.75" hidden="1">
      <c r="A78" s="5">
        <v>1580</v>
      </c>
      <c r="B78" s="6" t="s">
        <v>626</v>
      </c>
      <c r="D78" s="363">
        <v>-348912.14</v>
      </c>
      <c r="E78" s="297"/>
      <c r="F78" s="296">
        <v>-894566.49</v>
      </c>
      <c r="H78" s="296">
        <v>-1167775.37</v>
      </c>
      <c r="J78" s="296">
        <v>-1278650.27</v>
      </c>
      <c r="L78" s="365">
        <v>-1278650.27</v>
      </c>
      <c r="N78" s="365">
        <v>-1278650.27</v>
      </c>
      <c r="Y78" s="232"/>
      <c r="Z78" s="236"/>
    </row>
    <row r="79" spans="1:26" ht="12.75" hidden="1">
      <c r="A79" s="5">
        <v>1582</v>
      </c>
      <c r="B79" s="6" t="s">
        <v>627</v>
      </c>
      <c r="D79" s="296">
        <v>130235.56</v>
      </c>
      <c r="E79" s="297"/>
      <c r="F79" s="296">
        <v>135897.14</v>
      </c>
      <c r="H79" s="296">
        <v>140667.15</v>
      </c>
      <c r="J79" s="296">
        <v>142020.93</v>
      </c>
      <c r="L79" s="365">
        <v>142020.93</v>
      </c>
      <c r="N79" s="365">
        <v>142020.93</v>
      </c>
      <c r="Y79" s="232"/>
      <c r="Z79" s="236"/>
    </row>
    <row r="80" spans="1:26" ht="12.75" hidden="1">
      <c r="A80" s="5">
        <v>1584</v>
      </c>
      <c r="B80" s="6" t="s">
        <v>628</v>
      </c>
      <c r="D80" s="296">
        <v>55252.06</v>
      </c>
      <c r="E80" s="297"/>
      <c r="F80" s="296">
        <v>-20613.04</v>
      </c>
      <c r="H80" s="296">
        <v>-261084.22</v>
      </c>
      <c r="J80" s="296">
        <v>-390427.48000000004</v>
      </c>
      <c r="L80" s="365">
        <v>-390427.48000000004</v>
      </c>
      <c r="N80" s="365">
        <v>-390427.48000000004</v>
      </c>
      <c r="Y80" s="232"/>
      <c r="Z80" s="236"/>
    </row>
    <row r="81" spans="1:26" ht="12.75" hidden="1">
      <c r="A81" s="5">
        <v>1586</v>
      </c>
      <c r="B81" s="6" t="s">
        <v>629</v>
      </c>
      <c r="D81" s="296">
        <v>44361.94</v>
      </c>
      <c r="E81" s="297"/>
      <c r="F81" s="296">
        <v>75462.86</v>
      </c>
      <c r="H81" s="296">
        <v>8783.98</v>
      </c>
      <c r="J81" s="296">
        <v>-42537.819999999956</v>
      </c>
      <c r="L81" s="365">
        <v>-42537.819999999956</v>
      </c>
      <c r="N81" s="365">
        <v>-42537.819999999956</v>
      </c>
      <c r="Y81" s="232"/>
      <c r="Z81" s="236"/>
    </row>
    <row r="82" spans="1:26" ht="12.75" hidden="1">
      <c r="A82" s="5">
        <v>1588</v>
      </c>
      <c r="B82" s="6" t="s">
        <v>630</v>
      </c>
      <c r="D82" s="296">
        <v>-284585.54</v>
      </c>
      <c r="E82" s="297"/>
      <c r="F82" s="296">
        <v>-388811.48</v>
      </c>
      <c r="H82" s="296">
        <v>-456455.05</v>
      </c>
      <c r="J82" s="296">
        <v>-556402.1899999994</v>
      </c>
      <c r="L82" s="365">
        <v>-556402.1899999994</v>
      </c>
      <c r="N82" s="365">
        <v>-556402.1899999994</v>
      </c>
      <c r="Y82" s="232"/>
      <c r="Z82" s="236"/>
    </row>
    <row r="83" spans="1:26" ht="12.75" hidden="1">
      <c r="A83" s="5">
        <v>1590</v>
      </c>
      <c r="B83" s="6" t="s">
        <v>803</v>
      </c>
      <c r="D83" s="296">
        <v>271352.09</v>
      </c>
      <c r="E83" s="297"/>
      <c r="F83" s="296">
        <v>105647.94</v>
      </c>
      <c r="H83" s="296">
        <v>33955.45</v>
      </c>
      <c r="J83" s="296">
        <v>34542.630000000005</v>
      </c>
      <c r="L83" s="365">
        <v>34542.630000000005</v>
      </c>
      <c r="N83" s="365">
        <v>34542.630000000005</v>
      </c>
      <c r="Y83" s="232"/>
      <c r="Z83" s="236"/>
    </row>
    <row r="84" spans="1:26" ht="12.75" hidden="1">
      <c r="A84" s="5">
        <v>1592</v>
      </c>
      <c r="B84" s="6" t="s">
        <v>135</v>
      </c>
      <c r="D84" s="296">
        <f>F84</f>
        <v>0</v>
      </c>
      <c r="E84" s="297"/>
      <c r="F84" s="296">
        <v>0</v>
      </c>
      <c r="H84" s="296">
        <v>0</v>
      </c>
      <c r="J84" s="296">
        <v>0</v>
      </c>
      <c r="L84" s="365">
        <v>0</v>
      </c>
      <c r="N84" s="365">
        <v>0</v>
      </c>
      <c r="Y84" s="232"/>
      <c r="Z84" s="236"/>
    </row>
    <row r="85" spans="1:26" ht="12.75" hidden="1">
      <c r="A85" s="5">
        <v>1595</v>
      </c>
      <c r="B85" s="6" t="s">
        <v>863</v>
      </c>
      <c r="D85" s="296"/>
      <c r="E85" s="297"/>
      <c r="F85" s="296"/>
      <c r="H85" s="296"/>
      <c r="J85" s="296"/>
      <c r="L85" s="365">
        <v>0</v>
      </c>
      <c r="N85" s="365">
        <v>0</v>
      </c>
      <c r="Y85" s="232"/>
      <c r="Z85" s="236"/>
    </row>
    <row r="86" spans="1:26" ht="12.75" hidden="1">
      <c r="A86" s="5"/>
      <c r="B86" s="237" t="s">
        <v>111</v>
      </c>
      <c r="D86" s="298"/>
      <c r="E86" s="298"/>
      <c r="F86" s="298"/>
      <c r="G86" s="295"/>
      <c r="H86" s="295"/>
      <c r="I86" s="295"/>
      <c r="J86" s="295"/>
      <c r="L86" s="295"/>
      <c r="N86" s="295"/>
      <c r="Y86" s="232"/>
      <c r="Z86" s="236"/>
    </row>
    <row r="87" spans="1:26" ht="12.75" hidden="1">
      <c r="A87" s="5">
        <v>1805</v>
      </c>
      <c r="B87" s="6" t="s">
        <v>533</v>
      </c>
      <c r="D87" s="299">
        <f>'FA Continuity 2006'!G10</f>
        <v>21835.64</v>
      </c>
      <c r="E87" s="297"/>
      <c r="F87" s="299">
        <f>'FA Continuity 2007'!G10</f>
        <v>21835.64</v>
      </c>
      <c r="H87" s="299">
        <f>'FA Continuity 2008'!G10</f>
        <v>21835.64</v>
      </c>
      <c r="J87" s="299">
        <f>'FA Continuity 2009'!G10</f>
        <v>21835.64</v>
      </c>
      <c r="L87" s="299">
        <f>'FA Continuity 2010'!G10</f>
        <v>21835.64</v>
      </c>
      <c r="N87" s="299">
        <f>'FA Continuity 2011'!G10</f>
        <v>21835.64</v>
      </c>
      <c r="Y87" s="232"/>
      <c r="Z87" s="236"/>
    </row>
    <row r="88" spans="1:26" ht="12.75" hidden="1">
      <c r="A88" s="5">
        <v>1806</v>
      </c>
      <c r="B88" s="6" t="s">
        <v>534</v>
      </c>
      <c r="D88" s="299">
        <f>'FA Continuity 2006'!G11</f>
        <v>0</v>
      </c>
      <c r="E88" s="297"/>
      <c r="F88" s="299">
        <f>'FA Continuity 2007'!G11</f>
        <v>0</v>
      </c>
      <c r="H88" s="299">
        <f>'FA Continuity 2008'!G11</f>
        <v>0</v>
      </c>
      <c r="J88" s="299">
        <f>'FA Continuity 2009'!G11</f>
        <v>0</v>
      </c>
      <c r="L88" s="299">
        <f>'FA Continuity 2010'!G11</f>
        <v>0</v>
      </c>
      <c r="N88" s="299">
        <f>'FA Continuity 2011'!G11</f>
        <v>0</v>
      </c>
      <c r="Y88" s="232"/>
      <c r="Z88" s="236"/>
    </row>
    <row r="89" spans="1:26" ht="12.75" hidden="1">
      <c r="A89" s="5">
        <v>1808</v>
      </c>
      <c r="B89" s="6" t="s">
        <v>631</v>
      </c>
      <c r="D89" s="299">
        <f>'FA Continuity 2006'!G12</f>
        <v>190773.89</v>
      </c>
      <c r="E89" s="297"/>
      <c r="F89" s="299">
        <f>'FA Continuity 2007'!G12</f>
        <v>190773.89</v>
      </c>
      <c r="H89" s="299">
        <f>'FA Continuity 2008'!G12</f>
        <v>190773.89</v>
      </c>
      <c r="J89" s="299">
        <f>'FA Continuity 2009'!G12</f>
        <v>190773.89</v>
      </c>
      <c r="L89" s="299">
        <f>'FA Continuity 2010'!G12</f>
        <v>190773.89</v>
      </c>
      <c r="N89" s="299">
        <f>'FA Continuity 2011'!G12</f>
        <v>190773.89</v>
      </c>
      <c r="Y89" s="232"/>
      <c r="Z89" s="236"/>
    </row>
    <row r="90" spans="1:26" ht="12.75" hidden="1">
      <c r="A90" s="5">
        <v>1810</v>
      </c>
      <c r="B90" s="6" t="s">
        <v>531</v>
      </c>
      <c r="D90" s="299">
        <f>'FA Continuity 2006'!G13</f>
        <v>0</v>
      </c>
      <c r="E90" s="297"/>
      <c r="F90" s="299">
        <f>'FA Continuity 2007'!G13</f>
        <v>0</v>
      </c>
      <c r="H90" s="299">
        <f>'FA Continuity 2008'!G13</f>
        <v>0</v>
      </c>
      <c r="J90" s="299">
        <f>'FA Continuity 2009'!G13</f>
        <v>0</v>
      </c>
      <c r="L90" s="299">
        <f>'FA Continuity 2010'!G13</f>
        <v>0</v>
      </c>
      <c r="N90" s="299">
        <f>'FA Continuity 2011'!G13</f>
        <v>0</v>
      </c>
      <c r="Y90" s="232"/>
      <c r="Z90" s="236"/>
    </row>
    <row r="91" spans="1:26" ht="12.75" hidden="1">
      <c r="A91" s="5">
        <v>1815</v>
      </c>
      <c r="B91" s="6" t="s">
        <v>632</v>
      </c>
      <c r="D91" s="299">
        <f>'FA Continuity 2006'!G14</f>
        <v>0</v>
      </c>
      <c r="E91" s="297"/>
      <c r="F91" s="299">
        <f>'FA Continuity 2007'!G14</f>
        <v>0</v>
      </c>
      <c r="H91" s="299">
        <f>'FA Continuity 2008'!G14</f>
        <v>0</v>
      </c>
      <c r="J91" s="299">
        <f>'FA Continuity 2009'!G14</f>
        <v>0</v>
      </c>
      <c r="L91" s="299">
        <f>'FA Continuity 2010'!G14</f>
        <v>0</v>
      </c>
      <c r="N91" s="299">
        <f>'FA Continuity 2011'!G14</f>
        <v>0</v>
      </c>
      <c r="Y91" s="232"/>
      <c r="Z91" s="236"/>
    </row>
    <row r="92" spans="1:26" ht="12.75" hidden="1">
      <c r="A92" s="5">
        <v>1820</v>
      </c>
      <c r="B92" s="6" t="s">
        <v>633</v>
      </c>
      <c r="D92" s="299">
        <f>'FA Continuity 2006'!G15</f>
        <v>566170.39</v>
      </c>
      <c r="E92" s="297"/>
      <c r="F92" s="299">
        <f>'FA Continuity 2007'!G15</f>
        <v>566170.39</v>
      </c>
      <c r="H92" s="299">
        <f>'FA Continuity 2008'!G15</f>
        <v>622658.4400000001</v>
      </c>
      <c r="J92" s="299">
        <f>'FA Continuity 2009'!G15</f>
        <v>622658.4400000001</v>
      </c>
      <c r="L92" s="299">
        <f>'FA Continuity 2010'!G15</f>
        <v>647560.04</v>
      </c>
      <c r="N92" s="299">
        <f>'FA Continuity 2011'!G15</f>
        <v>647560.04</v>
      </c>
      <c r="Y92" s="232"/>
      <c r="Z92" s="236"/>
    </row>
    <row r="93" spans="1:26" ht="12.75" hidden="1">
      <c r="A93" s="5">
        <v>1825</v>
      </c>
      <c r="B93" s="6" t="s">
        <v>220</v>
      </c>
      <c r="D93" s="299">
        <f>'FA Continuity 2006'!G16</f>
        <v>0</v>
      </c>
      <c r="E93" s="297"/>
      <c r="F93" s="299">
        <f>'FA Continuity 2007'!G16</f>
        <v>0</v>
      </c>
      <c r="H93" s="299">
        <f>'FA Continuity 2008'!G16</f>
        <v>0</v>
      </c>
      <c r="J93" s="299">
        <f>'FA Continuity 2009'!G16</f>
        <v>0</v>
      </c>
      <c r="L93" s="299">
        <f>'FA Continuity 2010'!G16</f>
        <v>0</v>
      </c>
      <c r="N93" s="299">
        <f>'FA Continuity 2011'!G16</f>
        <v>0</v>
      </c>
      <c r="Y93" s="232"/>
      <c r="Z93" s="236"/>
    </row>
    <row r="94" spans="1:26" ht="12.75" hidden="1">
      <c r="A94" s="5">
        <v>1830</v>
      </c>
      <c r="B94" s="6" t="s">
        <v>634</v>
      </c>
      <c r="D94" s="299">
        <f>'FA Continuity 2006'!G17</f>
        <v>6096251.6899999995</v>
      </c>
      <c r="E94" s="297"/>
      <c r="F94" s="299">
        <f>'FA Continuity 2007'!G17</f>
        <v>6324832.909999999</v>
      </c>
      <c r="H94" s="299">
        <f>'FA Continuity 2008'!G17</f>
        <v>6693805.839999999</v>
      </c>
      <c r="J94" s="299">
        <f>'FA Continuity 2009'!G17</f>
        <v>7703316.809999999</v>
      </c>
      <c r="L94" s="299">
        <f>'FA Continuity 2010'!G17</f>
        <v>8098921.959212702</v>
      </c>
      <c r="N94" s="299">
        <f>'FA Continuity 2011'!G17</f>
        <v>8701848.583456129</v>
      </c>
      <c r="Y94" s="232"/>
      <c r="Z94" s="236"/>
    </row>
    <row r="95" spans="1:26" ht="12.75" hidden="1">
      <c r="A95" s="5">
        <v>1835</v>
      </c>
      <c r="B95" s="6" t="s">
        <v>635</v>
      </c>
      <c r="D95" s="299">
        <f>'FA Continuity 2006'!G18</f>
        <v>3144322.13</v>
      </c>
      <c r="E95" s="297"/>
      <c r="F95" s="299">
        <f>'FA Continuity 2007'!G18</f>
        <v>3199104.05</v>
      </c>
      <c r="H95" s="299">
        <f>'FA Continuity 2008'!G18</f>
        <v>3395189.79</v>
      </c>
      <c r="J95" s="299">
        <f>'FA Continuity 2009'!G18</f>
        <v>3527922.13</v>
      </c>
      <c r="L95" s="299">
        <f>'FA Continuity 2010'!G18</f>
        <v>3778125.512283604</v>
      </c>
      <c r="N95" s="299">
        <f>'FA Continuity 2011'!G18</f>
        <v>4307891.002741506</v>
      </c>
      <c r="Y95" s="232"/>
      <c r="Z95" s="236"/>
    </row>
    <row r="96" spans="1:26" ht="12.75" hidden="1">
      <c r="A96" s="5">
        <v>1840</v>
      </c>
      <c r="B96" s="6" t="s">
        <v>636</v>
      </c>
      <c r="D96" s="299">
        <f>'FA Continuity 2006'!G19</f>
        <v>2423527.02</v>
      </c>
      <c r="E96" s="297"/>
      <c r="F96" s="299">
        <f>'FA Continuity 2007'!G19</f>
        <v>2794141.68</v>
      </c>
      <c r="H96" s="299">
        <f>'FA Continuity 2008'!G19</f>
        <v>3363961.4000000004</v>
      </c>
      <c r="J96" s="299">
        <f>'FA Continuity 2009'!G19</f>
        <v>3569058.2900000005</v>
      </c>
      <c r="L96" s="299">
        <f>'FA Continuity 2010'!G19</f>
        <v>4125340.8163810936</v>
      </c>
      <c r="N96" s="299">
        <f>'FA Continuity 2011'!G19</f>
        <v>4597853.9516839</v>
      </c>
      <c r="Y96" s="232"/>
      <c r="Z96" s="236"/>
    </row>
    <row r="97" spans="1:26" ht="12.75" hidden="1">
      <c r="A97" s="5">
        <v>1845</v>
      </c>
      <c r="B97" s="6" t="s">
        <v>637</v>
      </c>
      <c r="D97" s="299">
        <f>'FA Continuity 2006'!G20</f>
        <v>3308107.6399999997</v>
      </c>
      <c r="E97" s="297"/>
      <c r="F97" s="299">
        <f>'FA Continuity 2007'!G20</f>
        <v>3566380.1599999997</v>
      </c>
      <c r="H97" s="299">
        <f>'FA Continuity 2008'!G20</f>
        <v>4374744.319999999</v>
      </c>
      <c r="J97" s="299">
        <f>'FA Continuity 2009'!G20</f>
        <v>4662011.399999999</v>
      </c>
      <c r="L97" s="299">
        <f>'FA Continuity 2010'!G20</f>
        <v>5019500.822048744</v>
      </c>
      <c r="N97" s="299">
        <f>'FA Continuity 2011'!G20</f>
        <v>5392776.244471196</v>
      </c>
      <c r="Y97" s="232"/>
      <c r="Z97" s="236"/>
    </row>
    <row r="98" spans="1:26" ht="12.75" hidden="1">
      <c r="A98" s="5">
        <v>1850</v>
      </c>
      <c r="B98" s="6" t="s">
        <v>532</v>
      </c>
      <c r="D98" s="299">
        <f>'FA Continuity 2006'!G21</f>
        <v>3873558</v>
      </c>
      <c r="E98" s="297"/>
      <c r="F98" s="299">
        <f>'FA Continuity 2007'!G21</f>
        <v>4492755.17</v>
      </c>
      <c r="H98" s="299">
        <f>'FA Continuity 2008'!G21</f>
        <v>6539152.609999999</v>
      </c>
      <c r="J98" s="299">
        <f>'FA Continuity 2009'!G21</f>
        <v>6776070.499999999</v>
      </c>
      <c r="L98" s="299">
        <f>'FA Continuity 2010'!G21</f>
        <v>7351088.084254061</v>
      </c>
      <c r="N98" s="299">
        <f>'FA Continuity 2011'!G21</f>
        <v>7858815.241122599</v>
      </c>
      <c r="Y98" s="232"/>
      <c r="Z98" s="236"/>
    </row>
    <row r="99" spans="1:26" ht="12.75" hidden="1">
      <c r="A99" s="5">
        <v>1855</v>
      </c>
      <c r="B99" s="6" t="s">
        <v>559</v>
      </c>
      <c r="D99" s="299">
        <f>'FA Continuity 2006'!G22</f>
        <v>1155237.98</v>
      </c>
      <c r="E99" s="297"/>
      <c r="F99" s="299">
        <f>'FA Continuity 2007'!G22</f>
        <v>1502672.49</v>
      </c>
      <c r="H99" s="299">
        <f>'FA Continuity 2008'!G22</f>
        <v>2024039.28</v>
      </c>
      <c r="J99" s="299">
        <f>'FA Continuity 2009'!G22</f>
        <v>2293420.61</v>
      </c>
      <c r="L99" s="299">
        <f>'FA Continuity 2010'!G22</f>
        <v>2616950.914889217</v>
      </c>
      <c r="N99" s="299">
        <f>'FA Continuity 2011'!G22</f>
        <v>2816764.473929099</v>
      </c>
      <c r="Y99" s="232"/>
      <c r="Z99" s="236"/>
    </row>
    <row r="100" spans="1:26" ht="12.75" hidden="1">
      <c r="A100" s="5">
        <v>1860</v>
      </c>
      <c r="B100" s="6" t="s">
        <v>560</v>
      </c>
      <c r="D100" s="299">
        <f>'FA Continuity 2006'!G23</f>
        <v>3598653.0199999996</v>
      </c>
      <c r="E100" s="297"/>
      <c r="F100" s="299">
        <f>'FA Continuity 2007'!G23</f>
        <v>3944948.9299999997</v>
      </c>
      <c r="H100" s="299">
        <f>'FA Continuity 2008'!G23</f>
        <v>3981203.3099999996</v>
      </c>
      <c r="J100" s="299">
        <f>'FA Continuity 2009'!G23</f>
        <v>4280381.859999999</v>
      </c>
      <c r="L100" s="299">
        <f>'FA Continuity 2010'!G23+'FA Continuity 2010'!E58</f>
        <v>4422227.16</v>
      </c>
      <c r="N100" s="299">
        <f>'FA Continuity 2011'!G23</f>
        <v>5933997.42</v>
      </c>
      <c r="Y100" s="232"/>
      <c r="Z100" s="236"/>
    </row>
    <row r="101" spans="1:26" ht="12.75" hidden="1">
      <c r="A101" s="5">
        <v>1865</v>
      </c>
      <c r="B101" s="6" t="s">
        <v>638</v>
      </c>
      <c r="D101" s="299">
        <f>'FA Continuity 2006'!G24</f>
        <v>0</v>
      </c>
      <c r="E101" s="297"/>
      <c r="F101" s="299">
        <f>'FA Continuity 2007'!G24</f>
        <v>0</v>
      </c>
      <c r="H101" s="299">
        <f>'FA Continuity 2008'!G24</f>
        <v>0</v>
      </c>
      <c r="J101" s="299">
        <f>'FA Continuity 2009'!G24</f>
        <v>0</v>
      </c>
      <c r="L101" s="299">
        <f>'FA Continuity 2010'!G24</f>
        <v>0</v>
      </c>
      <c r="N101" s="299">
        <f>'FA Continuity 2011'!G24</f>
        <v>0</v>
      </c>
      <c r="Y101" s="232"/>
      <c r="Z101" s="236"/>
    </row>
    <row r="102" spans="1:26" ht="12.75" hidden="1">
      <c r="A102" s="5">
        <v>1905</v>
      </c>
      <c r="B102" s="6" t="s">
        <v>533</v>
      </c>
      <c r="D102" s="299">
        <f>'FA Continuity 2006'!G25</f>
        <v>17529.54</v>
      </c>
      <c r="E102" s="297"/>
      <c r="F102" s="299">
        <f>'FA Continuity 2007'!G25</f>
        <v>17529.54</v>
      </c>
      <c r="H102" s="299">
        <f>'FA Continuity 2008'!G25</f>
        <v>17529.54</v>
      </c>
      <c r="J102" s="299">
        <f>'FA Continuity 2009'!G25</f>
        <v>17529.54</v>
      </c>
      <c r="L102" s="299">
        <f>'FA Continuity 2010'!G25</f>
        <v>17529.54</v>
      </c>
      <c r="N102" s="299">
        <f>'FA Continuity 2011'!G25</f>
        <v>17529.54</v>
      </c>
      <c r="Y102" s="232"/>
      <c r="Z102" s="236"/>
    </row>
    <row r="103" spans="1:26" ht="12.75" hidden="1">
      <c r="A103" s="5">
        <v>1906</v>
      </c>
      <c r="B103" s="6" t="s">
        <v>534</v>
      </c>
      <c r="D103" s="299">
        <f>'FA Continuity 2006'!G26</f>
        <v>0</v>
      </c>
      <c r="E103" s="297"/>
      <c r="F103" s="299">
        <f>'FA Continuity 2007'!G26</f>
        <v>0</v>
      </c>
      <c r="H103" s="299">
        <f>'FA Continuity 2008'!G26</f>
        <v>0</v>
      </c>
      <c r="J103" s="299">
        <f>'FA Continuity 2009'!G26</f>
        <v>0</v>
      </c>
      <c r="L103" s="299">
        <f>'FA Continuity 2010'!G26</f>
        <v>0</v>
      </c>
      <c r="N103" s="299">
        <f>'FA Continuity 2011'!G26</f>
        <v>0</v>
      </c>
      <c r="Y103" s="232"/>
      <c r="Z103" s="236"/>
    </row>
    <row r="104" spans="1:26" ht="12.75" hidden="1">
      <c r="A104" s="5">
        <v>1908</v>
      </c>
      <c r="B104" s="6" t="s">
        <v>631</v>
      </c>
      <c r="D104" s="299">
        <f>'FA Continuity 2006'!G27</f>
        <v>448482.56</v>
      </c>
      <c r="E104" s="297"/>
      <c r="F104" s="299">
        <f>'FA Continuity 2007'!G27</f>
        <v>501573.28</v>
      </c>
      <c r="H104" s="299">
        <f>'FA Continuity 2008'!G27</f>
        <v>682952.87</v>
      </c>
      <c r="J104" s="299">
        <f>'FA Continuity 2009'!G27</f>
        <v>904723.1</v>
      </c>
      <c r="L104" s="299">
        <f>'FA Continuity 2010'!G27</f>
        <v>983723.1</v>
      </c>
      <c r="N104" s="299">
        <f>'FA Continuity 2011'!G27</f>
        <v>1073723.1</v>
      </c>
      <c r="Y104" s="232"/>
      <c r="Z104" s="236"/>
    </row>
    <row r="105" spans="1:26" ht="12.75" hidden="1">
      <c r="A105" s="5">
        <v>1910</v>
      </c>
      <c r="B105" s="6" t="s">
        <v>531</v>
      </c>
      <c r="D105" s="299">
        <f>'FA Continuity 2006'!G28</f>
        <v>0</v>
      </c>
      <c r="E105" s="297"/>
      <c r="F105" s="299">
        <f>'FA Continuity 2007'!G28</f>
        <v>0</v>
      </c>
      <c r="H105" s="299">
        <f>'FA Continuity 2008'!G28</f>
        <v>0</v>
      </c>
      <c r="J105" s="299">
        <f>'FA Continuity 2009'!G28</f>
        <v>0</v>
      </c>
      <c r="L105" s="299">
        <f>'FA Continuity 2010'!G28</f>
        <v>0</v>
      </c>
      <c r="N105" s="299">
        <f>'FA Continuity 2011'!G28</f>
        <v>0</v>
      </c>
      <c r="Y105" s="232"/>
      <c r="Z105" s="236"/>
    </row>
    <row r="106" spans="1:26" ht="12.75" hidden="1">
      <c r="A106" s="5">
        <v>1915</v>
      </c>
      <c r="B106" s="6" t="s">
        <v>639</v>
      </c>
      <c r="D106" s="299">
        <f>'FA Continuity 2006'!G29</f>
        <v>166115.05</v>
      </c>
      <c r="E106" s="297"/>
      <c r="F106" s="299">
        <f>'FA Continuity 2007'!G29</f>
        <v>175070.24</v>
      </c>
      <c r="H106" s="299">
        <f>'FA Continuity 2008'!G29</f>
        <v>188160.47</v>
      </c>
      <c r="J106" s="299">
        <f>'FA Continuity 2009'!G29</f>
        <v>206391.07</v>
      </c>
      <c r="L106" s="299">
        <f>'FA Continuity 2010'!G29</f>
        <v>240941.27000000002</v>
      </c>
      <c r="N106" s="299">
        <f>'FA Continuity 2011'!G29</f>
        <v>265941.27</v>
      </c>
      <c r="Y106" s="232"/>
      <c r="Z106" s="236"/>
    </row>
    <row r="107" spans="1:26" ht="12.75" hidden="1">
      <c r="A107" s="5">
        <v>1920</v>
      </c>
      <c r="B107" s="6" t="s">
        <v>640</v>
      </c>
      <c r="D107" s="299">
        <f>'FA Continuity 2006'!G30</f>
        <v>689489.6000000001</v>
      </c>
      <c r="E107" s="297"/>
      <c r="F107" s="299">
        <f>'FA Continuity 2007'!G30</f>
        <v>795911.3700000001</v>
      </c>
      <c r="H107" s="299">
        <f>'FA Continuity 2008'!G30</f>
        <v>858509.6800000002</v>
      </c>
      <c r="J107" s="299">
        <f>'FA Continuity 2009'!G30</f>
        <v>1009475.2900000002</v>
      </c>
      <c r="L107" s="299">
        <f>'FA Continuity 2010'!G30+'FA Continuity 2010'!E59</f>
        <v>1149475.29</v>
      </c>
      <c r="N107" s="299">
        <f>'FA Continuity 2011'!G30</f>
        <v>1300172.6400000001</v>
      </c>
      <c r="Y107" s="232"/>
      <c r="Z107" s="236"/>
    </row>
    <row r="108" spans="1:26" ht="12.75" hidden="1">
      <c r="A108" s="5">
        <v>1925</v>
      </c>
      <c r="B108" s="6" t="s">
        <v>525</v>
      </c>
      <c r="D108" s="299">
        <f>'FA Continuity 2006'!G31</f>
        <v>793441.3700000001</v>
      </c>
      <c r="E108" s="297"/>
      <c r="F108" s="299">
        <f>'FA Continuity 2007'!G31</f>
        <v>960813.8300000001</v>
      </c>
      <c r="H108" s="299">
        <f>'FA Continuity 2008'!G31</f>
        <v>1129458.1800000002</v>
      </c>
      <c r="J108" s="299">
        <f>'FA Continuity 2009'!G31</f>
        <v>1219035.6400000001</v>
      </c>
      <c r="L108" s="299">
        <f>'FA Continuity 2010'!G31+'FA Continuity 2010'!E60</f>
        <v>1294867.6400000001</v>
      </c>
      <c r="N108" s="299">
        <f>'FA Continuity 2011'!G31</f>
        <v>1402122.6500000001</v>
      </c>
      <c r="Y108" s="232"/>
      <c r="Z108" s="236"/>
    </row>
    <row r="109" spans="1:26" ht="12.75" hidden="1">
      <c r="A109" s="5">
        <v>1930</v>
      </c>
      <c r="B109" s="6" t="s">
        <v>535</v>
      </c>
      <c r="D109" s="299">
        <f>'FA Continuity 2006'!G32</f>
        <v>1259712.9</v>
      </c>
      <c r="E109" s="297"/>
      <c r="F109" s="299">
        <f>'FA Continuity 2007'!G32</f>
        <v>1301080.27</v>
      </c>
      <c r="H109" s="299">
        <f>'FA Continuity 2008'!G32</f>
        <v>1301080.27</v>
      </c>
      <c r="J109" s="299">
        <f>'FA Continuity 2009'!G32</f>
        <v>1355849.3599999999</v>
      </c>
      <c r="L109" s="299">
        <f>'FA Continuity 2010'!G32</f>
        <v>1355849.3599999999</v>
      </c>
      <c r="N109" s="299">
        <f>'FA Continuity 2011'!G32</f>
        <v>1626887.8099999998</v>
      </c>
      <c r="Y109" s="232"/>
      <c r="Z109" s="236"/>
    </row>
    <row r="110" spans="1:26" ht="12.75" hidden="1">
      <c r="A110" s="5">
        <v>1935</v>
      </c>
      <c r="B110" s="6" t="s">
        <v>536</v>
      </c>
      <c r="D110" s="299">
        <f>'FA Continuity 2006'!G33</f>
        <v>43075.149999999994</v>
      </c>
      <c r="E110" s="297"/>
      <c r="F110" s="299">
        <f>'FA Continuity 2007'!G33</f>
        <v>43075.149999999994</v>
      </c>
      <c r="H110" s="299">
        <f>'FA Continuity 2008'!G33</f>
        <v>43075.149999999994</v>
      </c>
      <c r="J110" s="299">
        <f>'FA Continuity 2009'!G33</f>
        <v>51838.829999999994</v>
      </c>
      <c r="L110" s="299">
        <f>'FA Continuity 2010'!G33</f>
        <v>76838.82999999999</v>
      </c>
      <c r="N110" s="299">
        <f>'FA Continuity 2011'!G33</f>
        <v>116838.82999999999</v>
      </c>
      <c r="Y110" s="232"/>
      <c r="Z110" s="236"/>
    </row>
    <row r="111" spans="1:26" ht="12.75" hidden="1">
      <c r="A111" s="5">
        <v>1940</v>
      </c>
      <c r="B111" s="6" t="s">
        <v>641</v>
      </c>
      <c r="D111" s="299">
        <f>'FA Continuity 2006'!G34</f>
        <v>187594.44000000003</v>
      </c>
      <c r="E111" s="297"/>
      <c r="F111" s="299">
        <f>'FA Continuity 2007'!G34</f>
        <v>197294.59000000003</v>
      </c>
      <c r="H111" s="299">
        <f>'FA Continuity 2008'!G34</f>
        <v>230896.78000000003</v>
      </c>
      <c r="J111" s="299">
        <f>'FA Continuity 2009'!G34</f>
        <v>245235.57000000004</v>
      </c>
      <c r="L111" s="299">
        <f>'FA Continuity 2010'!G34</f>
        <v>270235.57000000007</v>
      </c>
      <c r="N111" s="299">
        <f>'FA Continuity 2011'!G34</f>
        <v>290235.57000000007</v>
      </c>
      <c r="Y111" s="232"/>
      <c r="Z111" s="236"/>
    </row>
    <row r="112" spans="1:26" ht="12.75" hidden="1">
      <c r="A112" s="5">
        <v>1945</v>
      </c>
      <c r="B112" s="6" t="s">
        <v>642</v>
      </c>
      <c r="D112" s="299">
        <f>'FA Continuity 2006'!G35</f>
        <v>75162.71</v>
      </c>
      <c r="E112" s="297"/>
      <c r="F112" s="299">
        <f>'FA Continuity 2007'!G35</f>
        <v>75162.71</v>
      </c>
      <c r="H112" s="299">
        <f>'FA Continuity 2008'!G35</f>
        <v>101085.25</v>
      </c>
      <c r="J112" s="299">
        <f>'FA Continuity 2009'!G35</f>
        <v>111963.01</v>
      </c>
      <c r="L112" s="299">
        <f>'FA Continuity 2010'!G35</f>
        <v>121963.01</v>
      </c>
      <c r="N112" s="299">
        <f>'FA Continuity 2011'!G35</f>
        <v>131963.01</v>
      </c>
      <c r="Y112" s="232"/>
      <c r="Z112" s="236"/>
    </row>
    <row r="113" spans="1:26" ht="12.75" hidden="1">
      <c r="A113" s="5">
        <v>1950</v>
      </c>
      <c r="B113" s="6" t="s">
        <v>643</v>
      </c>
      <c r="D113" s="299">
        <f>'FA Continuity 2006'!G36</f>
        <v>0</v>
      </c>
      <c r="E113" s="297"/>
      <c r="F113" s="299">
        <f>'FA Continuity 2007'!G36</f>
        <v>0</v>
      </c>
      <c r="H113" s="299">
        <f>'FA Continuity 2008'!G36</f>
        <v>0</v>
      </c>
      <c r="J113" s="299">
        <f>'FA Continuity 2009'!G36</f>
        <v>0</v>
      </c>
      <c r="L113" s="299">
        <f>'FA Continuity 2010'!G36</f>
        <v>0</v>
      </c>
      <c r="N113" s="299">
        <f>'FA Continuity 2011'!G36</f>
        <v>0</v>
      </c>
      <c r="Y113" s="232"/>
      <c r="Z113" s="236"/>
    </row>
    <row r="114" spans="1:26" ht="12.75" hidden="1">
      <c r="A114" s="5">
        <v>1955</v>
      </c>
      <c r="B114" s="6" t="s">
        <v>644</v>
      </c>
      <c r="D114" s="299">
        <f>'FA Continuity 2006'!G37</f>
        <v>13102.560000000001</v>
      </c>
      <c r="E114" s="297"/>
      <c r="F114" s="299">
        <f>'FA Continuity 2007'!G37</f>
        <v>13859.640000000001</v>
      </c>
      <c r="H114" s="299">
        <f>'FA Continuity 2008'!G37</f>
        <v>22933.550000000003</v>
      </c>
      <c r="J114" s="299">
        <f>'FA Continuity 2009'!G37</f>
        <v>27869.15</v>
      </c>
      <c r="L114" s="299">
        <f>'FA Continuity 2010'!G37</f>
        <v>29759.15</v>
      </c>
      <c r="N114" s="299">
        <f>'FA Continuity 2011'!G37</f>
        <v>49759.15</v>
      </c>
      <c r="Y114" s="232"/>
      <c r="Z114" s="236"/>
    </row>
    <row r="115" spans="1:26" ht="12.75" hidden="1">
      <c r="A115" s="5">
        <v>1960</v>
      </c>
      <c r="B115" s="6" t="s">
        <v>537</v>
      </c>
      <c r="D115" s="299">
        <f>'FA Continuity 2006'!G38</f>
        <v>485.09</v>
      </c>
      <c r="E115" s="297"/>
      <c r="F115" s="299">
        <f>'FA Continuity 2007'!G38</f>
        <v>485.09</v>
      </c>
      <c r="H115" s="299">
        <f>'FA Continuity 2008'!G38</f>
        <v>485.09</v>
      </c>
      <c r="J115" s="299">
        <f>'FA Continuity 2009'!G38</f>
        <v>485.09</v>
      </c>
      <c r="L115" s="299">
        <f>'FA Continuity 2010'!G38</f>
        <v>1905.09</v>
      </c>
      <c r="N115" s="299">
        <f>'FA Continuity 2011'!G38</f>
        <v>1905.09</v>
      </c>
      <c r="Y115" s="232"/>
      <c r="Z115" s="236"/>
    </row>
    <row r="116" spans="1:26" ht="12.75" hidden="1">
      <c r="A116" s="5">
        <v>1970</v>
      </c>
      <c r="B116" s="6" t="s">
        <v>645</v>
      </c>
      <c r="D116" s="299">
        <f>'FA Continuity 2006'!G39</f>
        <v>0</v>
      </c>
      <c r="E116" s="297"/>
      <c r="F116" s="299">
        <f>'FA Continuity 2007'!G39</f>
        <v>0</v>
      </c>
      <c r="H116" s="299">
        <f>'FA Continuity 2008'!G39</f>
        <v>0</v>
      </c>
      <c r="J116" s="299">
        <f>'FA Continuity 2009'!G39</f>
        <v>0</v>
      </c>
      <c r="L116" s="299">
        <f>'FA Continuity 2010'!G39</f>
        <v>0</v>
      </c>
      <c r="N116" s="299">
        <f>'FA Continuity 2011'!G39</f>
        <v>0</v>
      </c>
      <c r="Y116" s="232"/>
      <c r="Z116" s="236"/>
    </row>
    <row r="117" spans="1:26" ht="12.75" hidden="1">
      <c r="A117" s="5">
        <v>1975</v>
      </c>
      <c r="B117" s="6" t="s">
        <v>646</v>
      </c>
      <c r="D117" s="299">
        <f>'FA Continuity 2006'!G40</f>
        <v>0</v>
      </c>
      <c r="E117" s="297"/>
      <c r="F117" s="299">
        <f>'FA Continuity 2007'!G40</f>
        <v>0</v>
      </c>
      <c r="H117" s="299">
        <f>'FA Continuity 2008'!G40</f>
        <v>0</v>
      </c>
      <c r="J117" s="299">
        <f>'FA Continuity 2009'!G40</f>
        <v>0</v>
      </c>
      <c r="L117" s="299">
        <f>'FA Continuity 2010'!G40</f>
        <v>0</v>
      </c>
      <c r="N117" s="299">
        <f>'FA Continuity 2011'!G40</f>
        <v>0</v>
      </c>
      <c r="Y117" s="232"/>
      <c r="Z117" s="236"/>
    </row>
    <row r="118" spans="1:26" ht="12.75" hidden="1">
      <c r="A118" s="5">
        <v>1980</v>
      </c>
      <c r="B118" s="6" t="s">
        <v>538</v>
      </c>
      <c r="D118" s="299">
        <f>'FA Continuity 2006'!G41</f>
        <v>169335.24</v>
      </c>
      <c r="E118" s="297"/>
      <c r="F118" s="299">
        <f>'FA Continuity 2007'!G41</f>
        <v>261235.37</v>
      </c>
      <c r="H118" s="299">
        <f>'FA Continuity 2008'!G41</f>
        <v>261877.29</v>
      </c>
      <c r="J118" s="299">
        <f>'FA Continuity 2009'!G41</f>
        <v>336972.6</v>
      </c>
      <c r="L118" s="299">
        <f>'FA Continuity 2010'!G41</f>
        <v>336972.6</v>
      </c>
      <c r="N118" s="299">
        <f>'FA Continuity 2011'!G41</f>
        <v>356972.6</v>
      </c>
      <c r="Y118" s="232"/>
      <c r="Z118" s="236"/>
    </row>
    <row r="119" spans="1:26" ht="12.75" hidden="1">
      <c r="A119" s="5">
        <v>1985</v>
      </c>
      <c r="B119" s="6" t="s">
        <v>647</v>
      </c>
      <c r="D119" s="299">
        <f>'FA Continuity 2006'!G42</f>
        <v>0</v>
      </c>
      <c r="E119" s="297"/>
      <c r="F119" s="299">
        <f>'FA Continuity 2007'!G42</f>
        <v>0</v>
      </c>
      <c r="H119" s="299">
        <f>'FA Continuity 2008'!G42</f>
        <v>0</v>
      </c>
      <c r="J119" s="299">
        <f>'FA Continuity 2009'!G42</f>
        <v>0</v>
      </c>
      <c r="L119" s="299">
        <f>'FA Continuity 2010'!G42</f>
        <v>0</v>
      </c>
      <c r="N119" s="299">
        <f>'FA Continuity 2011'!G42</f>
        <v>0</v>
      </c>
      <c r="Y119" s="232"/>
      <c r="Z119" s="236"/>
    </row>
    <row r="120" spans="1:26" ht="12.75" hidden="1">
      <c r="A120" s="5">
        <v>1990</v>
      </c>
      <c r="B120" s="6" t="s">
        <v>648</v>
      </c>
      <c r="D120" s="299">
        <f>'FA Continuity 2006'!G43</f>
        <v>0</v>
      </c>
      <c r="E120" s="297"/>
      <c r="F120" s="299">
        <f>'FA Continuity 2007'!G43</f>
        <v>0</v>
      </c>
      <c r="H120" s="299">
        <f>'FA Continuity 2008'!G43</f>
        <v>0</v>
      </c>
      <c r="J120" s="299">
        <f>'FA Continuity 2009'!G43</f>
        <v>0</v>
      </c>
      <c r="L120" s="299">
        <f>'FA Continuity 2010'!G43</f>
        <v>0</v>
      </c>
      <c r="N120" s="299">
        <f>'FA Continuity 2011'!G43</f>
        <v>0</v>
      </c>
      <c r="Y120" s="232"/>
      <c r="Z120" s="236"/>
    </row>
    <row r="121" spans="1:26" s="372" customFormat="1" ht="12.75" hidden="1">
      <c r="A121" s="5">
        <v>1995</v>
      </c>
      <c r="B121" s="6" t="s">
        <v>649</v>
      </c>
      <c r="C121" s="3"/>
      <c r="D121" s="299">
        <f>'FA Continuity 2006'!G44</f>
        <v>-1375073.97</v>
      </c>
      <c r="E121" s="297"/>
      <c r="F121" s="299">
        <f>'FA Continuity 2007'!G44</f>
        <v>-1678509.5699999998</v>
      </c>
      <c r="G121" s="292"/>
      <c r="H121" s="299">
        <f>'FA Continuity 2008'!G44</f>
        <v>-3171548.41</v>
      </c>
      <c r="I121" s="292"/>
      <c r="J121" s="299">
        <f>'FA Continuity 2009'!G44</f>
        <v>-3412744.72</v>
      </c>
      <c r="K121" s="292"/>
      <c r="L121" s="299">
        <f>'FA Continuity 2010'!G44</f>
        <v>-3848275.591196455</v>
      </c>
      <c r="M121" s="290"/>
      <c r="N121" s="299">
        <f>'FA Continuity 2011'!G44</f>
        <v>-4291188.341565731</v>
      </c>
      <c r="Y121" s="232"/>
      <c r="Z121" s="236"/>
    </row>
    <row r="122" spans="1:26" ht="12.75" hidden="1">
      <c r="A122" s="5">
        <v>1996</v>
      </c>
      <c r="B122" s="6" t="s">
        <v>897</v>
      </c>
      <c r="D122" s="299">
        <f>'FA Continuity 2006'!G45</f>
        <v>0</v>
      </c>
      <c r="E122" s="297"/>
      <c r="F122" s="299">
        <f>'FA Continuity 2007'!G45</f>
        <v>0</v>
      </c>
      <c r="H122" s="299">
        <f>'FA Continuity 2008'!G45</f>
        <v>0</v>
      </c>
      <c r="J122" s="299">
        <f>'FA Continuity 2009'!G45</f>
        <v>0</v>
      </c>
      <c r="L122" s="299">
        <f>'FA Continuity 2010'!G45</f>
        <v>2500000</v>
      </c>
      <c r="N122" s="299">
        <f>'FA Continuity 2011'!G45</f>
        <v>4100000</v>
      </c>
      <c r="Y122" s="232"/>
      <c r="Z122" s="236"/>
    </row>
    <row r="123" spans="2:26" ht="12.75" hidden="1">
      <c r="B123" s="237" t="s">
        <v>112</v>
      </c>
      <c r="D123" s="297"/>
      <c r="E123" s="297"/>
      <c r="F123" s="297"/>
      <c r="Y123" s="232"/>
      <c r="Z123" s="236"/>
    </row>
    <row r="124" spans="1:26" ht="12.75" hidden="1">
      <c r="A124" s="5">
        <v>2005</v>
      </c>
      <c r="B124" s="6" t="s">
        <v>650</v>
      </c>
      <c r="D124" s="296">
        <f>'FA Continuity 2006'!G46</f>
        <v>0</v>
      </c>
      <c r="E124" s="297"/>
      <c r="F124" s="296">
        <v>0</v>
      </c>
      <c r="H124" s="296">
        <v>0</v>
      </c>
      <c r="J124" s="296">
        <v>0</v>
      </c>
      <c r="L124" s="365">
        <v>0</v>
      </c>
      <c r="N124" s="365">
        <v>0</v>
      </c>
      <c r="Y124" s="232"/>
      <c r="Z124" s="236"/>
    </row>
    <row r="125" spans="1:26" ht="12.75" hidden="1">
      <c r="A125" s="5">
        <v>2010</v>
      </c>
      <c r="B125" s="6" t="s">
        <v>651</v>
      </c>
      <c r="D125" s="296">
        <f>F125</f>
        <v>0</v>
      </c>
      <c r="E125" s="297"/>
      <c r="F125" s="296">
        <v>0</v>
      </c>
      <c r="H125" s="296">
        <v>0</v>
      </c>
      <c r="J125" s="296">
        <v>0</v>
      </c>
      <c r="L125" s="365">
        <v>0</v>
      </c>
      <c r="N125" s="365">
        <v>0</v>
      </c>
      <c r="Y125" s="232"/>
      <c r="Z125" s="236"/>
    </row>
    <row r="126" spans="1:26" ht="12.75" hidden="1">
      <c r="A126" s="5">
        <v>2020</v>
      </c>
      <c r="B126" s="6" t="s">
        <v>652</v>
      </c>
      <c r="D126" s="296">
        <f>F126</f>
        <v>0</v>
      </c>
      <c r="E126" s="297"/>
      <c r="F126" s="296">
        <v>0</v>
      </c>
      <c r="H126" s="296">
        <v>0</v>
      </c>
      <c r="J126" s="296">
        <v>0</v>
      </c>
      <c r="L126" s="365">
        <v>0</v>
      </c>
      <c r="N126" s="365">
        <v>0</v>
      </c>
      <c r="Y126" s="232"/>
      <c r="Z126" s="236"/>
    </row>
    <row r="127" spans="1:26" ht="12.75" hidden="1">
      <c r="A127" s="5">
        <v>2030</v>
      </c>
      <c r="B127" s="6" t="s">
        <v>653</v>
      </c>
      <c r="D127" s="296">
        <f aca="true" t="shared" si="0" ref="D127:D134">F127</f>
        <v>0</v>
      </c>
      <c r="E127" s="297"/>
      <c r="F127" s="296">
        <v>0</v>
      </c>
      <c r="H127" s="296">
        <v>0</v>
      </c>
      <c r="J127" s="296">
        <v>0</v>
      </c>
      <c r="L127" s="365">
        <v>0</v>
      </c>
      <c r="N127" s="365">
        <v>0</v>
      </c>
      <c r="Y127" s="232"/>
      <c r="Z127" s="236"/>
    </row>
    <row r="128" spans="1:26" ht="12.75" hidden="1">
      <c r="A128" s="5">
        <v>2040</v>
      </c>
      <c r="B128" s="6" t="s">
        <v>654</v>
      </c>
      <c r="D128" s="296">
        <f t="shared" si="0"/>
        <v>0</v>
      </c>
      <c r="E128" s="297"/>
      <c r="F128" s="296">
        <v>0</v>
      </c>
      <c r="H128" s="296">
        <v>0</v>
      </c>
      <c r="J128" s="296">
        <v>0</v>
      </c>
      <c r="L128" s="365">
        <v>0</v>
      </c>
      <c r="N128" s="365">
        <v>0</v>
      </c>
      <c r="Y128" s="232"/>
      <c r="Z128" s="236"/>
    </row>
    <row r="129" spans="1:26" ht="12.75" hidden="1">
      <c r="A129" s="5">
        <v>2050</v>
      </c>
      <c r="B129" s="6" t="s">
        <v>655</v>
      </c>
      <c r="D129" s="296">
        <f t="shared" si="0"/>
        <v>0</v>
      </c>
      <c r="E129" s="297"/>
      <c r="F129" s="296">
        <v>0</v>
      </c>
      <c r="H129" s="296">
        <v>0</v>
      </c>
      <c r="J129" s="296">
        <v>0</v>
      </c>
      <c r="L129" s="365">
        <v>0</v>
      </c>
      <c r="N129" s="365">
        <v>0</v>
      </c>
      <c r="Y129" s="232"/>
      <c r="Z129" s="236"/>
    </row>
    <row r="130" spans="1:26" ht="12.75" hidden="1">
      <c r="A130" s="5">
        <v>2055</v>
      </c>
      <c r="B130" s="6" t="s">
        <v>656</v>
      </c>
      <c r="D130" s="299">
        <f>'FA Continuity 2006'!G49</f>
        <v>0</v>
      </c>
      <c r="E130" s="297"/>
      <c r="F130" s="299">
        <f>'FA Continuity 2007'!G49</f>
        <v>0</v>
      </c>
      <c r="H130" s="299">
        <f>'FA Continuity 2008'!G49</f>
        <v>0</v>
      </c>
      <c r="J130" s="299">
        <f>'FA Continuity 2009'!G49</f>
        <v>87708.07</v>
      </c>
      <c r="L130" s="299">
        <f>'FA Continuity 2010'!G49</f>
        <v>0.07000000000698492</v>
      </c>
      <c r="N130" s="299">
        <f>'FA Continuity 2011'!G49</f>
        <v>0.07000000000698492</v>
      </c>
      <c r="Y130" s="232"/>
      <c r="Z130" s="236"/>
    </row>
    <row r="131" spans="1:26" ht="12.75" hidden="1">
      <c r="A131" s="5">
        <v>2060</v>
      </c>
      <c r="B131" s="6" t="s">
        <v>657</v>
      </c>
      <c r="D131" s="296">
        <f t="shared" si="0"/>
        <v>0</v>
      </c>
      <c r="E131" s="297"/>
      <c r="F131" s="296">
        <v>0</v>
      </c>
      <c r="H131" s="296">
        <v>0</v>
      </c>
      <c r="J131" s="296">
        <v>0</v>
      </c>
      <c r="L131" s="365">
        <v>0</v>
      </c>
      <c r="N131" s="365">
        <v>0</v>
      </c>
      <c r="Y131" s="232"/>
      <c r="Z131" s="236"/>
    </row>
    <row r="132" spans="1:26" ht="12.75" hidden="1">
      <c r="A132" s="5">
        <v>2065</v>
      </c>
      <c r="B132" s="6" t="s">
        <v>658</v>
      </c>
      <c r="D132" s="296">
        <f t="shared" si="0"/>
        <v>0</v>
      </c>
      <c r="E132" s="297"/>
      <c r="F132" s="296">
        <v>0</v>
      </c>
      <c r="H132" s="296">
        <v>0</v>
      </c>
      <c r="J132" s="296">
        <v>0</v>
      </c>
      <c r="L132" s="365">
        <v>0</v>
      </c>
      <c r="N132" s="365">
        <v>0</v>
      </c>
      <c r="Y132" s="232"/>
      <c r="Z132" s="236"/>
    </row>
    <row r="133" spans="1:26" ht="12.75" hidden="1">
      <c r="A133" s="5">
        <v>2070</v>
      </c>
      <c r="B133" s="6" t="s">
        <v>659</v>
      </c>
      <c r="D133" s="296">
        <f t="shared" si="0"/>
        <v>0</v>
      </c>
      <c r="E133" s="297"/>
      <c r="F133" s="296">
        <v>0</v>
      </c>
      <c r="H133" s="296">
        <v>0</v>
      </c>
      <c r="J133" s="296">
        <v>0</v>
      </c>
      <c r="L133" s="365">
        <v>0</v>
      </c>
      <c r="N133" s="365">
        <v>0</v>
      </c>
      <c r="Y133" s="232"/>
      <c r="Z133" s="236"/>
    </row>
    <row r="134" spans="1:26" ht="12.75" hidden="1">
      <c r="A134" s="5">
        <v>2075</v>
      </c>
      <c r="B134" s="6" t="s">
        <v>660</v>
      </c>
      <c r="D134" s="296">
        <f t="shared" si="0"/>
        <v>0</v>
      </c>
      <c r="E134" s="297"/>
      <c r="F134" s="296">
        <v>0</v>
      </c>
      <c r="H134" s="296">
        <v>0</v>
      </c>
      <c r="J134" s="296">
        <v>0</v>
      </c>
      <c r="L134" s="365">
        <v>0</v>
      </c>
      <c r="N134" s="365">
        <v>0</v>
      </c>
      <c r="X134" s="234"/>
      <c r="Y134" s="232"/>
      <c r="Z134" s="236"/>
    </row>
    <row r="135" spans="2:26" ht="12.75" hidden="1">
      <c r="B135" s="237" t="s">
        <v>113</v>
      </c>
      <c r="D135" s="290"/>
      <c r="E135" s="297"/>
      <c r="F135" s="290"/>
      <c r="Y135" s="232"/>
      <c r="Z135" s="236"/>
    </row>
    <row r="136" spans="1:26" ht="12.75" hidden="1">
      <c r="A136" s="5">
        <v>2105</v>
      </c>
      <c r="B136" s="6" t="s">
        <v>661</v>
      </c>
      <c r="D136" s="299">
        <f>-'FA Continuity 2006'!L50</f>
        <v>-9562401.360000001</v>
      </c>
      <c r="E136" s="297"/>
      <c r="F136" s="299">
        <f>-'FA Continuity 2007'!L50</f>
        <v>-11350524.95</v>
      </c>
      <c r="H136" s="299">
        <f>-'FA Continuity 2008'!L50</f>
        <v>-13264769.549999999</v>
      </c>
      <c r="J136" s="299">
        <f>-'FA Continuity 2009'!L50</f>
        <v>-15210512.940000003</v>
      </c>
      <c r="L136" s="299">
        <f>-'FA Continuity 2010'!L50</f>
        <v>-17169244.985076074</v>
      </c>
      <c r="N136" s="299">
        <f>-'FA Continuity 2011'!L50</f>
        <v>-19146375.35438749</v>
      </c>
      <c r="O136" s="290"/>
      <c r="Y136" s="232"/>
      <c r="Z136" s="236"/>
    </row>
    <row r="137" spans="1:26" ht="12.75" hidden="1">
      <c r="A137" s="5">
        <v>2120</v>
      </c>
      <c r="B137" s="6" t="s">
        <v>662</v>
      </c>
      <c r="D137" s="296">
        <f>F137</f>
        <v>0</v>
      </c>
      <c r="E137" s="297"/>
      <c r="F137" s="296">
        <v>0</v>
      </c>
      <c r="H137" s="296">
        <v>0</v>
      </c>
      <c r="J137" s="296">
        <v>0</v>
      </c>
      <c r="L137" s="365">
        <v>0</v>
      </c>
      <c r="N137" s="365">
        <v>0</v>
      </c>
      <c r="Y137" s="232"/>
      <c r="Z137" s="236"/>
    </row>
    <row r="138" spans="1:26" ht="12.75" hidden="1">
      <c r="A138" s="5">
        <v>2140</v>
      </c>
      <c r="B138" s="6" t="s">
        <v>663</v>
      </c>
      <c r="D138" s="296">
        <f>F138</f>
        <v>0</v>
      </c>
      <c r="E138" s="297"/>
      <c r="F138" s="296">
        <v>0</v>
      </c>
      <c r="H138" s="296">
        <v>0</v>
      </c>
      <c r="J138" s="296">
        <v>0</v>
      </c>
      <c r="L138" s="365">
        <v>0</v>
      </c>
      <c r="N138" s="365">
        <v>0</v>
      </c>
      <c r="Y138" s="232"/>
      <c r="Z138" s="236"/>
    </row>
    <row r="139" spans="1:26" ht="12.75" hidden="1">
      <c r="A139" s="5">
        <v>2160</v>
      </c>
      <c r="B139" s="6" t="s">
        <v>664</v>
      </c>
      <c r="D139" s="296">
        <f>F139</f>
        <v>0</v>
      </c>
      <c r="E139" s="297"/>
      <c r="F139" s="296">
        <v>0</v>
      </c>
      <c r="H139" s="296">
        <v>0</v>
      </c>
      <c r="J139" s="296">
        <v>0</v>
      </c>
      <c r="L139" s="365">
        <v>0</v>
      </c>
      <c r="N139" s="365">
        <v>0</v>
      </c>
      <c r="X139" s="235"/>
      <c r="Y139" s="232"/>
      <c r="Z139" s="236"/>
    </row>
    <row r="140" spans="1:26" ht="12.75" hidden="1">
      <c r="A140" s="5">
        <v>2180</v>
      </c>
      <c r="B140" s="6" t="s">
        <v>665</v>
      </c>
      <c r="D140" s="296">
        <f>F140</f>
        <v>0</v>
      </c>
      <c r="E140" s="297"/>
      <c r="F140" s="296">
        <v>0</v>
      </c>
      <c r="H140" s="296">
        <v>0</v>
      </c>
      <c r="J140" s="296">
        <v>0</v>
      </c>
      <c r="L140" s="365">
        <v>0</v>
      </c>
      <c r="N140" s="365">
        <v>0</v>
      </c>
      <c r="X140" s="235"/>
      <c r="Y140" s="232"/>
      <c r="Z140" s="236"/>
    </row>
    <row r="141" spans="2:26" ht="12.75" hidden="1">
      <c r="B141" s="237" t="s">
        <v>114</v>
      </c>
      <c r="D141" s="297"/>
      <c r="E141" s="297"/>
      <c r="F141" s="297"/>
      <c r="H141" s="297"/>
      <c r="J141" s="297"/>
      <c r="L141" s="297"/>
      <c r="N141" s="297"/>
      <c r="X141" s="235"/>
      <c r="Y141" s="232"/>
      <c r="Z141" s="236"/>
    </row>
    <row r="142" spans="1:26" ht="12.75" hidden="1">
      <c r="A142" s="5">
        <v>2205</v>
      </c>
      <c r="B142" s="6" t="s">
        <v>666</v>
      </c>
      <c r="D142" s="296">
        <v>-976987.19</v>
      </c>
      <c r="E142" s="297"/>
      <c r="F142" s="296">
        <v>-1040602.19</v>
      </c>
      <c r="H142" s="296">
        <v>-1234365.57</v>
      </c>
      <c r="J142" s="296">
        <v>-1761549.5599999991</v>
      </c>
      <c r="L142" s="365">
        <v>-1761549.5599999991</v>
      </c>
      <c r="N142" s="365">
        <v>-1761549.5599999991</v>
      </c>
      <c r="X142" s="235"/>
      <c r="Y142" s="232"/>
      <c r="Z142" s="236"/>
    </row>
    <row r="143" spans="1:26" ht="12.75" hidden="1">
      <c r="A143" s="5">
        <v>2208</v>
      </c>
      <c r="B143" s="6" t="s">
        <v>667</v>
      </c>
      <c r="D143" s="296">
        <v>0</v>
      </c>
      <c r="E143" s="297"/>
      <c r="F143" s="296">
        <v>0</v>
      </c>
      <c r="H143" s="296">
        <v>128.42</v>
      </c>
      <c r="J143" s="296">
        <v>0</v>
      </c>
      <c r="L143" s="365">
        <v>0</v>
      </c>
      <c r="N143" s="365">
        <v>0</v>
      </c>
      <c r="X143" s="235"/>
      <c r="Y143" s="232"/>
      <c r="Z143" s="236"/>
    </row>
    <row r="144" spans="1:26" ht="12.75" hidden="1">
      <c r="A144" s="5">
        <v>2210</v>
      </c>
      <c r="B144" s="6" t="s">
        <v>668</v>
      </c>
      <c r="D144" s="296">
        <v>-2158.54</v>
      </c>
      <c r="E144" s="297"/>
      <c r="F144" s="296">
        <v>-261739.12</v>
      </c>
      <c r="H144" s="296">
        <v>-311746.95</v>
      </c>
      <c r="J144" s="296">
        <v>-316459.2800000001</v>
      </c>
      <c r="L144" s="365">
        <v>-316459.2800000001</v>
      </c>
      <c r="N144" s="365">
        <v>-316459.2800000001</v>
      </c>
      <c r="X144" s="235"/>
      <c r="Y144" s="232"/>
      <c r="Z144" s="236"/>
    </row>
    <row r="145" spans="1:26" ht="12.75" hidden="1">
      <c r="A145" s="5">
        <v>2215</v>
      </c>
      <c r="B145" s="6" t="s">
        <v>669</v>
      </c>
      <c r="D145" s="296">
        <v>0</v>
      </c>
      <c r="E145" s="297"/>
      <c r="F145" s="296">
        <v>0</v>
      </c>
      <c r="H145" s="296">
        <v>0</v>
      </c>
      <c r="J145" s="296">
        <v>0</v>
      </c>
      <c r="L145" s="365">
        <v>0</v>
      </c>
      <c r="N145" s="365">
        <v>0</v>
      </c>
      <c r="X145" s="235"/>
      <c r="Y145" s="232"/>
      <c r="Z145" s="236"/>
    </row>
    <row r="146" spans="1:26" ht="12.75" hidden="1">
      <c r="A146" s="5">
        <v>2220</v>
      </c>
      <c r="B146" s="6" t="s">
        <v>670</v>
      </c>
      <c r="D146" s="296">
        <v>-461871.59</v>
      </c>
      <c r="E146" s="297"/>
      <c r="F146" s="296">
        <v>-296607.22</v>
      </c>
      <c r="H146" s="296">
        <v>-1191216.88</v>
      </c>
      <c r="J146" s="296">
        <v>-1217623.0300000003</v>
      </c>
      <c r="L146" s="365">
        <v>-1217623.0300000003</v>
      </c>
      <c r="N146" s="365">
        <v>-1217623.0300000003</v>
      </c>
      <c r="X146" s="235"/>
      <c r="Y146" s="232"/>
      <c r="Z146" s="236"/>
    </row>
    <row r="147" spans="1:26" ht="12.75" hidden="1">
      <c r="A147" s="5">
        <v>2225</v>
      </c>
      <c r="B147" s="6" t="s">
        <v>671</v>
      </c>
      <c r="D147" s="296">
        <v>0</v>
      </c>
      <c r="E147" s="297"/>
      <c r="F147" s="296">
        <v>0</v>
      </c>
      <c r="H147" s="296">
        <v>0</v>
      </c>
      <c r="J147" s="296">
        <v>0</v>
      </c>
      <c r="L147" s="365">
        <v>0</v>
      </c>
      <c r="N147" s="365">
        <v>0</v>
      </c>
      <c r="X147" s="235"/>
      <c r="Y147" s="232"/>
      <c r="Z147" s="236"/>
    </row>
    <row r="148" spans="1:26" ht="12.75" hidden="1">
      <c r="A148" s="5">
        <v>2240</v>
      </c>
      <c r="B148" s="6" t="s">
        <v>672</v>
      </c>
      <c r="D148" s="296">
        <v>-9300.28</v>
      </c>
      <c r="E148" s="297"/>
      <c r="F148" s="296">
        <v>0</v>
      </c>
      <c r="H148" s="296">
        <v>0</v>
      </c>
      <c r="J148" s="296">
        <v>0</v>
      </c>
      <c r="L148" s="365">
        <v>0</v>
      </c>
      <c r="N148" s="365">
        <v>0</v>
      </c>
      <c r="X148" s="235"/>
      <c r="Y148" s="232"/>
      <c r="Z148" s="236"/>
    </row>
    <row r="149" spans="1:26" ht="12.75" hidden="1">
      <c r="A149" s="5">
        <v>2242</v>
      </c>
      <c r="B149" s="6" t="s">
        <v>673</v>
      </c>
      <c r="D149" s="296">
        <v>0</v>
      </c>
      <c r="E149" s="297"/>
      <c r="F149" s="296">
        <v>0</v>
      </c>
      <c r="H149" s="296">
        <v>0</v>
      </c>
      <c r="J149" s="296">
        <v>0</v>
      </c>
      <c r="L149" s="365">
        <v>0</v>
      </c>
      <c r="N149" s="365">
        <v>0</v>
      </c>
      <c r="X149" s="235"/>
      <c r="Y149" s="232"/>
      <c r="Z149" s="236"/>
    </row>
    <row r="150" spans="1:26" ht="12.75" hidden="1">
      <c r="A150" s="5">
        <v>2250</v>
      </c>
      <c r="B150" s="6" t="s">
        <v>840</v>
      </c>
      <c r="D150" s="296">
        <v>-223604.44</v>
      </c>
      <c r="E150" s="297"/>
      <c r="F150" s="296">
        <v>-224604.94</v>
      </c>
      <c r="H150" s="296">
        <v>-208364.03</v>
      </c>
      <c r="J150" s="296">
        <v>-13295.339999999851</v>
      </c>
      <c r="L150" s="365">
        <v>-13295.339999999851</v>
      </c>
      <c r="N150" s="365">
        <v>-13295.339999999851</v>
      </c>
      <c r="X150" s="235"/>
      <c r="Y150" s="232"/>
      <c r="Z150" s="236"/>
    </row>
    <row r="151" spans="1:26" ht="12.75" hidden="1">
      <c r="A151" s="5">
        <v>2252</v>
      </c>
      <c r="B151" s="6" t="s">
        <v>674</v>
      </c>
      <c r="D151" s="296">
        <v>0</v>
      </c>
      <c r="E151" s="297"/>
      <c r="F151" s="296">
        <v>0</v>
      </c>
      <c r="H151" s="296">
        <v>0</v>
      </c>
      <c r="J151" s="296">
        <v>0</v>
      </c>
      <c r="L151" s="365">
        <v>0</v>
      </c>
      <c r="N151" s="365">
        <v>0</v>
      </c>
      <c r="X151" s="235"/>
      <c r="Y151" s="232"/>
      <c r="Z151" s="236"/>
    </row>
    <row r="152" spans="1:26" ht="12.75" hidden="1">
      <c r="A152" s="5">
        <v>2254</v>
      </c>
      <c r="B152" s="6" t="s">
        <v>675</v>
      </c>
      <c r="D152" s="296">
        <v>0</v>
      </c>
      <c r="E152" s="297"/>
      <c r="F152" s="296">
        <v>0</v>
      </c>
      <c r="H152" s="296">
        <v>0</v>
      </c>
      <c r="J152" s="296">
        <v>0</v>
      </c>
      <c r="L152" s="365">
        <v>0</v>
      </c>
      <c r="N152" s="365">
        <v>0</v>
      </c>
      <c r="X152" s="235"/>
      <c r="Y152" s="232"/>
      <c r="Z152" s="236"/>
    </row>
    <row r="153" spans="1:26" ht="12.75" hidden="1">
      <c r="A153" s="5">
        <v>2256</v>
      </c>
      <c r="B153" s="6" t="s">
        <v>676</v>
      </c>
      <c r="D153" s="296">
        <v>-2616703.47</v>
      </c>
      <c r="E153" s="297"/>
      <c r="F153" s="296">
        <v>-2480176.21</v>
      </c>
      <c r="H153" s="296">
        <v>-2694232.35</v>
      </c>
      <c r="J153" s="296">
        <v>-2762516.6400000006</v>
      </c>
      <c r="L153" s="365">
        <v>-2762516.6400000006</v>
      </c>
      <c r="N153" s="365">
        <v>-2762516.6400000006</v>
      </c>
      <c r="X153" s="235"/>
      <c r="Y153" s="232"/>
      <c r="Z153" s="236"/>
    </row>
    <row r="154" spans="1:26" ht="12.75" hidden="1">
      <c r="A154" s="5">
        <v>2260</v>
      </c>
      <c r="B154" s="6" t="s">
        <v>677</v>
      </c>
      <c r="D154" s="296">
        <f aca="true" t="shared" si="1" ref="D154:D160">F154</f>
        <v>0</v>
      </c>
      <c r="E154" s="297"/>
      <c r="F154" s="296">
        <v>0</v>
      </c>
      <c r="H154" s="296">
        <v>0</v>
      </c>
      <c r="J154" s="296">
        <v>0</v>
      </c>
      <c r="L154" s="365">
        <v>0</v>
      </c>
      <c r="N154" s="365">
        <v>0</v>
      </c>
      <c r="X154" s="235"/>
      <c r="Y154" s="232"/>
      <c r="Z154" s="236"/>
    </row>
    <row r="155" spans="1:26" ht="12.75" hidden="1">
      <c r="A155" s="5">
        <v>2262</v>
      </c>
      <c r="B155" s="6" t="s">
        <v>678</v>
      </c>
      <c r="D155" s="296">
        <f t="shared" si="1"/>
        <v>0</v>
      </c>
      <c r="E155" s="297"/>
      <c r="F155" s="296">
        <v>0</v>
      </c>
      <c r="H155" s="296">
        <v>0</v>
      </c>
      <c r="J155" s="296">
        <v>0</v>
      </c>
      <c r="L155" s="365">
        <v>0</v>
      </c>
      <c r="N155" s="365">
        <v>0</v>
      </c>
      <c r="X155" s="235"/>
      <c r="Y155" s="232"/>
      <c r="Z155" s="236"/>
    </row>
    <row r="156" spans="1:26" ht="12.75" hidden="1">
      <c r="A156" s="5">
        <v>2264</v>
      </c>
      <c r="B156" s="6" t="s">
        <v>679</v>
      </c>
      <c r="D156" s="296">
        <f t="shared" si="1"/>
        <v>0</v>
      </c>
      <c r="E156" s="297"/>
      <c r="F156" s="296">
        <v>0</v>
      </c>
      <c r="H156" s="296">
        <v>0</v>
      </c>
      <c r="J156" s="296">
        <v>0</v>
      </c>
      <c r="L156" s="365">
        <v>0</v>
      </c>
      <c r="N156" s="365">
        <v>0</v>
      </c>
      <c r="X156" s="235"/>
      <c r="Y156" s="232"/>
      <c r="Z156" s="236"/>
    </row>
    <row r="157" spans="1:26" ht="12.75" hidden="1">
      <c r="A157" s="5">
        <v>2268</v>
      </c>
      <c r="B157" s="6" t="s">
        <v>680</v>
      </c>
      <c r="D157" s="296">
        <f t="shared" si="1"/>
        <v>0</v>
      </c>
      <c r="E157" s="297"/>
      <c r="F157" s="296">
        <v>0</v>
      </c>
      <c r="H157" s="296">
        <v>0</v>
      </c>
      <c r="J157" s="296">
        <v>0</v>
      </c>
      <c r="L157" s="365">
        <v>0</v>
      </c>
      <c r="N157" s="365">
        <v>0</v>
      </c>
      <c r="X157" s="235"/>
      <c r="Y157" s="232"/>
      <c r="Z157" s="236"/>
    </row>
    <row r="158" spans="1:26" ht="12.75" hidden="1">
      <c r="A158" s="5">
        <v>2270</v>
      </c>
      <c r="B158" s="6" t="s">
        <v>681</v>
      </c>
      <c r="D158" s="296">
        <f t="shared" si="1"/>
        <v>0</v>
      </c>
      <c r="E158" s="297"/>
      <c r="F158" s="296">
        <v>0</v>
      </c>
      <c r="H158" s="296">
        <v>0</v>
      </c>
      <c r="J158" s="296">
        <v>0</v>
      </c>
      <c r="L158" s="365">
        <v>0</v>
      </c>
      <c r="N158" s="365">
        <v>0</v>
      </c>
      <c r="X158" s="235"/>
      <c r="Y158" s="232"/>
      <c r="Z158" s="236"/>
    </row>
    <row r="159" spans="1:26" ht="12.75" hidden="1">
      <c r="A159" s="5">
        <v>2272</v>
      </c>
      <c r="B159" s="6" t="s">
        <v>682</v>
      </c>
      <c r="D159" s="296">
        <f t="shared" si="1"/>
        <v>0</v>
      </c>
      <c r="E159" s="297"/>
      <c r="F159" s="296">
        <v>0</v>
      </c>
      <c r="H159" s="296">
        <v>0</v>
      </c>
      <c r="J159" s="296">
        <v>0</v>
      </c>
      <c r="L159" s="365">
        <v>0</v>
      </c>
      <c r="N159" s="365">
        <v>0</v>
      </c>
      <c r="X159" s="235"/>
      <c r="Y159" s="232"/>
      <c r="Z159" s="236"/>
    </row>
    <row r="160" spans="1:26" ht="12.75" hidden="1">
      <c r="A160" s="5">
        <v>2285</v>
      </c>
      <c r="B160" s="6" t="s">
        <v>683</v>
      </c>
      <c r="D160" s="296">
        <f t="shared" si="1"/>
        <v>0</v>
      </c>
      <c r="E160" s="297"/>
      <c r="F160" s="296">
        <v>0</v>
      </c>
      <c r="H160" s="296">
        <v>0</v>
      </c>
      <c r="J160" s="296">
        <v>0</v>
      </c>
      <c r="L160" s="365">
        <v>0</v>
      </c>
      <c r="N160" s="365">
        <v>0</v>
      </c>
      <c r="X160" s="235"/>
      <c r="Y160" s="232"/>
      <c r="Z160" s="236"/>
    </row>
    <row r="161" spans="1:26" ht="12.75" hidden="1">
      <c r="A161" s="5">
        <v>2290</v>
      </c>
      <c r="B161" s="6" t="s">
        <v>684</v>
      </c>
      <c r="D161" s="296">
        <v>66324.47</v>
      </c>
      <c r="E161" s="297"/>
      <c r="F161" s="296">
        <v>-60568.97</v>
      </c>
      <c r="H161" s="296">
        <v>-53196</v>
      </c>
      <c r="J161" s="296">
        <v>-31116.289999999746</v>
      </c>
      <c r="L161" s="365">
        <v>-31116.289999999746</v>
      </c>
      <c r="N161" s="365">
        <v>-31116.289999999746</v>
      </c>
      <c r="X161" s="235"/>
      <c r="Y161" s="232"/>
      <c r="Z161" s="236"/>
    </row>
    <row r="162" spans="1:26" ht="12.75" hidden="1">
      <c r="A162" s="5">
        <v>2292</v>
      </c>
      <c r="B162" s="6" t="s">
        <v>685</v>
      </c>
      <c r="D162" s="296">
        <v>-31323.28</v>
      </c>
      <c r="E162" s="297"/>
      <c r="F162" s="296">
        <v>-25698.78</v>
      </c>
      <c r="H162" s="296">
        <v>-25898.1</v>
      </c>
      <c r="J162" s="296">
        <v>-37999.04000000001</v>
      </c>
      <c r="L162" s="365">
        <v>-37999.04000000001</v>
      </c>
      <c r="N162" s="365">
        <v>-37999.04000000001</v>
      </c>
      <c r="X162" s="235"/>
      <c r="Y162" s="232"/>
      <c r="Z162" s="236"/>
    </row>
    <row r="163" spans="1:26" ht="12.75" hidden="1">
      <c r="A163" s="5">
        <v>2294</v>
      </c>
      <c r="B163" s="6" t="s">
        <v>686</v>
      </c>
      <c r="D163" s="296">
        <v>116869</v>
      </c>
      <c r="E163" s="297"/>
      <c r="F163" s="296">
        <v>-445682</v>
      </c>
      <c r="H163" s="296">
        <v>264557.69</v>
      </c>
      <c r="J163" s="296">
        <v>123073</v>
      </c>
      <c r="L163" s="365">
        <v>123073</v>
      </c>
      <c r="N163" s="365">
        <v>123073</v>
      </c>
      <c r="X163" s="235"/>
      <c r="Y163" s="232"/>
      <c r="Z163" s="236"/>
    </row>
    <row r="164" spans="1:26" ht="12.75" hidden="1">
      <c r="A164" s="5">
        <v>2296</v>
      </c>
      <c r="B164" s="6" t="s">
        <v>687</v>
      </c>
      <c r="D164" s="296">
        <v>0</v>
      </c>
      <c r="E164" s="297"/>
      <c r="F164" s="296">
        <v>0</v>
      </c>
      <c r="H164" s="296">
        <v>0</v>
      </c>
      <c r="J164" s="296">
        <v>0</v>
      </c>
      <c r="L164" s="365">
        <v>0</v>
      </c>
      <c r="N164" s="365">
        <v>0</v>
      </c>
      <c r="X164" s="235"/>
      <c r="Y164" s="232"/>
      <c r="Z164" s="236"/>
    </row>
    <row r="165" spans="2:26" ht="12.75" hidden="1">
      <c r="B165" s="237" t="s">
        <v>115</v>
      </c>
      <c r="D165" s="290"/>
      <c r="E165" s="297"/>
      <c r="F165" s="290"/>
      <c r="X165" s="235"/>
      <c r="Y165" s="232"/>
      <c r="Z165" s="236"/>
    </row>
    <row r="166" spans="1:26" ht="12.75" hidden="1">
      <c r="A166" s="5">
        <v>2305</v>
      </c>
      <c r="B166" s="6" t="s">
        <v>688</v>
      </c>
      <c r="D166" s="296">
        <v>0</v>
      </c>
      <c r="E166" s="297"/>
      <c r="F166" s="296">
        <v>0</v>
      </c>
      <c r="H166" s="296">
        <v>0</v>
      </c>
      <c r="J166" s="296">
        <v>0</v>
      </c>
      <c r="L166" s="365">
        <v>0</v>
      </c>
      <c r="N166" s="365">
        <v>0</v>
      </c>
      <c r="X166" s="235"/>
      <c r="Y166" s="232"/>
      <c r="Z166" s="236"/>
    </row>
    <row r="167" spans="1:26" ht="12.75" hidden="1">
      <c r="A167" s="5">
        <v>2306</v>
      </c>
      <c r="B167" s="6" t="s">
        <v>689</v>
      </c>
      <c r="D167" s="296">
        <v>0</v>
      </c>
      <c r="E167" s="297"/>
      <c r="F167" s="296">
        <v>0</v>
      </c>
      <c r="H167" s="296">
        <v>0</v>
      </c>
      <c r="J167" s="296">
        <v>-1118833</v>
      </c>
      <c r="L167" s="365">
        <v>-1018833</v>
      </c>
      <c r="N167" s="365">
        <v>-1018833</v>
      </c>
      <c r="X167" s="235"/>
      <c r="Y167" s="232"/>
      <c r="Z167" s="236"/>
    </row>
    <row r="168" spans="1:26" ht="12.75" hidden="1">
      <c r="A168" s="5">
        <v>2308</v>
      </c>
      <c r="B168" s="6" t="s">
        <v>690</v>
      </c>
      <c r="D168" s="296">
        <v>0</v>
      </c>
      <c r="E168" s="297"/>
      <c r="F168" s="296">
        <v>0</v>
      </c>
      <c r="H168" s="296">
        <v>0</v>
      </c>
      <c r="J168" s="296">
        <v>0</v>
      </c>
      <c r="L168" s="365">
        <v>0</v>
      </c>
      <c r="N168" s="365">
        <v>0</v>
      </c>
      <c r="X168" s="235"/>
      <c r="Y168" s="232"/>
      <c r="Z168" s="236"/>
    </row>
    <row r="169" spans="1:26" ht="12.75" hidden="1">
      <c r="A169" s="5">
        <v>2310</v>
      </c>
      <c r="B169" s="6" t="s">
        <v>691</v>
      </c>
      <c r="D169" s="296">
        <v>-130353</v>
      </c>
      <c r="E169" s="297"/>
      <c r="F169" s="296">
        <v>-134318.62</v>
      </c>
      <c r="H169" s="296">
        <v>-121588.7</v>
      </c>
      <c r="J169" s="296">
        <v>-126052.03</v>
      </c>
      <c r="L169" s="365">
        <v>-100052.03</v>
      </c>
      <c r="N169" s="365">
        <v>-100052.03</v>
      </c>
      <c r="X169" s="235"/>
      <c r="Y169" s="232"/>
      <c r="Z169" s="236"/>
    </row>
    <row r="170" spans="1:26" ht="12.75" hidden="1">
      <c r="A170" s="5">
        <v>2315</v>
      </c>
      <c r="B170" s="6" t="s">
        <v>692</v>
      </c>
      <c r="D170" s="296">
        <v>0</v>
      </c>
      <c r="E170" s="297"/>
      <c r="F170" s="296">
        <v>0</v>
      </c>
      <c r="H170" s="296">
        <v>0</v>
      </c>
      <c r="J170" s="296">
        <v>0</v>
      </c>
      <c r="L170" s="365">
        <v>0</v>
      </c>
      <c r="N170" s="365">
        <v>0</v>
      </c>
      <c r="X170" s="235"/>
      <c r="Y170" s="232"/>
      <c r="Z170" s="236"/>
    </row>
    <row r="171" spans="1:26" ht="12.75" hidden="1">
      <c r="A171" s="5">
        <v>2320</v>
      </c>
      <c r="B171" s="6" t="s">
        <v>561</v>
      </c>
      <c r="D171" s="296">
        <v>0</v>
      </c>
      <c r="E171" s="297"/>
      <c r="F171" s="296">
        <v>0</v>
      </c>
      <c r="H171" s="296">
        <v>0</v>
      </c>
      <c r="J171" s="296">
        <v>0</v>
      </c>
      <c r="L171" s="365">
        <v>0</v>
      </c>
      <c r="N171" s="365">
        <v>0</v>
      </c>
      <c r="X171" s="235"/>
      <c r="Y171" s="232"/>
      <c r="Z171" s="236"/>
    </row>
    <row r="172" spans="1:26" ht="12.75" hidden="1">
      <c r="A172" s="5">
        <v>2325</v>
      </c>
      <c r="B172" s="6" t="s">
        <v>693</v>
      </c>
      <c r="D172" s="296">
        <v>0</v>
      </c>
      <c r="E172" s="297"/>
      <c r="F172" s="296">
        <v>0</v>
      </c>
      <c r="H172" s="296">
        <v>0</v>
      </c>
      <c r="J172" s="296">
        <v>0</v>
      </c>
      <c r="L172" s="365">
        <v>0</v>
      </c>
      <c r="N172" s="365">
        <v>0</v>
      </c>
      <c r="X172" s="235"/>
      <c r="Y172" s="232"/>
      <c r="Z172" s="236"/>
    </row>
    <row r="173" spans="1:26" ht="12.75" hidden="1">
      <c r="A173" s="5">
        <v>2330</v>
      </c>
      <c r="B173" s="6" t="s">
        <v>694</v>
      </c>
      <c r="D173" s="296">
        <v>0</v>
      </c>
      <c r="E173" s="297"/>
      <c r="F173" s="296">
        <v>0</v>
      </c>
      <c r="H173" s="296">
        <v>0</v>
      </c>
      <c r="J173" s="296">
        <v>0</v>
      </c>
      <c r="L173" s="365">
        <v>0</v>
      </c>
      <c r="N173" s="365">
        <v>0</v>
      </c>
      <c r="X173" s="235"/>
      <c r="Y173" s="232"/>
      <c r="Z173" s="236"/>
    </row>
    <row r="174" spans="1:26" ht="12.75" hidden="1">
      <c r="A174" s="5">
        <v>2335</v>
      </c>
      <c r="B174" s="6" t="s">
        <v>695</v>
      </c>
      <c r="D174" s="296">
        <v>-744257</v>
      </c>
      <c r="E174" s="297"/>
      <c r="F174" s="296">
        <v>-688892.51</v>
      </c>
      <c r="H174" s="296">
        <v>-663870.82</v>
      </c>
      <c r="J174" s="296">
        <v>-1027310.8199999998</v>
      </c>
      <c r="L174" s="365">
        <v>-1027310.8199999998</v>
      </c>
      <c r="N174" s="365">
        <v>-1027310.8199999998</v>
      </c>
      <c r="X174" s="235"/>
      <c r="Y174" s="232"/>
      <c r="Z174" s="236"/>
    </row>
    <row r="175" spans="1:26" ht="12.75" hidden="1">
      <c r="A175" s="5">
        <v>2340</v>
      </c>
      <c r="B175" s="6" t="s">
        <v>696</v>
      </c>
      <c r="D175" s="296">
        <v>0</v>
      </c>
      <c r="E175" s="297"/>
      <c r="F175" s="296">
        <v>0</v>
      </c>
      <c r="H175" s="296">
        <v>0</v>
      </c>
      <c r="J175" s="296">
        <v>0</v>
      </c>
      <c r="L175" s="365">
        <v>0</v>
      </c>
      <c r="N175" s="365">
        <v>0</v>
      </c>
      <c r="X175" s="235"/>
      <c r="Y175" s="232"/>
      <c r="Z175" s="236"/>
    </row>
    <row r="176" spans="1:26" ht="12.75" hidden="1">
      <c r="A176" s="5">
        <v>2345</v>
      </c>
      <c r="B176" s="6" t="s">
        <v>697</v>
      </c>
      <c r="D176" s="296">
        <v>0</v>
      </c>
      <c r="E176" s="297"/>
      <c r="F176" s="296">
        <v>0</v>
      </c>
      <c r="H176" s="296">
        <v>0</v>
      </c>
      <c r="J176" s="296">
        <v>0</v>
      </c>
      <c r="L176" s="365">
        <v>0</v>
      </c>
      <c r="N176" s="365">
        <v>0</v>
      </c>
      <c r="X176" s="235"/>
      <c r="Y176" s="232"/>
      <c r="Z176" s="236"/>
    </row>
    <row r="177" spans="1:26" ht="12.75" hidden="1">
      <c r="A177" s="5">
        <v>2348</v>
      </c>
      <c r="B177" s="6" t="s">
        <v>698</v>
      </c>
      <c r="D177" s="296">
        <v>0</v>
      </c>
      <c r="E177" s="297"/>
      <c r="F177" s="296">
        <v>0</v>
      </c>
      <c r="H177" s="296">
        <v>0</v>
      </c>
      <c r="J177" s="296"/>
      <c r="L177" s="365">
        <v>0</v>
      </c>
      <c r="N177" s="365">
        <v>0</v>
      </c>
      <c r="X177" s="235"/>
      <c r="Y177" s="232"/>
      <c r="Z177" s="236"/>
    </row>
    <row r="178" spans="1:26" ht="12.75" hidden="1">
      <c r="A178" s="5">
        <v>2350</v>
      </c>
      <c r="B178" s="6" t="s">
        <v>699</v>
      </c>
      <c r="D178" s="296">
        <v>999912.42</v>
      </c>
      <c r="E178" s="297"/>
      <c r="F178" s="296">
        <v>1505843.86</v>
      </c>
      <c r="H178" s="296">
        <v>1894440.36</v>
      </c>
      <c r="J178" s="296">
        <v>2460100</v>
      </c>
      <c r="L178" s="365">
        <v>2460100</v>
      </c>
      <c r="N178" s="365">
        <v>2460100</v>
      </c>
      <c r="X178" s="235"/>
      <c r="Y178" s="232"/>
      <c r="Z178" s="236"/>
    </row>
    <row r="179" spans="2:26" ht="12.75" hidden="1">
      <c r="B179" s="237" t="s">
        <v>116</v>
      </c>
      <c r="D179" s="290"/>
      <c r="E179" s="297"/>
      <c r="F179" s="290"/>
      <c r="X179" s="235"/>
      <c r="Y179" s="232"/>
      <c r="Z179" s="236"/>
    </row>
    <row r="180" spans="1:26" ht="12.75" hidden="1">
      <c r="A180" s="5">
        <v>2405</v>
      </c>
      <c r="B180" s="6" t="s">
        <v>562</v>
      </c>
      <c r="D180" s="296">
        <v>0</v>
      </c>
      <c r="E180" s="297"/>
      <c r="F180" s="296">
        <v>0</v>
      </c>
      <c r="H180" s="296">
        <v>0</v>
      </c>
      <c r="J180" s="296">
        <v>0</v>
      </c>
      <c r="L180" s="365">
        <v>0</v>
      </c>
      <c r="N180" s="365">
        <v>0</v>
      </c>
      <c r="X180" s="235"/>
      <c r="Y180" s="232"/>
      <c r="Z180" s="236"/>
    </row>
    <row r="181" spans="1:26" ht="12.75" hidden="1">
      <c r="A181" s="5">
        <v>2410</v>
      </c>
      <c r="B181" s="6" t="s">
        <v>700</v>
      </c>
      <c r="D181" s="296">
        <v>0</v>
      </c>
      <c r="E181" s="297"/>
      <c r="F181" s="296">
        <v>0</v>
      </c>
      <c r="H181" s="296">
        <v>0</v>
      </c>
      <c r="J181" s="296">
        <v>0</v>
      </c>
      <c r="L181" s="365">
        <v>0</v>
      </c>
      <c r="N181" s="365">
        <v>0</v>
      </c>
      <c r="X181" s="235"/>
      <c r="Y181" s="232"/>
      <c r="Z181" s="236"/>
    </row>
    <row r="182" spans="1:26" ht="12.75" hidden="1">
      <c r="A182" s="5">
        <v>2415</v>
      </c>
      <c r="B182" s="6" t="s">
        <v>701</v>
      </c>
      <c r="D182" s="296">
        <v>0</v>
      </c>
      <c r="E182" s="297"/>
      <c r="F182" s="296">
        <v>0</v>
      </c>
      <c r="H182" s="296">
        <v>0</v>
      </c>
      <c r="J182" s="296">
        <v>0</v>
      </c>
      <c r="L182" s="365">
        <v>0</v>
      </c>
      <c r="N182" s="365">
        <v>0</v>
      </c>
      <c r="X182" s="235"/>
      <c r="Y182" s="232"/>
      <c r="Z182" s="236"/>
    </row>
    <row r="183" spans="1:26" ht="12.75" hidden="1">
      <c r="A183" s="5">
        <v>2425</v>
      </c>
      <c r="B183" s="6" t="s">
        <v>702</v>
      </c>
      <c r="D183" s="296">
        <v>-333908.02</v>
      </c>
      <c r="E183" s="297"/>
      <c r="F183" s="296">
        <v>-616082.6</v>
      </c>
      <c r="H183" s="296">
        <v>-500622.32</v>
      </c>
      <c r="J183" s="296">
        <v>0</v>
      </c>
      <c r="L183" s="365">
        <v>0</v>
      </c>
      <c r="N183" s="365">
        <v>0</v>
      </c>
      <c r="X183" s="235"/>
      <c r="Y183" s="232"/>
      <c r="Z183" s="236"/>
    </row>
    <row r="184" spans="1:26" ht="12.75" hidden="1">
      <c r="A184" s="5">
        <v>2435</v>
      </c>
      <c r="B184" s="6" t="s">
        <v>703</v>
      </c>
      <c r="D184" s="296">
        <v>0</v>
      </c>
      <c r="E184" s="297"/>
      <c r="F184" s="296">
        <v>0</v>
      </c>
      <c r="H184" s="296">
        <v>0</v>
      </c>
      <c r="J184" s="296">
        <v>0</v>
      </c>
      <c r="L184" s="365">
        <v>0</v>
      </c>
      <c r="N184" s="365">
        <v>0</v>
      </c>
      <c r="X184" s="235"/>
      <c r="Y184" s="232"/>
      <c r="Z184" s="236"/>
    </row>
    <row r="185" spans="2:26" ht="12.75" hidden="1">
      <c r="B185" s="237" t="s">
        <v>444</v>
      </c>
      <c r="D185" s="290"/>
      <c r="E185" s="297"/>
      <c r="F185" s="290"/>
      <c r="X185" s="235"/>
      <c r="Y185" s="232"/>
      <c r="Z185" s="236"/>
    </row>
    <row r="186" spans="1:26" ht="12.75" hidden="1">
      <c r="A186" s="5">
        <v>2505</v>
      </c>
      <c r="B186" s="6" t="s">
        <v>704</v>
      </c>
      <c r="D186" s="296">
        <v>0</v>
      </c>
      <c r="E186" s="297"/>
      <c r="F186" s="296">
        <v>0</v>
      </c>
      <c r="H186" s="296">
        <v>0</v>
      </c>
      <c r="J186" s="296">
        <v>0</v>
      </c>
      <c r="L186" s="365">
        <v>-1800000</v>
      </c>
      <c r="N186" s="365">
        <v>-1800000</v>
      </c>
      <c r="X186" s="235"/>
      <c r="Y186" s="232"/>
      <c r="Z186" s="236"/>
    </row>
    <row r="187" spans="1:26" ht="12.75" hidden="1">
      <c r="A187" s="5">
        <v>2510</v>
      </c>
      <c r="B187" s="6" t="s">
        <v>705</v>
      </c>
      <c r="D187" s="296">
        <v>0</v>
      </c>
      <c r="E187" s="297"/>
      <c r="F187" s="296">
        <v>0</v>
      </c>
      <c r="H187" s="296">
        <v>0</v>
      </c>
      <c r="J187" s="296">
        <v>0</v>
      </c>
      <c r="L187" s="365">
        <v>0</v>
      </c>
      <c r="N187" s="365">
        <v>0</v>
      </c>
      <c r="X187" s="235"/>
      <c r="Y187" s="232"/>
      <c r="Z187" s="236"/>
    </row>
    <row r="188" spans="1:26" ht="12.75" hidden="1">
      <c r="A188" s="5">
        <v>2515</v>
      </c>
      <c r="B188" s="6" t="s">
        <v>706</v>
      </c>
      <c r="D188" s="296">
        <v>0</v>
      </c>
      <c r="E188" s="297"/>
      <c r="F188" s="296">
        <v>0</v>
      </c>
      <c r="H188" s="296">
        <v>0</v>
      </c>
      <c r="J188" s="296">
        <v>0</v>
      </c>
      <c r="L188" s="365">
        <v>0</v>
      </c>
      <c r="N188" s="365">
        <v>0</v>
      </c>
      <c r="X188" s="235"/>
      <c r="Y188" s="232"/>
      <c r="Z188" s="236"/>
    </row>
    <row r="189" spans="1:26" ht="12.75" hidden="1">
      <c r="A189" s="5">
        <v>2520</v>
      </c>
      <c r="B189" s="6" t="s">
        <v>707</v>
      </c>
      <c r="D189" s="296">
        <v>-10941862.09</v>
      </c>
      <c r="E189" s="297"/>
      <c r="F189" s="296">
        <v>-10941862.09</v>
      </c>
      <c r="H189" s="296">
        <v>-10941862</v>
      </c>
      <c r="J189" s="296">
        <v>-10941862.09</v>
      </c>
      <c r="L189" s="365">
        <v>-13441862</v>
      </c>
      <c r="N189" s="365">
        <v>-15041862</v>
      </c>
      <c r="X189" s="235"/>
      <c r="Y189" s="232"/>
      <c r="Z189" s="236"/>
    </row>
    <row r="190" spans="1:26" ht="12.75" hidden="1">
      <c r="A190" s="5">
        <v>2525</v>
      </c>
      <c r="B190" s="6" t="s">
        <v>708</v>
      </c>
      <c r="D190" s="296">
        <v>0</v>
      </c>
      <c r="E190" s="297"/>
      <c r="F190" s="296">
        <v>0</v>
      </c>
      <c r="H190" s="296">
        <v>0</v>
      </c>
      <c r="J190" s="296">
        <v>0</v>
      </c>
      <c r="L190" s="365">
        <v>0</v>
      </c>
      <c r="N190" s="365">
        <v>0</v>
      </c>
      <c r="X190" s="235"/>
      <c r="Y190" s="232"/>
      <c r="Z190" s="236"/>
    </row>
    <row r="191" spans="1:26" ht="12.75" hidden="1">
      <c r="A191" s="5">
        <v>2530</v>
      </c>
      <c r="B191" s="6" t="s">
        <v>709</v>
      </c>
      <c r="D191" s="296">
        <v>0</v>
      </c>
      <c r="E191" s="297"/>
      <c r="F191" s="296">
        <v>0</v>
      </c>
      <c r="H191" s="296">
        <v>0</v>
      </c>
      <c r="J191" s="296">
        <v>0</v>
      </c>
      <c r="L191" s="365">
        <v>0</v>
      </c>
      <c r="N191" s="365">
        <v>0</v>
      </c>
      <c r="X191" s="235"/>
      <c r="Y191" s="232"/>
      <c r="Z191" s="236"/>
    </row>
    <row r="192" spans="1:26" ht="12.75" hidden="1">
      <c r="A192" s="5">
        <v>2550</v>
      </c>
      <c r="B192" s="6" t="s">
        <v>710</v>
      </c>
      <c r="D192" s="296">
        <v>0</v>
      </c>
      <c r="E192" s="297"/>
      <c r="F192" s="296">
        <v>0</v>
      </c>
      <c r="H192" s="296">
        <v>0</v>
      </c>
      <c r="J192" s="296">
        <v>0</v>
      </c>
      <c r="L192" s="365">
        <v>0</v>
      </c>
      <c r="N192" s="365">
        <v>0</v>
      </c>
      <c r="X192" s="235"/>
      <c r="Y192" s="232"/>
      <c r="Z192" s="236"/>
    </row>
    <row r="193" spans="2:26" ht="12.75" hidden="1">
      <c r="B193" s="237" t="s">
        <v>117</v>
      </c>
      <c r="D193" s="290"/>
      <c r="E193" s="297"/>
      <c r="F193" s="290"/>
      <c r="X193" s="235"/>
      <c r="Y193" s="232"/>
      <c r="Z193" s="236"/>
    </row>
    <row r="194" spans="1:26" ht="12.75" hidden="1">
      <c r="A194" s="5">
        <v>3005</v>
      </c>
      <c r="B194" s="6" t="s">
        <v>563</v>
      </c>
      <c r="D194" s="296">
        <v>-10941862.09</v>
      </c>
      <c r="E194" s="297"/>
      <c r="F194" s="296">
        <v>-10941862.09</v>
      </c>
      <c r="H194" s="296">
        <v>-10941862.09</v>
      </c>
      <c r="J194" s="296">
        <v>-10941862.09</v>
      </c>
      <c r="L194" s="365">
        <v>-10941862.09</v>
      </c>
      <c r="N194" s="365">
        <v>-10941862.09</v>
      </c>
      <c r="X194" s="235"/>
      <c r="Y194" s="232"/>
      <c r="Z194" s="236"/>
    </row>
    <row r="195" spans="1:26" ht="12.75" hidden="1">
      <c r="A195" s="5">
        <v>3008</v>
      </c>
      <c r="B195" s="6" t="s">
        <v>711</v>
      </c>
      <c r="D195" s="296">
        <v>0</v>
      </c>
      <c r="E195" s="297"/>
      <c r="F195" s="296">
        <v>0</v>
      </c>
      <c r="H195" s="296">
        <v>0</v>
      </c>
      <c r="J195" s="296">
        <v>0</v>
      </c>
      <c r="L195" s="365">
        <v>0</v>
      </c>
      <c r="N195" s="365">
        <v>0</v>
      </c>
      <c r="X195" s="235"/>
      <c r="Y195" s="232"/>
      <c r="Z195" s="236"/>
    </row>
    <row r="196" spans="1:26" ht="12.75" hidden="1">
      <c r="A196" s="5">
        <v>3010</v>
      </c>
      <c r="B196" s="6" t="s">
        <v>712</v>
      </c>
      <c r="D196" s="296">
        <v>0</v>
      </c>
      <c r="E196" s="297"/>
      <c r="F196" s="296">
        <v>0</v>
      </c>
      <c r="H196" s="296">
        <v>0</v>
      </c>
      <c r="J196" s="296">
        <v>0</v>
      </c>
      <c r="L196" s="365">
        <v>0</v>
      </c>
      <c r="N196" s="365">
        <v>0</v>
      </c>
      <c r="X196" s="235"/>
      <c r="Y196" s="232"/>
      <c r="Z196" s="236"/>
    </row>
    <row r="197" spans="1:26" ht="12.75" hidden="1">
      <c r="A197" s="5">
        <v>3020</v>
      </c>
      <c r="B197" s="6" t="s">
        <v>713</v>
      </c>
      <c r="D197" s="296">
        <v>0</v>
      </c>
      <c r="E197" s="297"/>
      <c r="F197" s="296">
        <v>0</v>
      </c>
      <c r="H197" s="296">
        <v>0</v>
      </c>
      <c r="J197" s="296">
        <v>0</v>
      </c>
      <c r="L197" s="365">
        <v>0</v>
      </c>
      <c r="N197" s="365">
        <v>0</v>
      </c>
      <c r="X197" s="235"/>
      <c r="Y197" s="232"/>
      <c r="Z197" s="236"/>
    </row>
    <row r="198" spans="1:26" ht="12.75" hidden="1">
      <c r="A198" s="5">
        <v>3022</v>
      </c>
      <c r="B198" s="6" t="s">
        <v>714</v>
      </c>
      <c r="D198" s="296">
        <v>0</v>
      </c>
      <c r="E198" s="297"/>
      <c r="F198" s="296">
        <v>0</v>
      </c>
      <c r="H198" s="296">
        <v>0</v>
      </c>
      <c r="J198" s="296">
        <v>0</v>
      </c>
      <c r="L198" s="365">
        <v>0</v>
      </c>
      <c r="N198" s="365">
        <v>0</v>
      </c>
      <c r="O198" s="290"/>
      <c r="X198" s="235"/>
      <c r="Y198" s="232"/>
      <c r="Z198" s="236"/>
    </row>
    <row r="199" spans="1:26" ht="12.75" hidden="1">
      <c r="A199" s="5">
        <v>3026</v>
      </c>
      <c r="B199" s="6" t="s">
        <v>715</v>
      </c>
      <c r="D199" s="296">
        <v>0</v>
      </c>
      <c r="E199" s="297"/>
      <c r="F199" s="296">
        <v>0</v>
      </c>
      <c r="H199" s="296">
        <v>0</v>
      </c>
      <c r="J199" s="296">
        <v>0</v>
      </c>
      <c r="L199" s="365">
        <v>0</v>
      </c>
      <c r="N199" s="365">
        <v>0</v>
      </c>
      <c r="X199" s="235"/>
      <c r="Y199" s="232"/>
      <c r="Z199" s="236"/>
    </row>
    <row r="200" spans="1:26" ht="12.75" hidden="1">
      <c r="A200" s="5">
        <v>3030</v>
      </c>
      <c r="B200" s="6" t="s">
        <v>716</v>
      </c>
      <c r="D200" s="296">
        <v>0</v>
      </c>
      <c r="E200" s="297"/>
      <c r="F200" s="296">
        <v>0</v>
      </c>
      <c r="H200" s="296">
        <v>0</v>
      </c>
      <c r="J200" s="296">
        <v>0</v>
      </c>
      <c r="L200" s="365">
        <v>0</v>
      </c>
      <c r="N200" s="365">
        <v>0</v>
      </c>
      <c r="X200" s="235"/>
      <c r="Y200" s="232"/>
      <c r="Z200" s="236"/>
    </row>
    <row r="201" spans="1:26" ht="12.75" hidden="1">
      <c r="A201" s="5">
        <v>3035</v>
      </c>
      <c r="B201" s="6" t="s">
        <v>717</v>
      </c>
      <c r="D201" s="296">
        <v>0</v>
      </c>
      <c r="E201" s="297"/>
      <c r="F201" s="296">
        <v>0</v>
      </c>
      <c r="H201" s="296">
        <v>0</v>
      </c>
      <c r="J201" s="296">
        <v>0</v>
      </c>
      <c r="L201" s="365">
        <v>0</v>
      </c>
      <c r="N201" s="365">
        <v>0</v>
      </c>
      <c r="X201" s="235"/>
      <c r="Y201" s="232"/>
      <c r="Z201" s="236"/>
    </row>
    <row r="202" spans="1:26" ht="12.75" hidden="1">
      <c r="A202" s="5">
        <v>3040</v>
      </c>
      <c r="B202" s="6" t="s">
        <v>718</v>
      </c>
      <c r="D202" s="296">
        <v>0</v>
      </c>
      <c r="E202" s="297"/>
      <c r="F202" s="296">
        <v>0</v>
      </c>
      <c r="H202" s="296">
        <v>0</v>
      </c>
      <c r="J202" s="296">
        <v>0</v>
      </c>
      <c r="L202" s="365">
        <v>0</v>
      </c>
      <c r="N202" s="365">
        <v>0</v>
      </c>
      <c r="X202" s="235"/>
      <c r="Y202" s="232"/>
      <c r="Z202" s="236"/>
    </row>
    <row r="203" spans="1:26" ht="12.75" hidden="1">
      <c r="A203" s="5">
        <v>3045</v>
      </c>
      <c r="B203" s="6" t="s">
        <v>719</v>
      </c>
      <c r="D203" s="296">
        <f>-1576043.76+D408</f>
        <v>-1561820.59</v>
      </c>
      <c r="E203" s="297"/>
      <c r="F203" s="296">
        <f>-1010819.88-1045520.22+F408</f>
        <v>-2042532.9300000002</v>
      </c>
      <c r="H203" s="296">
        <f>-3071860.32+H408</f>
        <v>-3058469.15</v>
      </c>
      <c r="J203" s="296">
        <f>-2983450.28+J408</f>
        <v>-2970475.11</v>
      </c>
      <c r="L203" s="365">
        <v>-3562568.96</v>
      </c>
      <c r="N203" s="365">
        <v>-3683736.1853255993</v>
      </c>
      <c r="O203" s="290"/>
      <c r="Y203" s="232"/>
      <c r="Z203" s="236"/>
    </row>
    <row r="204" spans="1:26" ht="12.75" hidden="1">
      <c r="A204" s="5">
        <v>3046</v>
      </c>
      <c r="B204" s="6" t="s">
        <v>720</v>
      </c>
      <c r="D204" s="296">
        <v>0</v>
      </c>
      <c r="E204" s="297"/>
      <c r="F204" s="296">
        <v>0</v>
      </c>
      <c r="H204" s="296">
        <v>0</v>
      </c>
      <c r="J204" s="296">
        <v>0</v>
      </c>
      <c r="L204" s="365">
        <v>0</v>
      </c>
      <c r="N204" s="365">
        <v>0</v>
      </c>
      <c r="Y204" s="232"/>
      <c r="Z204" s="236"/>
    </row>
    <row r="205" spans="1:26" ht="12.75" hidden="1">
      <c r="A205" s="5">
        <v>3047</v>
      </c>
      <c r="B205" s="6" t="s">
        <v>721</v>
      </c>
      <c r="D205" s="296">
        <v>0</v>
      </c>
      <c r="E205" s="297"/>
      <c r="F205" s="296">
        <v>0</v>
      </c>
      <c r="H205" s="296">
        <v>0</v>
      </c>
      <c r="J205" s="296">
        <v>0</v>
      </c>
      <c r="L205" s="365">
        <v>0</v>
      </c>
      <c r="N205" s="365">
        <v>0</v>
      </c>
      <c r="Y205" s="232"/>
      <c r="Z205" s="236"/>
    </row>
    <row r="206" spans="1:26" ht="12.75" hidden="1">
      <c r="A206" s="5">
        <v>3048</v>
      </c>
      <c r="B206" s="6" t="s">
        <v>722</v>
      </c>
      <c r="D206" s="296">
        <v>0</v>
      </c>
      <c r="E206" s="297"/>
      <c r="F206" s="296">
        <v>0</v>
      </c>
      <c r="H206" s="296">
        <v>0</v>
      </c>
      <c r="J206" s="296">
        <v>0</v>
      </c>
      <c r="L206" s="365">
        <v>0</v>
      </c>
      <c r="N206" s="365">
        <v>0</v>
      </c>
      <c r="Y206" s="232"/>
      <c r="Z206" s="236"/>
    </row>
    <row r="207" spans="1:26" ht="12.75" hidden="1">
      <c r="A207" s="5">
        <v>3049</v>
      </c>
      <c r="B207" s="6" t="s">
        <v>723</v>
      </c>
      <c r="D207" s="296">
        <v>35000</v>
      </c>
      <c r="E207" s="297"/>
      <c r="F207" s="296">
        <v>30000</v>
      </c>
      <c r="H207" s="296">
        <v>290000</v>
      </c>
      <c r="J207" s="296">
        <v>225000</v>
      </c>
      <c r="L207" s="365">
        <v>0</v>
      </c>
      <c r="N207" s="365">
        <v>0</v>
      </c>
      <c r="Y207" s="232"/>
      <c r="Z207" s="236"/>
    </row>
    <row r="208" spans="1:26" ht="12.75">
      <c r="A208" s="5">
        <v>3055</v>
      </c>
      <c r="B208" s="6" t="s">
        <v>724</v>
      </c>
      <c r="D208" s="296">
        <v>0</v>
      </c>
      <c r="E208" s="297"/>
      <c r="F208" s="296">
        <v>0</v>
      </c>
      <c r="H208" s="296">
        <v>0</v>
      </c>
      <c r="J208" s="296">
        <v>0</v>
      </c>
      <c r="L208" s="365">
        <v>0</v>
      </c>
      <c r="N208" s="365">
        <v>0</v>
      </c>
      <c r="Y208" s="232"/>
      <c r="Z208" s="236"/>
    </row>
    <row r="209" spans="1:26" ht="12.75" hidden="1">
      <c r="A209" s="5">
        <v>3065</v>
      </c>
      <c r="B209" s="6" t="s">
        <v>725</v>
      </c>
      <c r="D209" s="296">
        <v>0</v>
      </c>
      <c r="E209" s="297"/>
      <c r="F209" s="296">
        <v>0</v>
      </c>
      <c r="H209" s="296">
        <v>0</v>
      </c>
      <c r="J209" s="296">
        <v>0</v>
      </c>
      <c r="L209" s="365">
        <v>0</v>
      </c>
      <c r="N209" s="365">
        <v>0</v>
      </c>
      <c r="Y209" s="232"/>
      <c r="Z209" s="236"/>
    </row>
    <row r="210" spans="2:26" ht="12.75" hidden="1">
      <c r="B210" s="237" t="s">
        <v>118</v>
      </c>
      <c r="D210" s="290"/>
      <c r="E210" s="297"/>
      <c r="F210" s="290"/>
      <c r="Y210" s="232"/>
      <c r="Z210" s="236"/>
    </row>
    <row r="211" spans="1:26" ht="12.75" hidden="1">
      <c r="A211" s="5">
        <v>4006</v>
      </c>
      <c r="B211" s="6" t="s">
        <v>726</v>
      </c>
      <c r="D211" s="296">
        <v>-5001673.18</v>
      </c>
      <c r="E211" s="297"/>
      <c r="F211" s="296">
        <v>-5044065.81</v>
      </c>
      <c r="H211" s="296">
        <v>-5057697.21</v>
      </c>
      <c r="J211" s="296">
        <v>-5489318.9</v>
      </c>
      <c r="L211" s="365">
        <v>-7881095.371351087</v>
      </c>
      <c r="N211" s="365">
        <v>-8404029.362913983</v>
      </c>
      <c r="O211" s="377"/>
      <c r="Y211" s="232"/>
      <c r="Z211" s="236"/>
    </row>
    <row r="212" spans="1:26" ht="12.75" hidden="1">
      <c r="A212" s="5">
        <v>4010</v>
      </c>
      <c r="B212" s="6" t="s">
        <v>564</v>
      </c>
      <c r="D212" s="296">
        <v>0</v>
      </c>
      <c r="E212" s="297"/>
      <c r="F212" s="296">
        <v>0</v>
      </c>
      <c r="H212" s="296">
        <v>0</v>
      </c>
      <c r="J212" s="296">
        <v>0</v>
      </c>
      <c r="L212" s="365">
        <v>0</v>
      </c>
      <c r="N212" s="365">
        <v>0</v>
      </c>
      <c r="Y212" s="232"/>
      <c r="Z212" s="236"/>
    </row>
    <row r="213" spans="1:26" ht="12.75" hidden="1">
      <c r="A213" s="5">
        <v>4015</v>
      </c>
      <c r="B213" s="6" t="s">
        <v>565</v>
      </c>
      <c r="D213" s="296">
        <v>0</v>
      </c>
      <c r="E213" s="297"/>
      <c r="F213" s="296">
        <v>0</v>
      </c>
      <c r="H213" s="296">
        <v>0</v>
      </c>
      <c r="J213" s="296">
        <v>0</v>
      </c>
      <c r="L213" s="365">
        <v>0</v>
      </c>
      <c r="N213" s="365">
        <v>0</v>
      </c>
      <c r="Y213" s="232"/>
      <c r="Z213" s="236"/>
    </row>
    <row r="214" spans="1:26" ht="12.75" hidden="1">
      <c r="A214" s="5">
        <v>4020</v>
      </c>
      <c r="B214" s="6" t="s">
        <v>566</v>
      </c>
      <c r="D214" s="296">
        <v>-1208508.83</v>
      </c>
      <c r="E214" s="297"/>
      <c r="F214" s="296">
        <v>-1206681.62</v>
      </c>
      <c r="H214" s="296">
        <v>-971197.84</v>
      </c>
      <c r="J214" s="296">
        <v>-183307.40999999997</v>
      </c>
      <c r="L214" s="365">
        <v>0</v>
      </c>
      <c r="N214" s="365">
        <v>0</v>
      </c>
      <c r="Y214" s="232"/>
      <c r="Z214" s="236"/>
    </row>
    <row r="215" spans="1:26" ht="12.75" hidden="1">
      <c r="A215" s="5">
        <v>4025</v>
      </c>
      <c r="B215" s="6" t="s">
        <v>727</v>
      </c>
      <c r="D215" s="296">
        <v>-159449.86</v>
      </c>
      <c r="E215" s="297"/>
      <c r="F215" s="296">
        <v>-47056.9</v>
      </c>
      <c r="H215" s="296">
        <v>-2950.62</v>
      </c>
      <c r="J215" s="296">
        <v>-2895.5400000000004</v>
      </c>
      <c r="L215" s="365">
        <v>-172263.00803888525</v>
      </c>
      <c r="N215" s="365">
        <v>-171507.72453869242</v>
      </c>
      <c r="Y215" s="232"/>
      <c r="Z215" s="236"/>
    </row>
    <row r="216" spans="1:26" ht="12.75" hidden="1">
      <c r="A216" s="5">
        <v>4030</v>
      </c>
      <c r="B216" s="6" t="s">
        <v>728</v>
      </c>
      <c r="D216" s="296">
        <v>0</v>
      </c>
      <c r="E216" s="297"/>
      <c r="F216" s="296">
        <v>0</v>
      </c>
      <c r="H216" s="296">
        <v>0</v>
      </c>
      <c r="J216" s="296">
        <v>0</v>
      </c>
      <c r="L216" s="365">
        <v>0</v>
      </c>
      <c r="N216" s="365">
        <v>0</v>
      </c>
      <c r="Z216" s="236"/>
    </row>
    <row r="217" spans="1:26" ht="12.75" hidden="1">
      <c r="A217" s="5">
        <v>4035</v>
      </c>
      <c r="B217" s="6" t="s">
        <v>729</v>
      </c>
      <c r="D217" s="296">
        <v>-11130363.73</v>
      </c>
      <c r="E217" s="297"/>
      <c r="F217" s="296">
        <v>-10092062.62</v>
      </c>
      <c r="H217" s="296">
        <v>-9863564.4</v>
      </c>
      <c r="J217" s="296">
        <v>-6582987.750000001</v>
      </c>
      <c r="L217" s="365">
        <v>-16243379.041053075</v>
      </c>
      <c r="N217" s="365">
        <v>-15970330.86456078</v>
      </c>
      <c r="Y217" s="232"/>
      <c r="Z217" s="236"/>
    </row>
    <row r="218" spans="1:26" ht="12.75" hidden="1">
      <c r="A218" s="5">
        <v>4040</v>
      </c>
      <c r="B218" s="6" t="s">
        <v>730</v>
      </c>
      <c r="D218" s="296">
        <v>0</v>
      </c>
      <c r="E218" s="297"/>
      <c r="F218" s="296">
        <v>0</v>
      </c>
      <c r="H218" s="296">
        <v>0</v>
      </c>
      <c r="J218" s="296">
        <v>0</v>
      </c>
      <c r="L218" s="365">
        <v>0</v>
      </c>
      <c r="N218" s="365">
        <v>0</v>
      </c>
      <c r="Y218" s="232"/>
      <c r="Z218" s="236"/>
    </row>
    <row r="219" spans="1:26" ht="12.75" hidden="1">
      <c r="A219" s="5">
        <v>4045</v>
      </c>
      <c r="B219" s="6" t="s">
        <v>731</v>
      </c>
      <c r="D219" s="296">
        <v>0</v>
      </c>
      <c r="E219" s="297"/>
      <c r="F219" s="296">
        <v>0</v>
      </c>
      <c r="H219" s="296">
        <v>0</v>
      </c>
      <c r="J219" s="296">
        <v>0</v>
      </c>
      <c r="L219" s="365">
        <v>0</v>
      </c>
      <c r="N219" s="365">
        <v>0</v>
      </c>
      <c r="Y219" s="232"/>
      <c r="Z219" s="236"/>
    </row>
    <row r="220" spans="1:26" ht="12.75" hidden="1">
      <c r="A220" s="5">
        <v>4050</v>
      </c>
      <c r="B220" s="6" t="s">
        <v>732</v>
      </c>
      <c r="D220" s="296">
        <v>0</v>
      </c>
      <c r="E220" s="297"/>
      <c r="F220" s="296">
        <v>91348.4</v>
      </c>
      <c r="H220" s="296">
        <v>52374.9</v>
      </c>
      <c r="J220" s="296">
        <v>93726.78000000026</v>
      </c>
      <c r="L220" s="365">
        <v>0</v>
      </c>
      <c r="N220" s="365">
        <v>0</v>
      </c>
      <c r="Y220" s="232"/>
      <c r="Z220" s="236"/>
    </row>
    <row r="221" spans="1:26" ht="12.75" hidden="1">
      <c r="A221" s="5">
        <v>4055</v>
      </c>
      <c r="B221" s="6" t="s">
        <v>567</v>
      </c>
      <c r="D221" s="296">
        <v>-5430654.18</v>
      </c>
      <c r="E221" s="297"/>
      <c r="F221" s="296">
        <v>-5673370.6</v>
      </c>
      <c r="H221" s="296">
        <v>-5823818.25</v>
      </c>
      <c r="J221" s="296">
        <v>-3424484.77</v>
      </c>
      <c r="L221" s="365">
        <v>0</v>
      </c>
      <c r="N221" s="365">
        <v>0</v>
      </c>
      <c r="O221" s="375"/>
      <c r="Y221" s="232"/>
      <c r="Z221" s="236"/>
    </row>
    <row r="222" spans="1:26" ht="12.75" hidden="1">
      <c r="A222" s="5">
        <v>4060</v>
      </c>
      <c r="B222" s="6" t="s">
        <v>733</v>
      </c>
      <c r="D222" s="296">
        <v>0</v>
      </c>
      <c r="E222" s="297"/>
      <c r="F222" s="296">
        <v>0</v>
      </c>
      <c r="H222" s="296">
        <v>0</v>
      </c>
      <c r="J222" s="296">
        <v>0</v>
      </c>
      <c r="L222" s="365">
        <v>0</v>
      </c>
      <c r="N222" s="365">
        <v>0</v>
      </c>
      <c r="Y222" s="232"/>
      <c r="Z222" s="236"/>
    </row>
    <row r="223" spans="1:26" ht="12.75" hidden="1">
      <c r="A223" s="5">
        <v>4062</v>
      </c>
      <c r="B223" s="6" t="s">
        <v>734</v>
      </c>
      <c r="D223" s="296">
        <v>-2114180.06</v>
      </c>
      <c r="E223" s="297"/>
      <c r="F223" s="296">
        <v>-2052418.53</v>
      </c>
      <c r="H223" s="296">
        <v>-2312713.36</v>
      </c>
      <c r="J223" s="296">
        <v>-2269892.29</v>
      </c>
      <c r="L223" s="365">
        <v>-2380058.6728392164</v>
      </c>
      <c r="N223" s="365">
        <v>-2404462.9899427677</v>
      </c>
      <c r="Y223" s="232"/>
      <c r="Z223" s="236"/>
    </row>
    <row r="224" spans="1:26" ht="12.75" hidden="1">
      <c r="A224" s="5">
        <v>4064</v>
      </c>
      <c r="B224" s="6" t="s">
        <v>136</v>
      </c>
      <c r="D224" s="296">
        <v>0</v>
      </c>
      <c r="E224" s="297"/>
      <c r="F224" s="296">
        <v>0</v>
      </c>
      <c r="H224" s="296">
        <v>0</v>
      </c>
      <c r="J224" s="296">
        <v>0</v>
      </c>
      <c r="L224" s="365">
        <v>0</v>
      </c>
      <c r="N224" s="365">
        <v>0</v>
      </c>
      <c r="Y224" s="232"/>
      <c r="Z224" s="236"/>
    </row>
    <row r="225" spans="1:26" ht="12.75" hidden="1">
      <c r="A225" s="5">
        <v>4066</v>
      </c>
      <c r="B225" s="6" t="s">
        <v>0</v>
      </c>
      <c r="D225" s="296">
        <v>-2248812.38</v>
      </c>
      <c r="E225" s="297"/>
      <c r="F225" s="296">
        <v>-2174881.16</v>
      </c>
      <c r="H225" s="296">
        <v>-1749327.92</v>
      </c>
      <c r="J225" s="296">
        <v>-1770102.7200000002</v>
      </c>
      <c r="L225" s="365">
        <v>-2260186.362943545</v>
      </c>
      <c r="N225" s="365">
        <v>-2024604.88554799</v>
      </c>
      <c r="Y225" s="232"/>
      <c r="Z225" s="236"/>
    </row>
    <row r="226" spans="1:26" ht="12.75" hidden="1">
      <c r="A226" s="5">
        <v>4068</v>
      </c>
      <c r="B226" s="6" t="s">
        <v>1</v>
      </c>
      <c r="D226" s="296">
        <v>-1845394.92</v>
      </c>
      <c r="E226" s="297"/>
      <c r="F226" s="296">
        <v>-1818224.59</v>
      </c>
      <c r="H226" s="296">
        <v>-1691541.31</v>
      </c>
      <c r="J226" s="296">
        <v>-1629550.6399999997</v>
      </c>
      <c r="L226" s="365">
        <v>-1769920.3464559633</v>
      </c>
      <c r="N226" s="365">
        <v>-1744674.06992867</v>
      </c>
      <c r="Y226" s="232"/>
      <c r="Z226" s="236"/>
    </row>
    <row r="227" spans="1:26" ht="12.75">
      <c r="A227" s="5">
        <v>4075</v>
      </c>
      <c r="B227" s="6" t="s">
        <v>735</v>
      </c>
      <c r="D227" s="296">
        <v>0</v>
      </c>
      <c r="E227" s="297"/>
      <c r="F227" s="296">
        <v>0</v>
      </c>
      <c r="H227" s="296">
        <v>0</v>
      </c>
      <c r="J227" s="296">
        <v>0</v>
      </c>
      <c r="L227" s="365">
        <v>0</v>
      </c>
      <c r="N227" s="365">
        <v>0</v>
      </c>
      <c r="Y227" s="232"/>
      <c r="Z227" s="236"/>
    </row>
    <row r="228" spans="2:26" ht="12.75">
      <c r="B228" s="237" t="s">
        <v>119</v>
      </c>
      <c r="D228" s="290"/>
      <c r="E228" s="297"/>
      <c r="F228" s="290"/>
      <c r="Y228" s="232"/>
      <c r="Z228" s="236"/>
    </row>
    <row r="229" spans="1:26" ht="12.75">
      <c r="A229" s="5">
        <v>4080</v>
      </c>
      <c r="B229" s="6" t="s">
        <v>736</v>
      </c>
      <c r="D229" s="296">
        <v>-6122158.93</v>
      </c>
      <c r="E229" s="297"/>
      <c r="F229" s="296">
        <v>-6446061.26</v>
      </c>
      <c r="H229" s="296">
        <v>-6592705.52</v>
      </c>
      <c r="J229" s="296">
        <v>-6379445.58</v>
      </c>
      <c r="L229" s="365">
        <v>-6324330.398946558</v>
      </c>
      <c r="N229" s="365">
        <v>-6514422.129286346</v>
      </c>
      <c r="Y229" s="232"/>
      <c r="Z229" s="236"/>
    </row>
    <row r="230" spans="1:26" ht="12.75">
      <c r="A230" s="5">
        <v>4082</v>
      </c>
      <c r="B230" s="6" t="s">
        <v>737</v>
      </c>
      <c r="D230" s="296">
        <v>-28482.8</v>
      </c>
      <c r="E230" s="297"/>
      <c r="F230" s="296">
        <v>-27343.9</v>
      </c>
      <c r="H230" s="296">
        <v>-23482.2</v>
      </c>
      <c r="J230" s="296">
        <v>-25336.6</v>
      </c>
      <c r="L230" s="365">
        <v>-25400</v>
      </c>
      <c r="N230" s="365">
        <v>-25400</v>
      </c>
      <c r="Y230" s="232"/>
      <c r="Z230" s="236"/>
    </row>
    <row r="231" spans="1:26" ht="12.75">
      <c r="A231" s="5">
        <v>4084</v>
      </c>
      <c r="B231" s="6" t="s">
        <v>738</v>
      </c>
      <c r="D231" s="296">
        <v>-1277.75</v>
      </c>
      <c r="E231" s="297"/>
      <c r="F231" s="296">
        <v>-1930.5</v>
      </c>
      <c r="H231" s="296">
        <v>-639.5</v>
      </c>
      <c r="J231" s="296">
        <v>-854.25</v>
      </c>
      <c r="L231" s="365">
        <v>-1000</v>
      </c>
      <c r="N231" s="365">
        <v>-1000</v>
      </c>
      <c r="Y231" s="232"/>
      <c r="Z231" s="236"/>
    </row>
    <row r="232" spans="1:26" ht="12.75">
      <c r="A232" s="5">
        <v>4090</v>
      </c>
      <c r="B232" s="6" t="s">
        <v>739</v>
      </c>
      <c r="D232" s="296">
        <v>0</v>
      </c>
      <c r="E232" s="297"/>
      <c r="F232" s="296">
        <v>0</v>
      </c>
      <c r="H232" s="296">
        <v>0</v>
      </c>
      <c r="J232" s="296">
        <v>0</v>
      </c>
      <c r="L232" s="365">
        <v>0</v>
      </c>
      <c r="N232" s="365">
        <v>0</v>
      </c>
      <c r="Y232" s="232"/>
      <c r="Z232" s="236"/>
    </row>
    <row r="233" spans="2:26" ht="12.75">
      <c r="B233" s="237" t="s">
        <v>120</v>
      </c>
      <c r="D233" s="290"/>
      <c r="E233" s="297"/>
      <c r="F233" s="290"/>
      <c r="Y233" s="232"/>
      <c r="Z233" s="236"/>
    </row>
    <row r="234" spans="1:26" ht="12.75">
      <c r="A234" s="5">
        <v>4205</v>
      </c>
      <c r="B234" s="6" t="s">
        <v>740</v>
      </c>
      <c r="D234" s="296">
        <v>0</v>
      </c>
      <c r="E234" s="297"/>
      <c r="F234" s="296">
        <v>0</v>
      </c>
      <c r="H234" s="296">
        <v>0</v>
      </c>
      <c r="J234" s="296">
        <v>0</v>
      </c>
      <c r="L234" s="365">
        <v>0</v>
      </c>
      <c r="N234" s="365">
        <v>0</v>
      </c>
      <c r="Y234" s="232"/>
      <c r="Z234" s="236"/>
    </row>
    <row r="235" spans="1:26" ht="12.75">
      <c r="A235" s="5">
        <v>4210</v>
      </c>
      <c r="B235" s="6" t="s">
        <v>741</v>
      </c>
      <c r="D235" s="296">
        <v>-270821.24</v>
      </c>
      <c r="E235" s="297"/>
      <c r="F235" s="296">
        <v>-263481.84</v>
      </c>
      <c r="H235" s="296">
        <v>-280389.87</v>
      </c>
      <c r="J235" s="296">
        <v>-179974.64</v>
      </c>
      <c r="L235" s="365">
        <v>-40885</v>
      </c>
      <c r="N235" s="365">
        <v>-40885</v>
      </c>
      <c r="Y235" s="232"/>
      <c r="Z235" s="236"/>
    </row>
    <row r="236" spans="1:26" ht="12.75">
      <c r="A236" s="5">
        <v>4215</v>
      </c>
      <c r="B236" s="6" t="s">
        <v>742</v>
      </c>
      <c r="D236" s="296">
        <v>0</v>
      </c>
      <c r="E236" s="297"/>
      <c r="F236" s="296">
        <v>0</v>
      </c>
      <c r="H236" s="296">
        <v>0</v>
      </c>
      <c r="J236" s="296">
        <v>0</v>
      </c>
      <c r="L236" s="365">
        <v>0</v>
      </c>
      <c r="N236" s="365">
        <v>0</v>
      </c>
      <c r="Y236" s="232"/>
      <c r="Z236" s="236"/>
    </row>
    <row r="237" spans="1:26" ht="12.75">
      <c r="A237" s="5">
        <v>4220</v>
      </c>
      <c r="B237" s="6" t="s">
        <v>743</v>
      </c>
      <c r="D237" s="296">
        <v>-291187.5</v>
      </c>
      <c r="E237" s="297"/>
      <c r="F237" s="296">
        <v>-388914.4</v>
      </c>
      <c r="H237" s="296">
        <v>0</v>
      </c>
      <c r="J237" s="296">
        <v>0</v>
      </c>
      <c r="L237" s="365">
        <v>0</v>
      </c>
      <c r="N237" s="365">
        <v>0</v>
      </c>
      <c r="Y237" s="232"/>
      <c r="Z237" s="236"/>
    </row>
    <row r="238" spans="1:26" ht="12.75">
      <c r="A238" s="5">
        <v>4225</v>
      </c>
      <c r="B238" s="6" t="s">
        <v>744</v>
      </c>
      <c r="D238" s="296">
        <v>-50782.53</v>
      </c>
      <c r="E238" s="297"/>
      <c r="F238" s="296">
        <v>-58400.42</v>
      </c>
      <c r="H238" s="296">
        <v>-46379.28</v>
      </c>
      <c r="J238" s="296">
        <v>-39645.78</v>
      </c>
      <c r="L238" s="365">
        <v>-50235.03</v>
      </c>
      <c r="N238" s="365">
        <v>-54253.8</v>
      </c>
      <c r="Y238" s="232"/>
      <c r="Z238" s="236"/>
    </row>
    <row r="239" spans="1:26" ht="12.75">
      <c r="A239" s="5">
        <v>4230</v>
      </c>
      <c r="B239" s="6" t="s">
        <v>745</v>
      </c>
      <c r="D239" s="296">
        <v>0</v>
      </c>
      <c r="E239" s="297"/>
      <c r="F239" s="296">
        <v>0</v>
      </c>
      <c r="H239" s="296">
        <v>0</v>
      </c>
      <c r="J239" s="296">
        <v>0</v>
      </c>
      <c r="L239" s="365">
        <v>0</v>
      </c>
      <c r="N239" s="365">
        <v>0</v>
      </c>
      <c r="Y239" s="232"/>
      <c r="Z239" s="236"/>
    </row>
    <row r="240" spans="1:26" ht="12.75">
      <c r="A240" s="5">
        <v>4235</v>
      </c>
      <c r="B240" s="6" t="s">
        <v>746</v>
      </c>
      <c r="D240" s="296">
        <v>-64605.85</v>
      </c>
      <c r="E240" s="297"/>
      <c r="F240" s="296">
        <v>-82393.55</v>
      </c>
      <c r="H240" s="296">
        <v>-95807.98</v>
      </c>
      <c r="J240" s="296">
        <v>-123901.39</v>
      </c>
      <c r="L240" s="365">
        <v>-148875</v>
      </c>
      <c r="N240" s="365">
        <v>-234290</v>
      </c>
      <c r="Y240" s="232"/>
      <c r="Z240" s="236"/>
    </row>
    <row r="241" spans="1:26" ht="12.75">
      <c r="A241" s="5">
        <v>4240</v>
      </c>
      <c r="B241" s="6" t="s">
        <v>747</v>
      </c>
      <c r="D241" s="296">
        <v>0</v>
      </c>
      <c r="E241" s="297"/>
      <c r="F241" s="296">
        <v>0</v>
      </c>
      <c r="H241" s="296">
        <v>0</v>
      </c>
      <c r="J241" s="296">
        <v>0</v>
      </c>
      <c r="L241" s="365">
        <v>0</v>
      </c>
      <c r="N241" s="365">
        <v>0</v>
      </c>
      <c r="Y241" s="232"/>
      <c r="Z241" s="236"/>
    </row>
    <row r="242" spans="1:26" ht="12.75">
      <c r="A242" s="5">
        <v>4245</v>
      </c>
      <c r="B242" s="6" t="s">
        <v>748</v>
      </c>
      <c r="D242" s="296">
        <v>0</v>
      </c>
      <c r="E242" s="297"/>
      <c r="F242" s="296">
        <v>0</v>
      </c>
      <c r="H242" s="296">
        <v>0</v>
      </c>
      <c r="J242" s="296">
        <v>0</v>
      </c>
      <c r="L242" s="365">
        <v>0</v>
      </c>
      <c r="N242" s="365">
        <v>0</v>
      </c>
      <c r="Y242" s="232"/>
      <c r="Z242" s="236"/>
    </row>
    <row r="243" spans="2:26" ht="12.75">
      <c r="B243" s="237" t="s">
        <v>121</v>
      </c>
      <c r="D243" s="290"/>
      <c r="E243" s="297"/>
      <c r="F243" s="290"/>
      <c r="Y243" s="232"/>
      <c r="Z243" s="236"/>
    </row>
    <row r="244" spans="1:26" ht="12.75">
      <c r="A244" s="5">
        <v>4305</v>
      </c>
      <c r="B244" s="6" t="s">
        <v>749</v>
      </c>
      <c r="D244" s="296">
        <v>0</v>
      </c>
      <c r="E244" s="297"/>
      <c r="F244" s="296">
        <v>0</v>
      </c>
      <c r="H244" s="296">
        <v>0</v>
      </c>
      <c r="J244" s="296">
        <v>0</v>
      </c>
      <c r="L244" s="365">
        <v>0</v>
      </c>
      <c r="N244" s="365">
        <v>0</v>
      </c>
      <c r="Y244" s="232"/>
      <c r="Z244" s="236"/>
    </row>
    <row r="245" spans="1:26" ht="12.75">
      <c r="A245" s="5">
        <v>4310</v>
      </c>
      <c r="B245" s="6" t="s">
        <v>750</v>
      </c>
      <c r="D245" s="296">
        <v>0</v>
      </c>
      <c r="E245" s="297"/>
      <c r="F245" s="296">
        <v>0</v>
      </c>
      <c r="H245" s="296">
        <v>0</v>
      </c>
      <c r="J245" s="296">
        <v>0</v>
      </c>
      <c r="L245" s="365">
        <v>0</v>
      </c>
      <c r="N245" s="365">
        <v>0</v>
      </c>
      <c r="Y245" s="232"/>
      <c r="Z245" s="236"/>
    </row>
    <row r="246" spans="1:26" ht="12.75">
      <c r="A246" s="5">
        <v>4315</v>
      </c>
      <c r="B246" s="6" t="s">
        <v>751</v>
      </c>
      <c r="D246" s="296">
        <v>0</v>
      </c>
      <c r="E246" s="297"/>
      <c r="F246" s="296">
        <v>0</v>
      </c>
      <c r="H246" s="296">
        <v>0</v>
      </c>
      <c r="J246" s="296">
        <v>0</v>
      </c>
      <c r="L246" s="365">
        <v>0</v>
      </c>
      <c r="N246" s="365">
        <v>0</v>
      </c>
      <c r="Y246" s="232"/>
      <c r="Z246" s="236"/>
    </row>
    <row r="247" spans="1:26" ht="12.75">
      <c r="A247" s="5">
        <v>4320</v>
      </c>
      <c r="B247" s="6" t="s">
        <v>752</v>
      </c>
      <c r="D247" s="296">
        <v>0</v>
      </c>
      <c r="E247" s="297"/>
      <c r="F247" s="296">
        <v>0</v>
      </c>
      <c r="H247" s="296">
        <v>0</v>
      </c>
      <c r="J247" s="296">
        <v>0</v>
      </c>
      <c r="L247" s="365">
        <v>0</v>
      </c>
      <c r="N247" s="365">
        <v>0</v>
      </c>
      <c r="Y247" s="232"/>
      <c r="Z247" s="236"/>
    </row>
    <row r="248" spans="1:26" ht="12.75">
      <c r="A248" s="5">
        <v>4324</v>
      </c>
      <c r="B248" s="6" t="s">
        <v>881</v>
      </c>
      <c r="D248" s="296">
        <v>0</v>
      </c>
      <c r="E248" s="297"/>
      <c r="F248" s="296">
        <v>0</v>
      </c>
      <c r="H248" s="296">
        <v>0</v>
      </c>
      <c r="J248" s="296">
        <v>0</v>
      </c>
      <c r="L248" s="365">
        <v>0</v>
      </c>
      <c r="N248" s="365">
        <v>0</v>
      </c>
      <c r="Y248" s="232"/>
      <c r="Z248" s="236"/>
    </row>
    <row r="249" spans="1:26" ht="12.75">
      <c r="A249" s="5">
        <v>4325</v>
      </c>
      <c r="B249" s="6" t="s">
        <v>753</v>
      </c>
      <c r="D249" s="296">
        <v>0</v>
      </c>
      <c r="E249" s="297"/>
      <c r="F249" s="296">
        <v>0</v>
      </c>
      <c r="H249" s="296">
        <v>0</v>
      </c>
      <c r="J249" s="296">
        <v>0</v>
      </c>
      <c r="L249" s="365">
        <v>0</v>
      </c>
      <c r="N249" s="365">
        <v>0</v>
      </c>
      <c r="Y249" s="232"/>
      <c r="Z249" s="236"/>
    </row>
    <row r="250" spans="1:26" ht="12.75">
      <c r="A250" s="5">
        <v>4330</v>
      </c>
      <c r="B250" s="6" t="s">
        <v>754</v>
      </c>
      <c r="D250" s="296">
        <v>0</v>
      </c>
      <c r="E250" s="297"/>
      <c r="F250" s="296">
        <v>0</v>
      </c>
      <c r="H250" s="296">
        <v>0</v>
      </c>
      <c r="J250" s="296">
        <v>0</v>
      </c>
      <c r="L250" s="365">
        <v>0</v>
      </c>
      <c r="N250" s="365">
        <v>0</v>
      </c>
      <c r="Y250" s="232"/>
      <c r="Z250" s="236"/>
    </row>
    <row r="251" spans="1:26" ht="12.75">
      <c r="A251" s="5">
        <v>4335</v>
      </c>
      <c r="B251" s="6" t="s">
        <v>755</v>
      </c>
      <c r="D251" s="296">
        <v>0</v>
      </c>
      <c r="E251" s="297"/>
      <c r="F251" s="296">
        <v>0</v>
      </c>
      <c r="H251" s="296">
        <v>0</v>
      </c>
      <c r="J251" s="296">
        <v>0</v>
      </c>
      <c r="L251" s="365">
        <v>0</v>
      </c>
      <c r="N251" s="365">
        <v>0</v>
      </c>
      <c r="Y251" s="232"/>
      <c r="Z251" s="236"/>
    </row>
    <row r="252" spans="1:26" ht="12.75">
      <c r="A252" s="5">
        <v>4340</v>
      </c>
      <c r="B252" s="6" t="s">
        <v>756</v>
      </c>
      <c r="D252" s="296">
        <v>0</v>
      </c>
      <c r="E252" s="297"/>
      <c r="F252" s="296">
        <v>0</v>
      </c>
      <c r="H252" s="296">
        <v>0</v>
      </c>
      <c r="J252" s="296">
        <v>0</v>
      </c>
      <c r="L252" s="365">
        <v>0</v>
      </c>
      <c r="N252" s="365">
        <v>0</v>
      </c>
      <c r="Y252" s="232"/>
      <c r="Z252" s="236"/>
    </row>
    <row r="253" spans="1:26" ht="12.75">
      <c r="A253" s="5">
        <v>4345</v>
      </c>
      <c r="B253" s="6" t="s">
        <v>757</v>
      </c>
      <c r="D253" s="296">
        <v>0</v>
      </c>
      <c r="E253" s="297"/>
      <c r="F253" s="296">
        <v>0</v>
      </c>
      <c r="H253" s="296">
        <v>0</v>
      </c>
      <c r="J253" s="296">
        <v>0</v>
      </c>
      <c r="L253" s="365">
        <v>0</v>
      </c>
      <c r="N253" s="365">
        <v>0</v>
      </c>
      <c r="Y253" s="232"/>
      <c r="Z253" s="236"/>
    </row>
    <row r="254" spans="1:26" ht="12.75">
      <c r="A254" s="5">
        <v>4350</v>
      </c>
      <c r="B254" s="6" t="s">
        <v>758</v>
      </c>
      <c r="D254" s="296">
        <v>0</v>
      </c>
      <c r="E254" s="297"/>
      <c r="F254" s="296">
        <v>0</v>
      </c>
      <c r="H254" s="296">
        <v>0</v>
      </c>
      <c r="J254" s="296">
        <v>0</v>
      </c>
      <c r="L254" s="365">
        <v>0</v>
      </c>
      <c r="N254" s="365">
        <v>0</v>
      </c>
      <c r="Y254" s="232"/>
      <c r="Z254" s="236"/>
    </row>
    <row r="255" spans="1:26" ht="12.75">
      <c r="A255" s="5">
        <v>4355</v>
      </c>
      <c r="B255" s="6" t="s">
        <v>759</v>
      </c>
      <c r="D255" s="296">
        <v>-35620.75</v>
      </c>
      <c r="E255" s="297"/>
      <c r="F255" s="296">
        <v>-15300</v>
      </c>
      <c r="H255" s="296">
        <v>-40</v>
      </c>
      <c r="J255" s="296">
        <v>-3520</v>
      </c>
      <c r="L255" s="365">
        <v>-1000</v>
      </c>
      <c r="N255" s="365">
        <v>-1000</v>
      </c>
      <c r="Y255" s="232"/>
      <c r="Z255" s="236"/>
    </row>
    <row r="256" spans="1:26" ht="12.75">
      <c r="A256" s="5">
        <v>4360</v>
      </c>
      <c r="B256" s="6" t="s">
        <v>760</v>
      </c>
      <c r="D256" s="296">
        <v>0</v>
      </c>
      <c r="E256" s="297"/>
      <c r="F256" s="296">
        <v>0</v>
      </c>
      <c r="H256" s="296">
        <v>0</v>
      </c>
      <c r="J256" s="296">
        <v>0</v>
      </c>
      <c r="L256" s="365">
        <v>0</v>
      </c>
      <c r="N256" s="365">
        <v>0</v>
      </c>
      <c r="Y256" s="232"/>
      <c r="Z256" s="236"/>
    </row>
    <row r="257" spans="1:26" ht="12.75">
      <c r="A257" s="5">
        <v>4365</v>
      </c>
      <c r="B257" s="6" t="s">
        <v>761</v>
      </c>
      <c r="D257" s="296">
        <v>0</v>
      </c>
      <c r="E257" s="297"/>
      <c r="F257" s="296">
        <v>0</v>
      </c>
      <c r="H257" s="296">
        <v>0</v>
      </c>
      <c r="J257" s="296">
        <v>0</v>
      </c>
      <c r="L257" s="365">
        <v>0</v>
      </c>
      <c r="N257" s="365">
        <v>0</v>
      </c>
      <c r="Y257" s="232"/>
      <c r="Z257" s="236"/>
    </row>
    <row r="258" spans="1:26" ht="12.75">
      <c r="A258" s="5">
        <v>4370</v>
      </c>
      <c r="B258" s="6" t="s">
        <v>762</v>
      </c>
      <c r="D258" s="296">
        <v>0</v>
      </c>
      <c r="E258" s="297"/>
      <c r="F258" s="296">
        <v>0</v>
      </c>
      <c r="H258" s="296">
        <v>0</v>
      </c>
      <c r="J258" s="296">
        <v>0</v>
      </c>
      <c r="L258" s="365">
        <v>0</v>
      </c>
      <c r="N258" s="365">
        <v>0</v>
      </c>
      <c r="Y258" s="232"/>
      <c r="Z258" s="236"/>
    </row>
    <row r="259" spans="1:26" ht="12.75">
      <c r="A259" s="5">
        <v>4375</v>
      </c>
      <c r="B259" s="6" t="s">
        <v>763</v>
      </c>
      <c r="D259" s="296">
        <v>0</v>
      </c>
      <c r="E259" s="297"/>
      <c r="F259" s="296">
        <v>-142732.67</v>
      </c>
      <c r="H259" s="296">
        <v>-878547.52</v>
      </c>
      <c r="J259" s="296">
        <v>-952864.9</v>
      </c>
      <c r="L259" s="365">
        <v>-793005</v>
      </c>
      <c r="N259" s="365">
        <v>-829343.8158076663</v>
      </c>
      <c r="Y259" s="232"/>
      <c r="Z259" s="236"/>
    </row>
    <row r="260" spans="1:26" ht="12.75">
      <c r="A260" s="5">
        <v>4380</v>
      </c>
      <c r="B260" s="6" t="s">
        <v>764</v>
      </c>
      <c r="D260" s="296">
        <v>0</v>
      </c>
      <c r="E260" s="297"/>
      <c r="F260" s="296">
        <v>143881.66</v>
      </c>
      <c r="H260" s="296">
        <v>733267.39</v>
      </c>
      <c r="J260" s="296">
        <v>856350.6</v>
      </c>
      <c r="L260" s="365">
        <v>717977.6950309041</v>
      </c>
      <c r="N260" s="365">
        <v>770512.2326919878</v>
      </c>
      <c r="Y260" s="232"/>
      <c r="Z260" s="236"/>
    </row>
    <row r="261" spans="1:26" ht="12.75">
      <c r="A261" s="5">
        <v>4385</v>
      </c>
      <c r="B261" s="6" t="s">
        <v>764</v>
      </c>
      <c r="D261" s="296">
        <v>0</v>
      </c>
      <c r="E261" s="297"/>
      <c r="F261" s="296">
        <v>0</v>
      </c>
      <c r="H261" s="296">
        <v>0</v>
      </c>
      <c r="J261" s="296">
        <v>0</v>
      </c>
      <c r="L261" s="365">
        <v>0</v>
      </c>
      <c r="N261" s="365">
        <v>0</v>
      </c>
      <c r="Y261" s="232"/>
      <c r="Z261" s="236"/>
    </row>
    <row r="262" spans="1:26" ht="12.75">
      <c r="A262" s="5">
        <v>4390</v>
      </c>
      <c r="B262" s="6" t="s">
        <v>765</v>
      </c>
      <c r="D262" s="296">
        <v>-8931.69</v>
      </c>
      <c r="E262" s="297"/>
      <c r="F262" s="296">
        <v>-13144.79</v>
      </c>
      <c r="H262" s="296">
        <v>-11928.07</v>
      </c>
      <c r="J262" s="296">
        <v>-29468.969999999998</v>
      </c>
      <c r="L262" s="365">
        <v>-25350</v>
      </c>
      <c r="N262" s="365">
        <v>-15350</v>
      </c>
      <c r="Y262" s="232"/>
      <c r="Z262" s="236"/>
    </row>
    <row r="263" spans="1:26" ht="12.75">
      <c r="A263" s="5">
        <v>4395</v>
      </c>
      <c r="B263" s="6" t="s">
        <v>766</v>
      </c>
      <c r="D263" s="296">
        <v>0</v>
      </c>
      <c r="E263" s="297"/>
      <c r="F263" s="296">
        <v>0</v>
      </c>
      <c r="H263" s="296">
        <v>0</v>
      </c>
      <c r="J263" s="296">
        <v>0</v>
      </c>
      <c r="L263" s="365">
        <v>0</v>
      </c>
      <c r="N263" s="365">
        <v>0</v>
      </c>
      <c r="Y263" s="232"/>
      <c r="Z263" s="236"/>
    </row>
    <row r="264" spans="1:26" ht="12.75">
      <c r="A264" s="5">
        <v>4398</v>
      </c>
      <c r="B264" s="6" t="s">
        <v>767</v>
      </c>
      <c r="D264" s="296">
        <v>0</v>
      </c>
      <c r="E264" s="297"/>
      <c r="F264" s="296">
        <v>0</v>
      </c>
      <c r="H264" s="296">
        <v>0</v>
      </c>
      <c r="J264" s="296">
        <v>0</v>
      </c>
      <c r="L264" s="365">
        <v>0</v>
      </c>
      <c r="N264" s="365">
        <v>0</v>
      </c>
      <c r="Y264" s="232"/>
      <c r="Z264" s="236"/>
    </row>
    <row r="265" spans="2:26" ht="12.75">
      <c r="B265" s="237" t="s">
        <v>122</v>
      </c>
      <c r="D265" s="290"/>
      <c r="E265" s="297"/>
      <c r="F265" s="290"/>
      <c r="Y265" s="232"/>
      <c r="Z265" s="236"/>
    </row>
    <row r="266" spans="1:26" ht="12.75">
      <c r="A266" s="5">
        <v>4405</v>
      </c>
      <c r="B266" s="6" t="s">
        <v>768</v>
      </c>
      <c r="D266" s="296">
        <v>-164649.14</v>
      </c>
      <c r="E266" s="297"/>
      <c r="F266" s="296">
        <v>-195345.92</v>
      </c>
      <c r="H266" s="296">
        <v>-164845.39</v>
      </c>
      <c r="J266" s="296">
        <v>-26961.56</v>
      </c>
      <c r="L266" s="365">
        <v>-42955.82</v>
      </c>
      <c r="N266" s="365">
        <v>-45700</v>
      </c>
      <c r="O266" s="290"/>
      <c r="Y266" s="232"/>
      <c r="Z266" s="236"/>
    </row>
    <row r="267" spans="1:26" ht="12.75">
      <c r="A267" s="5">
        <v>4415</v>
      </c>
      <c r="B267" s="6" t="s">
        <v>769</v>
      </c>
      <c r="D267" s="296">
        <v>0</v>
      </c>
      <c r="E267" s="297"/>
      <c r="F267" s="296">
        <v>0</v>
      </c>
      <c r="H267" s="296">
        <v>0</v>
      </c>
      <c r="J267" s="296">
        <v>0</v>
      </c>
      <c r="L267" s="365">
        <v>0</v>
      </c>
      <c r="N267" s="365">
        <v>0</v>
      </c>
      <c r="Y267" s="232"/>
      <c r="Z267" s="236"/>
    </row>
    <row r="268" spans="2:26" ht="12.75">
      <c r="B268" s="237" t="s">
        <v>123</v>
      </c>
      <c r="D268" s="290"/>
      <c r="E268" s="297"/>
      <c r="F268" s="290"/>
      <c r="Y268" s="232"/>
      <c r="Z268" s="236"/>
    </row>
    <row r="269" spans="1:26" ht="12.75">
      <c r="A269" s="5">
        <v>4705</v>
      </c>
      <c r="B269" s="6" t="s">
        <v>568</v>
      </c>
      <c r="D269" s="296">
        <v>22930649.78</v>
      </c>
      <c r="E269" s="297"/>
      <c r="F269" s="296">
        <v>21971889.15</v>
      </c>
      <c r="H269" s="296">
        <v>21666853.42</v>
      </c>
      <c r="J269" s="296">
        <v>15589267.59</v>
      </c>
      <c r="L269" s="365">
        <v>24296737.420960955</v>
      </c>
      <c r="N269" s="365">
        <v>24545867.953484975</v>
      </c>
      <c r="Y269" s="232"/>
      <c r="Z269" s="236"/>
    </row>
    <row r="270" spans="1:26" ht="12.75">
      <c r="A270" s="5">
        <v>4708</v>
      </c>
      <c r="B270" s="6" t="s">
        <v>734</v>
      </c>
      <c r="D270" s="296">
        <v>2114180.06</v>
      </c>
      <c r="E270" s="297"/>
      <c r="F270" s="296">
        <v>2052418.53</v>
      </c>
      <c r="H270" s="296">
        <v>2312713.36</v>
      </c>
      <c r="J270" s="296">
        <v>2269892.29</v>
      </c>
      <c r="L270" s="365">
        <v>2380058.6728392164</v>
      </c>
      <c r="N270" s="365">
        <v>2404462.9899427677</v>
      </c>
      <c r="Y270" s="232"/>
      <c r="Z270" s="236"/>
    </row>
    <row r="271" spans="1:26" ht="12.75">
      <c r="A271" s="5">
        <v>4710</v>
      </c>
      <c r="B271" s="6" t="s">
        <v>131</v>
      </c>
      <c r="D271" s="296">
        <v>0</v>
      </c>
      <c r="E271" s="297"/>
      <c r="F271" s="296">
        <v>0</v>
      </c>
      <c r="H271" s="296">
        <v>0</v>
      </c>
      <c r="J271" s="296">
        <v>0</v>
      </c>
      <c r="L271" s="365">
        <v>0</v>
      </c>
      <c r="N271" s="365">
        <v>0</v>
      </c>
      <c r="Y271" s="232"/>
      <c r="Z271" s="236"/>
    </row>
    <row r="272" spans="1:26" ht="12.75">
      <c r="A272" s="5">
        <v>4712</v>
      </c>
      <c r="B272" s="6">
        <v>0</v>
      </c>
      <c r="D272" s="296">
        <v>0</v>
      </c>
      <c r="E272" s="297"/>
      <c r="F272" s="296">
        <v>0</v>
      </c>
      <c r="H272" s="296">
        <v>0</v>
      </c>
      <c r="J272" s="296">
        <v>0</v>
      </c>
      <c r="L272" s="365">
        <v>0</v>
      </c>
      <c r="N272" s="365">
        <v>0</v>
      </c>
      <c r="Y272" s="232"/>
      <c r="Z272" s="236"/>
    </row>
    <row r="273" spans="1:26" ht="12.75">
      <c r="A273" s="5">
        <v>4714</v>
      </c>
      <c r="B273" s="6" t="s">
        <v>770</v>
      </c>
      <c r="D273" s="296">
        <v>2248812.38</v>
      </c>
      <c r="E273" s="297"/>
      <c r="F273" s="296">
        <v>2174881.16</v>
      </c>
      <c r="H273" s="296">
        <v>1749327.92</v>
      </c>
      <c r="J273" s="296">
        <v>1770102.72</v>
      </c>
      <c r="L273" s="365">
        <v>2260186.362943545</v>
      </c>
      <c r="N273" s="365">
        <v>1977275.58122619</v>
      </c>
      <c r="Y273" s="232"/>
      <c r="Z273" s="236"/>
    </row>
    <row r="274" spans="1:26" ht="12.75">
      <c r="A274" s="5">
        <v>4715</v>
      </c>
      <c r="B274" s="6" t="s">
        <v>132</v>
      </c>
      <c r="D274" s="296">
        <v>0</v>
      </c>
      <c r="E274" s="297"/>
      <c r="F274" s="296">
        <v>0</v>
      </c>
      <c r="H274" s="296">
        <v>0</v>
      </c>
      <c r="J274" s="296">
        <v>0</v>
      </c>
      <c r="L274" s="365">
        <v>0</v>
      </c>
      <c r="N274" s="365">
        <v>0</v>
      </c>
      <c r="Y274" s="232"/>
      <c r="Z274" s="236"/>
    </row>
    <row r="275" spans="1:26" ht="12.75">
      <c r="A275" s="5">
        <v>4716</v>
      </c>
      <c r="B275" s="6" t="s">
        <v>771</v>
      </c>
      <c r="D275" s="296">
        <v>1845394.92</v>
      </c>
      <c r="E275" s="297"/>
      <c r="F275" s="296">
        <v>1818224.59</v>
      </c>
      <c r="H275" s="296">
        <v>1691541.31</v>
      </c>
      <c r="J275" s="296">
        <v>1629550.6400000001</v>
      </c>
      <c r="L275" s="365">
        <v>1769920.3464559633</v>
      </c>
      <c r="N275" s="365">
        <v>1659814.71116337</v>
      </c>
      <c r="Y275" s="232"/>
      <c r="Z275" s="236"/>
    </row>
    <row r="276" spans="1:26" ht="12.75">
      <c r="A276" s="5">
        <v>4720</v>
      </c>
      <c r="B276" s="6" t="s">
        <v>124</v>
      </c>
      <c r="D276" s="296">
        <v>0</v>
      </c>
      <c r="E276" s="297"/>
      <c r="F276" s="296">
        <v>0</v>
      </c>
      <c r="H276" s="296">
        <v>0</v>
      </c>
      <c r="J276" s="296">
        <v>0</v>
      </c>
      <c r="L276" s="365">
        <v>0</v>
      </c>
      <c r="N276" s="365">
        <v>0</v>
      </c>
      <c r="Y276" s="232"/>
      <c r="Z276" s="236"/>
    </row>
    <row r="277" spans="1:26" ht="12.75">
      <c r="A277" s="5">
        <v>4725</v>
      </c>
      <c r="B277" s="6" t="s">
        <v>133</v>
      </c>
      <c r="D277" s="296">
        <v>0</v>
      </c>
      <c r="E277" s="297"/>
      <c r="F277" s="296">
        <v>0</v>
      </c>
      <c r="H277" s="296">
        <v>0</v>
      </c>
      <c r="J277" s="296">
        <v>0</v>
      </c>
      <c r="L277" s="365">
        <v>0</v>
      </c>
      <c r="N277" s="365">
        <v>0</v>
      </c>
      <c r="Y277" s="232"/>
      <c r="Z277" s="236"/>
    </row>
    <row r="278" spans="1:26" ht="12.75">
      <c r="A278" s="5">
        <v>4730</v>
      </c>
      <c r="B278" s="6" t="s">
        <v>134</v>
      </c>
      <c r="D278" s="296">
        <v>0</v>
      </c>
      <c r="E278" s="297"/>
      <c r="F278" s="296">
        <v>0</v>
      </c>
      <c r="H278" s="296">
        <v>0</v>
      </c>
      <c r="J278" s="296">
        <v>0</v>
      </c>
      <c r="L278" s="365">
        <v>0</v>
      </c>
      <c r="N278" s="365">
        <v>0</v>
      </c>
      <c r="Y278" s="232"/>
      <c r="Z278" s="236"/>
    </row>
    <row r="279" spans="1:26" ht="12.75">
      <c r="A279" s="5">
        <v>4750</v>
      </c>
      <c r="B279" s="6" t="s">
        <v>735</v>
      </c>
      <c r="D279" s="296">
        <v>0</v>
      </c>
      <c r="E279" s="297"/>
      <c r="F279" s="296">
        <v>0</v>
      </c>
      <c r="H279" s="296">
        <v>0</v>
      </c>
      <c r="J279" s="296">
        <v>0</v>
      </c>
      <c r="L279" s="365">
        <v>0</v>
      </c>
      <c r="N279" s="365">
        <v>0</v>
      </c>
      <c r="Y279" s="232"/>
      <c r="Z279" s="236"/>
    </row>
    <row r="280" spans="2:26" ht="12.75">
      <c r="B280" s="237" t="s">
        <v>161</v>
      </c>
      <c r="D280" s="290"/>
      <c r="E280" s="297"/>
      <c r="F280" s="290"/>
      <c r="Y280" s="232"/>
      <c r="Z280" s="236"/>
    </row>
    <row r="281" spans="1:26" ht="12.75">
      <c r="A281" s="5">
        <v>5005</v>
      </c>
      <c r="B281" s="6" t="s">
        <v>772</v>
      </c>
      <c r="D281" s="296">
        <v>202383.04</v>
      </c>
      <c r="E281" s="297"/>
      <c r="F281" s="296">
        <v>210347.61</v>
      </c>
      <c r="H281" s="296">
        <v>207437.1</v>
      </c>
      <c r="J281" s="296">
        <v>227795.46000000002</v>
      </c>
      <c r="L281" s="365">
        <v>205500</v>
      </c>
      <c r="N281" s="365">
        <v>107021.43051952527</v>
      </c>
      <c r="Y281" s="232"/>
      <c r="Z281" s="236"/>
    </row>
    <row r="282" spans="1:26" ht="12.75">
      <c r="A282" s="5">
        <v>5010</v>
      </c>
      <c r="B282" s="6" t="s">
        <v>773</v>
      </c>
      <c r="D282" s="296">
        <v>83054.93</v>
      </c>
      <c r="E282" s="297"/>
      <c r="F282" s="296">
        <v>81566.88</v>
      </c>
      <c r="H282" s="296">
        <v>38004</v>
      </c>
      <c r="J282" s="296">
        <v>33981.4</v>
      </c>
      <c r="L282" s="365">
        <v>40500</v>
      </c>
      <c r="N282" s="365">
        <v>51816.06425955656</v>
      </c>
      <c r="Y282" s="232"/>
      <c r="Z282" s="236"/>
    </row>
    <row r="283" spans="1:26" ht="12.75">
      <c r="A283" s="5">
        <v>5012</v>
      </c>
      <c r="B283" s="6" t="s">
        <v>774</v>
      </c>
      <c r="D283" s="296">
        <v>4690.92</v>
      </c>
      <c r="E283" s="297"/>
      <c r="F283" s="296">
        <v>1781.87</v>
      </c>
      <c r="H283" s="296">
        <v>14442.26</v>
      </c>
      <c r="J283" s="296">
        <v>12539.9</v>
      </c>
      <c r="L283" s="365">
        <v>36300</v>
      </c>
      <c r="N283" s="365">
        <v>52934.16790712932</v>
      </c>
      <c r="Y283" s="232"/>
      <c r="Z283" s="236"/>
    </row>
    <row r="284" spans="1:26" ht="12.75">
      <c r="A284" s="5">
        <v>5014</v>
      </c>
      <c r="B284" s="6" t="s">
        <v>775</v>
      </c>
      <c r="D284" s="296">
        <v>0</v>
      </c>
      <c r="E284" s="297"/>
      <c r="F284" s="296">
        <v>0</v>
      </c>
      <c r="H284" s="296">
        <v>0</v>
      </c>
      <c r="J284" s="296">
        <v>0</v>
      </c>
      <c r="L284" s="365">
        <v>0</v>
      </c>
      <c r="N284" s="365">
        <v>0</v>
      </c>
      <c r="Y284" s="232"/>
      <c r="Z284" s="236"/>
    </row>
    <row r="285" spans="1:26" ht="12.75">
      <c r="A285" s="5">
        <v>5015</v>
      </c>
      <c r="B285" s="6" t="s">
        <v>776</v>
      </c>
      <c r="D285" s="296">
        <v>0</v>
      </c>
      <c r="E285" s="297"/>
      <c r="F285" s="296">
        <v>0</v>
      </c>
      <c r="H285" s="296">
        <v>0</v>
      </c>
      <c r="J285" s="296">
        <v>0</v>
      </c>
      <c r="L285" s="365">
        <v>0</v>
      </c>
      <c r="N285" s="365">
        <v>0</v>
      </c>
      <c r="Y285" s="232"/>
      <c r="Z285" s="236"/>
    </row>
    <row r="286" spans="1:26" ht="12.75">
      <c r="A286" s="362">
        <v>5016</v>
      </c>
      <c r="B286" s="6" t="s">
        <v>777</v>
      </c>
      <c r="D286" s="296">
        <v>32249.64</v>
      </c>
      <c r="E286" s="297"/>
      <c r="F286" s="296">
        <v>25193.45</v>
      </c>
      <c r="H286" s="296">
        <v>32551.56</v>
      </c>
      <c r="J286" s="296">
        <v>40138.18</v>
      </c>
      <c r="L286" s="365">
        <v>45000</v>
      </c>
      <c r="N286" s="365">
        <v>33291.6152267471</v>
      </c>
      <c r="Y286" s="232"/>
      <c r="Z286" s="236"/>
    </row>
    <row r="287" spans="1:26" ht="12.75">
      <c r="A287" s="5">
        <v>5017</v>
      </c>
      <c r="B287" s="6" t="s">
        <v>778</v>
      </c>
      <c r="D287" s="296">
        <v>21920.23</v>
      </c>
      <c r="E287" s="297"/>
      <c r="F287" s="296">
        <v>175.29</v>
      </c>
      <c r="H287" s="296">
        <v>15238.02</v>
      </c>
      <c r="J287" s="296">
        <v>13567.74</v>
      </c>
      <c r="L287" s="365">
        <v>12611</v>
      </c>
      <c r="N287" s="365">
        <v>14500</v>
      </c>
      <c r="Y287" s="232"/>
      <c r="Z287" s="236"/>
    </row>
    <row r="288" spans="1:26" ht="12.75">
      <c r="A288" s="5">
        <v>5020</v>
      </c>
      <c r="B288" s="6" t="s">
        <v>779</v>
      </c>
      <c r="D288" s="296">
        <v>19027.68</v>
      </c>
      <c r="E288" s="297"/>
      <c r="F288" s="296">
        <v>25501.62</v>
      </c>
      <c r="H288" s="296">
        <v>29369.82</v>
      </c>
      <c r="J288" s="296">
        <v>32594.250000000004</v>
      </c>
      <c r="L288" s="365">
        <v>36000</v>
      </c>
      <c r="N288" s="365">
        <v>43274.617891606176</v>
      </c>
      <c r="Y288" s="232"/>
      <c r="Z288" s="236"/>
    </row>
    <row r="289" spans="1:26" ht="12.75">
      <c r="A289" s="5">
        <v>5025</v>
      </c>
      <c r="B289" s="6" t="s">
        <v>780</v>
      </c>
      <c r="D289" s="296">
        <v>11384.82</v>
      </c>
      <c r="E289" s="297"/>
      <c r="F289" s="296">
        <v>2932.38</v>
      </c>
      <c r="H289" s="296">
        <v>5021.31</v>
      </c>
      <c r="J289" s="296">
        <v>7635.860000000001</v>
      </c>
      <c r="L289" s="365">
        <v>3600</v>
      </c>
      <c r="N289" s="365">
        <v>5500</v>
      </c>
      <c r="Y289" s="232"/>
      <c r="Z289" s="236"/>
    </row>
    <row r="290" spans="1:26" ht="12.75">
      <c r="A290" s="5">
        <v>5030</v>
      </c>
      <c r="B290" s="6" t="s">
        <v>781</v>
      </c>
      <c r="D290" s="296">
        <v>0</v>
      </c>
      <c r="E290" s="297"/>
      <c r="F290" s="296">
        <v>0</v>
      </c>
      <c r="H290" s="296">
        <v>0</v>
      </c>
      <c r="J290" s="296">
        <v>0</v>
      </c>
      <c r="L290" s="365">
        <v>0</v>
      </c>
      <c r="N290" s="365">
        <v>0</v>
      </c>
      <c r="Y290" s="232"/>
      <c r="Z290" s="236"/>
    </row>
    <row r="291" spans="1:26" ht="12.75">
      <c r="A291" s="5">
        <v>5035</v>
      </c>
      <c r="B291" s="6" t="s">
        <v>782</v>
      </c>
      <c r="D291" s="296">
        <v>0</v>
      </c>
      <c r="E291" s="297"/>
      <c r="F291" s="296">
        <v>0</v>
      </c>
      <c r="H291" s="296">
        <v>1587.98</v>
      </c>
      <c r="J291" s="296">
        <v>3904.5899999999997</v>
      </c>
      <c r="L291" s="365">
        <v>3300</v>
      </c>
      <c r="N291" s="365">
        <v>3233.6611693323057</v>
      </c>
      <c r="Y291" s="232"/>
      <c r="Z291" s="236"/>
    </row>
    <row r="292" spans="1:26" ht="12.75">
      <c r="A292" s="5">
        <v>5040</v>
      </c>
      <c r="B292" s="6" t="s">
        <v>783</v>
      </c>
      <c r="D292" s="296">
        <v>52995.46</v>
      </c>
      <c r="E292" s="297"/>
      <c r="F292" s="296">
        <v>64326.11</v>
      </c>
      <c r="H292" s="296">
        <v>85874.66</v>
      </c>
      <c r="J292" s="296">
        <v>16231.17</v>
      </c>
      <c r="L292" s="365">
        <v>22000</v>
      </c>
      <c r="N292" s="365">
        <v>34166.928130378</v>
      </c>
      <c r="Y292" s="232"/>
      <c r="Z292" s="236"/>
    </row>
    <row r="293" spans="1:26" ht="12.75">
      <c r="A293" s="5">
        <v>5045</v>
      </c>
      <c r="B293" s="6" t="s">
        <v>784</v>
      </c>
      <c r="D293" s="296">
        <v>19972.82</v>
      </c>
      <c r="E293" s="297"/>
      <c r="F293" s="296">
        <v>10141.62</v>
      </c>
      <c r="H293" s="296">
        <v>12066.19</v>
      </c>
      <c r="J293" s="296">
        <v>4498.12</v>
      </c>
      <c r="L293" s="365">
        <v>17120</v>
      </c>
      <c r="N293" s="365">
        <v>23500</v>
      </c>
      <c r="Y293" s="232"/>
      <c r="Z293" s="236"/>
    </row>
    <row r="294" spans="1:26" ht="12.75">
      <c r="A294" s="5">
        <v>5050</v>
      </c>
      <c r="B294" s="6" t="s">
        <v>785</v>
      </c>
      <c r="D294" s="296">
        <v>0</v>
      </c>
      <c r="E294" s="297"/>
      <c r="F294" s="296">
        <v>0</v>
      </c>
      <c r="H294" s="296">
        <v>0</v>
      </c>
      <c r="J294" s="296">
        <v>0</v>
      </c>
      <c r="L294" s="365">
        <v>0</v>
      </c>
      <c r="N294" s="365">
        <v>0</v>
      </c>
      <c r="Y294" s="232"/>
      <c r="Z294" s="236"/>
    </row>
    <row r="295" spans="1:26" ht="12.75">
      <c r="A295" s="5">
        <v>5055</v>
      </c>
      <c r="B295" s="6" t="s">
        <v>786</v>
      </c>
      <c r="D295" s="296">
        <v>0</v>
      </c>
      <c r="E295" s="297"/>
      <c r="F295" s="296">
        <v>0</v>
      </c>
      <c r="H295" s="296">
        <v>0</v>
      </c>
      <c r="J295" s="296">
        <v>113.28999999999999</v>
      </c>
      <c r="L295" s="365">
        <v>0</v>
      </c>
      <c r="N295" s="365">
        <v>0</v>
      </c>
      <c r="Y295" s="232"/>
      <c r="Z295" s="236"/>
    </row>
    <row r="296" spans="1:26" ht="12.75">
      <c r="A296" s="5">
        <v>5060</v>
      </c>
      <c r="B296" s="6" t="s">
        <v>787</v>
      </c>
      <c r="D296" s="296">
        <v>0</v>
      </c>
      <c r="E296" s="297"/>
      <c r="F296" s="296">
        <v>0</v>
      </c>
      <c r="H296" s="296">
        <v>0</v>
      </c>
      <c r="J296" s="296">
        <f>L296</f>
        <v>0</v>
      </c>
      <c r="L296" s="365">
        <v>0</v>
      </c>
      <c r="N296" s="365">
        <v>0</v>
      </c>
      <c r="Y296" s="232"/>
      <c r="Z296" s="236"/>
    </row>
    <row r="297" spans="1:26" ht="12.75">
      <c r="A297" s="5">
        <v>5065</v>
      </c>
      <c r="B297" s="6" t="s">
        <v>788</v>
      </c>
      <c r="D297" s="296">
        <v>154697.75</v>
      </c>
      <c r="E297" s="297"/>
      <c r="F297" s="296">
        <v>202932.3</v>
      </c>
      <c r="H297" s="296">
        <v>254110.15</v>
      </c>
      <c r="J297" s="296">
        <v>108822.07</v>
      </c>
      <c r="L297" s="365">
        <v>160000</v>
      </c>
      <c r="N297" s="365">
        <v>146159.92060553082</v>
      </c>
      <c r="Y297" s="232"/>
      <c r="Z297" s="236"/>
    </row>
    <row r="298" spans="1:26" ht="12.75">
      <c r="A298" s="5">
        <v>5070</v>
      </c>
      <c r="B298" s="6" t="s">
        <v>789</v>
      </c>
      <c r="D298" s="296">
        <v>0</v>
      </c>
      <c r="E298" s="297"/>
      <c r="F298" s="296">
        <v>0</v>
      </c>
      <c r="H298" s="296">
        <v>161.24</v>
      </c>
      <c r="J298" s="296">
        <v>49764.64</v>
      </c>
      <c r="L298" s="365">
        <v>70000</v>
      </c>
      <c r="N298" s="365">
        <v>63884.72216441888</v>
      </c>
      <c r="Y298" s="232"/>
      <c r="Z298" s="236"/>
    </row>
    <row r="299" spans="1:26" ht="12.75">
      <c r="A299" s="5">
        <v>5075</v>
      </c>
      <c r="B299" s="6" t="s">
        <v>790</v>
      </c>
      <c r="D299" s="296">
        <v>0</v>
      </c>
      <c r="E299" s="297"/>
      <c r="F299" s="296">
        <v>0</v>
      </c>
      <c r="H299" s="296">
        <v>1150</v>
      </c>
      <c r="J299" s="296">
        <v>7212.36</v>
      </c>
      <c r="L299" s="365">
        <v>6000</v>
      </c>
      <c r="N299" s="365">
        <v>8000</v>
      </c>
      <c r="Y299" s="232"/>
      <c r="Z299" s="236"/>
    </row>
    <row r="300" spans="1:26" ht="12.75">
      <c r="A300" s="5">
        <v>5085</v>
      </c>
      <c r="B300" s="6" t="s">
        <v>791</v>
      </c>
      <c r="D300" s="296">
        <v>22242.51</v>
      </c>
      <c r="E300" s="297"/>
      <c r="F300" s="296">
        <v>48369.38</v>
      </c>
      <c r="H300" s="296">
        <v>87577.47</v>
      </c>
      <c r="J300" s="296">
        <v>158828.84</v>
      </c>
      <c r="L300" s="365">
        <v>168548</v>
      </c>
      <c r="N300" s="365">
        <v>194651.48564143703</v>
      </c>
      <c r="Y300" s="232"/>
      <c r="Z300" s="236"/>
    </row>
    <row r="301" spans="1:26" ht="12.75">
      <c r="A301" s="5">
        <v>5090</v>
      </c>
      <c r="B301" s="6" t="s">
        <v>792</v>
      </c>
      <c r="D301" s="296">
        <v>0</v>
      </c>
      <c r="E301" s="297"/>
      <c r="F301" s="296">
        <v>0</v>
      </c>
      <c r="H301" s="296">
        <v>0</v>
      </c>
      <c r="J301" s="296">
        <v>0</v>
      </c>
      <c r="L301" s="365">
        <v>0</v>
      </c>
      <c r="N301" s="365">
        <v>0</v>
      </c>
      <c r="Y301" s="232"/>
      <c r="Z301" s="236"/>
    </row>
    <row r="302" spans="1:26" ht="12.75">
      <c r="A302" s="5">
        <v>5095</v>
      </c>
      <c r="B302" s="6" t="s">
        <v>793</v>
      </c>
      <c r="D302" s="296">
        <v>165</v>
      </c>
      <c r="E302" s="297"/>
      <c r="F302" s="296">
        <v>11909.74</v>
      </c>
      <c r="H302" s="296">
        <v>3124.22</v>
      </c>
      <c r="J302" s="296">
        <v>1669.61</v>
      </c>
      <c r="L302" s="365">
        <v>3775</v>
      </c>
      <c r="N302" s="365">
        <v>3625</v>
      </c>
      <c r="Y302" s="232"/>
      <c r="Z302" s="236"/>
    </row>
    <row r="303" spans="1:26" ht="12.75">
      <c r="A303" s="5">
        <v>5096</v>
      </c>
      <c r="B303" s="6" t="s">
        <v>794</v>
      </c>
      <c r="D303" s="296">
        <v>0</v>
      </c>
      <c r="E303" s="297"/>
      <c r="F303" s="296">
        <v>0</v>
      </c>
      <c r="H303" s="296">
        <v>0</v>
      </c>
      <c r="J303" s="296">
        <v>0</v>
      </c>
      <c r="L303" s="365">
        <v>0</v>
      </c>
      <c r="N303" s="365">
        <v>0</v>
      </c>
      <c r="Y303" s="232"/>
      <c r="Z303" s="236"/>
    </row>
    <row r="304" spans="2:26" ht="12.75">
      <c r="B304" s="237" t="s">
        <v>194</v>
      </c>
      <c r="D304" s="290"/>
      <c r="E304" s="297"/>
      <c r="F304" s="290"/>
      <c r="Y304" s="232"/>
      <c r="Z304" s="236"/>
    </row>
    <row r="305" spans="1:26" ht="12.75">
      <c r="A305" s="5">
        <v>5105</v>
      </c>
      <c r="B305" s="6" t="s">
        <v>795</v>
      </c>
      <c r="D305" s="296">
        <v>57053.05</v>
      </c>
      <c r="E305" s="297"/>
      <c r="F305" s="296">
        <v>65649.3</v>
      </c>
      <c r="H305" s="296">
        <v>61394.26</v>
      </c>
      <c r="J305" s="296">
        <v>77867.73999999999</v>
      </c>
      <c r="L305" s="365">
        <v>78200</v>
      </c>
      <c r="N305" s="365">
        <v>84438.12555390396</v>
      </c>
      <c r="Y305" s="232"/>
      <c r="Z305" s="236"/>
    </row>
    <row r="306" spans="1:26" ht="12.75">
      <c r="A306" s="5">
        <v>5110</v>
      </c>
      <c r="B306" s="6" t="s">
        <v>796</v>
      </c>
      <c r="D306" s="296">
        <v>885.05</v>
      </c>
      <c r="E306" s="297"/>
      <c r="F306" s="296">
        <v>0</v>
      </c>
      <c r="H306" s="296">
        <v>87.66</v>
      </c>
      <c r="J306" s="296">
        <v>4623.25</v>
      </c>
      <c r="L306" s="365">
        <v>0</v>
      </c>
      <c r="N306" s="365">
        <v>20060.701058306397</v>
      </c>
      <c r="Y306" s="232"/>
      <c r="Z306" s="236"/>
    </row>
    <row r="307" spans="1:26" ht="12.75">
      <c r="A307" s="5">
        <v>5112</v>
      </c>
      <c r="B307" s="6" t="s">
        <v>137</v>
      </c>
      <c r="D307" s="296">
        <v>0</v>
      </c>
      <c r="E307" s="297"/>
      <c r="F307" s="296">
        <v>0</v>
      </c>
      <c r="H307" s="296">
        <v>0</v>
      </c>
      <c r="J307" s="296">
        <v>0</v>
      </c>
      <c r="L307" s="365">
        <v>0</v>
      </c>
      <c r="N307" s="365">
        <v>0</v>
      </c>
      <c r="Y307" s="232"/>
      <c r="Z307" s="236"/>
    </row>
    <row r="308" spans="1:26" ht="12.75">
      <c r="A308" s="5">
        <v>5114</v>
      </c>
      <c r="B308" s="6" t="s">
        <v>2</v>
      </c>
      <c r="D308" s="296">
        <v>0</v>
      </c>
      <c r="E308" s="297"/>
      <c r="F308" s="296">
        <v>0</v>
      </c>
      <c r="H308" s="296">
        <v>36.11</v>
      </c>
      <c r="J308" s="296">
        <v>6462.38</v>
      </c>
      <c r="L308" s="365">
        <v>10000</v>
      </c>
      <c r="N308" s="365">
        <v>5000</v>
      </c>
      <c r="Y308" s="232"/>
      <c r="Z308" s="236"/>
    </row>
    <row r="309" spans="1:26" ht="12.75">
      <c r="A309" s="5">
        <v>5120</v>
      </c>
      <c r="B309" s="6" t="s">
        <v>797</v>
      </c>
      <c r="D309" s="296">
        <v>22572.3</v>
      </c>
      <c r="E309" s="297"/>
      <c r="F309" s="296">
        <v>34366.75</v>
      </c>
      <c r="H309" s="296">
        <v>57268.89</v>
      </c>
      <c r="J309" s="296">
        <v>54083.729999999996</v>
      </c>
      <c r="L309" s="365">
        <v>85692</v>
      </c>
      <c r="N309" s="365">
        <v>91986.55572531073</v>
      </c>
      <c r="Y309" s="232"/>
      <c r="Z309" s="236"/>
    </row>
    <row r="310" spans="1:26" ht="12.75">
      <c r="A310" s="5">
        <v>5125</v>
      </c>
      <c r="B310" s="6" t="s">
        <v>798</v>
      </c>
      <c r="D310" s="296">
        <v>132919.45</v>
      </c>
      <c r="E310" s="297"/>
      <c r="F310" s="296">
        <v>109197.88</v>
      </c>
      <c r="H310" s="296">
        <v>92174.6</v>
      </c>
      <c r="J310" s="296">
        <v>135773.51</v>
      </c>
      <c r="L310" s="365">
        <v>94000</v>
      </c>
      <c r="N310" s="365">
        <v>116877.15741863378</v>
      </c>
      <c r="Y310" s="232"/>
      <c r="Z310" s="236"/>
    </row>
    <row r="311" spans="1:26" ht="12.75">
      <c r="A311" s="5">
        <v>5130</v>
      </c>
      <c r="B311" s="6" t="s">
        <v>799</v>
      </c>
      <c r="D311" s="296">
        <v>73880.23</v>
      </c>
      <c r="E311" s="297"/>
      <c r="F311" s="296">
        <v>71165.93</v>
      </c>
      <c r="H311" s="296">
        <v>73023.58</v>
      </c>
      <c r="J311" s="296">
        <v>61691.02</v>
      </c>
      <c r="L311" s="365">
        <v>72000</v>
      </c>
      <c r="N311" s="365">
        <v>73273.2233866461</v>
      </c>
      <c r="Y311" s="232"/>
      <c r="Z311" s="236"/>
    </row>
    <row r="312" spans="1:26" ht="12.75">
      <c r="A312" s="5">
        <v>5135</v>
      </c>
      <c r="B312" s="6" t="s">
        <v>800</v>
      </c>
      <c r="D312" s="296">
        <v>57852.28</v>
      </c>
      <c r="E312" s="297"/>
      <c r="F312" s="296">
        <v>69271.68</v>
      </c>
      <c r="H312" s="296">
        <v>93658.82</v>
      </c>
      <c r="J312" s="296">
        <v>111006.47</v>
      </c>
      <c r="L312" s="365">
        <v>106700</v>
      </c>
      <c r="N312" s="365">
        <v>111934.64467732923</v>
      </c>
      <c r="Y312" s="232"/>
      <c r="Z312" s="236"/>
    </row>
    <row r="313" spans="1:26" ht="12.75">
      <c r="A313" s="5">
        <v>5145</v>
      </c>
      <c r="B313" s="6" t="s">
        <v>3</v>
      </c>
      <c r="D313" s="296">
        <v>5271.74</v>
      </c>
      <c r="E313" s="297"/>
      <c r="F313" s="296">
        <v>10916.35</v>
      </c>
      <c r="H313" s="296">
        <v>4370.13</v>
      </c>
      <c r="J313" s="296">
        <v>9422.01</v>
      </c>
      <c r="L313" s="365">
        <v>6300</v>
      </c>
      <c r="N313" s="365">
        <v>12534.644677329223</v>
      </c>
      <c r="Y313" s="232"/>
      <c r="Z313" s="236"/>
    </row>
    <row r="314" spans="1:26" ht="12.75">
      <c r="A314" s="5">
        <v>5150</v>
      </c>
      <c r="B314" s="6" t="s">
        <v>4</v>
      </c>
      <c r="D314" s="296">
        <v>18364.97</v>
      </c>
      <c r="E314" s="297"/>
      <c r="F314" s="296">
        <v>22219.41</v>
      </c>
      <c r="H314" s="296">
        <v>37670.7</v>
      </c>
      <c r="J314" s="296">
        <v>37547.19</v>
      </c>
      <c r="L314" s="365">
        <v>39000</v>
      </c>
      <c r="N314" s="365">
        <v>51073.32599744421</v>
      </c>
      <c r="Y314" s="232"/>
      <c r="Z314" s="236"/>
    </row>
    <row r="315" spans="1:26" ht="12.75">
      <c r="A315" s="5">
        <v>5155</v>
      </c>
      <c r="B315" s="6" t="s">
        <v>5</v>
      </c>
      <c r="D315" s="296">
        <v>55992.39</v>
      </c>
      <c r="E315" s="297"/>
      <c r="F315" s="296">
        <v>37733.42</v>
      </c>
      <c r="H315" s="296">
        <v>53700.44</v>
      </c>
      <c r="J315" s="296">
        <v>66608.37</v>
      </c>
      <c r="L315" s="365">
        <v>70000</v>
      </c>
      <c r="N315" s="365">
        <v>64647.88788970176</v>
      </c>
      <c r="Y315" s="232"/>
      <c r="Z315" s="236"/>
    </row>
    <row r="316" spans="1:26" ht="12.75">
      <c r="A316" s="5">
        <v>5160</v>
      </c>
      <c r="B316" s="6" t="s">
        <v>6</v>
      </c>
      <c r="D316" s="296">
        <v>61755.69</v>
      </c>
      <c r="E316" s="297"/>
      <c r="F316" s="296">
        <v>51545.63</v>
      </c>
      <c r="H316" s="296">
        <v>59109.49</v>
      </c>
      <c r="J316" s="296">
        <v>65224.54</v>
      </c>
      <c r="L316" s="365">
        <v>82000</v>
      </c>
      <c r="N316" s="365">
        <v>98944.99629345487</v>
      </c>
      <c r="Y316" s="232"/>
      <c r="Z316" s="236"/>
    </row>
    <row r="317" spans="1:26" ht="12.75">
      <c r="A317" s="5">
        <v>5165</v>
      </c>
      <c r="B317" s="6" t="s">
        <v>7</v>
      </c>
      <c r="D317" s="296">
        <v>0</v>
      </c>
      <c r="E317" s="297"/>
      <c r="F317" s="296">
        <v>0</v>
      </c>
      <c r="H317" s="296">
        <v>0</v>
      </c>
      <c r="J317" s="296">
        <v>0</v>
      </c>
      <c r="L317" s="365">
        <v>0</v>
      </c>
      <c r="N317" s="365">
        <v>0</v>
      </c>
      <c r="Y317" s="232"/>
      <c r="Z317" s="236"/>
    </row>
    <row r="318" spans="1:26" ht="12.75">
      <c r="A318" s="5">
        <v>5170</v>
      </c>
      <c r="B318" s="6" t="s">
        <v>8</v>
      </c>
      <c r="D318" s="296">
        <v>0</v>
      </c>
      <c r="E318" s="297"/>
      <c r="F318" s="296">
        <v>0</v>
      </c>
      <c r="H318" s="296">
        <v>0</v>
      </c>
      <c r="J318" s="296">
        <v>0</v>
      </c>
      <c r="L318" s="365">
        <v>0</v>
      </c>
      <c r="N318" s="365">
        <v>0</v>
      </c>
      <c r="Y318" s="232"/>
      <c r="Z318" s="236"/>
    </row>
    <row r="319" spans="1:26" ht="12.75">
      <c r="A319" s="5">
        <v>5172</v>
      </c>
      <c r="B319" s="6" t="s">
        <v>9</v>
      </c>
      <c r="D319" s="296">
        <v>0</v>
      </c>
      <c r="E319" s="297"/>
      <c r="F319" s="296">
        <v>0</v>
      </c>
      <c r="H319" s="296">
        <v>0</v>
      </c>
      <c r="J319" s="296">
        <v>0</v>
      </c>
      <c r="L319" s="365">
        <v>0</v>
      </c>
      <c r="N319" s="365">
        <v>0</v>
      </c>
      <c r="Y319" s="232"/>
      <c r="Z319" s="236"/>
    </row>
    <row r="320" spans="1:26" ht="12.75">
      <c r="A320" s="5">
        <v>5175</v>
      </c>
      <c r="B320" s="6" t="s">
        <v>10</v>
      </c>
      <c r="D320" s="296">
        <v>2755.11</v>
      </c>
      <c r="E320" s="297"/>
      <c r="F320" s="296">
        <v>410.17</v>
      </c>
      <c r="H320" s="296">
        <v>360.81</v>
      </c>
      <c r="J320" s="296">
        <v>0</v>
      </c>
      <c r="L320" s="365">
        <v>0</v>
      </c>
      <c r="N320" s="365">
        <v>0</v>
      </c>
      <c r="Y320" s="232"/>
      <c r="Z320" s="236"/>
    </row>
    <row r="321" spans="1:26" ht="12.75">
      <c r="A321" s="5">
        <v>5178</v>
      </c>
      <c r="B321" s="6" t="s">
        <v>11</v>
      </c>
      <c r="D321" s="296">
        <v>0</v>
      </c>
      <c r="E321" s="297"/>
      <c r="F321" s="296">
        <v>0</v>
      </c>
      <c r="H321" s="296">
        <v>0</v>
      </c>
      <c r="J321" s="296">
        <v>0</v>
      </c>
      <c r="L321" s="365">
        <v>0</v>
      </c>
      <c r="N321" s="365">
        <v>0</v>
      </c>
      <c r="Y321" s="232"/>
      <c r="Z321" s="236"/>
    </row>
    <row r="322" spans="1:26" ht="12.75">
      <c r="A322" s="5">
        <v>5195</v>
      </c>
      <c r="B322" s="6" t="s">
        <v>12</v>
      </c>
      <c r="D322" s="296">
        <v>0</v>
      </c>
      <c r="E322" s="297"/>
      <c r="F322" s="296">
        <v>0</v>
      </c>
      <c r="H322" s="296">
        <v>0</v>
      </c>
      <c r="J322" s="296">
        <v>0</v>
      </c>
      <c r="L322" s="365">
        <v>0</v>
      </c>
      <c r="N322" s="365">
        <v>0</v>
      </c>
      <c r="Y322" s="232"/>
      <c r="Z322" s="236"/>
    </row>
    <row r="323" spans="2:26" ht="12.75">
      <c r="B323" s="237" t="s">
        <v>124</v>
      </c>
      <c r="D323" s="290"/>
      <c r="E323" s="297"/>
      <c r="F323" s="290"/>
      <c r="Y323" s="232"/>
      <c r="Z323" s="236"/>
    </row>
    <row r="324" spans="1:26" ht="12.75">
      <c r="A324" s="5">
        <v>5205</v>
      </c>
      <c r="B324" s="6" t="s">
        <v>13</v>
      </c>
      <c r="D324" s="296">
        <v>0</v>
      </c>
      <c r="E324" s="297"/>
      <c r="F324" s="296">
        <v>0</v>
      </c>
      <c r="H324" s="296">
        <v>0</v>
      </c>
      <c r="J324" s="296">
        <v>0</v>
      </c>
      <c r="L324" s="365">
        <v>0</v>
      </c>
      <c r="N324" s="365">
        <v>0</v>
      </c>
      <c r="Y324" s="232"/>
      <c r="Z324" s="236"/>
    </row>
    <row r="325" spans="1:26" ht="12.75">
      <c r="A325" s="5">
        <v>5210</v>
      </c>
      <c r="B325" s="6" t="s">
        <v>14</v>
      </c>
      <c r="D325" s="296">
        <v>0</v>
      </c>
      <c r="E325" s="297"/>
      <c r="F325" s="296">
        <v>0</v>
      </c>
      <c r="H325" s="296">
        <v>0</v>
      </c>
      <c r="J325" s="296">
        <v>0</v>
      </c>
      <c r="L325" s="365">
        <v>0</v>
      </c>
      <c r="N325" s="365">
        <v>0</v>
      </c>
      <c r="Y325" s="232"/>
      <c r="Z325" s="236"/>
    </row>
    <row r="326" spans="1:26" ht="12.75">
      <c r="A326" s="5">
        <v>5215</v>
      </c>
      <c r="B326" s="6" t="s">
        <v>15</v>
      </c>
      <c r="D326" s="296">
        <v>0</v>
      </c>
      <c r="E326" s="297"/>
      <c r="F326" s="296">
        <v>0</v>
      </c>
      <c r="H326" s="296">
        <v>0</v>
      </c>
      <c r="J326" s="296">
        <v>0</v>
      </c>
      <c r="L326" s="365">
        <v>0</v>
      </c>
      <c r="N326" s="365">
        <v>0</v>
      </c>
      <c r="Y326" s="232"/>
      <c r="Z326" s="236"/>
    </row>
    <row r="327" spans="2:26" ht="12.75">
      <c r="B327" s="237" t="s">
        <v>195</v>
      </c>
      <c r="D327" s="290"/>
      <c r="E327" s="297"/>
      <c r="F327" s="290"/>
      <c r="Y327" s="232"/>
      <c r="Z327" s="236"/>
    </row>
    <row r="328" spans="1:26" ht="12.75">
      <c r="A328" s="5">
        <v>5305</v>
      </c>
      <c r="B328" s="6" t="s">
        <v>569</v>
      </c>
      <c r="D328" s="296">
        <v>85612.22</v>
      </c>
      <c r="E328" s="297"/>
      <c r="F328" s="296">
        <v>87275.12</v>
      </c>
      <c r="H328" s="296">
        <v>62952.53</v>
      </c>
      <c r="J328" s="296">
        <v>53994.749999999985</v>
      </c>
      <c r="L328" s="365">
        <v>50434.14038515211</v>
      </c>
      <c r="N328" s="365">
        <v>54748.17332041999</v>
      </c>
      <c r="Y328" s="232"/>
      <c r="Z328" s="236"/>
    </row>
    <row r="329" spans="1:26" ht="12.75">
      <c r="A329" s="5">
        <v>5310</v>
      </c>
      <c r="B329" s="6" t="s">
        <v>16</v>
      </c>
      <c r="D329" s="296">
        <v>123238.76</v>
      </c>
      <c r="E329" s="297"/>
      <c r="F329" s="296">
        <v>135092.77</v>
      </c>
      <c r="H329" s="296">
        <v>136266.47</v>
      </c>
      <c r="J329" s="296">
        <v>113547.18000000001</v>
      </c>
      <c r="L329" s="365">
        <v>132248.2517339351</v>
      </c>
      <c r="N329" s="365">
        <v>151927.40218421814</v>
      </c>
      <c r="Y329" s="232"/>
      <c r="Z329" s="236"/>
    </row>
    <row r="330" spans="1:26" ht="12.75">
      <c r="A330" s="5">
        <v>5315</v>
      </c>
      <c r="B330" s="6" t="s">
        <v>17</v>
      </c>
      <c r="D330" s="296">
        <v>298263.86</v>
      </c>
      <c r="E330" s="297"/>
      <c r="F330" s="296">
        <v>293553</v>
      </c>
      <c r="H330" s="296">
        <v>250783.78</v>
      </c>
      <c r="J330" s="296">
        <v>237091.82</v>
      </c>
      <c r="L330" s="365">
        <v>219244.6306295533</v>
      </c>
      <c r="N330" s="365">
        <v>301335.06828036107</v>
      </c>
      <c r="Y330" s="232"/>
      <c r="Z330" s="236"/>
    </row>
    <row r="331" spans="1:26" ht="12.75">
      <c r="A331" s="5">
        <v>5320</v>
      </c>
      <c r="B331" s="6" t="s">
        <v>570</v>
      </c>
      <c r="D331" s="296">
        <v>154115.65</v>
      </c>
      <c r="E331" s="297"/>
      <c r="F331" s="296">
        <v>150677.28</v>
      </c>
      <c r="H331" s="296">
        <v>92404.05</v>
      </c>
      <c r="J331" s="296">
        <v>114787.19999999998</v>
      </c>
      <c r="L331" s="365">
        <v>117054.71797045539</v>
      </c>
      <c r="N331" s="365">
        <v>116361.89215972491</v>
      </c>
      <c r="Y331" s="232"/>
      <c r="Z331" s="236"/>
    </row>
    <row r="332" spans="1:26" ht="12.75">
      <c r="A332" s="5">
        <v>5325</v>
      </c>
      <c r="B332" s="6" t="s">
        <v>18</v>
      </c>
      <c r="D332" s="296">
        <v>148.86</v>
      </c>
      <c r="E332" s="297"/>
      <c r="F332" s="296">
        <v>180.18</v>
      </c>
      <c r="H332" s="296">
        <v>-8.76</v>
      </c>
      <c r="J332" s="296">
        <v>-441.98</v>
      </c>
      <c r="L332" s="365">
        <v>100</v>
      </c>
      <c r="N332" s="365">
        <v>100</v>
      </c>
      <c r="Y332" s="232"/>
      <c r="Z332" s="236"/>
    </row>
    <row r="333" spans="1:26" ht="12.75">
      <c r="A333" s="5">
        <v>5330</v>
      </c>
      <c r="B333" s="6" t="s">
        <v>19</v>
      </c>
      <c r="D333" s="296">
        <v>0</v>
      </c>
      <c r="E333" s="297"/>
      <c r="F333" s="296">
        <v>0</v>
      </c>
      <c r="H333" s="296">
        <v>-285.39</v>
      </c>
      <c r="J333" s="296">
        <v>-794.72</v>
      </c>
      <c r="L333" s="365">
        <v>-4000</v>
      </c>
      <c r="N333" s="365">
        <v>-5000</v>
      </c>
      <c r="Y333" s="232"/>
      <c r="Z333" s="236"/>
    </row>
    <row r="334" spans="1:26" ht="12.75">
      <c r="A334" s="5">
        <v>5335</v>
      </c>
      <c r="B334" s="6" t="s">
        <v>20</v>
      </c>
      <c r="D334" s="296">
        <v>12800.76</v>
      </c>
      <c r="E334" s="297"/>
      <c r="F334" s="296">
        <v>3660.41</v>
      </c>
      <c r="H334" s="296">
        <v>23483.1</v>
      </c>
      <c r="J334" s="296">
        <v>28152.789999999997</v>
      </c>
      <c r="L334" s="365">
        <v>45000</v>
      </c>
      <c r="N334" s="365">
        <v>53460.000000000015</v>
      </c>
      <c r="Y334" s="232"/>
      <c r="Z334" s="236"/>
    </row>
    <row r="335" spans="1:26" ht="12.75">
      <c r="A335" s="5">
        <v>5340</v>
      </c>
      <c r="B335" s="6" t="s">
        <v>21</v>
      </c>
      <c r="D335" s="296">
        <v>2148.75</v>
      </c>
      <c r="E335" s="297"/>
      <c r="F335" s="296">
        <v>2026.51</v>
      </c>
      <c r="H335" s="296">
        <v>2017.66</v>
      </c>
      <c r="J335" s="296">
        <v>2091.0099999999998</v>
      </c>
      <c r="L335" s="365">
        <v>2200</v>
      </c>
      <c r="N335" s="365">
        <v>2200</v>
      </c>
      <c r="Y335" s="232"/>
      <c r="Z335" s="236"/>
    </row>
    <row r="336" spans="2:26" ht="12.75">
      <c r="B336" s="237" t="s">
        <v>196</v>
      </c>
      <c r="D336" s="290"/>
      <c r="E336" s="297"/>
      <c r="F336" s="290"/>
      <c r="Y336" s="232"/>
      <c r="Z336" s="236"/>
    </row>
    <row r="337" spans="1:26" ht="12.75">
      <c r="A337" s="5">
        <v>5405</v>
      </c>
      <c r="B337" s="6" t="s">
        <v>569</v>
      </c>
      <c r="D337" s="296">
        <v>11944.03</v>
      </c>
      <c r="E337" s="297"/>
      <c r="F337" s="296">
        <v>11330.61</v>
      </c>
      <c r="H337" s="296">
        <v>3435.52</v>
      </c>
      <c r="J337" s="296">
        <v>2887.24</v>
      </c>
      <c r="L337" s="365">
        <v>3250</v>
      </c>
      <c r="N337" s="365">
        <v>3824.933307091437</v>
      </c>
      <c r="Y337" s="232"/>
      <c r="Z337" s="236"/>
    </row>
    <row r="338" spans="1:26" ht="12.75">
      <c r="A338" s="5">
        <v>5410</v>
      </c>
      <c r="B338" s="6" t="s">
        <v>22</v>
      </c>
      <c r="D338" s="296">
        <v>10372.83</v>
      </c>
      <c r="E338" s="297"/>
      <c r="F338" s="296">
        <v>11793.13</v>
      </c>
      <c r="H338" s="296">
        <v>13210.35</v>
      </c>
      <c r="J338" s="296">
        <v>10419.16</v>
      </c>
      <c r="L338" s="365">
        <v>17750</v>
      </c>
      <c r="N338" s="365">
        <v>21234.644677329223</v>
      </c>
      <c r="Y338" s="232"/>
      <c r="Z338" s="236"/>
    </row>
    <row r="339" spans="1:26" ht="12.75">
      <c r="A339" s="5">
        <v>5415</v>
      </c>
      <c r="B339" s="6" t="s">
        <v>23</v>
      </c>
      <c r="D339" s="296">
        <v>256044.19</v>
      </c>
      <c r="E339" s="297"/>
      <c r="F339" s="296">
        <v>103183.98</v>
      </c>
      <c r="H339" s="296">
        <v>23273.93</v>
      </c>
      <c r="J339" s="296">
        <v>5688.12</v>
      </c>
      <c r="L339" s="365">
        <v>5300</v>
      </c>
      <c r="N339" s="365">
        <v>8169.731536091413</v>
      </c>
      <c r="Y339" s="232"/>
      <c r="Z339" s="236"/>
    </row>
    <row r="340" spans="1:26" ht="12.75">
      <c r="A340" s="5">
        <v>5420</v>
      </c>
      <c r="B340" s="6" t="s">
        <v>24</v>
      </c>
      <c r="D340" s="296">
        <v>7387.83</v>
      </c>
      <c r="E340" s="297"/>
      <c r="F340" s="296">
        <v>2573.67</v>
      </c>
      <c r="H340" s="296">
        <v>289.07</v>
      </c>
      <c r="J340" s="296">
        <v>5093.0599999999995</v>
      </c>
      <c r="L340" s="365">
        <v>10000</v>
      </c>
      <c r="N340" s="365">
        <v>9152.661516585249</v>
      </c>
      <c r="Y340" s="232"/>
      <c r="Z340" s="236"/>
    </row>
    <row r="341" spans="1:26" ht="12.75">
      <c r="A341" s="5">
        <v>5425</v>
      </c>
      <c r="B341" s="6" t="s">
        <v>25</v>
      </c>
      <c r="D341" s="296">
        <v>661.69</v>
      </c>
      <c r="E341" s="297"/>
      <c r="F341" s="296">
        <v>68.69</v>
      </c>
      <c r="H341" s="296">
        <v>0</v>
      </c>
      <c r="J341" s="296">
        <v>0</v>
      </c>
      <c r="L341" s="365">
        <v>0</v>
      </c>
      <c r="N341" s="365">
        <v>0</v>
      </c>
      <c r="Y341" s="232"/>
      <c r="Z341" s="236"/>
    </row>
    <row r="342" spans="2:26" ht="12.75">
      <c r="B342" s="237" t="s">
        <v>125</v>
      </c>
      <c r="D342" s="290"/>
      <c r="E342" s="297"/>
      <c r="F342" s="290"/>
      <c r="Y342" s="232"/>
      <c r="Z342" s="236"/>
    </row>
    <row r="343" spans="1:26" ht="12.75">
      <c r="A343" s="5">
        <v>5505</v>
      </c>
      <c r="B343" s="6" t="s">
        <v>569</v>
      </c>
      <c r="D343" s="296">
        <v>0</v>
      </c>
      <c r="E343" s="297"/>
      <c r="F343" s="296">
        <v>0</v>
      </c>
      <c r="H343" s="296">
        <v>0</v>
      </c>
      <c r="J343" s="296">
        <v>0</v>
      </c>
      <c r="L343" s="365">
        <v>0</v>
      </c>
      <c r="N343" s="365">
        <v>0</v>
      </c>
      <c r="Y343" s="232"/>
      <c r="Z343" s="236"/>
    </row>
    <row r="344" spans="1:26" ht="12.75">
      <c r="A344" s="5">
        <v>5510</v>
      </c>
      <c r="B344" s="6" t="s">
        <v>26</v>
      </c>
      <c r="D344" s="296">
        <v>0</v>
      </c>
      <c r="E344" s="297"/>
      <c r="F344" s="296">
        <v>0</v>
      </c>
      <c r="H344" s="296">
        <v>0</v>
      </c>
      <c r="J344" s="296">
        <v>0</v>
      </c>
      <c r="L344" s="365">
        <v>0</v>
      </c>
      <c r="N344" s="365">
        <v>0</v>
      </c>
      <c r="Y344" s="232"/>
      <c r="Z344" s="236"/>
    </row>
    <row r="345" spans="1:26" ht="12.75">
      <c r="A345" s="5">
        <v>5515</v>
      </c>
      <c r="B345" s="6" t="s">
        <v>27</v>
      </c>
      <c r="D345" s="296">
        <v>0</v>
      </c>
      <c r="E345" s="297"/>
      <c r="F345" s="296">
        <v>0</v>
      </c>
      <c r="H345" s="296">
        <v>0</v>
      </c>
      <c r="J345" s="296">
        <v>0</v>
      </c>
      <c r="L345" s="365">
        <v>0</v>
      </c>
      <c r="N345" s="365">
        <v>0</v>
      </c>
      <c r="Z345" s="236"/>
    </row>
    <row r="346" spans="1:26" ht="12.75">
      <c r="A346" s="5">
        <v>5520</v>
      </c>
      <c r="B346" s="6" t="s">
        <v>28</v>
      </c>
      <c r="D346" s="296">
        <v>0</v>
      </c>
      <c r="E346" s="297"/>
      <c r="F346" s="296">
        <v>0</v>
      </c>
      <c r="H346" s="296">
        <v>0</v>
      </c>
      <c r="J346" s="296">
        <v>0</v>
      </c>
      <c r="L346" s="365">
        <v>0</v>
      </c>
      <c r="N346" s="365">
        <v>0</v>
      </c>
      <c r="Y346" s="232"/>
      <c r="Z346" s="236"/>
    </row>
    <row r="347" spans="2:26" ht="12.75">
      <c r="B347" s="237" t="s">
        <v>197</v>
      </c>
      <c r="D347" s="290"/>
      <c r="E347" s="297"/>
      <c r="F347" s="290"/>
      <c r="Y347" s="232"/>
      <c r="Z347" s="236"/>
    </row>
    <row r="348" spans="1:26" ht="12.75">
      <c r="A348" s="5">
        <v>5605</v>
      </c>
      <c r="B348" s="6" t="s">
        <v>29</v>
      </c>
      <c r="D348" s="296">
        <v>219129.3</v>
      </c>
      <c r="E348" s="297"/>
      <c r="F348" s="296">
        <v>150787.49</v>
      </c>
      <c r="H348" s="296">
        <v>150084.08</v>
      </c>
      <c r="J348" s="296">
        <v>154820.54</v>
      </c>
      <c r="L348" s="365">
        <v>182478</v>
      </c>
      <c r="N348" s="365">
        <v>195903.27087123593</v>
      </c>
      <c r="Y348" s="232"/>
      <c r="Z348" s="236"/>
    </row>
    <row r="349" spans="1:26" ht="12.75">
      <c r="A349" s="5">
        <v>5610</v>
      </c>
      <c r="B349" s="6" t="s">
        <v>30</v>
      </c>
      <c r="D349" s="296">
        <v>145529.61</v>
      </c>
      <c r="E349" s="297"/>
      <c r="F349" s="296">
        <v>151781.79</v>
      </c>
      <c r="H349" s="296">
        <v>262949.4</v>
      </c>
      <c r="J349" s="296">
        <v>236832.65</v>
      </c>
      <c r="L349" s="365">
        <v>261655</v>
      </c>
      <c r="N349" s="365">
        <v>282821.6783729414</v>
      </c>
      <c r="Y349" s="232"/>
      <c r="Z349" s="236"/>
    </row>
    <row r="350" spans="1:26" ht="12.75">
      <c r="A350" s="5">
        <v>5615</v>
      </c>
      <c r="B350" s="6" t="s">
        <v>31</v>
      </c>
      <c r="D350" s="296">
        <v>366648.05</v>
      </c>
      <c r="E350" s="297"/>
      <c r="F350" s="296">
        <v>435511.59</v>
      </c>
      <c r="H350" s="296">
        <v>417263.91</v>
      </c>
      <c r="J350" s="296">
        <v>435258.13</v>
      </c>
      <c r="L350" s="365">
        <v>500000</v>
      </c>
      <c r="N350" s="365">
        <v>524085.2382980399</v>
      </c>
      <c r="Y350" s="232"/>
      <c r="Z350" s="236"/>
    </row>
    <row r="351" spans="1:26" ht="12.75">
      <c r="A351" s="5">
        <v>5620</v>
      </c>
      <c r="B351" s="6" t="s">
        <v>32</v>
      </c>
      <c r="D351" s="296">
        <v>74698.59</v>
      </c>
      <c r="E351" s="297"/>
      <c r="F351" s="296">
        <v>66272.93</v>
      </c>
      <c r="H351" s="296">
        <v>77954.25</v>
      </c>
      <c r="J351" s="296">
        <v>74605.73000000001</v>
      </c>
      <c r="L351" s="365">
        <v>82305</v>
      </c>
      <c r="N351" s="365">
        <v>81253.70370370371</v>
      </c>
      <c r="Y351" s="232"/>
      <c r="Z351" s="236"/>
    </row>
    <row r="352" spans="1:26" ht="12.75">
      <c r="A352" s="5">
        <v>5625</v>
      </c>
      <c r="B352" s="6" t="s">
        <v>33</v>
      </c>
      <c r="D352" s="296">
        <v>0</v>
      </c>
      <c r="E352" s="297"/>
      <c r="F352" s="296">
        <v>0</v>
      </c>
      <c r="H352" s="296">
        <v>-127754.03</v>
      </c>
      <c r="J352" s="296">
        <v>-129004.17000000001</v>
      </c>
      <c r="L352" s="365">
        <v>-52105.3895</v>
      </c>
      <c r="N352" s="365">
        <v>-54627.728533507696</v>
      </c>
      <c r="Y352" s="232"/>
      <c r="Z352" s="236"/>
    </row>
    <row r="353" spans="1:26" ht="12.75">
      <c r="A353" s="5">
        <v>5630</v>
      </c>
      <c r="B353" s="6" t="s">
        <v>34</v>
      </c>
      <c r="D353" s="296">
        <v>109948.63</v>
      </c>
      <c r="E353" s="297"/>
      <c r="F353" s="296">
        <v>78368.96</v>
      </c>
      <c r="H353" s="296">
        <v>124128.06</v>
      </c>
      <c r="J353" s="296">
        <v>98608.79</v>
      </c>
      <c r="L353" s="365">
        <v>134437</v>
      </c>
      <c r="N353" s="365">
        <v>126500</v>
      </c>
      <c r="Y353" s="232"/>
      <c r="Z353" s="236"/>
    </row>
    <row r="354" spans="1:26" ht="12.75">
      <c r="A354" s="5">
        <v>5635</v>
      </c>
      <c r="B354" s="6" t="s">
        <v>35</v>
      </c>
      <c r="D354" s="296">
        <v>34624.57</v>
      </c>
      <c r="E354" s="297"/>
      <c r="F354" s="296">
        <v>32703.14</v>
      </c>
      <c r="H354" s="296">
        <v>32574.94</v>
      </c>
      <c r="J354" s="296">
        <v>29470.719999999994</v>
      </c>
      <c r="L354" s="365">
        <v>30695</v>
      </c>
      <c r="N354" s="365">
        <v>32000</v>
      </c>
      <c r="Y354" s="232"/>
      <c r="Z354" s="236"/>
    </row>
    <row r="355" spans="1:26" ht="12.75">
      <c r="A355" s="5">
        <v>5640</v>
      </c>
      <c r="B355" s="6" t="s">
        <v>36</v>
      </c>
      <c r="D355" s="296">
        <v>44837.11</v>
      </c>
      <c r="E355" s="297"/>
      <c r="F355" s="296">
        <v>59341.64</v>
      </c>
      <c r="H355" s="296">
        <v>62233.18</v>
      </c>
      <c r="J355" s="296">
        <v>54133.76</v>
      </c>
      <c r="L355" s="365">
        <v>67000</v>
      </c>
      <c r="N355" s="365">
        <v>72554.59132300237</v>
      </c>
      <c r="Y355" s="232"/>
      <c r="Z355" s="236"/>
    </row>
    <row r="356" spans="1:26" ht="12.75">
      <c r="A356" s="5">
        <v>5645</v>
      </c>
      <c r="B356" s="6" t="s">
        <v>37</v>
      </c>
      <c r="D356" s="296">
        <v>1081.1</v>
      </c>
      <c r="E356" s="297"/>
      <c r="F356" s="296">
        <v>431.17</v>
      </c>
      <c r="H356" s="296">
        <v>356</v>
      </c>
      <c r="J356" s="296">
        <v>31778.2</v>
      </c>
      <c r="L356" s="365">
        <v>18150</v>
      </c>
      <c r="N356" s="365">
        <v>18150</v>
      </c>
      <c r="Y356" s="232"/>
      <c r="Z356" s="236"/>
    </row>
    <row r="357" spans="1:26" ht="12.75">
      <c r="A357" s="5">
        <v>5650</v>
      </c>
      <c r="B357" s="6" t="s">
        <v>38</v>
      </c>
      <c r="D357" s="296">
        <v>0</v>
      </c>
      <c r="E357" s="297"/>
      <c r="F357" s="296">
        <v>0</v>
      </c>
      <c r="H357" s="296">
        <v>0</v>
      </c>
      <c r="J357" s="296">
        <v>0</v>
      </c>
      <c r="L357" s="365">
        <v>0</v>
      </c>
      <c r="N357" s="365">
        <v>0</v>
      </c>
      <c r="Y357" s="232"/>
      <c r="Z357" s="236"/>
    </row>
    <row r="358" spans="1:26" ht="12.75">
      <c r="A358" s="5">
        <v>5655</v>
      </c>
      <c r="B358" s="6" t="s">
        <v>39</v>
      </c>
      <c r="D358" s="296">
        <v>36141.48</v>
      </c>
      <c r="E358" s="297"/>
      <c r="F358" s="296">
        <v>48313.06</v>
      </c>
      <c r="H358" s="296">
        <v>35848.79</v>
      </c>
      <c r="J358" s="296">
        <v>47037.41</v>
      </c>
      <c r="L358" s="365">
        <v>55000</v>
      </c>
      <c r="N358" s="365">
        <v>100000</v>
      </c>
      <c r="Y358" s="232"/>
      <c r="Z358" s="236"/>
    </row>
    <row r="359" spans="1:26" ht="12.75">
      <c r="A359" s="5">
        <v>5660</v>
      </c>
      <c r="B359" s="6" t="s">
        <v>40</v>
      </c>
      <c r="D359" s="296">
        <v>1992.61</v>
      </c>
      <c r="E359" s="297"/>
      <c r="F359" s="296">
        <v>3819.97</v>
      </c>
      <c r="H359" s="296">
        <v>2501.14</v>
      </c>
      <c r="J359" s="296">
        <v>3933.22</v>
      </c>
      <c r="L359" s="365">
        <v>5500</v>
      </c>
      <c r="N359" s="365">
        <v>5500</v>
      </c>
      <c r="Y359" s="232"/>
      <c r="Z359" s="236"/>
    </row>
    <row r="360" spans="1:26" ht="12.75">
      <c r="A360" s="5">
        <v>5665</v>
      </c>
      <c r="B360" s="6" t="s">
        <v>41</v>
      </c>
      <c r="D360" s="296">
        <v>102214.11</v>
      </c>
      <c r="E360" s="297"/>
      <c r="F360" s="296">
        <v>105177.07</v>
      </c>
      <c r="H360" s="296">
        <v>104157.55</v>
      </c>
      <c r="J360" s="296">
        <v>123590.31999999999</v>
      </c>
      <c r="L360" s="365">
        <v>147380</v>
      </c>
      <c r="N360" s="365">
        <v>139554</v>
      </c>
      <c r="Y360" s="232"/>
      <c r="Z360" s="236"/>
    </row>
    <row r="361" spans="1:26" ht="12.75">
      <c r="A361" s="5">
        <v>5670</v>
      </c>
      <c r="B361" s="6" t="s">
        <v>42</v>
      </c>
      <c r="D361" s="296">
        <v>0</v>
      </c>
      <c r="E361" s="297"/>
      <c r="F361" s="296">
        <v>0</v>
      </c>
      <c r="H361" s="296">
        <v>0</v>
      </c>
      <c r="J361" s="296">
        <v>0</v>
      </c>
      <c r="L361" s="365">
        <v>0</v>
      </c>
      <c r="N361" s="365">
        <v>0</v>
      </c>
      <c r="Y361" s="232"/>
      <c r="Z361" s="236"/>
    </row>
    <row r="362" spans="1:26" ht="12.75">
      <c r="A362" s="5">
        <v>5675</v>
      </c>
      <c r="B362" s="6" t="s">
        <v>43</v>
      </c>
      <c r="D362" s="296">
        <v>106862.73</v>
      </c>
      <c r="E362" s="297"/>
      <c r="F362" s="296">
        <v>171227.66</v>
      </c>
      <c r="H362" s="296">
        <v>183830.84</v>
      </c>
      <c r="J362" s="296">
        <v>235048.8</v>
      </c>
      <c r="L362" s="365">
        <v>255175.2</v>
      </c>
      <c r="N362" s="365">
        <v>277220.74589587963</v>
      </c>
      <c r="Y362" s="232"/>
      <c r="Z362" s="236"/>
    </row>
    <row r="363" spans="1:26" ht="12.75">
      <c r="A363" s="5">
        <v>5680</v>
      </c>
      <c r="B363" s="6" t="s">
        <v>44</v>
      </c>
      <c r="D363" s="296">
        <v>2979.02</v>
      </c>
      <c r="E363" s="297"/>
      <c r="F363" s="296">
        <v>6866.25</v>
      </c>
      <c r="H363" s="296">
        <v>7912.84</v>
      </c>
      <c r="J363" s="296">
        <v>7402.97</v>
      </c>
      <c r="L363" s="365">
        <v>7350</v>
      </c>
      <c r="N363" s="365">
        <v>7500</v>
      </c>
      <c r="Y363" s="232"/>
      <c r="Z363" s="236"/>
    </row>
    <row r="364" spans="1:26" ht="12.75">
      <c r="A364" s="5">
        <v>5681</v>
      </c>
      <c r="B364" s="6" t="s">
        <v>880</v>
      </c>
      <c r="D364" s="296"/>
      <c r="E364" s="297"/>
      <c r="F364" s="296"/>
      <c r="H364" s="296"/>
      <c r="J364" s="296">
        <v>0</v>
      </c>
      <c r="L364" s="365">
        <v>0</v>
      </c>
      <c r="N364" s="365">
        <v>0</v>
      </c>
      <c r="Y364" s="232"/>
      <c r="Z364" s="236"/>
    </row>
    <row r="365" spans="1:26" ht="12.75">
      <c r="A365" s="5">
        <v>5685</v>
      </c>
      <c r="B365" s="6" t="s">
        <v>45</v>
      </c>
      <c r="D365" s="296">
        <v>0</v>
      </c>
      <c r="E365" s="297"/>
      <c r="F365" s="296">
        <v>0</v>
      </c>
      <c r="H365" s="296">
        <v>0</v>
      </c>
      <c r="J365" s="296">
        <v>0</v>
      </c>
      <c r="L365" s="365">
        <v>0</v>
      </c>
      <c r="N365" s="365">
        <v>0</v>
      </c>
      <c r="Y365" s="232"/>
      <c r="Z365" s="236"/>
    </row>
    <row r="366" spans="1:26" ht="12.75">
      <c r="A366" s="5">
        <v>5695</v>
      </c>
      <c r="B366" s="6" t="s">
        <v>138</v>
      </c>
      <c r="D366" s="296">
        <v>0</v>
      </c>
      <c r="E366" s="297"/>
      <c r="F366" s="296">
        <v>0</v>
      </c>
      <c r="H366" s="296">
        <v>0</v>
      </c>
      <c r="J366" s="296">
        <v>0</v>
      </c>
      <c r="L366" s="365">
        <v>0</v>
      </c>
      <c r="N366" s="365">
        <v>0</v>
      </c>
      <c r="Y366" s="232"/>
      <c r="Z366" s="236"/>
    </row>
    <row r="367" spans="2:26" ht="12.75">
      <c r="B367" s="237" t="s">
        <v>127</v>
      </c>
      <c r="D367" s="290"/>
      <c r="E367" s="297"/>
      <c r="F367" s="290"/>
      <c r="Y367" s="232"/>
      <c r="Z367" s="236"/>
    </row>
    <row r="368" spans="1:26" ht="12.75">
      <c r="A368" s="5">
        <v>5705</v>
      </c>
      <c r="B368" s="6" t="s">
        <v>46</v>
      </c>
      <c r="D368" s="299">
        <f>'FA Continuity 2006'!J55</f>
        <v>1581407.2400000002</v>
      </c>
      <c r="E368" s="297"/>
      <c r="F368" s="299">
        <f>'FA Continuity 2007'!J55</f>
        <v>1672770.22</v>
      </c>
      <c r="H368" s="299">
        <f>'FA Continuity 2008'!J55</f>
        <v>1766353.6</v>
      </c>
      <c r="J368" s="299">
        <f>'FA Continuity 2009'!J55</f>
        <v>1870898.9499999997</v>
      </c>
      <c r="L368" s="299">
        <f>'FA Continuity 2010'!J55</f>
        <v>1865396.6750760712</v>
      </c>
      <c r="N368" s="299">
        <f>'FA Continuity 2011'!J55</f>
        <v>2031381.5493114232</v>
      </c>
      <c r="Y368" s="232"/>
      <c r="Z368" s="236"/>
    </row>
    <row r="369" spans="1:26" ht="12.75">
      <c r="A369" s="5">
        <v>5710</v>
      </c>
      <c r="B369" s="6" t="s">
        <v>47</v>
      </c>
      <c r="D369" s="296"/>
      <c r="E369" s="297"/>
      <c r="F369" s="296"/>
      <c r="H369" s="296"/>
      <c r="J369" s="296"/>
      <c r="L369" s="365">
        <v>0</v>
      </c>
      <c r="N369" s="365">
        <v>0</v>
      </c>
      <c r="Y369" s="232"/>
      <c r="Z369" s="236"/>
    </row>
    <row r="370" spans="1:26" ht="12.75">
      <c r="A370" s="5">
        <v>5715</v>
      </c>
      <c r="B370" s="6" t="s">
        <v>48</v>
      </c>
      <c r="D370" s="296"/>
      <c r="E370" s="297"/>
      <c r="F370" s="296"/>
      <c r="H370" s="296"/>
      <c r="J370" s="296"/>
      <c r="L370" s="365">
        <v>0</v>
      </c>
      <c r="N370" s="365">
        <v>0</v>
      </c>
      <c r="Y370" s="232"/>
      <c r="Z370" s="236"/>
    </row>
    <row r="371" spans="1:26" ht="12.75">
      <c r="A371" s="5">
        <v>5720</v>
      </c>
      <c r="B371" s="6" t="s">
        <v>49</v>
      </c>
      <c r="D371" s="296"/>
      <c r="E371" s="297"/>
      <c r="F371" s="296"/>
      <c r="H371" s="296"/>
      <c r="J371" s="296"/>
      <c r="L371" s="365">
        <v>0</v>
      </c>
      <c r="N371" s="365">
        <v>0</v>
      </c>
      <c r="Y371" s="232"/>
      <c r="Z371" s="236"/>
    </row>
    <row r="372" spans="1:26" ht="12.75">
      <c r="A372" s="5">
        <v>5725</v>
      </c>
      <c r="B372" s="6" t="s">
        <v>50</v>
      </c>
      <c r="D372" s="296"/>
      <c r="E372" s="297"/>
      <c r="F372" s="296"/>
      <c r="H372" s="296"/>
      <c r="J372" s="296"/>
      <c r="L372" s="365">
        <v>0</v>
      </c>
      <c r="N372" s="365">
        <v>0</v>
      </c>
      <c r="Y372" s="232"/>
      <c r="Z372" s="236"/>
    </row>
    <row r="373" spans="1:26" ht="12.75">
      <c r="A373" s="5">
        <v>5730</v>
      </c>
      <c r="B373" s="6" t="s">
        <v>51</v>
      </c>
      <c r="D373" s="296"/>
      <c r="E373" s="297"/>
      <c r="F373" s="296"/>
      <c r="H373" s="296"/>
      <c r="J373" s="296"/>
      <c r="L373" s="365">
        <v>0</v>
      </c>
      <c r="N373" s="365">
        <v>0</v>
      </c>
      <c r="Y373" s="232"/>
      <c r="Z373" s="236"/>
    </row>
    <row r="374" spans="1:26" ht="12.75">
      <c r="A374" s="5">
        <v>5735</v>
      </c>
      <c r="B374" s="6" t="s">
        <v>52</v>
      </c>
      <c r="D374" s="296"/>
      <c r="E374" s="297"/>
      <c r="F374" s="296"/>
      <c r="H374" s="296"/>
      <c r="J374" s="296"/>
      <c r="L374" s="365">
        <v>0</v>
      </c>
      <c r="N374" s="365">
        <v>0</v>
      </c>
      <c r="Y374" s="232"/>
      <c r="Z374" s="236"/>
    </row>
    <row r="375" spans="1:26" ht="12.75">
      <c r="A375" s="5">
        <v>5740</v>
      </c>
      <c r="B375" s="6" t="s">
        <v>53</v>
      </c>
      <c r="D375" s="296"/>
      <c r="E375" s="297"/>
      <c r="F375" s="296"/>
      <c r="H375" s="296"/>
      <c r="J375" s="296"/>
      <c r="L375" s="365">
        <v>0</v>
      </c>
      <c r="N375" s="365">
        <v>0</v>
      </c>
      <c r="Z375" s="236"/>
    </row>
    <row r="376" spans="2:26" ht="12.75">
      <c r="B376" s="237" t="s">
        <v>126</v>
      </c>
      <c r="D376" s="290"/>
      <c r="E376" s="297"/>
      <c r="F376" s="290"/>
      <c r="Z376" s="236"/>
    </row>
    <row r="377" spans="1:26" ht="12.75">
      <c r="A377" s="5">
        <v>6005</v>
      </c>
      <c r="B377" s="6" t="s">
        <v>54</v>
      </c>
      <c r="D377" s="296">
        <v>739230.24</v>
      </c>
      <c r="E377" s="297"/>
      <c r="F377" s="296">
        <v>739230.22</v>
      </c>
      <c r="H377" s="296">
        <v>735875.7</v>
      </c>
      <c r="J377" s="296">
        <v>544318.25</v>
      </c>
      <c r="L377" s="365">
        <v>623752.0975342466</v>
      </c>
      <c r="N377" s="365">
        <f>'Return on Capital'!AI41</f>
        <v>934896.793539601</v>
      </c>
      <c r="Z377" s="236"/>
    </row>
    <row r="378" spans="1:26" ht="12.75">
      <c r="A378" s="5">
        <v>6010</v>
      </c>
      <c r="B378" s="6" t="s">
        <v>55</v>
      </c>
      <c r="D378" s="296">
        <v>0</v>
      </c>
      <c r="E378" s="297"/>
      <c r="F378" s="296">
        <v>0</v>
      </c>
      <c r="H378" s="296">
        <v>0</v>
      </c>
      <c r="J378" s="296">
        <v>0</v>
      </c>
      <c r="L378" s="365">
        <v>0</v>
      </c>
      <c r="N378" s="365">
        <v>0</v>
      </c>
      <c r="Z378" s="236"/>
    </row>
    <row r="379" spans="1:26" ht="12.75">
      <c r="A379" s="5">
        <v>6015</v>
      </c>
      <c r="B379" s="6" t="s">
        <v>56</v>
      </c>
      <c r="D379" s="296">
        <v>0</v>
      </c>
      <c r="E379" s="297"/>
      <c r="F379" s="296">
        <v>0</v>
      </c>
      <c r="H379" s="296">
        <v>0</v>
      </c>
      <c r="J379" s="296">
        <v>0</v>
      </c>
      <c r="L379" s="365">
        <v>0</v>
      </c>
      <c r="N379" s="365">
        <v>0</v>
      </c>
      <c r="Z379" s="236"/>
    </row>
    <row r="380" spans="1:26" ht="12.75">
      <c r="A380" s="5">
        <v>6020</v>
      </c>
      <c r="B380" s="6" t="s">
        <v>57</v>
      </c>
      <c r="D380" s="296">
        <v>0</v>
      </c>
      <c r="E380" s="297"/>
      <c r="F380" s="296">
        <v>0</v>
      </c>
      <c r="H380" s="296">
        <v>0</v>
      </c>
      <c r="J380" s="296">
        <v>0</v>
      </c>
      <c r="L380" s="365">
        <v>0</v>
      </c>
      <c r="N380" s="365">
        <v>0</v>
      </c>
      <c r="Z380" s="236"/>
    </row>
    <row r="381" spans="1:26" ht="12.75">
      <c r="A381" s="5">
        <v>6025</v>
      </c>
      <c r="B381" s="6" t="s">
        <v>58</v>
      </c>
      <c r="D381" s="296">
        <v>0</v>
      </c>
      <c r="E381" s="297"/>
      <c r="F381" s="296">
        <v>0</v>
      </c>
      <c r="H381" s="296">
        <v>0</v>
      </c>
      <c r="J381" s="296">
        <v>0</v>
      </c>
      <c r="L381" s="365">
        <v>0</v>
      </c>
      <c r="N381" s="365">
        <v>0</v>
      </c>
      <c r="Z381" s="236"/>
    </row>
    <row r="382" spans="1:26" ht="12.75">
      <c r="A382" s="5">
        <v>6030</v>
      </c>
      <c r="B382" s="6" t="s">
        <v>59</v>
      </c>
      <c r="D382" s="296">
        <v>0</v>
      </c>
      <c r="E382" s="297"/>
      <c r="F382" s="296">
        <v>0</v>
      </c>
      <c r="H382" s="296">
        <v>0</v>
      </c>
      <c r="J382" s="296">
        <v>0</v>
      </c>
      <c r="L382" s="365">
        <v>0</v>
      </c>
      <c r="N382" s="365">
        <v>0</v>
      </c>
      <c r="Z382" s="236"/>
    </row>
    <row r="383" spans="1:26" ht="12.75">
      <c r="A383" s="5">
        <v>6035</v>
      </c>
      <c r="B383" s="6" t="s">
        <v>60</v>
      </c>
      <c r="D383" s="296">
        <v>70902.69</v>
      </c>
      <c r="E383" s="297"/>
      <c r="F383" s="296">
        <v>65757.22</v>
      </c>
      <c r="H383" s="296">
        <v>118085.42</v>
      </c>
      <c r="J383" s="296">
        <v>36716.189999999995</v>
      </c>
      <c r="L383" s="365">
        <v>78226.04000000001</v>
      </c>
      <c r="N383" s="365">
        <v>26114.42</v>
      </c>
      <c r="Z383" s="236"/>
    </row>
    <row r="384" spans="1:26" ht="12.75">
      <c r="A384" s="5">
        <v>6040</v>
      </c>
      <c r="B384" s="6" t="s">
        <v>61</v>
      </c>
      <c r="D384" s="296">
        <v>0</v>
      </c>
      <c r="E384" s="297"/>
      <c r="F384" s="296">
        <v>0</v>
      </c>
      <c r="H384" s="296">
        <v>0</v>
      </c>
      <c r="J384" s="296">
        <v>0</v>
      </c>
      <c r="L384" s="365">
        <v>0</v>
      </c>
      <c r="N384" s="365">
        <v>0</v>
      </c>
      <c r="Z384" s="236"/>
    </row>
    <row r="385" spans="1:26" ht="12.75">
      <c r="A385" s="5">
        <v>6042</v>
      </c>
      <c r="B385" s="6" t="s">
        <v>62</v>
      </c>
      <c r="D385" s="296">
        <v>0</v>
      </c>
      <c r="E385" s="297"/>
      <c r="F385" s="296">
        <v>0</v>
      </c>
      <c r="H385" s="296">
        <v>0</v>
      </c>
      <c r="J385" s="296">
        <v>0</v>
      </c>
      <c r="L385" s="365">
        <v>0</v>
      </c>
      <c r="N385" s="365">
        <v>0</v>
      </c>
      <c r="Z385" s="236"/>
    </row>
    <row r="386" spans="1:26" ht="12.75">
      <c r="A386" s="5">
        <v>6045</v>
      </c>
      <c r="B386" s="6" t="s">
        <v>63</v>
      </c>
      <c r="D386" s="296">
        <v>0</v>
      </c>
      <c r="E386" s="297"/>
      <c r="F386" s="296">
        <v>0</v>
      </c>
      <c r="H386" s="296">
        <v>0</v>
      </c>
      <c r="J386" s="296">
        <v>0</v>
      </c>
      <c r="L386" s="365">
        <v>0</v>
      </c>
      <c r="N386" s="365">
        <v>0</v>
      </c>
      <c r="Z386" s="236"/>
    </row>
    <row r="387" spans="2:26" ht="12.75">
      <c r="B387" s="237" t="s">
        <v>128</v>
      </c>
      <c r="D387" s="290"/>
      <c r="E387" s="297"/>
      <c r="F387" s="290"/>
      <c r="Z387" s="236"/>
    </row>
    <row r="388" spans="1:26" ht="12.75">
      <c r="A388" s="5">
        <v>6105</v>
      </c>
      <c r="B388" s="6" t="s">
        <v>64</v>
      </c>
      <c r="D388" s="296">
        <v>126191.14</v>
      </c>
      <c r="E388" s="297"/>
      <c r="F388" s="296">
        <v>124838.3</v>
      </c>
      <c r="H388" s="296">
        <v>125668.03</v>
      </c>
      <c r="J388" s="296">
        <v>122776.08</v>
      </c>
      <c r="L388" s="365">
        <v>123852.05000000002</v>
      </c>
      <c r="N388" s="365">
        <v>126946.24999999999</v>
      </c>
      <c r="Z388" s="236"/>
    </row>
    <row r="389" spans="1:26" ht="12.75">
      <c r="A389" s="5">
        <v>6110</v>
      </c>
      <c r="B389" s="6" t="s">
        <v>65</v>
      </c>
      <c r="D389" s="296">
        <v>632734</v>
      </c>
      <c r="E389" s="297"/>
      <c r="F389" s="296">
        <v>1078394</v>
      </c>
      <c r="H389" s="296">
        <v>842374</v>
      </c>
      <c r="J389" s="296">
        <v>587559</v>
      </c>
      <c r="L389" s="365">
        <f>-SUM(L211:L386)*0.2825</f>
        <v>112981.97355305511</v>
      </c>
      <c r="N389" s="365">
        <f>-SUM(N211:N386)*0.2825</f>
        <v>25048.576676875728</v>
      </c>
      <c r="Z389" s="236"/>
    </row>
    <row r="390" spans="1:26" ht="12.75">
      <c r="A390" s="5">
        <v>6115</v>
      </c>
      <c r="B390" s="6" t="s">
        <v>66</v>
      </c>
      <c r="D390" s="296">
        <v>-248442.05</v>
      </c>
      <c r="E390" s="297"/>
      <c r="F390" s="296">
        <v>-505931.44</v>
      </c>
      <c r="H390" s="296">
        <v>-388596.5</v>
      </c>
      <c r="J390" s="296">
        <v>-174879.64</v>
      </c>
      <c r="L390" s="365">
        <v>0</v>
      </c>
      <c r="N390" s="365">
        <v>0</v>
      </c>
      <c r="Z390" s="236"/>
    </row>
    <row r="391" spans="2:26" ht="12.75">
      <c r="B391" s="237" t="s">
        <v>221</v>
      </c>
      <c r="D391" s="290"/>
      <c r="E391" s="297"/>
      <c r="F391" s="290"/>
      <c r="Z391" s="236"/>
    </row>
    <row r="392" spans="1:26" ht="12.75">
      <c r="A392" s="5">
        <v>6205</v>
      </c>
      <c r="B392" s="6" t="s">
        <v>571</v>
      </c>
      <c r="D392" s="296">
        <v>575</v>
      </c>
      <c r="E392" s="297"/>
      <c r="F392" s="296">
        <v>500</v>
      </c>
      <c r="H392" s="296">
        <v>550</v>
      </c>
      <c r="J392" s="296">
        <v>500</v>
      </c>
      <c r="L392" s="365">
        <v>500</v>
      </c>
      <c r="N392" s="365">
        <v>500</v>
      </c>
      <c r="Z392" s="236"/>
    </row>
    <row r="393" spans="1:26" ht="12.75">
      <c r="A393" s="5">
        <v>6210</v>
      </c>
      <c r="B393" s="6" t="s">
        <v>67</v>
      </c>
      <c r="D393" s="296">
        <f>F393</f>
        <v>0</v>
      </c>
      <c r="E393" s="297"/>
      <c r="F393" s="296">
        <v>0</v>
      </c>
      <c r="H393" s="296">
        <v>0</v>
      </c>
      <c r="J393" s="296">
        <v>0</v>
      </c>
      <c r="L393" s="365">
        <v>0</v>
      </c>
      <c r="N393" s="365">
        <v>0</v>
      </c>
      <c r="Z393" s="236"/>
    </row>
    <row r="394" spans="1:26" ht="12.75">
      <c r="A394" s="5">
        <v>6215</v>
      </c>
      <c r="B394" s="6" t="s">
        <v>68</v>
      </c>
      <c r="D394" s="296">
        <f>F394</f>
        <v>0</v>
      </c>
      <c r="E394" s="297"/>
      <c r="F394" s="296">
        <v>0</v>
      </c>
      <c r="H394" s="296">
        <v>0</v>
      </c>
      <c r="J394" s="296">
        <v>0</v>
      </c>
      <c r="L394" s="365">
        <v>0</v>
      </c>
      <c r="N394" s="365">
        <v>0</v>
      </c>
      <c r="Z394" s="236"/>
    </row>
    <row r="395" spans="1:26" ht="12.75">
      <c r="A395" s="5">
        <v>6225</v>
      </c>
      <c r="B395" s="6" t="s">
        <v>221</v>
      </c>
      <c r="D395" s="296">
        <f>F395</f>
        <v>0</v>
      </c>
      <c r="E395" s="297"/>
      <c r="F395" s="296">
        <v>0</v>
      </c>
      <c r="H395" s="296">
        <v>0</v>
      </c>
      <c r="J395" s="296">
        <v>0</v>
      </c>
      <c r="L395" s="365">
        <v>0</v>
      </c>
      <c r="N395" s="365">
        <v>0</v>
      </c>
      <c r="Z395" s="236"/>
    </row>
    <row r="396" spans="2:26" ht="12.75">
      <c r="B396" s="237" t="s">
        <v>129</v>
      </c>
      <c r="D396" s="290"/>
      <c r="E396" s="297"/>
      <c r="F396" s="290"/>
      <c r="Z396" s="236"/>
    </row>
    <row r="397" spans="1:26" ht="12.75">
      <c r="A397" s="5">
        <v>6305</v>
      </c>
      <c r="B397" s="6" t="s">
        <v>69</v>
      </c>
      <c r="D397" s="296">
        <f>F397</f>
        <v>0</v>
      </c>
      <c r="E397" s="297"/>
      <c r="F397" s="296">
        <v>0</v>
      </c>
      <c r="H397" s="296">
        <v>0</v>
      </c>
      <c r="J397" s="296">
        <v>0</v>
      </c>
      <c r="L397" s="365">
        <v>0</v>
      </c>
      <c r="N397" s="365">
        <v>0</v>
      </c>
      <c r="Z397" s="236"/>
    </row>
    <row r="398" spans="1:26" ht="12.75">
      <c r="A398" s="5">
        <v>6310</v>
      </c>
      <c r="B398" s="6" t="s">
        <v>70</v>
      </c>
      <c r="D398" s="296">
        <v>296694.18</v>
      </c>
      <c r="E398" s="297"/>
      <c r="F398" s="296">
        <v>0</v>
      </c>
      <c r="H398" s="296">
        <v>0</v>
      </c>
      <c r="J398" s="296">
        <v>0</v>
      </c>
      <c r="L398" s="365">
        <v>0</v>
      </c>
      <c r="N398" s="365">
        <v>0</v>
      </c>
      <c r="Z398" s="236"/>
    </row>
    <row r="399" spans="1:26" ht="12.75">
      <c r="A399" s="5">
        <v>6315</v>
      </c>
      <c r="B399" s="6" t="s">
        <v>71</v>
      </c>
      <c r="D399" s="296">
        <f>F399</f>
        <v>0</v>
      </c>
      <c r="E399" s="297"/>
      <c r="F399" s="296">
        <v>0</v>
      </c>
      <c r="H399" s="296">
        <v>0</v>
      </c>
      <c r="J399" s="296">
        <v>0</v>
      </c>
      <c r="L399" s="365">
        <v>0</v>
      </c>
      <c r="N399" s="365">
        <v>0</v>
      </c>
      <c r="Z399" s="236"/>
    </row>
    <row r="400" spans="2:26" ht="12.75">
      <c r="B400" s="237" t="s">
        <v>130</v>
      </c>
      <c r="D400" s="290"/>
      <c r="E400" s="297"/>
      <c r="F400" s="290"/>
      <c r="Z400" s="236"/>
    </row>
    <row r="401" spans="4:26" ht="12.75">
      <c r="D401" s="301"/>
      <c r="F401" s="301"/>
      <c r="H401" s="301"/>
      <c r="J401" s="301"/>
      <c r="L401" s="301"/>
      <c r="N401" s="301"/>
      <c r="Z401" s="236"/>
    </row>
    <row r="402" spans="1:26" ht="12.75">
      <c r="A402" s="7" t="s">
        <v>72</v>
      </c>
      <c r="B402" s="8"/>
      <c r="C402" s="4"/>
      <c r="D402" s="302">
        <f>SUM(D6:D401)</f>
        <v>0.45000000135041773</v>
      </c>
      <c r="E402" s="300"/>
      <c r="F402" s="302">
        <f>SUM(F6:F401)</f>
        <v>-5.238689482212067E-10</v>
      </c>
      <c r="G402" s="300"/>
      <c r="H402" s="302">
        <f>SUM(H6:H401)</f>
        <v>-0.419999995152466</v>
      </c>
      <c r="I402" s="300"/>
      <c r="J402" s="302">
        <f>SUM(J6:J401)</f>
        <v>-0.5100000253296457</v>
      </c>
      <c r="L402" s="302">
        <f>SUM(L6:L401)</f>
        <v>-6.781192496418953E-09</v>
      </c>
      <c r="N402" s="302">
        <f>SUM(N6:N401)</f>
        <v>6.588379619643092E-09</v>
      </c>
      <c r="O402" s="290"/>
      <c r="Z402" s="236"/>
    </row>
    <row r="403" ht="12.75">
      <c r="Z403" s="236"/>
    </row>
    <row r="404" spans="1:26" ht="12.75">
      <c r="A404" s="393"/>
      <c r="B404" s="394" t="s">
        <v>916</v>
      </c>
      <c r="C404" s="395"/>
      <c r="D404" s="396"/>
      <c r="E404" s="396"/>
      <c r="F404" s="396"/>
      <c r="G404" s="396"/>
      <c r="H404" s="397"/>
      <c r="I404" s="396"/>
      <c r="J404" s="397"/>
      <c r="K404" s="396"/>
      <c r="L404" s="397"/>
      <c r="M404" s="397"/>
      <c r="N404" s="398"/>
      <c r="Z404" s="236"/>
    </row>
    <row r="405" spans="1:26" ht="12.75">
      <c r="A405" s="399">
        <v>1606</v>
      </c>
      <c r="B405" s="14" t="s">
        <v>876</v>
      </c>
      <c r="C405" s="13"/>
      <c r="D405" s="400">
        <v>16365.32</v>
      </c>
      <c r="E405" s="401"/>
      <c r="F405" s="400">
        <v>16365.32</v>
      </c>
      <c r="G405" s="401"/>
      <c r="H405" s="400">
        <v>16365.32</v>
      </c>
      <c r="I405" s="401"/>
      <c r="J405" s="400">
        <v>16365.32</v>
      </c>
      <c r="K405" s="401"/>
      <c r="L405" s="400">
        <v>16365.32</v>
      </c>
      <c r="M405" s="401"/>
      <c r="N405" s="402">
        <v>16365.32</v>
      </c>
      <c r="Z405" s="236"/>
    </row>
    <row r="406" spans="1:26" ht="12.75">
      <c r="A406" s="399">
        <v>2105</v>
      </c>
      <c r="B406" s="14" t="s">
        <v>877</v>
      </c>
      <c r="C406" s="13"/>
      <c r="D406" s="400">
        <v>-2558.15</v>
      </c>
      <c r="E406" s="401"/>
      <c r="F406" s="400">
        <v>-2974.15</v>
      </c>
      <c r="G406" s="401"/>
      <c r="H406" s="400">
        <v>-3390.15</v>
      </c>
      <c r="I406" s="401"/>
      <c r="J406" s="400">
        <v>-3806.15</v>
      </c>
      <c r="K406" s="401"/>
      <c r="L406" s="400">
        <v>-3806.15</v>
      </c>
      <c r="M406" s="401"/>
      <c r="N406" s="402">
        <v>-3806.15</v>
      </c>
      <c r="Z406" s="236"/>
    </row>
    <row r="407" spans="1:26" ht="12.75">
      <c r="A407" s="399">
        <v>5705</v>
      </c>
      <c r="B407" s="14" t="s">
        <v>879</v>
      </c>
      <c r="C407" s="13"/>
      <c r="D407" s="400">
        <v>416</v>
      </c>
      <c r="E407" s="401"/>
      <c r="F407" s="400">
        <v>416</v>
      </c>
      <c r="G407" s="401"/>
      <c r="H407" s="400">
        <v>416</v>
      </c>
      <c r="I407" s="401"/>
      <c r="J407" s="400">
        <v>416</v>
      </c>
      <c r="K407" s="401"/>
      <c r="L407" s="400"/>
      <c r="M407" s="401"/>
      <c r="N407" s="402"/>
      <c r="Z407" s="236"/>
    </row>
    <row r="408" spans="1:26" ht="12.75">
      <c r="A408" s="403"/>
      <c r="B408" s="404" t="s">
        <v>878</v>
      </c>
      <c r="C408" s="405"/>
      <c r="D408" s="369">
        <f>SUM(D405:D407)</f>
        <v>14223.17</v>
      </c>
      <c r="E408" s="406"/>
      <c r="F408" s="369">
        <f>SUM(F405:F407)</f>
        <v>13807.17</v>
      </c>
      <c r="G408" s="406"/>
      <c r="H408" s="369">
        <f>SUM(H405:H407)</f>
        <v>13391.17</v>
      </c>
      <c r="I408" s="406"/>
      <c r="J408" s="369">
        <f>SUM(J405:J407)</f>
        <v>12975.17</v>
      </c>
      <c r="K408" s="406"/>
      <c r="L408" s="369">
        <f>SUM(L405:L407)</f>
        <v>12559.17</v>
      </c>
      <c r="M408" s="406"/>
      <c r="N408" s="407">
        <f>SUM(N405:N407)</f>
        <v>12559.17</v>
      </c>
      <c r="Z408" s="236"/>
    </row>
    <row r="409" ht="12.75">
      <c r="Z409" s="236"/>
    </row>
    <row r="410" spans="4:26" ht="12.75">
      <c r="D410" s="368"/>
      <c r="F410" s="368"/>
      <c r="H410" s="368"/>
      <c r="J410" s="368"/>
      <c r="L410" s="368"/>
      <c r="N410" s="368"/>
      <c r="Z410" s="236"/>
    </row>
    <row r="411" ht="12.75">
      <c r="Z411" s="236"/>
    </row>
    <row r="412" ht="12.75">
      <c r="Z412" s="236"/>
    </row>
    <row r="413" ht="12.75">
      <c r="Z413" s="236"/>
    </row>
    <row r="414" ht="12.75">
      <c r="Z414" s="236"/>
    </row>
    <row r="415" ht="12.75">
      <c r="Z415" s="236"/>
    </row>
    <row r="416" ht="12.75">
      <c r="Z416" s="236"/>
    </row>
    <row r="417" ht="12.75">
      <c r="Z417" s="236"/>
    </row>
    <row r="418" ht="12.75">
      <c r="Z418" s="236"/>
    </row>
    <row r="419" ht="12.75">
      <c r="Z419" s="236"/>
    </row>
    <row r="420" ht="12.75">
      <c r="Z420" s="236"/>
    </row>
    <row r="606" ht="12.75"/>
    <row r="607" ht="12.75"/>
    <row r="608" ht="12.75"/>
  </sheetData>
  <sheetProtection/>
  <mergeCells count="5">
    <mergeCell ref="A1:L1"/>
    <mergeCell ref="A2:L2"/>
    <mergeCell ref="A4:A5"/>
    <mergeCell ref="B4:B5"/>
    <mergeCell ref="A3:J3"/>
  </mergeCells>
  <printOptions/>
  <pageMargins left="0.7480314960629921" right="0.7480314960629921" top="0.984251968503937" bottom="0.984251968503937" header="0.5118110236220472" footer="0.5118110236220472"/>
  <pageSetup fitToHeight="5" fitToWidth="1" horizontalDpi="355" verticalDpi="355" orientation="portrait" scale="60" r:id="rId3"/>
  <headerFooter alignWithMargins="0">
    <oddFooter>&amp;L&amp;A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9"/>
  <sheetViews>
    <sheetView showGridLines="0" zoomScalePageLayoutView="0" workbookViewId="0" topLeftCell="A27">
      <selection activeCell="G27" sqref="G27"/>
    </sheetView>
  </sheetViews>
  <sheetFormatPr defaultColWidth="9.140625" defaultRowHeight="12.75"/>
  <cols>
    <col min="1" max="1" width="73.28125" style="24" customWidth="1"/>
    <col min="2" max="2" width="20.8515625" style="284" customWidth="1"/>
  </cols>
  <sheetData>
    <row r="1" spans="1:2" ht="12.75">
      <c r="A1" s="614" t="str">
        <f>'Trial Balance'!A1:J1</f>
        <v>Woodstock Hydro Services Inc.</v>
      </c>
      <c r="B1" s="614"/>
    </row>
    <row r="2" spans="1:2" ht="12.75">
      <c r="A2" s="614" t="str">
        <f>'Trial Balance'!A2:J2</f>
        <v>, License Number ED-2003-0011, File Number EB-2010-0145</v>
      </c>
      <c r="B2" s="614"/>
    </row>
    <row r="3" spans="1:2" ht="15">
      <c r="A3" s="637" t="str">
        <f>Notes!B4</f>
        <v>Woodstock Hydro Services Inc.</v>
      </c>
      <c r="B3" s="637"/>
    </row>
    <row r="4" spans="1:2" ht="15">
      <c r="A4" s="637" t="s">
        <v>173</v>
      </c>
      <c r="B4" s="637"/>
    </row>
    <row r="5" spans="1:2" ht="15" customHeight="1">
      <c r="A5" s="59" t="s">
        <v>530</v>
      </c>
      <c r="B5" s="303" t="s">
        <v>154</v>
      </c>
    </row>
    <row r="6" spans="1:2" s="18" customFormat="1" ht="15" customHeight="1">
      <c r="A6" s="638" t="s">
        <v>149</v>
      </c>
      <c r="B6" s="638"/>
    </row>
    <row r="7" spans="1:2" ht="15" customHeight="1">
      <c r="A7" s="253" t="str">
        <f>'Trial Balance'!A8&amp;"-"&amp;'Trial Balance'!B8</f>
        <v>1005-Cash</v>
      </c>
      <c r="B7" s="304">
        <f>'Trial Balance'!D8</f>
        <v>2635861.84</v>
      </c>
    </row>
    <row r="8" spans="1:2" ht="15" customHeight="1">
      <c r="A8" s="253" t="str">
        <f>'Trial Balance'!A9&amp;"-"&amp;'Trial Balance'!B9</f>
        <v>1010-Cash Advances and Working Funds</v>
      </c>
      <c r="B8" s="304">
        <f>'Trial Balance'!D9</f>
        <v>500</v>
      </c>
    </row>
    <row r="9" spans="1:2" ht="15" customHeight="1">
      <c r="A9" s="253" t="str">
        <f>'Trial Balance'!A10&amp;"-"&amp;'Trial Balance'!B10</f>
        <v>1020-Interest Special Deposits</v>
      </c>
      <c r="B9" s="304">
        <f>'Trial Balance'!D10</f>
        <v>0</v>
      </c>
    </row>
    <row r="10" spans="1:2" ht="15" customHeight="1">
      <c r="A10" s="253" t="str">
        <f>'Trial Balance'!A11&amp;"-"&amp;'Trial Balance'!B11</f>
        <v>1030-Dividend Special Deposits</v>
      </c>
      <c r="B10" s="304">
        <f>'Trial Balance'!D11</f>
        <v>0</v>
      </c>
    </row>
    <row r="11" spans="1:2" ht="15" customHeight="1">
      <c r="A11" s="253" t="str">
        <f>'Trial Balance'!A12&amp;"-"&amp;'Trial Balance'!B12</f>
        <v>1040-Other Special Deposits</v>
      </c>
      <c r="B11" s="304">
        <f>'Trial Balance'!D12</f>
        <v>0</v>
      </c>
    </row>
    <row r="12" spans="1:2" ht="15" customHeight="1">
      <c r="A12" s="253" t="str">
        <f>'Trial Balance'!A13&amp;"-"&amp;'Trial Balance'!B13</f>
        <v>1060-Term Deposits</v>
      </c>
      <c r="B12" s="304">
        <f>'Trial Balance'!D13</f>
        <v>0</v>
      </c>
    </row>
    <row r="13" spans="1:2" ht="15" customHeight="1">
      <c r="A13" s="253" t="str">
        <f>'Trial Balance'!A14&amp;"-"&amp;'Trial Balance'!B14</f>
        <v>1070-Current Investments</v>
      </c>
      <c r="B13" s="304">
        <f>'Trial Balance'!D14</f>
        <v>50409</v>
      </c>
    </row>
    <row r="14" spans="1:2" ht="15" customHeight="1">
      <c r="A14" s="253" t="str">
        <f>'Trial Balance'!A15&amp;"-"&amp;'Trial Balance'!B15</f>
        <v>1100-Customer Accounts Receivable</v>
      </c>
      <c r="B14" s="304">
        <f>'Trial Balance'!D15</f>
        <v>3321178.35</v>
      </c>
    </row>
    <row r="15" spans="1:2" ht="15" customHeight="1">
      <c r="A15" s="253" t="str">
        <f>'Trial Balance'!A16&amp;"-"&amp;'Trial Balance'!B16</f>
        <v>1102-Accounts Receivable - Services</v>
      </c>
      <c r="B15" s="304">
        <f>'Trial Balance'!D16</f>
        <v>0</v>
      </c>
    </row>
    <row r="16" spans="1:2" ht="15" customHeight="1">
      <c r="A16" s="253" t="str">
        <f>'Trial Balance'!A17&amp;"-"&amp;'Trial Balance'!B17</f>
        <v>1104-Accounts Receivable - Recoverable Work</v>
      </c>
      <c r="B16" s="304">
        <f>'Trial Balance'!D17</f>
        <v>119007.3</v>
      </c>
    </row>
    <row r="17" spans="1:2" ht="15" customHeight="1">
      <c r="A17" s="253" t="str">
        <f>'Trial Balance'!A18&amp;"-"&amp;'Trial Balance'!B18</f>
        <v>1105-Accounts Receivable - Merchandise, Jobbing, etc.</v>
      </c>
      <c r="B17" s="304">
        <f>'Trial Balance'!D18</f>
        <v>0</v>
      </c>
    </row>
    <row r="18" spans="1:2" ht="15" customHeight="1">
      <c r="A18" s="253" t="str">
        <f>'Trial Balance'!A19&amp;"-"&amp;'Trial Balance'!B19</f>
        <v>1110-Other Accounts Receivable</v>
      </c>
      <c r="B18" s="304">
        <f>'Trial Balance'!D19</f>
        <v>20132.12</v>
      </c>
    </row>
    <row r="19" spans="1:2" ht="15" customHeight="1">
      <c r="A19" s="253" t="str">
        <f>'Trial Balance'!A20&amp;"-"&amp;'Trial Balance'!B20</f>
        <v>1120-Accrued Utility Revenues</v>
      </c>
      <c r="B19" s="304">
        <f>'Trial Balance'!D20</f>
        <v>2683549.38</v>
      </c>
    </row>
    <row r="20" spans="1:2" ht="15" customHeight="1">
      <c r="A20" s="253" t="str">
        <f>'Trial Balance'!A21&amp;"-"&amp;'Trial Balance'!B21</f>
        <v>1130-Accumulated Provision for Uncollectable Accounts -- Credit</v>
      </c>
      <c r="B20" s="304">
        <f>'Trial Balance'!D21</f>
        <v>-19643.51</v>
      </c>
    </row>
    <row r="21" spans="1:2" ht="15" customHeight="1">
      <c r="A21" s="253" t="str">
        <f>'Trial Balance'!A22&amp;"-"&amp;'Trial Balance'!B22</f>
        <v>1140-Interest and Dividends Receivable</v>
      </c>
      <c r="B21" s="304">
        <f>'Trial Balance'!D22</f>
        <v>0</v>
      </c>
    </row>
    <row r="22" spans="1:2" ht="15" customHeight="1">
      <c r="A22" s="253" t="str">
        <f>'Trial Balance'!A23&amp;"-"&amp;'Trial Balance'!B23</f>
        <v>1150-Rents Receivable</v>
      </c>
      <c r="B22" s="304">
        <f>'Trial Balance'!D23</f>
        <v>0</v>
      </c>
    </row>
    <row r="23" spans="1:2" ht="15" customHeight="1">
      <c r="A23" s="253" t="str">
        <f>'Trial Balance'!A24&amp;"-"&amp;'Trial Balance'!B24</f>
        <v>1170-Notes Receivable</v>
      </c>
      <c r="B23" s="304">
        <f>'Trial Balance'!D24</f>
        <v>0</v>
      </c>
    </row>
    <row r="24" spans="1:2" ht="15" customHeight="1">
      <c r="A24" s="253" t="str">
        <f>'Trial Balance'!A25&amp;"-"&amp;'Trial Balance'!B25</f>
        <v>1180-Prepayments</v>
      </c>
      <c r="B24" s="304">
        <f>'Trial Balance'!D25</f>
        <v>102788.86</v>
      </c>
    </row>
    <row r="25" spans="1:2" ht="15" customHeight="1">
      <c r="A25" s="253" t="str">
        <f>'Trial Balance'!A26&amp;"-"&amp;'Trial Balance'!B26</f>
        <v>1190-Miscellaneous Current and Accrued Assets</v>
      </c>
      <c r="B25" s="304">
        <f>'Trial Balance'!D26</f>
        <v>0</v>
      </c>
    </row>
    <row r="26" spans="1:2" ht="15" customHeight="1">
      <c r="A26" s="253" t="str">
        <f>'Trial Balance'!A27&amp;"-"&amp;'Trial Balance'!B27</f>
        <v>1200-Accounts Receivable from Associated Companies</v>
      </c>
      <c r="B26" s="304">
        <f>'Trial Balance'!D27</f>
        <v>20813.02</v>
      </c>
    </row>
    <row r="27" spans="1:2" ht="15" customHeight="1" thickBot="1">
      <c r="A27" s="253" t="str">
        <f>'Trial Balance'!A28&amp;"-"&amp;'Trial Balance'!B28</f>
        <v>1210-Notes  Receivable from Associated Companies</v>
      </c>
      <c r="B27" s="304">
        <f>'Trial Balance'!D28</f>
        <v>0</v>
      </c>
    </row>
    <row r="28" spans="1:2" ht="15" customHeight="1" thickBot="1">
      <c r="A28" s="254" t="s">
        <v>150</v>
      </c>
      <c r="B28" s="305">
        <f>SUM(B7:B27)</f>
        <v>8934596.359999998</v>
      </c>
    </row>
    <row r="29" spans="1:2" s="18" customFormat="1" ht="8.25" customHeight="1">
      <c r="A29" s="634"/>
      <c r="B29" s="634"/>
    </row>
    <row r="30" spans="1:2" s="18" customFormat="1" ht="15" customHeight="1">
      <c r="A30" s="633" t="s">
        <v>151</v>
      </c>
      <c r="B30" s="633"/>
    </row>
    <row r="31" spans="1:2" ht="15" customHeight="1">
      <c r="A31" s="253" t="str">
        <f>'Trial Balance'!A30&amp;"-"&amp;'Trial Balance'!B30</f>
        <v>1305-Fuel Stock</v>
      </c>
      <c r="B31" s="304">
        <f>'Trial Balance'!D30</f>
        <v>0</v>
      </c>
    </row>
    <row r="32" spans="1:2" ht="15" customHeight="1">
      <c r="A32" s="253" t="str">
        <f>'Trial Balance'!A31&amp;"-"&amp;'Trial Balance'!B31</f>
        <v>1330-Plant Materials and Operating Supplies</v>
      </c>
      <c r="B32" s="304">
        <f>'Trial Balance'!D31</f>
        <v>1589209.75</v>
      </c>
    </row>
    <row r="33" spans="1:2" ht="15" customHeight="1">
      <c r="A33" s="253" t="str">
        <f>'Trial Balance'!A32&amp;"-"&amp;'Trial Balance'!B32</f>
        <v>1340-Merchandise</v>
      </c>
      <c r="B33" s="304">
        <f>'Trial Balance'!D32</f>
        <v>0</v>
      </c>
    </row>
    <row r="34" spans="1:2" ht="15" customHeight="1" thickBot="1">
      <c r="A34" s="253" t="str">
        <f>'Trial Balance'!A33&amp;"-"&amp;'Trial Balance'!B33</f>
        <v>1350-Other Material and Supplies</v>
      </c>
      <c r="B34" s="304">
        <f>'Trial Balance'!D33</f>
        <v>0</v>
      </c>
    </row>
    <row r="35" spans="1:2" ht="15" customHeight="1" thickBot="1">
      <c r="A35" s="255" t="s">
        <v>103</v>
      </c>
      <c r="B35" s="305">
        <f>SUM(B31:B34)</f>
        <v>1589209.75</v>
      </c>
    </row>
    <row r="36" spans="1:2" s="18" customFormat="1" ht="15" customHeight="1">
      <c r="A36" s="256"/>
      <c r="B36" s="306"/>
    </row>
    <row r="37" spans="1:2" s="18" customFormat="1" ht="15" customHeight="1">
      <c r="A37" s="633" t="s">
        <v>104</v>
      </c>
      <c r="B37" s="633"/>
    </row>
    <row r="38" spans="1:2" ht="15" customHeight="1">
      <c r="A38" s="253" t="str">
        <f>'Trial Balance'!A35&amp;"-"&amp;'Trial Balance'!B35</f>
        <v>1405-Long Term Investments in Non-Associated Companies</v>
      </c>
      <c r="B38" s="304">
        <f>'Trial Balance'!D35</f>
        <v>0</v>
      </c>
    </row>
    <row r="39" spans="1:2" ht="15" customHeight="1">
      <c r="A39" s="253" t="str">
        <f>'Trial Balance'!A36&amp;"-"&amp;'Trial Balance'!B36</f>
        <v>1408-Long Term Receivable - Street Lighting Transfer</v>
      </c>
      <c r="B39" s="304">
        <f>'Trial Balance'!D36</f>
        <v>0</v>
      </c>
    </row>
    <row r="40" spans="1:2" ht="15" customHeight="1">
      <c r="A40" s="253" t="str">
        <f>'Trial Balance'!A37&amp;"-"&amp;'Trial Balance'!B37</f>
        <v>1410-Other Special or Collateral Funds</v>
      </c>
      <c r="B40" s="304">
        <f>'Trial Balance'!D37</f>
        <v>0</v>
      </c>
    </row>
    <row r="41" spans="1:2" ht="15" customHeight="1">
      <c r="A41" s="253" t="str">
        <f>'Trial Balance'!A38&amp;"-"&amp;'Trial Balance'!B38</f>
        <v>1415-Sinking Funds</v>
      </c>
      <c r="B41" s="304">
        <f>'Trial Balance'!D38</f>
        <v>0</v>
      </c>
    </row>
    <row r="42" spans="1:2" ht="15" customHeight="1">
      <c r="A42" s="253" t="str">
        <f>'Trial Balance'!A39&amp;"-"&amp;'Trial Balance'!B39</f>
        <v>1425-Unamortized Debt Expense</v>
      </c>
      <c r="B42" s="304">
        <f>'Trial Balance'!D39</f>
        <v>0</v>
      </c>
    </row>
    <row r="43" spans="1:2" ht="15" customHeight="1">
      <c r="A43" s="253" t="str">
        <f>'Trial Balance'!A40&amp;"-"&amp;'Trial Balance'!B40</f>
        <v>1445-Unamortized Discount on Long-Term Debt--Debit</v>
      </c>
      <c r="B43" s="304">
        <f>'Trial Balance'!D40</f>
        <v>0</v>
      </c>
    </row>
    <row r="44" spans="1:2" ht="15" customHeight="1">
      <c r="A44" s="253" t="str">
        <f>'Trial Balance'!A41&amp;"-"&amp;'Trial Balance'!B41</f>
        <v>1455-Unamortized Deferred Foreign Currency Translation Gains and Losses</v>
      </c>
      <c r="B44" s="304">
        <f>'Trial Balance'!D41</f>
        <v>0</v>
      </c>
    </row>
    <row r="45" spans="1:2" ht="15" customHeight="1">
      <c r="A45" s="253" t="str">
        <f>'Trial Balance'!A42&amp;"-"&amp;'Trial Balance'!B42</f>
        <v>1460-Other Non-Current Assets</v>
      </c>
      <c r="B45" s="304">
        <f>'Trial Balance'!D42</f>
        <v>0</v>
      </c>
    </row>
    <row r="46" spans="1:2" ht="15" customHeight="1">
      <c r="A46" s="253" t="str">
        <f>'Trial Balance'!A43&amp;"-"&amp;'Trial Balance'!B43</f>
        <v>1465-O.M.E.R.S. Past Service Costs</v>
      </c>
      <c r="B46" s="304">
        <f>'Trial Balance'!D43</f>
        <v>0</v>
      </c>
    </row>
    <row r="47" spans="1:2" ht="15" customHeight="1">
      <c r="A47" s="253" t="str">
        <f>'Trial Balance'!A44&amp;"-"&amp;'Trial Balance'!B44</f>
        <v>1470-Past Service Costs - Employee Future Benefits</v>
      </c>
      <c r="B47" s="304">
        <f>'Trial Balance'!D44</f>
        <v>0</v>
      </c>
    </row>
    <row r="48" spans="1:2" ht="15" customHeight="1">
      <c r="A48" s="253" t="str">
        <f>'Trial Balance'!A45&amp;"-"&amp;'Trial Balance'!B45</f>
        <v>1475-Past Service Costs -Other Pension Plans</v>
      </c>
      <c r="B48" s="304">
        <f>'Trial Balance'!D45</f>
        <v>0</v>
      </c>
    </row>
    <row r="49" spans="1:2" ht="15" customHeight="1">
      <c r="A49" s="253" t="str">
        <f>'Trial Balance'!A46&amp;"-"&amp;'Trial Balance'!B46</f>
        <v>1480-Portfolio Investments - Associated Companies</v>
      </c>
      <c r="B49" s="304">
        <f>'Trial Balance'!D46</f>
        <v>0</v>
      </c>
    </row>
    <row r="50" spans="1:2" ht="15" customHeight="1">
      <c r="A50" s="253" t="str">
        <f>'Trial Balance'!A47&amp;"-"&amp;'Trial Balance'!B47</f>
        <v>1485-Investment In Subsidiary Companies - Significant Influence</v>
      </c>
      <c r="B50" s="304">
        <f>'Trial Balance'!D47</f>
        <v>0</v>
      </c>
    </row>
    <row r="51" spans="1:2" ht="15" customHeight="1" thickBot="1">
      <c r="A51" s="253" t="str">
        <f>'Trial Balance'!A48&amp;"-"&amp;'Trial Balance'!B48</f>
        <v>1490-Investment in Subsidiary Companies</v>
      </c>
      <c r="B51" s="304">
        <f>'Trial Balance'!D48</f>
        <v>0</v>
      </c>
    </row>
    <row r="52" spans="1:2" ht="15" customHeight="1" thickBot="1">
      <c r="A52" s="255" t="s">
        <v>105</v>
      </c>
      <c r="B52" s="305">
        <f>SUM(B38:B51)</f>
        <v>0</v>
      </c>
    </row>
    <row r="53" spans="1:2" s="18" customFormat="1" ht="15" customHeight="1">
      <c r="A53" s="256"/>
      <c r="B53" s="306"/>
    </row>
    <row r="54" spans="1:2" s="18" customFormat="1" ht="15" customHeight="1">
      <c r="A54" s="633" t="s">
        <v>106</v>
      </c>
      <c r="B54" s="633"/>
    </row>
    <row r="55" spans="1:2" ht="15" customHeight="1">
      <c r="A55" s="253" t="str">
        <f>'Trial Balance'!A50&amp;"-"&amp;'Trial Balance'!B50</f>
        <v>1505-Unrecovered Plant and Regulatory Study Costs</v>
      </c>
      <c r="B55" s="304">
        <f>'Trial Balance'!D50</f>
        <v>0</v>
      </c>
    </row>
    <row r="56" spans="1:2" ht="15" customHeight="1">
      <c r="A56" s="253" t="str">
        <f>'Trial Balance'!A51&amp;"-"&amp;'Trial Balance'!B51</f>
        <v>1508-Other Regulatory Assets</v>
      </c>
      <c r="B56" s="304">
        <f>'Trial Balance'!D51</f>
        <v>230252.65</v>
      </c>
    </row>
    <row r="57" spans="1:2" ht="15" customHeight="1">
      <c r="A57" s="253" t="str">
        <f>'Trial Balance'!A52&amp;"-"&amp;'Trial Balance'!B52</f>
        <v>1510-Preliminary Survey and Investigation Charges</v>
      </c>
      <c r="B57" s="304">
        <f>'Trial Balance'!D52</f>
        <v>0</v>
      </c>
    </row>
    <row r="58" spans="1:2" ht="15" customHeight="1">
      <c r="A58" s="253" t="str">
        <f>'Trial Balance'!A53&amp;"-"&amp;'Trial Balance'!B53</f>
        <v>1515-Emission Allowance Inventory</v>
      </c>
      <c r="B58" s="304">
        <f>'Trial Balance'!D53</f>
        <v>0</v>
      </c>
    </row>
    <row r="59" spans="1:2" ht="15" customHeight="1">
      <c r="A59" s="253" t="str">
        <f>'Trial Balance'!A54&amp;"-"&amp;'Trial Balance'!B54</f>
        <v>1516-Emission Allowance Withheld</v>
      </c>
      <c r="B59" s="304">
        <f>'Trial Balance'!D54</f>
        <v>0</v>
      </c>
    </row>
    <row r="60" spans="1:2" ht="15" customHeight="1">
      <c r="A60" s="253" t="str">
        <f>'Trial Balance'!A55&amp;"-"&amp;'Trial Balance'!B55</f>
        <v>1518-RCVA Retail</v>
      </c>
      <c r="B60" s="304">
        <f>'Trial Balance'!D55</f>
        <v>0</v>
      </c>
    </row>
    <row r="61" spans="1:2" ht="15" customHeight="1">
      <c r="A61" s="253" t="str">
        <f>'Trial Balance'!A56&amp;"-"&amp;'Trial Balance'!B56</f>
        <v>1521- Special Purpose Charge Assessment</v>
      </c>
      <c r="B61" s="304">
        <f>'Trial Balance'!D56</f>
        <v>0</v>
      </c>
    </row>
    <row r="62" spans="1:2" ht="15" customHeight="1">
      <c r="A62" s="253" t="str">
        <f>'Trial Balance'!A57&amp;"-"&amp;'Trial Balance'!B57</f>
        <v>1522-  Late Payment  Settlement Recovery?</v>
      </c>
      <c r="B62" s="304">
        <f>'Trial Balance'!D57</f>
        <v>0</v>
      </c>
    </row>
    <row r="63" spans="1:2" ht="15" customHeight="1">
      <c r="A63" s="253" t="str">
        <f>'Trial Balance'!A58&amp;"-"&amp;'Trial Balance'!B58</f>
        <v>1525-Miscellaneous Deferred Debits</v>
      </c>
      <c r="B63" s="304">
        <f>'Trial Balance'!D57</f>
        <v>0</v>
      </c>
    </row>
    <row r="64" spans="1:2" ht="15" customHeight="1">
      <c r="A64" s="253" t="str">
        <f>'Trial Balance'!A59&amp;"-"&amp;'Trial Balance'!B59</f>
        <v>1530-Deferred Losses from Disposition of Utility Plant</v>
      </c>
      <c r="B64" s="304">
        <f>'Trial Balance'!D58</f>
        <v>0</v>
      </c>
    </row>
    <row r="65" spans="1:2" ht="15" customHeight="1">
      <c r="A65" s="253" t="str">
        <f>'Trial Balance'!A60&amp;"-"&amp;'Trial Balance'!B60</f>
        <v>1531-Renewable Connection Capital </v>
      </c>
      <c r="B65" s="304">
        <f>'Trial Balance'!D59</f>
        <v>0</v>
      </c>
    </row>
    <row r="66" spans="1:2" ht="15" customHeight="1">
      <c r="A66" s="253" t="str">
        <f>'Trial Balance'!A61&amp;"-"&amp;'Trial Balance'!B61</f>
        <v>1532-Renewable Connection OM&amp;A</v>
      </c>
      <c r="B66" s="304">
        <f>'Trial Balance'!D60</f>
        <v>0</v>
      </c>
    </row>
    <row r="67" spans="1:2" ht="15" customHeight="1">
      <c r="A67" s="253" t="str">
        <f>'Trial Balance'!A62&amp;"-"&amp;'Trial Balance'!B62</f>
        <v>1534-Smart Grid Capital</v>
      </c>
      <c r="B67" s="304">
        <f>'Trial Balance'!D61</f>
        <v>0</v>
      </c>
    </row>
    <row r="68" spans="1:2" ht="15" customHeight="1">
      <c r="A68" s="253" t="str">
        <f>'Trial Balance'!A63&amp;"-"&amp;'Trial Balance'!B63</f>
        <v>1535-Smart Grid OM&amp;A</v>
      </c>
      <c r="B68" s="304">
        <f>'Trial Balance'!D62</f>
        <v>0</v>
      </c>
    </row>
    <row r="69" spans="1:2" ht="15" customHeight="1">
      <c r="A69" s="253" t="str">
        <f>'Trial Balance'!A64&amp;"-"&amp;'Trial Balance'!B64</f>
        <v>1540-Deferred Losses from Disposition of Utility Plant</v>
      </c>
      <c r="B69" s="304">
        <f>'Trial Balance'!D63</f>
        <v>0</v>
      </c>
    </row>
    <row r="70" spans="1:2" ht="15" customHeight="1">
      <c r="A70" s="253" t="str">
        <f>'Trial Balance'!A65&amp;"-"&amp;'Trial Balance'!B65</f>
        <v>1545-Development Charge Deposits/ Receivables</v>
      </c>
      <c r="B70" s="304">
        <f>'Trial Balance'!D65</f>
        <v>0</v>
      </c>
    </row>
    <row r="71" spans="1:2" ht="15" customHeight="1">
      <c r="A71" s="253" t="str">
        <f>'Trial Balance'!A66&amp;"-"&amp;'Trial Balance'!B66</f>
        <v>1548-RCVA - Service Transaction Request (STR)</v>
      </c>
      <c r="B71" s="304">
        <f>'Trial Balance'!D66</f>
        <v>0</v>
      </c>
    </row>
    <row r="72" spans="1:2" ht="15" customHeight="1">
      <c r="A72" s="253" t="str">
        <f>'Trial Balance'!A67&amp;"-"&amp;'Trial Balance'!B67</f>
        <v>1550-LV Charges - Variance</v>
      </c>
      <c r="B72" s="304">
        <f>'Trial Balance'!D67</f>
        <v>0</v>
      </c>
    </row>
    <row r="73" spans="1:2" ht="15" customHeight="1">
      <c r="A73" s="253" t="str">
        <f>'Trial Balance'!A68&amp;"-"&amp;'Trial Balance'!B68</f>
        <v>1555-Smart Meters Recovery</v>
      </c>
      <c r="B73" s="304">
        <f>'Trial Balance'!D68</f>
        <v>-27130.71</v>
      </c>
    </row>
    <row r="74" spans="1:2" ht="15" customHeight="1">
      <c r="A74" s="253" t="str">
        <f>'Trial Balance'!A69&amp;"-"&amp;'Trial Balance'!B69</f>
        <v>1556-Smart Meters OM &amp; A</v>
      </c>
      <c r="B74" s="304">
        <f>'Trial Balance'!D69</f>
        <v>0</v>
      </c>
    </row>
    <row r="75" spans="1:2" ht="15" customHeight="1">
      <c r="A75" s="253" t="str">
        <f>'Trial Balance'!A70&amp;"-"&amp;'Trial Balance'!B70</f>
        <v>1562-Deferred PILs</v>
      </c>
      <c r="B75" s="304">
        <f>'Trial Balance'!D70</f>
        <v>374498.18</v>
      </c>
    </row>
    <row r="76" spans="1:2" ht="15" customHeight="1">
      <c r="A76" s="253" t="str">
        <f>'Trial Balance'!A71&amp;"-"&amp;'Trial Balance'!B71</f>
        <v>1563-Deferred PILs - Contra</v>
      </c>
      <c r="B76" s="304">
        <f>'Trial Balance'!D71</f>
        <v>0</v>
      </c>
    </row>
    <row r="77" spans="1:2" ht="15" customHeight="1">
      <c r="A77" s="253" t="str">
        <f>'Trial Balance'!A72&amp;"-"&amp;'Trial Balance'!B72</f>
        <v>1565-C &amp; DM Costs</v>
      </c>
      <c r="B77" s="304">
        <f>'Trial Balance'!D72</f>
        <v>-91951.51</v>
      </c>
    </row>
    <row r="78" spans="1:2" ht="15" customHeight="1">
      <c r="A78" s="253" t="str">
        <f>'Trial Balance'!A73&amp;"-"&amp;'Trial Balance'!B73</f>
        <v>1566-C &amp; DM Costs Contra</v>
      </c>
      <c r="B78" s="304">
        <f>'Trial Balance'!D73</f>
        <v>91951.51</v>
      </c>
    </row>
    <row r="79" spans="1:2" ht="15" customHeight="1">
      <c r="A79" s="253" t="str">
        <f>'Trial Balance'!A74&amp;"-"&amp;'Trial Balance'!B74</f>
        <v>1570-Qualifying Transition Costs</v>
      </c>
      <c r="B79" s="304">
        <f>'Trial Balance'!D74</f>
        <v>0</v>
      </c>
    </row>
    <row r="80" spans="1:2" ht="15" customHeight="1">
      <c r="A80" s="253" t="str">
        <f>'Trial Balance'!A75&amp;"-"&amp;'Trial Balance'!B75</f>
        <v>1571-Pre Market CofP Variance</v>
      </c>
      <c r="B80" s="304">
        <f>'Trial Balance'!D75</f>
        <v>0</v>
      </c>
    </row>
    <row r="81" spans="1:2" ht="15" customHeight="1">
      <c r="A81" s="253" t="str">
        <f>'Trial Balance'!A76&amp;"-"&amp;'Trial Balance'!B76</f>
        <v>1572-Extraordinary Event Losses</v>
      </c>
      <c r="B81" s="304">
        <f>'Trial Balance'!D76</f>
        <v>0</v>
      </c>
    </row>
    <row r="82" spans="1:2" ht="15" customHeight="1">
      <c r="A82" s="253" t="str">
        <f>'Trial Balance'!A77&amp;"-"&amp;'Trial Balance'!B77</f>
        <v>1574-Deferred Rate Impact Amounts</v>
      </c>
      <c r="B82" s="304">
        <f>'Trial Balance'!D77</f>
        <v>0</v>
      </c>
    </row>
    <row r="83" spans="1:2" ht="15" customHeight="1">
      <c r="A83" s="253" t="str">
        <f>'Trial Balance'!A78&amp;"-"&amp;'Trial Balance'!B78</f>
        <v>1580-RSVA - Wholesale Market Services</v>
      </c>
      <c r="B83" s="304">
        <f>'Trial Balance'!D78</f>
        <v>-348912.14</v>
      </c>
    </row>
    <row r="84" spans="1:2" ht="15" customHeight="1">
      <c r="A84" s="253" t="str">
        <f>'Trial Balance'!A79&amp;"-"&amp;'Trial Balance'!B79</f>
        <v>1582-RSVA - One-Time</v>
      </c>
      <c r="B84" s="304">
        <f>'Trial Balance'!D79</f>
        <v>130235.56</v>
      </c>
    </row>
    <row r="85" spans="1:2" ht="15" customHeight="1">
      <c r="A85" s="253" t="str">
        <f>'Trial Balance'!A80&amp;"-"&amp;'Trial Balance'!B80</f>
        <v>1584-RSVA - Network Charges</v>
      </c>
      <c r="B85" s="304">
        <f>'Trial Balance'!D80</f>
        <v>55252.06</v>
      </c>
    </row>
    <row r="86" spans="1:2" ht="15" customHeight="1">
      <c r="A86" s="253" t="str">
        <f>'Trial Balance'!A81&amp;"-"&amp;'Trial Balance'!B81</f>
        <v>1586-RSVA - Connection Charges</v>
      </c>
      <c r="B86" s="304">
        <f>'Trial Balance'!D81</f>
        <v>44361.94</v>
      </c>
    </row>
    <row r="87" spans="1:2" ht="15" customHeight="1">
      <c r="A87" s="253" t="str">
        <f>'Trial Balance'!A82&amp;"-"&amp;'Trial Balance'!B82</f>
        <v>1588-RSVA - Commodity (Power)</v>
      </c>
      <c r="B87" s="304">
        <f>'Trial Balance'!D82</f>
        <v>-284585.54</v>
      </c>
    </row>
    <row r="88" spans="1:2" ht="15" customHeight="1">
      <c r="A88" s="253" t="str">
        <f>'Trial Balance'!A83&amp;"-"&amp;'Trial Balance'!B83</f>
        <v>1590-Recovery of Regulatory Assets (25% of 2002 bal.)</v>
      </c>
      <c r="B88" s="304">
        <f>'Trial Balance'!D83</f>
        <v>271352.09</v>
      </c>
    </row>
    <row r="89" spans="1:2" ht="15" customHeight="1">
      <c r="A89" s="253" t="str">
        <f>'Trial Balance'!A84&amp;"-"&amp;'Trial Balance'!B84</f>
        <v>1592-PILs and Tax Variance for 2006 &amp; Subsequent Years</v>
      </c>
      <c r="B89" s="304">
        <f>'Trial Balance'!D84</f>
        <v>0</v>
      </c>
    </row>
    <row r="90" spans="1:2" ht="15" customHeight="1" thickBot="1">
      <c r="A90" s="253" t="str">
        <f>'Trial Balance'!A85&amp;"-"&amp;'Trial Balance'!B85</f>
        <v>1595-Disposition and Recovery of Regulatory Balances</v>
      </c>
      <c r="B90" s="304">
        <f>'Trial Balance'!D85</f>
        <v>0</v>
      </c>
    </row>
    <row r="91" spans="1:2" ht="15" customHeight="1" thickBot="1">
      <c r="A91" s="255" t="s">
        <v>155</v>
      </c>
      <c r="B91" s="305">
        <f>SUM(B55:B90)</f>
        <v>445324.09</v>
      </c>
    </row>
    <row r="92" spans="1:2" s="18" customFormat="1" ht="15" customHeight="1">
      <c r="A92" s="256"/>
      <c r="B92" s="306"/>
    </row>
    <row r="93" spans="1:2" s="18" customFormat="1" ht="15" customHeight="1">
      <c r="A93" s="633" t="s">
        <v>156</v>
      </c>
      <c r="B93" s="633"/>
    </row>
    <row r="94" spans="1:2" ht="15" customHeight="1">
      <c r="A94" s="253" t="str">
        <f>'Trial Balance'!A87&amp;"-"&amp;'Trial Balance'!B87</f>
        <v>1805-Land</v>
      </c>
      <c r="B94" s="304">
        <f>'Trial Balance'!D87</f>
        <v>21835.64</v>
      </c>
    </row>
    <row r="95" spans="1:2" ht="15" customHeight="1">
      <c r="A95" s="253" t="str">
        <f>'Trial Balance'!A88&amp;"-"&amp;'Trial Balance'!B88</f>
        <v>1806-Land Rights</v>
      </c>
      <c r="B95" s="304">
        <f>'Trial Balance'!D88</f>
        <v>0</v>
      </c>
    </row>
    <row r="96" spans="1:5" ht="15" customHeight="1">
      <c r="A96" s="253" t="str">
        <f>'Trial Balance'!A89&amp;"-"&amp;'Trial Balance'!B89</f>
        <v>1808-Buildings and Fixtures</v>
      </c>
      <c r="B96" s="304">
        <f>'Trial Balance'!D89</f>
        <v>190773.89</v>
      </c>
      <c r="E96">
        <v>16365.32</v>
      </c>
    </row>
    <row r="97" spans="1:2" ht="15" customHeight="1">
      <c r="A97" s="253" t="str">
        <f>'Trial Balance'!A90&amp;"-"&amp;'Trial Balance'!B90</f>
        <v>1810-Leasehold Improvements</v>
      </c>
      <c r="B97" s="304">
        <f>'Trial Balance'!D90</f>
        <v>0</v>
      </c>
    </row>
    <row r="98" spans="1:2" ht="15" customHeight="1">
      <c r="A98" s="253" t="str">
        <f>'Trial Balance'!A91&amp;"-"&amp;'Trial Balance'!B91</f>
        <v>1815-Transformer Station Equipment - Normally Primary above 50 kV</v>
      </c>
      <c r="B98" s="304">
        <f>'Trial Balance'!D91</f>
        <v>0</v>
      </c>
    </row>
    <row r="99" spans="1:2" ht="15" customHeight="1">
      <c r="A99" s="253" t="str">
        <f>'Trial Balance'!A92&amp;"-"&amp;'Trial Balance'!B92</f>
        <v>1820-Distribution Station Equipment - Normally Primary below 50 kV</v>
      </c>
      <c r="B99" s="304">
        <f>'Trial Balance'!D92</f>
        <v>566170.39</v>
      </c>
    </row>
    <row r="100" spans="1:2" ht="15" customHeight="1">
      <c r="A100" s="253" t="str">
        <f>'Trial Balance'!A93&amp;"-"&amp;'Trial Balance'!B93</f>
        <v>1825-Storage Battery Equipment</v>
      </c>
      <c r="B100" s="304">
        <f>'Trial Balance'!D93</f>
        <v>0</v>
      </c>
    </row>
    <row r="101" spans="1:2" ht="15" customHeight="1">
      <c r="A101" s="253" t="str">
        <f>'Trial Balance'!A94&amp;"-"&amp;'Trial Balance'!B94</f>
        <v>1830-Poles, Towers and Fixtures</v>
      </c>
      <c r="B101" s="304">
        <f>'Trial Balance'!D94</f>
        <v>6096251.6899999995</v>
      </c>
    </row>
    <row r="102" spans="1:2" ht="15" customHeight="1">
      <c r="A102" s="253" t="str">
        <f>'Trial Balance'!A95&amp;"-"&amp;'Trial Balance'!B95</f>
        <v>1835-Overhead Conductors and Devices</v>
      </c>
      <c r="B102" s="304">
        <f>'Trial Balance'!D95</f>
        <v>3144322.13</v>
      </c>
    </row>
    <row r="103" spans="1:2" ht="15" customHeight="1">
      <c r="A103" s="253" t="str">
        <f>'Trial Balance'!A96&amp;"-"&amp;'Trial Balance'!B96</f>
        <v>1840-Underground Conduit</v>
      </c>
      <c r="B103" s="304">
        <f>'Trial Balance'!D96</f>
        <v>2423527.02</v>
      </c>
    </row>
    <row r="104" spans="1:2" ht="15" customHeight="1">
      <c r="A104" s="253" t="str">
        <f>'Trial Balance'!A97&amp;"-"&amp;'Trial Balance'!B97</f>
        <v>1845-Underground Conductors and Devices</v>
      </c>
      <c r="B104" s="304">
        <f>'Trial Balance'!D97</f>
        <v>3308107.6399999997</v>
      </c>
    </row>
    <row r="105" spans="1:2" ht="15" customHeight="1">
      <c r="A105" s="253" t="str">
        <f>'Trial Balance'!A98&amp;"-"&amp;'Trial Balance'!B98</f>
        <v>1850-Line Transformers</v>
      </c>
      <c r="B105" s="304">
        <f>'Trial Balance'!D98</f>
        <v>3873558</v>
      </c>
    </row>
    <row r="106" spans="1:2" ht="15" customHeight="1">
      <c r="A106" s="253" t="str">
        <f>'Trial Balance'!A99&amp;"-"&amp;'Trial Balance'!B99</f>
        <v>1855-Services</v>
      </c>
      <c r="B106" s="304">
        <f>'Trial Balance'!D99</f>
        <v>1155237.98</v>
      </c>
    </row>
    <row r="107" spans="1:2" ht="15" customHeight="1">
      <c r="A107" s="253" t="str">
        <f>'Trial Balance'!A100&amp;"-"&amp;'Trial Balance'!B100</f>
        <v>1860-Meters</v>
      </c>
      <c r="B107" s="304">
        <f>'Trial Balance'!D100</f>
        <v>3598653.0199999996</v>
      </c>
    </row>
    <row r="108" spans="1:2" ht="15" customHeight="1" thickBot="1">
      <c r="A108" s="253" t="str">
        <f>'Trial Balance'!A101&amp;"-"&amp;'Trial Balance'!B101</f>
        <v>1865-Other Installations on Customer's Premises</v>
      </c>
      <c r="B108" s="304">
        <f>'Trial Balance'!D101</f>
        <v>0</v>
      </c>
    </row>
    <row r="109" spans="1:2" ht="15" customHeight="1" thickBot="1">
      <c r="A109" s="257" t="s">
        <v>80</v>
      </c>
      <c r="B109" s="305">
        <f>SUM(B94:B108)</f>
        <v>24378437.4</v>
      </c>
    </row>
    <row r="110" spans="1:2" s="18" customFormat="1" ht="15" customHeight="1">
      <c r="A110" s="258"/>
      <c r="B110" s="306"/>
    </row>
    <row r="111" spans="1:2" s="18" customFormat="1" ht="15" customHeight="1">
      <c r="A111" s="633" t="s">
        <v>81</v>
      </c>
      <c r="B111" s="633"/>
    </row>
    <row r="112" spans="1:2" ht="15" customHeight="1">
      <c r="A112" s="253" t="str">
        <f>'Trial Balance'!A102&amp;"-"&amp;'Trial Balance'!B102</f>
        <v>1905-Land</v>
      </c>
      <c r="B112" s="304">
        <f>'Trial Balance'!D102</f>
        <v>17529.54</v>
      </c>
    </row>
    <row r="113" spans="1:2" ht="15" customHeight="1">
      <c r="A113" s="253" t="str">
        <f>'Trial Balance'!A103&amp;"-"&amp;'Trial Balance'!B103</f>
        <v>1906-Land Rights</v>
      </c>
      <c r="B113" s="304">
        <f>'Trial Balance'!D103</f>
        <v>0</v>
      </c>
    </row>
    <row r="114" spans="1:2" ht="15" customHeight="1">
      <c r="A114" s="253" t="str">
        <f>'Trial Balance'!A104&amp;"-"&amp;'Trial Balance'!B104</f>
        <v>1908-Buildings and Fixtures</v>
      </c>
      <c r="B114" s="304">
        <f>'Trial Balance'!D104</f>
        <v>448482.56</v>
      </c>
    </row>
    <row r="115" spans="1:2" ht="15" customHeight="1">
      <c r="A115" s="253" t="str">
        <f>'Trial Balance'!A105&amp;"-"&amp;'Trial Balance'!B105</f>
        <v>1910-Leasehold Improvements</v>
      </c>
      <c r="B115" s="304">
        <f>'Trial Balance'!D105</f>
        <v>0</v>
      </c>
    </row>
    <row r="116" spans="1:2" ht="15" customHeight="1">
      <c r="A116" s="253" t="str">
        <f>'Trial Balance'!A106&amp;"-"&amp;'Trial Balance'!B106</f>
        <v>1915-Office Furniture and Equipment</v>
      </c>
      <c r="B116" s="304">
        <f>'Trial Balance'!D106</f>
        <v>166115.05</v>
      </c>
    </row>
    <row r="117" spans="1:2" ht="15" customHeight="1">
      <c r="A117" s="253" t="str">
        <f>'Trial Balance'!A107&amp;"-"&amp;'Trial Balance'!B107</f>
        <v>1920-Computer Equipment - Hardware</v>
      </c>
      <c r="B117" s="304">
        <f>'Trial Balance'!D107</f>
        <v>689489.6000000001</v>
      </c>
    </row>
    <row r="118" spans="1:2" ht="15" customHeight="1">
      <c r="A118" s="253" t="str">
        <f>'Trial Balance'!A108&amp;"-"&amp;'Trial Balance'!B108</f>
        <v>1925-Computer Software</v>
      </c>
      <c r="B118" s="304">
        <f>'Trial Balance'!D108</f>
        <v>793441.3700000001</v>
      </c>
    </row>
    <row r="119" spans="1:2" ht="15" customHeight="1">
      <c r="A119" s="253" t="str">
        <f>'Trial Balance'!A109&amp;"-"&amp;'Trial Balance'!B109</f>
        <v>1930-Transportation Equipment</v>
      </c>
      <c r="B119" s="304">
        <f>'Trial Balance'!D109</f>
        <v>1259712.9</v>
      </c>
    </row>
    <row r="120" spans="1:2" ht="15" customHeight="1">
      <c r="A120" s="253" t="str">
        <f>'Trial Balance'!A110&amp;"-"&amp;'Trial Balance'!B110</f>
        <v>1935-Stores Equipment</v>
      </c>
      <c r="B120" s="304">
        <f>'Trial Balance'!D110</f>
        <v>43075.149999999994</v>
      </c>
    </row>
    <row r="121" spans="1:2" ht="15" customHeight="1">
      <c r="A121" s="253" t="str">
        <f>'Trial Balance'!A111&amp;"-"&amp;'Trial Balance'!B111</f>
        <v>1940-Tools, Shop and Garage Equipment</v>
      </c>
      <c r="B121" s="304">
        <f>'Trial Balance'!D111</f>
        <v>187594.44000000003</v>
      </c>
    </row>
    <row r="122" spans="1:2" ht="15" customHeight="1">
      <c r="A122" s="253" t="str">
        <f>'Trial Balance'!A112&amp;"-"&amp;'Trial Balance'!B112</f>
        <v>1945-Measurement and Testing Equipment</v>
      </c>
      <c r="B122" s="304">
        <f>'Trial Balance'!D112</f>
        <v>75162.71</v>
      </c>
    </row>
    <row r="123" spans="1:2" ht="15" customHeight="1">
      <c r="A123" s="253" t="str">
        <f>'Trial Balance'!A113&amp;"-"&amp;'Trial Balance'!B113</f>
        <v>1950-Power Operated Equipment</v>
      </c>
      <c r="B123" s="304">
        <f>'Trial Balance'!D113</f>
        <v>0</v>
      </c>
    </row>
    <row r="124" spans="1:2" ht="15" customHeight="1">
      <c r="A124" s="253" t="str">
        <f>'Trial Balance'!A114&amp;"-"&amp;'Trial Balance'!B114</f>
        <v>1955-Communication Equipment</v>
      </c>
      <c r="B124" s="304">
        <f>'Trial Balance'!D114</f>
        <v>13102.560000000001</v>
      </c>
    </row>
    <row r="125" spans="1:2" ht="15" customHeight="1">
      <c r="A125" s="253" t="str">
        <f>'Trial Balance'!A115&amp;"-"&amp;'Trial Balance'!B115</f>
        <v>1960-Miscellaneous Equipment</v>
      </c>
      <c r="B125" s="304">
        <f>'Trial Balance'!D115</f>
        <v>485.09</v>
      </c>
    </row>
    <row r="126" spans="1:2" ht="15" customHeight="1">
      <c r="A126" s="253" t="str">
        <f>'Trial Balance'!A116&amp;"-"&amp;'Trial Balance'!B116</f>
        <v>1970-Load Management Controls - Customer Premises </v>
      </c>
      <c r="B126" s="304">
        <f>'Trial Balance'!D116</f>
        <v>0</v>
      </c>
    </row>
    <row r="127" spans="1:2" ht="15" customHeight="1">
      <c r="A127" s="253" t="str">
        <f>'Trial Balance'!A117&amp;"-"&amp;'Trial Balance'!B117</f>
        <v>1975-Load Management Controls - Utility Premises</v>
      </c>
      <c r="B127" s="304">
        <f>'Trial Balance'!D117</f>
        <v>0</v>
      </c>
    </row>
    <row r="128" spans="1:2" ht="15" customHeight="1">
      <c r="A128" s="253" t="str">
        <f>'Trial Balance'!A118&amp;"-"&amp;'Trial Balance'!B118</f>
        <v>1980-System Supervisory Equipment</v>
      </c>
      <c r="B128" s="304">
        <f>'Trial Balance'!D118</f>
        <v>169335.24</v>
      </c>
    </row>
    <row r="129" spans="1:2" ht="15" customHeight="1">
      <c r="A129" s="253" t="str">
        <f>'Trial Balance'!A119&amp;"-"&amp;'Trial Balance'!B119</f>
        <v>1985-Sentinel Lighting Rentals</v>
      </c>
      <c r="B129" s="304">
        <f>'Trial Balance'!D119</f>
        <v>0</v>
      </c>
    </row>
    <row r="130" spans="1:2" ht="15" customHeight="1">
      <c r="A130" s="253" t="str">
        <f>'Trial Balance'!A120&amp;"-"&amp;'Trial Balance'!B120</f>
        <v>1990-Other Tangible Property</v>
      </c>
      <c r="B130" s="304">
        <f>'Trial Balance'!D120</f>
        <v>0</v>
      </c>
    </row>
    <row r="131" spans="1:2" s="372" customFormat="1" ht="15" customHeight="1">
      <c r="A131" s="253" t="str">
        <f>'Trial Balance'!A121&amp;"-"&amp;'Trial Balance'!B121</f>
        <v>1995-Contributions and Grants</v>
      </c>
      <c r="B131" s="304">
        <f>'Trial Balance'!D121</f>
        <v>-1375073.97</v>
      </c>
    </row>
    <row r="132" spans="1:2" ht="15" customHeight="1" thickBot="1">
      <c r="A132" s="253" t="str">
        <f>'Trial Balance'!A122&amp;"-"&amp;'Trial Balance'!B122</f>
        <v>1996-Contributions - Commerce Way TS</v>
      </c>
      <c r="B132" s="304">
        <f>'Trial Balance'!D122</f>
        <v>0</v>
      </c>
    </row>
    <row r="133" spans="1:2" ht="15" customHeight="1" thickBot="1">
      <c r="A133" s="257" t="s">
        <v>145</v>
      </c>
      <c r="B133" s="305">
        <f>SUM(B112:B132)</f>
        <v>2488452.24</v>
      </c>
    </row>
    <row r="134" spans="1:2" s="18" customFormat="1" ht="15" customHeight="1">
      <c r="A134" s="258"/>
      <c r="B134" s="306"/>
    </row>
    <row r="135" spans="1:2" s="18" customFormat="1" ht="15" customHeight="1">
      <c r="A135" s="633" t="s">
        <v>146</v>
      </c>
      <c r="B135" s="633"/>
    </row>
    <row r="136" spans="1:2" ht="15" customHeight="1">
      <c r="A136" s="253" t="str">
        <f>'Trial Balance'!A124&amp;"-"&amp;'Trial Balance'!B124</f>
        <v>2005-Property Under Capital Leases</v>
      </c>
      <c r="B136" s="304">
        <f>'Trial Balance'!D124</f>
        <v>0</v>
      </c>
    </row>
    <row r="137" spans="1:2" ht="15" customHeight="1">
      <c r="A137" s="253" t="str">
        <f>'Trial Balance'!A125&amp;"-"&amp;'Trial Balance'!B125</f>
        <v>2010-Electric Plant Purchased or Sold</v>
      </c>
      <c r="B137" s="304">
        <f>'Trial Balance'!D125</f>
        <v>0</v>
      </c>
    </row>
    <row r="138" spans="1:2" ht="15" customHeight="1">
      <c r="A138" s="253" t="str">
        <f>'Trial Balance'!A126&amp;"-"&amp;'Trial Balance'!B126</f>
        <v>2020-Experimental Electric Plant Unclassified</v>
      </c>
      <c r="B138" s="304">
        <f>'Trial Balance'!D126</f>
        <v>0</v>
      </c>
    </row>
    <row r="139" spans="1:2" ht="15" customHeight="1">
      <c r="A139" s="253" t="str">
        <f>'Trial Balance'!A127&amp;"-"&amp;'Trial Balance'!B127</f>
        <v>2030-Electric Plant and Equipment Leased to Others</v>
      </c>
      <c r="B139" s="304">
        <f>'Trial Balance'!D127</f>
        <v>0</v>
      </c>
    </row>
    <row r="140" spans="1:2" ht="15" customHeight="1">
      <c r="A140" s="253" t="str">
        <f>'Trial Balance'!A128&amp;"-"&amp;'Trial Balance'!B128</f>
        <v>2040-Electric Plant Held for Future Use</v>
      </c>
      <c r="B140" s="304">
        <f>'Trial Balance'!D128</f>
        <v>0</v>
      </c>
    </row>
    <row r="141" spans="1:2" ht="15" customHeight="1">
      <c r="A141" s="253" t="str">
        <f>'Trial Balance'!A129&amp;"-"&amp;'Trial Balance'!B129</f>
        <v>2050-Completed Construction Not Classified--Electric</v>
      </c>
      <c r="B141" s="304">
        <f>'Trial Balance'!D129</f>
        <v>0</v>
      </c>
    </row>
    <row r="142" spans="1:2" ht="15" customHeight="1">
      <c r="A142" s="253" t="str">
        <f>'Trial Balance'!A130&amp;"-"&amp;'Trial Balance'!B130</f>
        <v>2055-Construction Work in Progress--Electric</v>
      </c>
      <c r="B142" s="304">
        <f>'Trial Balance'!D130</f>
        <v>0</v>
      </c>
    </row>
    <row r="143" spans="1:2" ht="15" customHeight="1">
      <c r="A143" s="253" t="str">
        <f>'Trial Balance'!A131&amp;"-"&amp;'Trial Balance'!B131</f>
        <v>2060-Electric Plant Acquisition Adjustment</v>
      </c>
      <c r="B143" s="304">
        <f>'Trial Balance'!D131</f>
        <v>0</v>
      </c>
    </row>
    <row r="144" spans="1:2" ht="15" customHeight="1">
      <c r="A144" s="253" t="str">
        <f>'Trial Balance'!A132&amp;"-"&amp;'Trial Balance'!B132</f>
        <v>2065-Other Electric Plant Adjustment</v>
      </c>
      <c r="B144" s="304">
        <f>'Trial Balance'!D132</f>
        <v>0</v>
      </c>
    </row>
    <row r="145" spans="1:2" ht="15" customHeight="1">
      <c r="A145" s="253" t="str">
        <f>'Trial Balance'!A133&amp;"-"&amp;'Trial Balance'!B133</f>
        <v>2070-Other Utility Plant</v>
      </c>
      <c r="B145" s="304">
        <f>'Trial Balance'!D133</f>
        <v>0</v>
      </c>
    </row>
    <row r="146" spans="1:2" ht="15" customHeight="1" thickBot="1">
      <c r="A146" s="253" t="str">
        <f>'Trial Balance'!A134&amp;"-"&amp;'Trial Balance'!B134</f>
        <v>2075-Non-Utility Property Owned or Under Capital Lease</v>
      </c>
      <c r="B146" s="304">
        <f>'Trial Balance'!D134</f>
        <v>0</v>
      </c>
    </row>
    <row r="147" spans="1:2" ht="15" customHeight="1" thickBot="1">
      <c r="A147" s="257" t="s">
        <v>147</v>
      </c>
      <c r="B147" s="305">
        <f>SUM(B136:B146)</f>
        <v>0</v>
      </c>
    </row>
    <row r="148" spans="1:2" s="18" customFormat="1" ht="15" customHeight="1">
      <c r="A148" s="258"/>
      <c r="B148" s="306"/>
    </row>
    <row r="149" spans="1:2" s="18" customFormat="1" ht="15" customHeight="1">
      <c r="A149" s="633" t="s">
        <v>148</v>
      </c>
      <c r="B149" s="633"/>
    </row>
    <row r="150" spans="1:2" ht="15" customHeight="1">
      <c r="A150" s="253" t="str">
        <f>'Trial Balance'!A136&amp;"-"&amp;'Trial Balance'!B136</f>
        <v>2105-Accumulated Amortization of Electric Utility Plant - Property, Plant and Equipment</v>
      </c>
      <c r="B150" s="304">
        <f>'Trial Balance'!D136</f>
        <v>-9562401.360000001</v>
      </c>
    </row>
    <row r="151" spans="1:2" ht="15" customHeight="1">
      <c r="A151" s="253" t="str">
        <f>'Trial Balance'!A137&amp;"-"&amp;'Trial Balance'!B137</f>
        <v>2120-Accumulated Amortization of Electric Utility Plant - Intangibles</v>
      </c>
      <c r="B151" s="304">
        <f>'Trial Balance'!D137</f>
        <v>0</v>
      </c>
    </row>
    <row r="152" spans="1:2" ht="15" customHeight="1">
      <c r="A152" s="253" t="str">
        <f>'Trial Balance'!A138&amp;"-"&amp;'Trial Balance'!B138</f>
        <v>2140-Accumulated Amortization of Electric Plant Acquisition Adjustment</v>
      </c>
      <c r="B152" s="304">
        <f>'Trial Balance'!D138</f>
        <v>0</v>
      </c>
    </row>
    <row r="153" spans="1:2" ht="15" customHeight="1">
      <c r="A153" s="253" t="str">
        <f>'Trial Balance'!A139&amp;"-"&amp;'Trial Balance'!B139</f>
        <v>2160-Accumulated Amortization of Other Utility Plant</v>
      </c>
      <c r="B153" s="304">
        <f>'Trial Balance'!D139</f>
        <v>0</v>
      </c>
    </row>
    <row r="154" spans="1:2" ht="15" customHeight="1" thickBot="1">
      <c r="A154" s="253" t="str">
        <f>'Trial Balance'!A140&amp;"-"&amp;'Trial Balance'!B140</f>
        <v>2180-Accumulated Amortization of Non-Utility Property</v>
      </c>
      <c r="B154" s="304">
        <f>'Trial Balance'!D140</f>
        <v>0</v>
      </c>
    </row>
    <row r="155" spans="1:2" ht="15" customHeight="1" thickBot="1">
      <c r="A155" s="259" t="s">
        <v>152</v>
      </c>
      <c r="B155" s="307">
        <f>SUM(B150:B154)</f>
        <v>-9562401.360000001</v>
      </c>
    </row>
    <row r="156" spans="1:2" ht="15" customHeight="1" thickBot="1">
      <c r="A156" s="260"/>
      <c r="B156" s="306"/>
    </row>
    <row r="157" spans="1:2" ht="15" customHeight="1" thickBot="1">
      <c r="A157" s="261" t="s">
        <v>265</v>
      </c>
      <c r="B157" s="308">
        <f>B28+B35+B52+B91+B109+B133+B147+B155</f>
        <v>28273618.479999997</v>
      </c>
    </row>
    <row r="158" spans="1:2" s="18" customFormat="1" ht="15" customHeight="1">
      <c r="A158" s="256"/>
      <c r="B158" s="306"/>
    </row>
    <row r="159" spans="1:2" s="18" customFormat="1" ht="15" customHeight="1">
      <c r="A159" s="633" t="s">
        <v>153</v>
      </c>
      <c r="B159" s="633"/>
    </row>
    <row r="160" spans="1:2" ht="15" customHeight="1">
      <c r="A160" s="253" t="str">
        <f>'Trial Balance'!A142&amp;"-"&amp;'Trial Balance'!B142</f>
        <v>2205-Accounts Payable</v>
      </c>
      <c r="B160" s="304">
        <f>-'Trial Balance'!D142</f>
        <v>976987.19</v>
      </c>
    </row>
    <row r="161" spans="1:2" ht="15" customHeight="1">
      <c r="A161" s="253" t="str">
        <f>'Trial Balance'!A143&amp;"-"&amp;'Trial Balance'!B143</f>
        <v>2208-Customer Credit Balances</v>
      </c>
      <c r="B161" s="304">
        <f>-'Trial Balance'!D143</f>
        <v>0</v>
      </c>
    </row>
    <row r="162" spans="1:2" ht="15" customHeight="1">
      <c r="A162" s="253" t="str">
        <f>'Trial Balance'!A144&amp;"-"&amp;'Trial Balance'!B144</f>
        <v>2210-Current Portion of Customer Deposits </v>
      </c>
      <c r="B162" s="304">
        <f>-'Trial Balance'!D144</f>
        <v>2158.54</v>
      </c>
    </row>
    <row r="163" spans="1:2" ht="15" customHeight="1">
      <c r="A163" s="253" t="str">
        <f>'Trial Balance'!A145&amp;"-"&amp;'Trial Balance'!B145</f>
        <v>2215-Dividends Declared</v>
      </c>
      <c r="B163" s="304">
        <f>-'Trial Balance'!D145</f>
        <v>0</v>
      </c>
    </row>
    <row r="164" spans="1:2" ht="15" customHeight="1">
      <c r="A164" s="253" t="str">
        <f>'Trial Balance'!A146&amp;"-"&amp;'Trial Balance'!B146</f>
        <v>2220-Miscellaneous Current and Accrued Liabilities</v>
      </c>
      <c r="B164" s="304">
        <f>-'Trial Balance'!D146</f>
        <v>461871.59</v>
      </c>
    </row>
    <row r="165" spans="1:2" ht="15" customHeight="1">
      <c r="A165" s="253" t="str">
        <f>'Trial Balance'!A147&amp;"-"&amp;'Trial Balance'!B147</f>
        <v>2225-Notes and Loans Payable</v>
      </c>
      <c r="B165" s="304">
        <f>-'Trial Balance'!D147</f>
        <v>0</v>
      </c>
    </row>
    <row r="166" spans="1:2" ht="15" customHeight="1">
      <c r="A166" s="253" t="str">
        <f>'Trial Balance'!A148&amp;"-"&amp;'Trial Balance'!B148</f>
        <v>2240-Accounts Payable to Associated Companies</v>
      </c>
      <c r="B166" s="304">
        <f>-'Trial Balance'!D148</f>
        <v>9300.28</v>
      </c>
    </row>
    <row r="167" spans="1:2" ht="15" customHeight="1">
      <c r="A167" s="253" t="str">
        <f>'Trial Balance'!A149&amp;"-"&amp;'Trial Balance'!B149</f>
        <v>2242-Notes Payable to Associated Companies</v>
      </c>
      <c r="B167" s="304">
        <f>-'Trial Balance'!D149</f>
        <v>0</v>
      </c>
    </row>
    <row r="168" spans="1:2" ht="15" customHeight="1">
      <c r="A168" s="253" t="str">
        <f>'Trial Balance'!A150&amp;"-"&amp;'Trial Balance'!B150</f>
        <v>2250-Debt Retirement  Charges (DRC) Payable</v>
      </c>
      <c r="B168" s="304">
        <f>-'Trial Balance'!D150</f>
        <v>223604.44</v>
      </c>
    </row>
    <row r="169" spans="1:2" ht="15" customHeight="1">
      <c r="A169" s="253" t="str">
        <f>'Trial Balance'!A151&amp;"-"&amp;'Trial Balance'!B151</f>
        <v>2252-Transmission Charges Payable</v>
      </c>
      <c r="B169" s="304">
        <f>-'Trial Balance'!D151</f>
        <v>0</v>
      </c>
    </row>
    <row r="170" spans="1:2" ht="15" customHeight="1">
      <c r="A170" s="253" t="str">
        <f>'Trial Balance'!A152&amp;"-"&amp;'Trial Balance'!B152</f>
        <v>2254-Electric Safety Authority Fees Payable</v>
      </c>
      <c r="B170" s="304">
        <f>-'Trial Balance'!D152</f>
        <v>0</v>
      </c>
    </row>
    <row r="171" spans="1:2" ht="15" customHeight="1">
      <c r="A171" s="253" t="str">
        <f>'Trial Balance'!A153&amp;"-"&amp;'Trial Balance'!B153</f>
        <v>2256-Independent Market Operator Fees and Penalties Payable</v>
      </c>
      <c r="B171" s="304">
        <f>-'Trial Balance'!D153</f>
        <v>2616703.47</v>
      </c>
    </row>
    <row r="172" spans="1:2" ht="15" customHeight="1">
      <c r="A172" s="253" t="str">
        <f>'Trial Balance'!A154&amp;"-"&amp;'Trial Balance'!B154</f>
        <v>2260-Current Portion of Long Term Debt</v>
      </c>
      <c r="B172" s="304">
        <f>-'Trial Balance'!D154</f>
        <v>0</v>
      </c>
    </row>
    <row r="173" spans="1:2" ht="15" customHeight="1">
      <c r="A173" s="253" t="str">
        <f>'Trial Balance'!A155&amp;"-"&amp;'Trial Balance'!B155</f>
        <v>2262-Ontario Hydro Debt - Current Portion</v>
      </c>
      <c r="B173" s="304">
        <f>-'Trial Balance'!D155</f>
        <v>0</v>
      </c>
    </row>
    <row r="174" spans="1:2" ht="15" customHeight="1">
      <c r="A174" s="253" t="str">
        <f>'Trial Balance'!A156&amp;"-"&amp;'Trial Balance'!B156</f>
        <v>2264-Pensions and Employee Benefits - Current Portion</v>
      </c>
      <c r="B174" s="304">
        <f>-'Trial Balance'!D156</f>
        <v>0</v>
      </c>
    </row>
    <row r="175" spans="1:2" ht="15" customHeight="1">
      <c r="A175" s="253" t="str">
        <f>'Trial Balance'!A157&amp;"-"&amp;'Trial Balance'!B157</f>
        <v>2268-Accrued Interest on Long Term Debt</v>
      </c>
      <c r="B175" s="304">
        <f>-'Trial Balance'!D157</f>
        <v>0</v>
      </c>
    </row>
    <row r="176" spans="1:2" ht="15" customHeight="1">
      <c r="A176" s="253" t="str">
        <f>'Trial Balance'!A158&amp;"-"&amp;'Trial Balance'!B158</f>
        <v>2270-Matured Long Term Debt</v>
      </c>
      <c r="B176" s="304">
        <f>-'Trial Balance'!D158</f>
        <v>0</v>
      </c>
    </row>
    <row r="177" spans="1:2" ht="15" customHeight="1">
      <c r="A177" s="253" t="str">
        <f>'Trial Balance'!A159&amp;"-"&amp;'Trial Balance'!B159</f>
        <v>2272-Matured Interest on Long Term Debt</v>
      </c>
      <c r="B177" s="304">
        <f>-'Trial Balance'!D159</f>
        <v>0</v>
      </c>
    </row>
    <row r="178" spans="1:2" ht="15" customHeight="1">
      <c r="A178" s="253" t="str">
        <f>'Trial Balance'!A160&amp;"-"&amp;'Trial Balance'!B160</f>
        <v>2285-Obligations Under Capital Leases--Current</v>
      </c>
      <c r="B178" s="304">
        <f>-'Trial Balance'!D160</f>
        <v>0</v>
      </c>
    </row>
    <row r="179" spans="1:2" ht="15" customHeight="1">
      <c r="A179" s="253" t="str">
        <f>'Trial Balance'!A161&amp;"-"&amp;'Trial Balance'!B161</f>
        <v>2290-Commodity Taxes</v>
      </c>
      <c r="B179" s="304">
        <f>-'Trial Balance'!D161</f>
        <v>-66324.47</v>
      </c>
    </row>
    <row r="180" spans="1:2" ht="15" customHeight="1">
      <c r="A180" s="253" t="str">
        <f>'Trial Balance'!A162&amp;"-"&amp;'Trial Balance'!B162</f>
        <v>2292-Payroll Deductions / Expenses Payable</v>
      </c>
      <c r="B180" s="304">
        <f>-'Trial Balance'!D162</f>
        <v>31323.28</v>
      </c>
    </row>
    <row r="181" spans="1:2" ht="15" customHeight="1">
      <c r="A181" s="253" t="str">
        <f>'Trial Balance'!A163&amp;"-"&amp;'Trial Balance'!B163</f>
        <v>2294-Accrual for Taxes, "Payments in Lieu" of Taxes, Etc.</v>
      </c>
      <c r="B181" s="304">
        <f>-'Trial Balance'!D163</f>
        <v>-116869</v>
      </c>
    </row>
    <row r="182" spans="1:2" ht="15" customHeight="1" thickBot="1">
      <c r="A182" s="253" t="str">
        <f>'Trial Balance'!A164&amp;"-"&amp;'Trial Balance'!B164</f>
        <v>2296-Future Income Taxes - Current</v>
      </c>
      <c r="B182" s="304">
        <f>-'Trial Balance'!D164</f>
        <v>0</v>
      </c>
    </row>
    <row r="183" spans="1:2" ht="15" customHeight="1" thickBot="1">
      <c r="A183" s="257" t="s">
        <v>526</v>
      </c>
      <c r="B183" s="305">
        <f>SUM(B160:B182)</f>
        <v>4138755.3200000003</v>
      </c>
    </row>
    <row r="184" spans="1:2" s="18" customFormat="1" ht="15" customHeight="1">
      <c r="A184" s="258"/>
      <c r="B184" s="306"/>
    </row>
    <row r="185" spans="1:2" s="18" customFormat="1" ht="15" customHeight="1">
      <c r="A185" s="633" t="s">
        <v>527</v>
      </c>
      <c r="B185" s="633"/>
    </row>
    <row r="186" spans="1:2" ht="15" customHeight="1">
      <c r="A186" s="253" t="str">
        <f>'Trial Balance'!A166&amp;"-"&amp;'Trial Balance'!B166</f>
        <v>2305-Accumulated Provision for Injuries and Damages</v>
      </c>
      <c r="B186" s="304">
        <f>-'Trial Balance'!D166</f>
        <v>0</v>
      </c>
    </row>
    <row r="187" spans="1:2" ht="15" customHeight="1">
      <c r="A187" s="253" t="str">
        <f>'Trial Balance'!A167&amp;"-"&amp;'Trial Balance'!B167</f>
        <v>2306-Employee Future Benefits</v>
      </c>
      <c r="B187" s="304">
        <f>-'Trial Balance'!D167</f>
        <v>0</v>
      </c>
    </row>
    <row r="188" spans="1:2" ht="15" customHeight="1">
      <c r="A188" s="253" t="str">
        <f>'Trial Balance'!A168&amp;"-"&amp;'Trial Balance'!B168</f>
        <v>2308-Other Pensions - Past Service Liability</v>
      </c>
      <c r="B188" s="304">
        <f>-'Trial Balance'!D168</f>
        <v>0</v>
      </c>
    </row>
    <row r="189" spans="1:2" ht="15" customHeight="1">
      <c r="A189" s="253" t="str">
        <f>'Trial Balance'!A169&amp;"-"&amp;'Trial Balance'!B169</f>
        <v>2310-Vested Sick Leave Liability</v>
      </c>
      <c r="B189" s="304">
        <f>-'Trial Balance'!D169</f>
        <v>130353</v>
      </c>
    </row>
    <row r="190" spans="1:2" ht="15" customHeight="1">
      <c r="A190" s="253" t="str">
        <f>'Trial Balance'!A170&amp;"-"&amp;'Trial Balance'!B170</f>
        <v>2315-Accumulated Provision for Rate Refunds</v>
      </c>
      <c r="B190" s="304">
        <f>-'Trial Balance'!D170</f>
        <v>0</v>
      </c>
    </row>
    <row r="191" spans="1:2" ht="15" customHeight="1">
      <c r="A191" s="253" t="str">
        <f>'Trial Balance'!A171&amp;"-"&amp;'Trial Balance'!B171</f>
        <v>2320-Other Miscellaneous Non-Current Liabilities</v>
      </c>
      <c r="B191" s="304">
        <f>-'Trial Balance'!D171</f>
        <v>0</v>
      </c>
    </row>
    <row r="192" spans="1:2" ht="15" customHeight="1">
      <c r="A192" s="253" t="str">
        <f>'Trial Balance'!A172&amp;"-"&amp;'Trial Balance'!B172</f>
        <v>2325-Obligations Under Capital Lease--Non-Current</v>
      </c>
      <c r="B192" s="304">
        <f>-'Trial Balance'!D172</f>
        <v>0</v>
      </c>
    </row>
    <row r="193" spans="1:2" ht="15" customHeight="1">
      <c r="A193" s="253" t="str">
        <f>'Trial Balance'!A173&amp;"-"&amp;'Trial Balance'!B173</f>
        <v>2330-Devolpment Charge Fund</v>
      </c>
      <c r="B193" s="304">
        <f>-'Trial Balance'!D173</f>
        <v>0</v>
      </c>
    </row>
    <row r="194" spans="1:2" ht="15" customHeight="1">
      <c r="A194" s="253" t="str">
        <f>'Trial Balance'!A174&amp;"-"&amp;'Trial Balance'!B174</f>
        <v>2335-Long Term Customer Deposits</v>
      </c>
      <c r="B194" s="304">
        <f>-'Trial Balance'!D174</f>
        <v>744257</v>
      </c>
    </row>
    <row r="195" spans="1:2" ht="15" customHeight="1">
      <c r="A195" s="253" t="str">
        <f>'Trial Balance'!A175&amp;"-"&amp;'Trial Balance'!B175</f>
        <v>2340-Collateral Funds Liability</v>
      </c>
      <c r="B195" s="304">
        <f>-'Trial Balance'!D175</f>
        <v>0</v>
      </c>
    </row>
    <row r="196" spans="1:2" ht="15" customHeight="1">
      <c r="A196" s="253" t="str">
        <f>'Trial Balance'!A176&amp;"-"&amp;'Trial Balance'!B176</f>
        <v>2345-Unamortized Premium on Long Term Debt</v>
      </c>
      <c r="B196" s="304">
        <f>-'Trial Balance'!D176</f>
        <v>0</v>
      </c>
    </row>
    <row r="197" spans="1:2" ht="15" customHeight="1">
      <c r="A197" s="253" t="str">
        <f>'Trial Balance'!A177&amp;"-"&amp;'Trial Balance'!B177</f>
        <v>2348-O.M.E.R.S. - Past Service Liability - Long Term Portion</v>
      </c>
      <c r="B197" s="304">
        <f>-'Trial Balance'!D177</f>
        <v>0</v>
      </c>
    </row>
    <row r="198" spans="1:2" ht="15" customHeight="1">
      <c r="A198" s="253" t="str">
        <f>'Trial Balance'!A178&amp;"-"&amp;'Trial Balance'!B178</f>
        <v>2350-Future Income Tax - Non-Current</v>
      </c>
      <c r="B198" s="304">
        <f>-'Trial Balance'!D178</f>
        <v>-999912.42</v>
      </c>
    </row>
    <row r="199" spans="1:2" ht="15" customHeight="1">
      <c r="A199" s="253" t="str">
        <f>'Trial Balance'!A180&amp;"-"&amp;'Trial Balance'!B180</f>
        <v>2405-Other Regulatory Liabilities</v>
      </c>
      <c r="B199" s="304">
        <f>-'Trial Balance'!D180</f>
        <v>0</v>
      </c>
    </row>
    <row r="200" spans="1:2" ht="15" customHeight="1">
      <c r="A200" s="253" t="str">
        <f>'Trial Balance'!A181&amp;"-"&amp;'Trial Balance'!B181</f>
        <v>2410-Deferred Gains From Disposition of Utility Plant</v>
      </c>
      <c r="B200" s="304">
        <f>-'Trial Balance'!D181</f>
        <v>0</v>
      </c>
    </row>
    <row r="201" spans="1:2" ht="15" customHeight="1">
      <c r="A201" s="253" t="str">
        <f>'Trial Balance'!A182&amp;"-"&amp;'Trial Balance'!B182</f>
        <v>2415-Unamortized Gain on Reacquired Debt</v>
      </c>
      <c r="B201" s="304">
        <f>-'Trial Balance'!D182</f>
        <v>0</v>
      </c>
    </row>
    <row r="202" spans="1:2" ht="15" customHeight="1">
      <c r="A202" s="253" t="str">
        <f>'Trial Balance'!A183&amp;"-"&amp;'Trial Balance'!B183</f>
        <v>2425-Other Deferred Credits</v>
      </c>
      <c r="B202" s="304">
        <f>-'Trial Balance'!D183</f>
        <v>333908.02</v>
      </c>
    </row>
    <row r="203" spans="1:2" ht="15" customHeight="1" thickBot="1">
      <c r="A203" s="253" t="str">
        <f>'Trial Balance'!A184&amp;"-"&amp;'Trial Balance'!B184</f>
        <v>2435-Accrued Rate-Payer Benefit</v>
      </c>
      <c r="B203" s="304">
        <f>-'Trial Balance'!D184</f>
        <v>0</v>
      </c>
    </row>
    <row r="204" spans="1:2" ht="15" customHeight="1" thickBot="1">
      <c r="A204" s="257" t="s">
        <v>157</v>
      </c>
      <c r="B204" s="305">
        <f>SUM(B186:B203)</f>
        <v>208605.59999999998</v>
      </c>
    </row>
    <row r="205" spans="1:2" s="18" customFormat="1" ht="15" customHeight="1">
      <c r="A205" s="258"/>
      <c r="B205" s="306"/>
    </row>
    <row r="206" spans="1:2" s="18" customFormat="1" ht="15" customHeight="1">
      <c r="A206" s="633" t="s">
        <v>158</v>
      </c>
      <c r="B206" s="633"/>
    </row>
    <row r="207" spans="1:2" s="18" customFormat="1" ht="15" customHeight="1">
      <c r="A207" s="253" t="str">
        <f>'Trial Balance'!A186&amp;"-"&amp;'Trial Balance'!B186</f>
        <v>2505-Debentures Outstanding - Long Term Portion</v>
      </c>
      <c r="B207" s="304">
        <f>-'Trial Balance'!D186</f>
        <v>0</v>
      </c>
    </row>
    <row r="208" spans="1:2" s="18" customFormat="1" ht="15" customHeight="1">
      <c r="A208" s="253" t="str">
        <f>'Trial Balance'!A187&amp;"-"&amp;'Trial Balance'!B187</f>
        <v>2510-Debenture Advances</v>
      </c>
      <c r="B208" s="304">
        <f>-'Trial Balance'!D187</f>
        <v>0</v>
      </c>
    </row>
    <row r="209" spans="1:2" s="18" customFormat="1" ht="15" customHeight="1">
      <c r="A209" s="253" t="str">
        <f>'Trial Balance'!A188&amp;"-"&amp;'Trial Balance'!B188</f>
        <v>2515-Required Bonds</v>
      </c>
      <c r="B209" s="304">
        <f>-'Trial Balance'!D188</f>
        <v>0</v>
      </c>
    </row>
    <row r="210" spans="1:2" s="18" customFormat="1" ht="15" customHeight="1">
      <c r="A210" s="253" t="str">
        <f>'Trial Balance'!A189&amp;"-"&amp;'Trial Balance'!B189</f>
        <v>2520-Other Long Term Debt</v>
      </c>
      <c r="B210" s="304">
        <f>-'Trial Balance'!D189</f>
        <v>10941862.09</v>
      </c>
    </row>
    <row r="211" spans="1:2" s="18" customFormat="1" ht="15" customHeight="1">
      <c r="A211" s="253" t="str">
        <f>'Trial Balance'!A190&amp;"-"&amp;'Trial Balance'!B190</f>
        <v>2525-Term Bank Loans - Long Term Portion</v>
      </c>
      <c r="B211" s="304">
        <f>-'Trial Balance'!D190</f>
        <v>0</v>
      </c>
    </row>
    <row r="212" spans="1:2" s="18" customFormat="1" ht="15" customHeight="1">
      <c r="A212" s="253" t="str">
        <f>'Trial Balance'!A191&amp;"-"&amp;'Trial Balance'!B191</f>
        <v>2530-Ontario Hydro Debt Outstanding - Long Term Portion</v>
      </c>
      <c r="B212" s="304">
        <f>-'Trial Balance'!D191</f>
        <v>0</v>
      </c>
    </row>
    <row r="213" spans="1:2" ht="15" customHeight="1" thickBot="1">
      <c r="A213" s="253" t="str">
        <f>'Trial Balance'!A192&amp;"-"&amp;'Trial Balance'!B192</f>
        <v>2550-Advances from Associated Companies</v>
      </c>
      <c r="B213" s="304">
        <f>-'Trial Balance'!D192</f>
        <v>0</v>
      </c>
    </row>
    <row r="214" spans="1:2" ht="15" customHeight="1" thickBot="1">
      <c r="A214" s="257" t="s">
        <v>159</v>
      </c>
      <c r="B214" s="305">
        <f>SUM(B207:B213)</f>
        <v>10941862.09</v>
      </c>
    </row>
    <row r="215" spans="1:2" s="18" customFormat="1" ht="15" customHeight="1">
      <c r="A215" s="258"/>
      <c r="B215" s="306"/>
    </row>
    <row r="216" spans="1:2" s="18" customFormat="1" ht="15" customHeight="1">
      <c r="A216" s="633" t="s">
        <v>160</v>
      </c>
      <c r="B216" s="633"/>
    </row>
    <row r="217" spans="1:2" ht="15" customHeight="1">
      <c r="A217" s="253" t="str">
        <f>'Trial Balance'!A194&amp;"-"&amp;'Trial Balance'!B194</f>
        <v>3005-Common Shares Issued</v>
      </c>
      <c r="B217" s="304">
        <f>-'Trial Balance'!D194</f>
        <v>10941862.09</v>
      </c>
    </row>
    <row r="218" spans="1:2" ht="15" customHeight="1">
      <c r="A218" s="253" t="str">
        <f>'Trial Balance'!A195&amp;"-"&amp;'Trial Balance'!B195</f>
        <v>3008-Preference Shares Issued</v>
      </c>
      <c r="B218" s="304">
        <f>-'Trial Balance'!D195</f>
        <v>0</v>
      </c>
    </row>
    <row r="219" spans="1:2" ht="15" customHeight="1">
      <c r="A219" s="253" t="str">
        <f>'Trial Balance'!A196&amp;"-"&amp;'Trial Balance'!B196</f>
        <v>3010-Contributed Surplus</v>
      </c>
      <c r="B219" s="304">
        <f>-'Trial Balance'!D196</f>
        <v>0</v>
      </c>
    </row>
    <row r="220" spans="1:2" ht="15" customHeight="1">
      <c r="A220" s="253" t="str">
        <f>'Trial Balance'!A197&amp;"-"&amp;'Trial Balance'!B197</f>
        <v>3020-Donations Received</v>
      </c>
      <c r="B220" s="304">
        <f>-'Trial Balance'!D197</f>
        <v>0</v>
      </c>
    </row>
    <row r="221" spans="1:2" ht="15" customHeight="1">
      <c r="A221" s="253" t="str">
        <f>'Trial Balance'!A198&amp;"-"&amp;'Trial Balance'!B198</f>
        <v>3022-Devolpment Charges Transferred to Equity</v>
      </c>
      <c r="B221" s="304">
        <f>-'Trial Balance'!D198</f>
        <v>0</v>
      </c>
    </row>
    <row r="222" spans="1:2" ht="15" customHeight="1">
      <c r="A222" s="253" t="str">
        <f>'Trial Balance'!A199&amp;"-"&amp;'Trial Balance'!B199</f>
        <v>3026-Capital Stock Held in Treasury</v>
      </c>
      <c r="B222" s="304">
        <f>-'Trial Balance'!D199</f>
        <v>0</v>
      </c>
    </row>
    <row r="223" spans="1:2" ht="15" customHeight="1">
      <c r="A223" s="253" t="str">
        <f>'Trial Balance'!A200&amp;"-"&amp;'Trial Balance'!B200</f>
        <v>3030-Miscellaneous Paid-In Capital</v>
      </c>
      <c r="B223" s="304">
        <f>-'Trial Balance'!D200</f>
        <v>0</v>
      </c>
    </row>
    <row r="224" spans="1:2" ht="15" customHeight="1">
      <c r="A224" s="253" t="str">
        <f>'Trial Balance'!A201&amp;"-"&amp;'Trial Balance'!B201</f>
        <v>3035-Installments Received on Capital Stock</v>
      </c>
      <c r="B224" s="304">
        <f>-'Trial Balance'!D201</f>
        <v>0</v>
      </c>
    </row>
    <row r="225" spans="1:2" ht="15" customHeight="1">
      <c r="A225" s="253" t="str">
        <f>'Trial Balance'!A202&amp;"-"&amp;'Trial Balance'!B202</f>
        <v>3040-Appropriated Retained Earnings</v>
      </c>
      <c r="B225" s="304">
        <f>-'Trial Balance'!D202</f>
        <v>0</v>
      </c>
    </row>
    <row r="226" spans="1:2" ht="15" customHeight="1">
      <c r="A226" s="253" t="str">
        <f>'Trial Balance'!A203&amp;"-"&amp;'Trial Balance'!B203</f>
        <v>3045-Unappropriated Retained Earnings</v>
      </c>
      <c r="B226" s="304">
        <f>-'Trial Balance'!D203</f>
        <v>1561820.59</v>
      </c>
    </row>
    <row r="227" spans="1:2" ht="15" customHeight="1">
      <c r="A227" s="253" t="s">
        <v>548</v>
      </c>
      <c r="B227" s="309">
        <f>-'2006 Income Statement'!B215</f>
        <v>812406.5199999919</v>
      </c>
    </row>
    <row r="228" spans="1:2" ht="15" customHeight="1">
      <c r="A228" s="253" t="str">
        <f>'Trial Balance'!A205&amp;"-"&amp;'Trial Balance'!B205</f>
        <v>3047-Appropriations of Retained Earnings - Current Period</v>
      </c>
      <c r="B228" s="304">
        <f>-'Trial Balance'!D205</f>
        <v>0</v>
      </c>
    </row>
    <row r="229" spans="1:2" ht="15" customHeight="1">
      <c r="A229" s="253" t="str">
        <f>'Trial Balance'!A206&amp;"-"&amp;'Trial Balance'!B206</f>
        <v>3048-Dividends Payable-Preference Shares</v>
      </c>
      <c r="B229" s="304">
        <f>-'Trial Balance'!D206</f>
        <v>0</v>
      </c>
    </row>
    <row r="230" spans="1:2" ht="15" customHeight="1">
      <c r="A230" s="253" t="str">
        <f>'Trial Balance'!A207&amp;"-"&amp;'Trial Balance'!B207</f>
        <v>3049-Dividends Payable-Common Shares</v>
      </c>
      <c r="B230" s="304">
        <f>-'Trial Balance'!D207</f>
        <v>-35000</v>
      </c>
    </row>
    <row r="231" spans="1:2" ht="15" customHeight="1">
      <c r="A231" s="253" t="str">
        <f>'Trial Balance'!A208&amp;"-"&amp;'Trial Balance'!B208</f>
        <v>3055-Adjustment to Retained Earnings                 </v>
      </c>
      <c r="B231" s="304">
        <f>-'Trial Balance'!D208</f>
        <v>0</v>
      </c>
    </row>
    <row r="232" spans="1:2" ht="15" customHeight="1" thickBot="1">
      <c r="A232" s="253" t="str">
        <f>'Trial Balance'!A209&amp;"-"&amp;'Trial Balance'!B209</f>
        <v>3065-Unappropriated Undistributed Subsidiary Earnings</v>
      </c>
      <c r="B232" s="304">
        <f>-'Trial Balance'!D209</f>
        <v>0</v>
      </c>
    </row>
    <row r="233" spans="1:2" ht="15" customHeight="1" thickBot="1">
      <c r="A233" s="254" t="s">
        <v>549</v>
      </c>
      <c r="B233" s="305">
        <f>SUM(B217:B232)</f>
        <v>13281089.199999992</v>
      </c>
    </row>
    <row r="234" spans="1:2" s="10" customFormat="1" ht="15" customHeight="1">
      <c r="A234" s="256"/>
      <c r="B234" s="306"/>
    </row>
    <row r="235" spans="1:2" s="10" customFormat="1" ht="15" customHeight="1">
      <c r="A235" s="262" t="s">
        <v>274</v>
      </c>
      <c r="B235" s="323">
        <f>B183+B204+B214+B233</f>
        <v>28570312.209999993</v>
      </c>
    </row>
    <row r="236" spans="1:2" s="10" customFormat="1" ht="15" customHeight="1" thickBot="1">
      <c r="A236" s="256"/>
      <c r="B236" s="306"/>
    </row>
    <row r="237" spans="1:2" ht="15" customHeight="1" thickBot="1">
      <c r="A237" s="263" t="s">
        <v>273</v>
      </c>
      <c r="B237" s="310">
        <f>B157-B235</f>
        <v>-296693.7299999967</v>
      </c>
    </row>
    <row r="238" spans="1:2" ht="15">
      <c r="A238" s="23"/>
      <c r="B238" s="311"/>
    </row>
    <row r="239" spans="1:2" ht="13.5">
      <c r="A239" s="635" t="s">
        <v>905</v>
      </c>
      <c r="B239" s="636"/>
    </row>
    <row r="240" spans="1:2" s="378" customFormat="1" ht="12.75">
      <c r="A240" s="381" t="s">
        <v>912</v>
      </c>
      <c r="B240" s="382">
        <f>B237</f>
        <v>-296693.7299999967</v>
      </c>
    </row>
    <row r="241" spans="1:2" s="378" customFormat="1" ht="12.75">
      <c r="A241" s="381" t="s">
        <v>906</v>
      </c>
      <c r="B241" s="382">
        <f>B227</f>
        <v>812406.5199999919</v>
      </c>
    </row>
    <row r="242" spans="1:2" s="378" customFormat="1" ht="12.75">
      <c r="A242" s="381" t="s">
        <v>913</v>
      </c>
      <c r="B242" s="382">
        <f>'2006 Income Statement'!B221</f>
        <v>-515296.3399999919</v>
      </c>
    </row>
    <row r="243" spans="1:2" ht="12.75">
      <c r="A243" s="383" t="s">
        <v>910</v>
      </c>
      <c r="B243" s="384">
        <v>16365.32</v>
      </c>
    </row>
    <row r="244" spans="1:2" ht="12.75">
      <c r="A244" s="383" t="s">
        <v>911</v>
      </c>
      <c r="B244" s="384">
        <v>-2558.15</v>
      </c>
    </row>
    <row r="245" spans="1:2" ht="12.75">
      <c r="A245" s="385"/>
      <c r="B245" s="386">
        <f>SUM(B240:B244)</f>
        <v>14223.620000003271</v>
      </c>
    </row>
    <row r="246" spans="1:2" ht="15">
      <c r="A246" s="23"/>
      <c r="B246" s="311"/>
    </row>
    <row r="247" spans="1:2" ht="15">
      <c r="A247" s="23"/>
      <c r="B247" s="311"/>
    </row>
    <row r="248" spans="1:2" ht="15">
      <c r="A248" s="23"/>
      <c r="B248" s="311"/>
    </row>
    <row r="249" spans="1:2" ht="15">
      <c r="A249" s="23"/>
      <c r="B249" s="311"/>
    </row>
    <row r="250" spans="1:2" ht="15">
      <c r="A250" s="23"/>
      <c r="B250" s="311"/>
    </row>
    <row r="251" spans="1:2" ht="15">
      <c r="A251" s="23"/>
      <c r="B251" s="311"/>
    </row>
    <row r="252" spans="1:2" ht="15">
      <c r="A252" s="23"/>
      <c r="B252" s="311"/>
    </row>
    <row r="253" spans="1:2" ht="15">
      <c r="A253" s="23"/>
      <c r="B253" s="311"/>
    </row>
    <row r="254" spans="1:2" ht="15">
      <c r="A254" s="23"/>
      <c r="B254" s="311"/>
    </row>
    <row r="255" spans="1:2" ht="15">
      <c r="A255" s="23"/>
      <c r="B255" s="311"/>
    </row>
    <row r="256" spans="1:2" ht="15">
      <c r="A256" s="23"/>
      <c r="B256" s="311"/>
    </row>
    <row r="257" spans="1:2" ht="15">
      <c r="A257" s="23"/>
      <c r="B257" s="311"/>
    </row>
    <row r="258" spans="1:2" ht="15">
      <c r="A258" s="23"/>
      <c r="B258" s="311"/>
    </row>
    <row r="259" spans="1:2" ht="15">
      <c r="A259" s="23"/>
      <c r="B259" s="311"/>
    </row>
    <row r="260" spans="1:2" ht="15">
      <c r="A260" s="23"/>
      <c r="B260" s="311"/>
    </row>
    <row r="261" spans="1:2" ht="15">
      <c r="A261" s="23"/>
      <c r="B261" s="311"/>
    </row>
    <row r="262" spans="1:2" ht="15">
      <c r="A262" s="23"/>
      <c r="B262" s="311"/>
    </row>
    <row r="263" spans="1:2" ht="15">
      <c r="A263" s="23"/>
      <c r="B263" s="311"/>
    </row>
    <row r="264" spans="1:2" ht="15">
      <c r="A264" s="23"/>
      <c r="B264" s="311"/>
    </row>
    <row r="265" spans="1:2" ht="15">
      <c r="A265" s="23"/>
      <c r="B265" s="311"/>
    </row>
    <row r="266" spans="1:2" ht="15">
      <c r="A266" s="23"/>
      <c r="B266" s="311"/>
    </row>
    <row r="267" spans="1:2" ht="15">
      <c r="A267" s="23"/>
      <c r="B267" s="311"/>
    </row>
    <row r="268" spans="1:2" ht="15">
      <c r="A268" s="23"/>
      <c r="B268" s="311"/>
    </row>
    <row r="269" spans="1:2" ht="15">
      <c r="A269" s="23"/>
      <c r="B269" s="311"/>
    </row>
    <row r="270" spans="1:2" ht="15">
      <c r="A270" s="23"/>
      <c r="B270" s="311"/>
    </row>
    <row r="271" spans="1:2" ht="15">
      <c r="A271" s="23"/>
      <c r="B271" s="311"/>
    </row>
    <row r="272" spans="1:2" ht="15">
      <c r="A272" s="23"/>
      <c r="B272" s="311"/>
    </row>
    <row r="273" spans="1:2" ht="15">
      <c r="A273" s="23"/>
      <c r="B273" s="311"/>
    </row>
    <row r="274" spans="1:2" ht="15">
      <c r="A274" s="23"/>
      <c r="B274" s="311"/>
    </row>
    <row r="275" spans="1:2" ht="15">
      <c r="A275" s="23"/>
      <c r="B275" s="311"/>
    </row>
    <row r="276" spans="1:2" ht="15">
      <c r="A276" s="23"/>
      <c r="B276" s="311"/>
    </row>
    <row r="277" spans="1:2" ht="15">
      <c r="A277" s="23"/>
      <c r="B277" s="311"/>
    </row>
    <row r="278" spans="1:2" ht="15">
      <c r="A278" s="23"/>
      <c r="B278" s="311"/>
    </row>
    <row r="279" spans="1:2" ht="15">
      <c r="A279" s="23"/>
      <c r="B279" s="311"/>
    </row>
    <row r="280" spans="1:2" ht="15">
      <c r="A280" s="23"/>
      <c r="B280" s="311"/>
    </row>
    <row r="281" spans="1:2" ht="15">
      <c r="A281" s="23"/>
      <c r="B281" s="311"/>
    </row>
    <row r="282" spans="1:2" ht="15">
      <c r="A282" s="23"/>
      <c r="B282" s="311"/>
    </row>
    <row r="283" spans="1:2" ht="15">
      <c r="A283" s="23"/>
      <c r="B283" s="311"/>
    </row>
    <row r="284" spans="1:2" ht="15">
      <c r="A284" s="23"/>
      <c r="B284" s="311"/>
    </row>
    <row r="285" spans="1:2" ht="15">
      <c r="A285" s="23"/>
      <c r="B285" s="311"/>
    </row>
    <row r="286" spans="1:2" ht="15">
      <c r="A286" s="23"/>
      <c r="B286" s="311"/>
    </row>
    <row r="287" spans="1:2" ht="15">
      <c r="A287" s="23"/>
      <c r="B287" s="311"/>
    </row>
    <row r="288" spans="1:2" ht="15">
      <c r="A288" s="23"/>
      <c r="B288" s="311"/>
    </row>
    <row r="289" spans="1:2" ht="15">
      <c r="A289" s="23"/>
      <c r="B289" s="311"/>
    </row>
    <row r="290" spans="1:2" ht="15">
      <c r="A290" s="23"/>
      <c r="B290" s="311"/>
    </row>
    <row r="291" spans="1:2" ht="15">
      <c r="A291" s="23"/>
      <c r="B291" s="311"/>
    </row>
    <row r="292" spans="1:2" ht="15">
      <c r="A292" s="23"/>
      <c r="B292" s="311"/>
    </row>
    <row r="293" spans="1:2" ht="15">
      <c r="A293" s="23"/>
      <c r="B293" s="311"/>
    </row>
    <row r="294" spans="1:2" ht="15">
      <c r="A294" s="23"/>
      <c r="B294" s="311"/>
    </row>
    <row r="295" spans="1:2" ht="15">
      <c r="A295" s="23"/>
      <c r="B295" s="311"/>
    </row>
    <row r="296" spans="1:2" ht="15">
      <c r="A296" s="23"/>
      <c r="B296" s="311"/>
    </row>
    <row r="297" spans="1:2" ht="15">
      <c r="A297" s="23"/>
      <c r="B297" s="311"/>
    </row>
    <row r="298" spans="1:2" ht="15">
      <c r="A298" s="23"/>
      <c r="B298" s="311"/>
    </row>
    <row r="299" spans="1:2" ht="15">
      <c r="A299" s="23"/>
      <c r="B299" s="311"/>
    </row>
    <row r="300" spans="1:2" ht="15">
      <c r="A300" s="23"/>
      <c r="B300" s="311"/>
    </row>
    <row r="301" spans="1:2" ht="15">
      <c r="A301" s="23"/>
      <c r="B301" s="311"/>
    </row>
    <row r="302" spans="1:2" ht="15">
      <c r="A302" s="23"/>
      <c r="B302" s="311"/>
    </row>
    <row r="303" spans="1:2" ht="15">
      <c r="A303" s="23"/>
      <c r="B303" s="311"/>
    </row>
    <row r="304" spans="1:2" ht="15">
      <c r="A304" s="23"/>
      <c r="B304" s="311"/>
    </row>
    <row r="305" spans="1:2" ht="15">
      <c r="A305" s="23"/>
      <c r="B305" s="311"/>
    </row>
    <row r="306" spans="1:2" ht="15">
      <c r="A306" s="23"/>
      <c r="B306" s="311"/>
    </row>
    <row r="307" spans="1:2" ht="15">
      <c r="A307" s="23"/>
      <c r="B307" s="311"/>
    </row>
    <row r="308" spans="1:2" ht="15">
      <c r="A308" s="23"/>
      <c r="B308" s="311"/>
    </row>
    <row r="309" spans="1:2" ht="15">
      <c r="A309" s="23"/>
      <c r="B309" s="311"/>
    </row>
    <row r="310" spans="1:2" ht="15">
      <c r="A310" s="23"/>
      <c r="B310" s="311"/>
    </row>
    <row r="311" spans="1:2" ht="15">
      <c r="A311" s="23"/>
      <c r="B311" s="311"/>
    </row>
    <row r="312" spans="1:2" ht="15">
      <c r="A312" s="23"/>
      <c r="B312" s="311"/>
    </row>
    <row r="313" spans="1:2" ht="15">
      <c r="A313" s="23"/>
      <c r="B313" s="311"/>
    </row>
    <row r="314" spans="1:2" ht="15">
      <c r="A314" s="23"/>
      <c r="B314" s="311"/>
    </row>
    <row r="315" spans="1:2" ht="15">
      <c r="A315" s="23"/>
      <c r="B315" s="311"/>
    </row>
    <row r="316" spans="1:2" ht="15">
      <c r="A316" s="23"/>
      <c r="B316" s="311"/>
    </row>
    <row r="317" spans="1:2" ht="15">
      <c r="A317" s="23"/>
      <c r="B317" s="311"/>
    </row>
    <row r="318" spans="1:2" ht="15">
      <c r="A318" s="23"/>
      <c r="B318" s="311"/>
    </row>
    <row r="319" spans="1:2" ht="15">
      <c r="A319" s="23"/>
      <c r="B319" s="311"/>
    </row>
    <row r="320" spans="1:2" ht="15">
      <c r="A320" s="23"/>
      <c r="B320" s="311"/>
    </row>
    <row r="321" spans="1:2" ht="15">
      <c r="A321" s="23"/>
      <c r="B321" s="311"/>
    </row>
    <row r="322" spans="1:2" ht="15">
      <c r="A322" s="23"/>
      <c r="B322" s="311"/>
    </row>
    <row r="323" spans="1:2" ht="15">
      <c r="A323" s="23"/>
      <c r="B323" s="311"/>
    </row>
    <row r="324" spans="1:2" ht="15">
      <c r="A324" s="23"/>
      <c r="B324" s="311"/>
    </row>
    <row r="325" spans="1:2" ht="15">
      <c r="A325" s="23"/>
      <c r="B325" s="311"/>
    </row>
    <row r="326" spans="1:2" ht="15">
      <c r="A326" s="23"/>
      <c r="B326" s="311"/>
    </row>
    <row r="327" spans="1:2" ht="15">
      <c r="A327" s="23"/>
      <c r="B327" s="311"/>
    </row>
    <row r="328" spans="1:2" ht="15">
      <c r="A328" s="23"/>
      <c r="B328" s="311"/>
    </row>
    <row r="329" spans="1:2" ht="15">
      <c r="A329" s="23"/>
      <c r="B329" s="311"/>
    </row>
    <row r="330" spans="1:2" ht="15">
      <c r="A330" s="23"/>
      <c r="B330" s="311"/>
    </row>
    <row r="331" spans="1:2" ht="15">
      <c r="A331" s="23"/>
      <c r="B331" s="311"/>
    </row>
    <row r="332" spans="1:2" ht="15">
      <c r="A332" s="23"/>
      <c r="B332" s="311"/>
    </row>
    <row r="333" spans="1:2" ht="15">
      <c r="A333" s="23"/>
      <c r="B333" s="311"/>
    </row>
    <row r="334" spans="1:2" ht="15">
      <c r="A334" s="23"/>
      <c r="B334" s="311"/>
    </row>
    <row r="335" spans="1:2" ht="15">
      <c r="A335" s="23"/>
      <c r="B335" s="311"/>
    </row>
    <row r="336" spans="1:2" ht="15">
      <c r="A336" s="23"/>
      <c r="B336" s="311"/>
    </row>
    <row r="337" spans="1:2" ht="15">
      <c r="A337" s="23"/>
      <c r="B337" s="311"/>
    </row>
    <row r="338" spans="1:2" ht="15">
      <c r="A338" s="23"/>
      <c r="B338" s="311"/>
    </row>
    <row r="339" spans="1:2" ht="15">
      <c r="A339" s="23"/>
      <c r="B339" s="311"/>
    </row>
    <row r="340" spans="1:2" ht="15">
      <c r="A340" s="23"/>
      <c r="B340" s="311"/>
    </row>
    <row r="341" spans="1:2" ht="15">
      <c r="A341" s="23"/>
      <c r="B341" s="311"/>
    </row>
    <row r="342" spans="1:2" ht="15">
      <c r="A342" s="23"/>
      <c r="B342" s="311"/>
    </row>
    <row r="343" spans="1:2" ht="15">
      <c r="A343" s="23"/>
      <c r="B343" s="311"/>
    </row>
    <row r="344" spans="1:2" ht="15">
      <c r="A344" s="23"/>
      <c r="B344" s="311"/>
    </row>
    <row r="345" spans="1:2" ht="15">
      <c r="A345" s="23"/>
      <c r="B345" s="311"/>
    </row>
    <row r="346" spans="1:2" ht="15">
      <c r="A346" s="23"/>
      <c r="B346" s="311"/>
    </row>
    <row r="347" spans="1:2" ht="15">
      <c r="A347" s="23"/>
      <c r="B347" s="311"/>
    </row>
    <row r="348" spans="1:2" ht="15">
      <c r="A348" s="23"/>
      <c r="B348" s="311"/>
    </row>
    <row r="349" spans="1:2" ht="15">
      <c r="A349" s="23"/>
      <c r="B349" s="311"/>
    </row>
    <row r="350" spans="1:2" ht="15">
      <c r="A350" s="23"/>
      <c r="B350" s="311"/>
    </row>
    <row r="351" spans="1:2" ht="15">
      <c r="A351" s="23"/>
      <c r="B351" s="311"/>
    </row>
    <row r="352" spans="1:2" ht="15">
      <c r="A352" s="23"/>
      <c r="B352" s="311"/>
    </row>
    <row r="353" spans="1:2" ht="15">
      <c r="A353" s="23"/>
      <c r="B353" s="311"/>
    </row>
    <row r="354" spans="1:2" ht="15">
      <c r="A354" s="23"/>
      <c r="B354" s="311"/>
    </row>
    <row r="355" spans="1:2" ht="15">
      <c r="A355" s="23"/>
      <c r="B355" s="311"/>
    </row>
    <row r="356" spans="1:2" ht="15">
      <c r="A356" s="23"/>
      <c r="B356" s="311"/>
    </row>
    <row r="357" spans="1:2" ht="15">
      <c r="A357" s="23"/>
      <c r="B357" s="311"/>
    </row>
    <row r="358" spans="1:2" ht="15">
      <c r="A358" s="23"/>
      <c r="B358" s="311"/>
    </row>
    <row r="359" spans="1:2" ht="15">
      <c r="A359" s="23"/>
      <c r="B359" s="311"/>
    </row>
  </sheetData>
  <sheetProtection/>
  <mergeCells count="18">
    <mergeCell ref="A4:B4"/>
    <mergeCell ref="A6:B6"/>
    <mergeCell ref="A30:B30"/>
    <mergeCell ref="A29:B29"/>
    <mergeCell ref="A239:B239"/>
    <mergeCell ref="A1:B1"/>
    <mergeCell ref="A2:B2"/>
    <mergeCell ref="A37:B37"/>
    <mergeCell ref="A54:B54"/>
    <mergeCell ref="A216:B216"/>
    <mergeCell ref="A206:B206"/>
    <mergeCell ref="A149:B149"/>
    <mergeCell ref="A159:B159"/>
    <mergeCell ref="A185:B185"/>
    <mergeCell ref="A93:B93"/>
    <mergeCell ref="A111:B111"/>
    <mergeCell ref="A135:B135"/>
    <mergeCell ref="A3:B3"/>
  </mergeCells>
  <printOptions/>
  <pageMargins left="0.35433070866141736" right="0.35433070866141736" top="0.984251968503937" bottom="0.7874015748031497" header="0.5118110236220472" footer="0.5118110236220472"/>
  <pageSetup fitToHeight="4" horizontalDpi="355" verticalDpi="355" orientation="portrait" scale="73" r:id="rId1"/>
  <headerFooter alignWithMargins="0">
    <oddFooter>&amp;L&amp;A</oddFooter>
  </headerFooter>
  <rowBreaks count="4" manualBreakCount="4">
    <brk id="53" max="1" man="1"/>
    <brk id="109" max="1" man="1"/>
    <brk id="157" max="1" man="1"/>
    <brk id="214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Patti Eitel</cp:lastModifiedBy>
  <cp:lastPrinted>2010-10-29T05:49:25Z</cp:lastPrinted>
  <dcterms:created xsi:type="dcterms:W3CDTF">2007-08-10T15:33:39Z</dcterms:created>
  <dcterms:modified xsi:type="dcterms:W3CDTF">2010-11-09T20:03:49Z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