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5" yWindow="750" windowWidth="15855" windowHeight="5190" tabRatio="596" firstSheet="16" activeTab="18"/>
  </bookViews>
  <sheets>
    <sheet name="Revenue Input" sheetId="1" r:id="rId1"/>
    <sheet name="Transformer Allowance" sheetId="2" r:id="rId2"/>
    <sheet name="Forecast Data For 2011" sheetId="3" r:id="rId3"/>
    <sheet name="2010 Existing Rates" sheetId="4" r:id="rId4"/>
    <sheet name="2011 Test Yr On Existing Rates" sheetId="5" r:id="rId5"/>
    <sheet name="Cost Allocation Study" sheetId="6" r:id="rId6"/>
    <sheet name="Rates By Rate Class" sheetId="7" r:id="rId7"/>
    <sheet name="Allocation Low Voltage Costs" sheetId="8" r:id="rId8"/>
    <sheet name="Low Voltage Rates" sheetId="9" r:id="rId9"/>
    <sheet name="LRAM and SSM Rate Rider" sheetId="10" r:id="rId10"/>
    <sheet name="2011 Rate Rider" sheetId="11" r:id="rId11"/>
    <sheet name="Distribution Rate Schedule" sheetId="12" r:id="rId12"/>
    <sheet name="Other Electriciy Rates" sheetId="13" r:id="rId13"/>
    <sheet name="BILL IMPACTS" sheetId="14" r:id="rId14"/>
    <sheet name="Rate Schedule (Part 1)" sheetId="15" r:id="rId15"/>
    <sheet name="Rate Schedule (Part 2)" sheetId="16" r:id="rId16"/>
    <sheet name="Dist. Rev. Reconciliation" sheetId="17" r:id="rId17"/>
    <sheet name="Revenue Deficiency Analysis" sheetId="18" r:id="rId18"/>
    <sheet name="Monthly Rates Schedule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Print_Area" localSheetId="13">'BILL IMPACTS'!$C$184:$P$208</definedName>
    <definedName name="_xlnm.Print_Area" localSheetId="5">'Cost Allocation Study'!$A$1:$M$15</definedName>
    <definedName name="_xlnm.Print_Area" localSheetId="11">'Distribution Rate Schedule'!$A$1:$E$39</definedName>
    <definedName name="_xlnm.Print_Area" localSheetId="9">'LRAM and SSM Rate Rider'!$A$1:$L$16</definedName>
    <definedName name="_xlnm.Print_Area" localSheetId="15">'Rate Schedule (Part 2)'!$B$5:$D$51</definedName>
    <definedName name="_xlnm.Print_Area" localSheetId="17">'Revenue Deficiency Analysis'!$A$1:$I$28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<sst xmlns="http://schemas.openxmlformats.org/spreadsheetml/2006/main" count="1344" uniqueCount="287">
  <si>
    <t>Customer Class</t>
  </si>
  <si>
    <t>TOTAL</t>
  </si>
  <si>
    <t>Proposed Fixed Rate</t>
  </si>
  <si>
    <t>Resulting Variable Rate</t>
  </si>
  <si>
    <t>Total Fixed Revenue</t>
  </si>
  <si>
    <t>Total Variable Revenue</t>
  </si>
  <si>
    <t>Transformer Allowance</t>
  </si>
  <si>
    <t>Annual kWh</t>
  </si>
  <si>
    <t>Annual kW For Dx</t>
  </si>
  <si>
    <t>Annual kW For Tx</t>
  </si>
  <si>
    <t>Annualized Customers</t>
  </si>
  <si>
    <t>Fixed Distribution Revenue</t>
  </si>
  <si>
    <t>Variable Distribution Revenue</t>
  </si>
  <si>
    <t>Calculated kWh</t>
  </si>
  <si>
    <t>Calculated kW</t>
  </si>
  <si>
    <t>Volumetric Rate Type</t>
  </si>
  <si>
    <t>kWh</t>
  </si>
  <si>
    <t>kW</t>
  </si>
  <si>
    <t>TOTALS</t>
  </si>
  <si>
    <t>Retail Transmission Connection Rate ($)</t>
  </si>
  <si>
    <t>Allocation Percentages</t>
  </si>
  <si>
    <t>Allocated $</t>
  </si>
  <si>
    <t>per KWh</t>
  </si>
  <si>
    <t>per kW</t>
  </si>
  <si>
    <t>Class</t>
  </si>
  <si>
    <t>Connection</t>
  </si>
  <si>
    <t>Customer</t>
  </si>
  <si>
    <t>Annualized Connections</t>
  </si>
  <si>
    <t>Revenue At Existing Rates</t>
  </si>
  <si>
    <t>Total Distribution Revenue</t>
  </si>
  <si>
    <t>Sum of Quantity</t>
  </si>
  <si>
    <t>Transformer Allowance Credit</t>
  </si>
  <si>
    <t xml:space="preserve">   Total</t>
  </si>
  <si>
    <t>Expected</t>
  </si>
  <si>
    <t xml:space="preserve">     kW</t>
  </si>
  <si>
    <t>General Service:</t>
  </si>
  <si>
    <t xml:space="preserve">    Total</t>
  </si>
  <si>
    <t>Transformer Ownership Allowance</t>
  </si>
  <si>
    <t>Service Revenue Requirement</t>
  </si>
  <si>
    <t>Rate Determination Constants/Options For Test Year</t>
  </si>
  <si>
    <t>Total</t>
  </si>
  <si>
    <t>LV &amp; Wheeling Charges</t>
  </si>
  <si>
    <t>Less: Revenue Offsets</t>
  </si>
  <si>
    <t>Addback Transformer Allowances</t>
  </si>
  <si>
    <t xml:space="preserve">      Gross Revenues For Rates</t>
  </si>
  <si>
    <t>Regulatory Assets Rate Riders ($)
per kWh</t>
  </si>
  <si>
    <t>Regulatory Assets Rate Riders ($)
per kW</t>
  </si>
  <si>
    <t>RESIDENTIAL</t>
  </si>
  <si>
    <t>Other Charges
per kWh ($)</t>
  </si>
  <si>
    <t>Other Charges
per kW ($)</t>
  </si>
  <si>
    <t>Cost of Power Commodity
per kWh ($)</t>
  </si>
  <si>
    <t>Loss Adjustment Factor</t>
  </si>
  <si>
    <t>Retail Transmission Rate
(from 8-6)</t>
  </si>
  <si>
    <t>Wholesale Market Service Rate</t>
  </si>
  <si>
    <t>per KW</t>
  </si>
  <si>
    <t>per kWh</t>
  </si>
  <si>
    <t>Supply Facilities Loss Factor</t>
  </si>
  <si>
    <t>Distribution Loss Factor - Secondary Metered Customer &lt; 5,000 kW</t>
  </si>
  <si>
    <t>Distribution Loss Factor - Secondary Metered Customer &gt; 5,000 kW</t>
  </si>
  <si>
    <t>Distribution Loss Factor - Primary Metered Customer &lt; 5,000 kW</t>
  </si>
  <si>
    <t>Distribution Loss Factor - Primary Metered Customer &gt; 5,000 kW</t>
  </si>
  <si>
    <t>Total Loss Factor - Secondary Metered Customer &lt; 5,000 kW</t>
  </si>
  <si>
    <t>Total Loss Factor - Secondary Metered Customer &gt; 5,000 kW</t>
  </si>
  <si>
    <t>Total Loss Factor - Primary Metered Customer &lt; 5,000 kW</t>
  </si>
  <si>
    <t>Total Loss Factor - Primary Metered Customer &gt; 5,000 kW</t>
  </si>
  <si>
    <t>OTHER ELECTRICITY CHARGES</t>
  </si>
  <si>
    <t>Volume</t>
  </si>
  <si>
    <t>RATE                             $</t>
  </si>
  <si>
    <t>CHARGE
$</t>
  </si>
  <si>
    <t>Consumption</t>
  </si>
  <si>
    <t>Monthly Service Charge</t>
  </si>
  <si>
    <t>Distribution (kWh)</t>
  </si>
  <si>
    <t>IMPACT</t>
  </si>
  <si>
    <t>Change
$</t>
  </si>
  <si>
    <t>Change
%</t>
  </si>
  <si>
    <t>% of Total Bill</t>
  </si>
  <si>
    <t>Other Charges (kWh)</t>
  </si>
  <si>
    <t>Cost of Power Commodity (kWh)</t>
  </si>
  <si>
    <t>Total Bill</t>
  </si>
  <si>
    <t xml:space="preserve">
$</t>
  </si>
  <si>
    <t xml:space="preserve">
%</t>
  </si>
  <si>
    <t>Distribution (kW)</t>
  </si>
  <si>
    <t xml:space="preserve"> Sentinel Lighting</t>
  </si>
  <si>
    <t>LARGE USER (&gt; 5000 kW)</t>
  </si>
  <si>
    <t>Item Description</t>
  </si>
  <si>
    <t>Unit</t>
  </si>
  <si>
    <t>per month</t>
  </si>
  <si>
    <t>Distribution Volumetric Rate</t>
  </si>
  <si>
    <t>Schedule of Distribution Rates and Charges</t>
  </si>
  <si>
    <t>RATES SCHEDULE (Part 1)</t>
  </si>
  <si>
    <t>GENERAL SERVICE &gt; 50 kW</t>
  </si>
  <si>
    <t>Item Description (Rate Code)</t>
  </si>
  <si>
    <t>Calculation Basis</t>
  </si>
  <si>
    <t>Arrears certificate  (1)</t>
  </si>
  <si>
    <t>Statement of account (2)</t>
  </si>
  <si>
    <t>Pulling post dated cheques (3)</t>
  </si>
  <si>
    <t>Duplicate invoices for previous billing  (4)</t>
  </si>
  <si>
    <t>Request for other billing information (5)</t>
  </si>
  <si>
    <t>Easement letter (6)</t>
  </si>
  <si>
    <t>Income tax letter  (7)</t>
  </si>
  <si>
    <t>Notification charge (8)</t>
  </si>
  <si>
    <t>Account history (9)</t>
  </si>
  <si>
    <t>Credit reference/credit check (plus credit agency costs) (10)</t>
  </si>
  <si>
    <t>Returned cheque charge (plus bank charges) (11)</t>
  </si>
  <si>
    <t>Charge to certify cheque (12)</t>
  </si>
  <si>
    <t>Legal letter charge (13)</t>
  </si>
  <si>
    <t>Account set up charge/change of occupancy charge (plus credit agency costs if applicable) (14)</t>
  </si>
  <si>
    <t>Special meter reads (15)</t>
  </si>
  <si>
    <t>Collection of account charge - no disconnection (16)</t>
  </si>
  <si>
    <t>Collection of account charge  - no disconnection - after regular hours (17)</t>
  </si>
  <si>
    <t>Disconnect/Reconnect at meter - during regular hours  (18)</t>
  </si>
  <si>
    <t>Install/Remove load control device - during regular hours (19)</t>
  </si>
  <si>
    <t>Disconnect/Reconnect at meter - after regular hours (20)</t>
  </si>
  <si>
    <t>Install/Remove load control device - after regular hours (21)</t>
  </si>
  <si>
    <t>Disconnect/Reconnect at pole - during regular hours  (22)</t>
  </si>
  <si>
    <t>Disconnect/Reconnect at pole - after regular hours  (23)</t>
  </si>
  <si>
    <t>Meter dispute charge plus Measurement Canada fees (if meter found correct) (24)</t>
  </si>
  <si>
    <t>Service call - customer-owned equipment (25)</t>
  </si>
  <si>
    <t>Service call - after regular hours (26)</t>
  </si>
  <si>
    <t>Temporary service install &amp; remove - overhead - no transformer (27)</t>
  </si>
  <si>
    <t>Temporary service install &amp; remove - underground - no transformer (28)</t>
  </si>
  <si>
    <t>Temporary service install &amp; remove - overhead - with transformer (29)</t>
  </si>
  <si>
    <t>Specific Charge for Access to the Power Poles $/pole/year (30)</t>
  </si>
  <si>
    <t>Standard</t>
  </si>
  <si>
    <t>Administrative Billing Charge (31)</t>
  </si>
  <si>
    <t>Loss Factors</t>
  </si>
  <si>
    <t>RATES SCHEDULE (Part 2)</t>
  </si>
  <si>
    <t>Dist. Rev. Before TX Allow.</t>
  </si>
  <si>
    <t>Dist Rev At Existing Rates %</t>
  </si>
  <si>
    <t>Rev Requirement %</t>
  </si>
  <si>
    <t>LV/ Adj.
Rates/kWh</t>
  </si>
  <si>
    <t>LV Adj.
Rates/ kW</t>
  </si>
  <si>
    <t xml:space="preserve">LV Adj.
Allocated </t>
  </si>
  <si>
    <t>RATES - Low Voltage Adjustment</t>
  </si>
  <si>
    <t>Low Voltage Costs Allocated by Customer Class</t>
  </si>
  <si>
    <t>Retail Transmission Rate</t>
  </si>
  <si>
    <t>GENERAL SERVICE &lt; 50 kW</t>
  </si>
  <si>
    <t>Connections</t>
  </si>
  <si>
    <t>Billing Determinants</t>
  </si>
  <si>
    <t>Forecast Fixed/Variable Ratios</t>
  </si>
  <si>
    <t>Revenue Requirement</t>
  </si>
  <si>
    <t>Revenue Deficiency</t>
  </si>
  <si>
    <t>Budgeted Revenue Offsets</t>
  </si>
  <si>
    <t>Total Revenue</t>
  </si>
  <si>
    <t>Less Transformer Allowances:</t>
  </si>
  <si>
    <t>Net Revenue At Existing Rates</t>
  </si>
  <si>
    <t>Turn Rounding On</t>
  </si>
  <si>
    <t>First Block</t>
  </si>
  <si>
    <t>Balance Block</t>
  </si>
  <si>
    <t>Total Net Rev. Requirement</t>
  </si>
  <si>
    <t>Gross Distribution Revenue</t>
  </si>
  <si>
    <t>Minimum System with PLCC Adustment (Ceiling Fixed Charge From Cost Allocation Model)</t>
  </si>
  <si>
    <t>Transformer Ownership Credit</t>
  </si>
  <si>
    <t>Rate Class</t>
  </si>
  <si>
    <t>Rate Riders</t>
  </si>
  <si>
    <t>Two Year Rate Rider</t>
  </si>
  <si>
    <t>Three Year Rate Rider</t>
  </si>
  <si>
    <t>LRAM</t>
  </si>
  <si>
    <t>SSM</t>
  </si>
  <si>
    <t>$</t>
  </si>
  <si>
    <t>$/unit (kWh or kW)</t>
  </si>
  <si>
    <t>LRAM &amp; SSM Rider (kWh)</t>
  </si>
  <si>
    <t>LRAM and SSM Rate Rider</t>
  </si>
  <si>
    <t>Number of Years to Use</t>
  </si>
  <si>
    <t>Rate Rider to Use</t>
  </si>
  <si>
    <t>(2 or 3)</t>
  </si>
  <si>
    <t>Rounding is turned on</t>
  </si>
  <si>
    <t>Smart Meter Rate Rider ($)
per Metered Cust./Month</t>
  </si>
  <si>
    <t>Smart Meter Rate Rider</t>
  </si>
  <si>
    <t>Smart Meter Rider (per month)</t>
  </si>
  <si>
    <t>Difference Due to Rate Rounding</t>
  </si>
  <si>
    <t>Debt Retirement Charge</t>
  </si>
  <si>
    <t>Additional Charge</t>
  </si>
  <si>
    <t>Low Voltage Cost Rate Component ($)
per kWh</t>
  </si>
  <si>
    <t>Low Voltage Cost Rate Component ($)
per kW</t>
  </si>
  <si>
    <t>Unit of Measure</t>
  </si>
  <si>
    <t># of Customers</t>
  </si>
  <si>
    <t># of Connections</t>
  </si>
  <si>
    <t xml:space="preserve">Description </t>
  </si>
  <si>
    <t>Transformer Allowance rate</t>
  </si>
  <si>
    <t>Basis for Allocation ($)</t>
  </si>
  <si>
    <t>Metrics</t>
  </si>
  <si>
    <r>
      <t>BILL IMPACTS</t>
    </r>
    <r>
      <rPr>
        <b/>
        <i/>
        <sz val="16"/>
        <rFont val="Arial"/>
        <family val="2"/>
      </rPr>
      <t xml:space="preserve">  (Monthly Consumptions)</t>
    </r>
  </si>
  <si>
    <t>Rate ($)</t>
  </si>
  <si>
    <t>Addback LV Charges</t>
  </si>
  <si>
    <t xml:space="preserve">      Total Base Revenue Requirement</t>
  </si>
  <si>
    <t>Cost Allocation Based Calculations</t>
  </si>
  <si>
    <t>Fixed Charge Analysis</t>
  </si>
  <si>
    <t>Current Volumetric Split</t>
  </si>
  <si>
    <t>Current Fixed Charge Spilt</t>
  </si>
  <si>
    <t>Fixed Rate Based on Current Fixed/Variable Revenue Proportions</t>
  </si>
  <si>
    <t>Adder per Month</t>
  </si>
  <si>
    <t xml:space="preserve">Dist. Rev. Including Transformer </t>
  </si>
  <si>
    <t>Dist. Rev. Excluding Transformer</t>
  </si>
  <si>
    <t>Total Bill Before Taxes</t>
  </si>
  <si>
    <t>GST</t>
  </si>
  <si>
    <t>Deferral and Variance 
Account Rate Riders 
($) per kWh</t>
  </si>
  <si>
    <t>Deferral and Variance 
Account Rate Riders 
($) per kW</t>
  </si>
  <si>
    <t>2010 BILL</t>
  </si>
  <si>
    <t>Check total - should be zero</t>
  </si>
  <si>
    <t xml:space="preserve">Total Revenue </t>
  </si>
  <si>
    <t>Revenue Cost Ratio</t>
  </si>
  <si>
    <t>Proposed Revenue to Cost Ratio</t>
  </si>
  <si>
    <t>Proposed Revenue</t>
  </si>
  <si>
    <t xml:space="preserve">Miscellaneous Revenue </t>
  </si>
  <si>
    <t>Proposed Base Revenue</t>
  </si>
  <si>
    <t>Amounts (Up to 2009)</t>
  </si>
  <si>
    <t>Residential</t>
  </si>
  <si>
    <t>GS &lt; 50 kW</t>
  </si>
  <si>
    <t>GS &gt;50</t>
  </si>
  <si>
    <t>Large Use</t>
  </si>
  <si>
    <t>Sentinel Lights</t>
  </si>
  <si>
    <t>Street Lighting</t>
  </si>
  <si>
    <t>USL</t>
  </si>
  <si>
    <t>Forecast Data For 2011 Test Year Projection</t>
  </si>
  <si>
    <t>2011 Test Year Normalized</t>
  </si>
  <si>
    <t>Total Check</t>
  </si>
  <si>
    <t># of Cust/Con</t>
  </si>
  <si>
    <t>Regulatory Assets Rate Rider For 2010, if applicable</t>
  </si>
  <si>
    <t>Low Voltage Rate Component For 2010</t>
  </si>
  <si>
    <t>Smart Meter Adder - 2010</t>
  </si>
  <si>
    <t>2011 Test</t>
  </si>
  <si>
    <t>Forecast Class Billing Determinants for 2011 Test Year Based on Existing Class Revenue Proportions</t>
  </si>
  <si>
    <t>Revenue Requirement - 2011 Cost Allocation Model</t>
  </si>
  <si>
    <t>Miscellaneous Revenue Allocated from 2011 Cost Allocation Model</t>
  </si>
  <si>
    <t>Board Target Low</t>
  </si>
  <si>
    <t>Board Target High</t>
  </si>
  <si>
    <t>Distribution Rate Allocation Between Fixed &amp; Variable Rates For 2011 Test Year</t>
  </si>
  <si>
    <t>Rate Schedule - 2011 Test Year Filing</t>
  </si>
  <si>
    <t>2011 Test Year - LRAM and SSM Rider</t>
  </si>
  <si>
    <t>Billing Units (2011)</t>
  </si>
  <si>
    <t>2011 Test Year - Rate Rider</t>
  </si>
  <si>
    <t>Effective May 1, 2011</t>
  </si>
  <si>
    <t>Deferral and Variance Account Rider</t>
  </si>
  <si>
    <t>Smart Meter Rate Adder</t>
  </si>
  <si>
    <t>Low Voltage Rider</t>
  </si>
  <si>
    <t>y</t>
  </si>
  <si>
    <t>2010 Rates</t>
  </si>
  <si>
    <t>2011 Rates</t>
  </si>
  <si>
    <t>2011 BILL</t>
  </si>
  <si>
    <t>Deferrral &amp; Variance Acct (kWh)</t>
  </si>
  <si>
    <t>Low Voltage Rider (kWh)</t>
  </si>
  <si>
    <t>Distribution Sub-Total</t>
  </si>
  <si>
    <t>Retail Transmisssion (kWh)</t>
  </si>
  <si>
    <t>Delivery Sub-Total</t>
  </si>
  <si>
    <t>Low Voltage Rider (kW)</t>
  </si>
  <si>
    <t>LRAM &amp; SSM Rider (kW)</t>
  </si>
  <si>
    <t>Deferrral &amp; Variance Acct (kW)</t>
  </si>
  <si>
    <t>Retail Transmisssion (kW)</t>
  </si>
  <si>
    <t>LINKED</t>
  </si>
  <si>
    <t>Forecast Revenue For 2011 Test Year Based on Existing Rates (Less Low Voltage Rate Component)</t>
  </si>
  <si>
    <t>2011 Test Year Distribution Revenue Reconciliation</t>
  </si>
  <si>
    <t>Check Revenue Cost Ratios from 2011 Cost Allocation Model</t>
  </si>
  <si>
    <t>2010 Rates From OEB Approved Tariff</t>
  </si>
  <si>
    <r>
      <t xml:space="preserve">     </t>
    </r>
    <r>
      <rPr>
        <b/>
        <sz val="12"/>
        <color indexed="9"/>
        <rFont val="Arial"/>
        <family val="2"/>
      </rPr>
      <t>$</t>
    </r>
  </si>
  <si>
    <t>check Rev Req Model</t>
  </si>
  <si>
    <t>MONTHLY RATES AND CHARGES</t>
  </si>
  <si>
    <t xml:space="preserve">Residential </t>
  </si>
  <si>
    <t>Service Charge</t>
  </si>
  <si>
    <t>$/kWh</t>
  </si>
  <si>
    <t>General Service Less Than 50 kW</t>
  </si>
  <si>
    <t>General Service 50 to 4,999 kW</t>
  </si>
  <si>
    <t>Unmetered Scattered Load</t>
  </si>
  <si>
    <t>Service Charge (per connection)</t>
  </si>
  <si>
    <t>$/kW</t>
  </si>
  <si>
    <t>2010 Base Revenue Allocated Based on Proportion of Revenue at Existing Rates</t>
  </si>
  <si>
    <t>Late Payment Settlement ($)/meter/month</t>
  </si>
  <si>
    <t>Late Payment Settlement (per month)</t>
  </si>
  <si>
    <t>KENORA HYDRO ELECTRIC CORPORATION LTD.</t>
  </si>
  <si>
    <t>Deferral and Variance Account Rate Rider</t>
  </si>
  <si>
    <t>EFFECTIVE MAY 1, 2011</t>
  </si>
  <si>
    <t>UNMETERED SCATTERED LOAD</t>
  </si>
  <si>
    <t>STREET LIGHTING</t>
  </si>
  <si>
    <t>Late Payment Charge Settlement</t>
  </si>
  <si>
    <t>HST</t>
  </si>
  <si>
    <t>Special Purpose Charge (kWh)</t>
  </si>
  <si>
    <t>Existing 2010 Distribtuion Volumetric Excl LV</t>
  </si>
  <si>
    <t>Smart Meter Adder (per month)</t>
  </si>
  <si>
    <t>2011 Test Year - Low Voltage Distribution Rates</t>
  </si>
  <si>
    <t>2011 Test Year - Distribution Rates</t>
  </si>
  <si>
    <t>2011 Test Year - Base Revenue Distribution Rates</t>
  </si>
  <si>
    <t>Shaw = 10,000</t>
  </si>
  <si>
    <t>Traffic = 2800</t>
  </si>
  <si>
    <t>Flashing = 210</t>
  </si>
  <si>
    <t>WMS (kWh)</t>
  </si>
  <si>
    <t>Debt Retirement (kWh)</t>
  </si>
  <si>
    <t>Existing 2010 Rate Year - Distribution Revenue Rates Excluding Smart Meter Adder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</si>
</sst>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  <numFmt numFmtId="169" formatCode="&quot;$&quot;#,##0.0000"/>
    <numFmt numFmtId="170" formatCode="0.0000"/>
    <numFmt numFmtId="171" formatCode="0.000%"/>
    <numFmt numFmtId="172" formatCode="_-&quot;$&quot;* #,##0.0000_-;\-&quot;$&quot;* #,##0.0000_-;_-&quot;$&quot;* &quot;-&quot;??_-;_-@_-"/>
    <numFmt numFmtId="173" formatCode="_-* #,##0.00000000_-;\-* #,##0.00000000_-;_-* &quot;-&quot;??_-;_-@_-"/>
    <numFmt numFmtId="174" formatCode="#,##0.0000_);\(#,##0.0000\)"/>
    <numFmt numFmtId="175" formatCode="#,##0.0000"/>
    <numFmt numFmtId="176" formatCode="0.0%"/>
    <numFmt numFmtId="177" formatCode="0.00000"/>
    <numFmt numFmtId="178" formatCode="0_ ;\-0\ "/>
    <numFmt numFmtId="179" formatCode="#,##0.00;[Red]\(#,##0.00\)"/>
    <numFmt numFmtId="180" formatCode="#,##0.00_ ;\-#,##0.00\ "/>
    <numFmt numFmtId="181" formatCode="&quot;$&quot;#,##0.0000_);[Red]\(#,##0.0000\)"/>
    <numFmt numFmtId="182" formatCode="#,##0.00%;[Red]\(#,##0.00%\)"/>
    <numFmt numFmtId="183" formatCode="&quot;$&quot;#,##0.00;\(&quot;$&quot;###0.00\)"/>
    <numFmt numFmtId="184" formatCode="&quot;$&quot;#,##0;\(&quot;$&quot;#,##0\)"/>
    <numFmt numFmtId="185" formatCode="0.0000_);\(0.0000\)"/>
    <numFmt numFmtId="186" formatCode="0.00_);\(0.00\)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color indexed="56"/>
      <name val="Arial"/>
      <family val="2"/>
    </font>
    <font>
      <b/>
      <i/>
      <sz val="16"/>
      <name val="Arial"/>
      <family val="2"/>
    </font>
    <font>
      <b/>
      <i/>
      <sz val="20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i/>
      <sz val="16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b/>
      <sz val="10"/>
      <color indexed="60"/>
      <name val="Arial"/>
      <family val="2"/>
    </font>
    <font>
      <b/>
      <sz val="9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8"/>
      <name val="Arial"/>
      <family val="2"/>
    </font>
    <font>
      <i/>
      <sz val="9"/>
      <name val="Arial"/>
      <family val="2"/>
    </font>
    <font>
      <b/>
      <u val="single"/>
      <sz val="10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MS Sans Serif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0"/>
      <color theme="0"/>
      <name val="MS Sans Serif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6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 style="thin">
        <color indexed="8"/>
      </left>
      <right/>
      <top/>
      <bottom/>
    </border>
    <border>
      <left style="thin">
        <color indexed="8"/>
      </left>
      <right/>
      <top style="medium"/>
      <bottom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>
        <color indexed="8"/>
      </left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/>
      <top style="thin"/>
      <bottom style="double"/>
    </border>
    <border>
      <left/>
      <right/>
      <top style="double"/>
      <bottom style="medium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/>
      <top/>
      <bottom style="double"/>
    </border>
    <border>
      <left style="thin"/>
      <right style="thin"/>
      <top style="medium"/>
      <bottom/>
    </border>
    <border>
      <left style="thin">
        <color indexed="8"/>
      </left>
      <right style="thin"/>
      <top style="medium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medium"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 style="thin"/>
      <right/>
      <top style="thin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medium"/>
      <right style="thin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4" applyNumberFormat="0" applyFill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0" fontId="60" fillId="27" borderId="6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2" fillId="0" borderId="0" applyNumberFormat="0" applyFill="0" applyBorder="0" applyAlignment="0" applyProtection="0"/>
  </cellStyleXfs>
  <cellXfs count="581">
    <xf numFmtId="0" fontId="0" fillId="0" borderId="0" xfId="0" applyAlignment="1">
      <alignment/>
    </xf>
    <xf numFmtId="166" fontId="0" fillId="0" borderId="0" xfId="42" applyNumberFormat="1" applyFont="1" applyAlignment="1">
      <alignment/>
    </xf>
    <xf numFmtId="0" fontId="4" fillId="0" borderId="0" xfId="0" applyFont="1" applyAlignment="1">
      <alignment/>
    </xf>
    <xf numFmtId="165" fontId="0" fillId="0" borderId="0" xfId="42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68" fontId="3" fillId="0" borderId="0" xfId="45" applyNumberFormat="1" applyFont="1" applyFill="1" applyAlignment="1">
      <alignment/>
    </xf>
    <xf numFmtId="0" fontId="0" fillId="0" borderId="0" xfId="0" applyFill="1" applyAlignment="1">
      <alignment/>
    </xf>
    <xf numFmtId="168" fontId="0" fillId="0" borderId="0" xfId="0" applyNumberFormat="1" applyAlignment="1">
      <alignment/>
    </xf>
    <xf numFmtId="0" fontId="0" fillId="0" borderId="0" xfId="0" applyAlignment="1" quotePrefix="1">
      <alignment/>
    </xf>
    <xf numFmtId="37" fontId="4" fillId="0" borderId="0" xfId="0" applyNumberFormat="1" applyFont="1" applyFill="1" applyBorder="1" applyAlignment="1">
      <alignment horizontal="left" vertical="center" wrapText="1"/>
    </xf>
    <xf numFmtId="168" fontId="0" fillId="0" borderId="0" xfId="45" applyNumberFormat="1" applyFont="1" applyFill="1" applyBorder="1" applyAlignment="1">
      <alignment/>
    </xf>
    <xf numFmtId="172" fontId="0" fillId="0" borderId="0" xfId="45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168" fontId="4" fillId="0" borderId="0" xfId="45" applyNumberFormat="1" applyFont="1" applyFill="1" applyBorder="1" applyAlignment="1">
      <alignment horizontal="left" indent="1"/>
    </xf>
    <xf numFmtId="0" fontId="0" fillId="0" borderId="0" xfId="0" applyFill="1" applyBorder="1" applyAlignment="1">
      <alignment/>
    </xf>
    <xf numFmtId="171" fontId="0" fillId="0" borderId="0" xfId="0" applyNumberFormat="1" applyAlignment="1">
      <alignment/>
    </xf>
    <xf numFmtId="166" fontId="0" fillId="0" borderId="0" xfId="42" applyNumberFormat="1" applyFont="1" applyFill="1" applyBorder="1" applyAlignment="1">
      <alignment/>
    </xf>
    <xf numFmtId="166" fontId="4" fillId="0" borderId="0" xfId="4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8" fontId="3" fillId="0" borderId="0" xfId="45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174" fontId="0" fillId="0" borderId="0" xfId="0" applyNumberFormat="1" applyFill="1" applyAlignment="1" applyProtection="1">
      <alignment/>
      <protection/>
    </xf>
    <xf numFmtId="170" fontId="0" fillId="0" borderId="0" xfId="0" applyNumberFormat="1" applyAlignment="1">
      <alignment/>
    </xf>
    <xf numFmtId="0" fontId="1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8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169" fontId="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wrapText="1"/>
    </xf>
    <xf numFmtId="167" fontId="5" fillId="0" borderId="0" xfId="0" applyNumberFormat="1" applyFont="1" applyFill="1" applyBorder="1" applyAlignment="1">
      <alignment/>
    </xf>
    <xf numFmtId="174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8" fontId="3" fillId="0" borderId="11" xfId="45" applyNumberFormat="1" applyFont="1" applyFill="1" applyBorder="1" applyAlignment="1">
      <alignment/>
    </xf>
    <xf numFmtId="168" fontId="3" fillId="0" borderId="12" xfId="45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 vertical="center" indent="5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39" fontId="16" fillId="0" borderId="0" xfId="47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39" fontId="16" fillId="0" borderId="0" xfId="47" applyNumberFormat="1" applyFont="1" applyFill="1" applyBorder="1" applyAlignment="1">
      <alignment horizontal="center" vertical="center"/>
    </xf>
    <xf numFmtId="10" fontId="0" fillId="0" borderId="0" xfId="62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173" fontId="0" fillId="0" borderId="0" xfId="42" applyNumberFormat="1" applyFont="1" applyFill="1" applyBorder="1" applyAlignment="1">
      <alignment/>
    </xf>
    <xf numFmtId="0" fontId="0" fillId="34" borderId="0" xfId="0" applyFill="1" applyAlignment="1">
      <alignment/>
    </xf>
    <xf numFmtId="166" fontId="4" fillId="0" borderId="0" xfId="42" applyNumberFormat="1" applyFont="1" applyAlignment="1">
      <alignment/>
    </xf>
    <xf numFmtId="165" fontId="0" fillId="0" borderId="0" xfId="0" applyNumberFormat="1" applyAlignment="1">
      <alignment/>
    </xf>
    <xf numFmtId="3" fontId="1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20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35" borderId="20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37" fontId="4" fillId="0" borderId="23" xfId="0" applyNumberFormat="1" applyFont="1" applyFill="1" applyBorder="1" applyAlignment="1">
      <alignment horizontal="center"/>
    </xf>
    <xf numFmtId="10" fontId="4" fillId="0" borderId="23" xfId="62" applyNumberFormat="1" applyFont="1" applyFill="1" applyBorder="1" applyAlignment="1">
      <alignment horizontal="center"/>
    </xf>
    <xf numFmtId="10" fontId="0" fillId="0" borderId="20" xfId="62" applyNumberFormat="1" applyFont="1" applyFill="1" applyBorder="1" applyAlignment="1">
      <alignment horizontal="center"/>
    </xf>
    <xf numFmtId="4" fontId="0" fillId="0" borderId="20" xfId="42" applyNumberFormat="1" applyFon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10" fontId="0" fillId="0" borderId="20" xfId="62" applyNumberFormat="1" applyFont="1" applyFill="1" applyBorder="1" applyAlignment="1">
      <alignment horizontal="center"/>
    </xf>
    <xf numFmtId="9" fontId="4" fillId="0" borderId="12" xfId="62" applyFont="1" applyFill="1" applyBorder="1" applyAlignment="1">
      <alignment horizontal="center"/>
    </xf>
    <xf numFmtId="0" fontId="4" fillId="0" borderId="24" xfId="0" applyFont="1" applyFill="1" applyBorder="1" applyAlignment="1">
      <alignment horizontal="left" indent="1"/>
    </xf>
    <xf numFmtId="166" fontId="4" fillId="0" borderId="12" xfId="0" applyNumberFormat="1" applyFont="1" applyFill="1" applyBorder="1" applyAlignment="1">
      <alignment horizontal="left" indent="1"/>
    </xf>
    <xf numFmtId="0" fontId="0" fillId="0" borderId="25" xfId="0" applyFill="1" applyBorder="1" applyAlignment="1">
      <alignment/>
    </xf>
    <xf numFmtId="171" fontId="4" fillId="0" borderId="25" xfId="62" applyNumberFormat="1" applyFont="1" applyFill="1" applyBorder="1" applyAlignment="1">
      <alignment/>
    </xf>
    <xf numFmtId="168" fontId="4" fillId="0" borderId="12" xfId="45" applyNumberFormat="1" applyFont="1" applyFill="1" applyBorder="1" applyAlignment="1">
      <alignment horizontal="center"/>
    </xf>
    <xf numFmtId="10" fontId="4" fillId="0" borderId="12" xfId="62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169" fontId="4" fillId="0" borderId="12" xfId="0" applyNumberFormat="1" applyFont="1" applyFill="1" applyBorder="1" applyAlignment="1">
      <alignment horizontal="center"/>
    </xf>
    <xf numFmtId="37" fontId="4" fillId="0" borderId="20" xfId="0" applyNumberFormat="1" applyFont="1" applyFill="1" applyBorder="1" applyAlignment="1">
      <alignment/>
    </xf>
    <xf numFmtId="169" fontId="0" fillId="0" borderId="20" xfId="45" applyNumberFormat="1" applyFont="1" applyFill="1" applyBorder="1" applyAlignment="1">
      <alignment horizontal="center"/>
    </xf>
    <xf numFmtId="168" fontId="0" fillId="0" borderId="20" xfId="45" applyNumberFormat="1" applyFont="1" applyFill="1" applyBorder="1" applyAlignment="1">
      <alignment/>
    </xf>
    <xf numFmtId="172" fontId="0" fillId="0" borderId="20" xfId="45" applyNumberFormat="1" applyFont="1" applyFill="1" applyBorder="1" applyAlignment="1">
      <alignment/>
    </xf>
    <xf numFmtId="180" fontId="0" fillId="0" borderId="20" xfId="42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left" indent="1"/>
    </xf>
    <xf numFmtId="0" fontId="4" fillId="0" borderId="2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 indent="1"/>
    </xf>
    <xf numFmtId="166" fontId="4" fillId="35" borderId="20" xfId="42" applyNumberFormat="1" applyFont="1" applyFill="1" applyBorder="1" applyAlignment="1">
      <alignment horizontal="center"/>
    </xf>
    <xf numFmtId="10" fontId="4" fillId="35" borderId="20" xfId="62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indent="1"/>
    </xf>
    <xf numFmtId="0" fontId="4" fillId="0" borderId="12" xfId="0" applyFont="1" applyFill="1" applyBorder="1" applyAlignment="1">
      <alignment horizontal="center"/>
    </xf>
    <xf numFmtId="175" fontId="0" fillId="36" borderId="20" xfId="42" applyNumberFormat="1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horizontal="center"/>
    </xf>
    <xf numFmtId="166" fontId="4" fillId="0" borderId="26" xfId="0" applyNumberFormat="1" applyFont="1" applyFill="1" applyBorder="1" applyAlignment="1">
      <alignment horizontal="left" indent="1"/>
    </xf>
    <xf numFmtId="168" fontId="4" fillId="0" borderId="26" xfId="45" applyNumberFormat="1" applyFont="1" applyFill="1" applyBorder="1" applyAlignment="1">
      <alignment horizontal="left" indent="1"/>
    </xf>
    <xf numFmtId="166" fontId="0" fillId="0" borderId="20" xfId="42" applyNumberFormat="1" applyFont="1" applyFill="1" applyBorder="1" applyAlignment="1">
      <alignment horizontal="center"/>
    </xf>
    <xf numFmtId="3" fontId="0" fillId="0" borderId="20" xfId="42" applyNumberFormat="1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 horizontal="center"/>
    </xf>
    <xf numFmtId="3" fontId="4" fillId="0" borderId="26" xfId="42" applyNumberFormat="1" applyFont="1" applyFill="1" applyBorder="1" applyAlignment="1">
      <alignment horizontal="center"/>
    </xf>
    <xf numFmtId="175" fontId="0" fillId="0" borderId="20" xfId="42" applyNumberFormat="1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175" fontId="0" fillId="0" borderId="20" xfId="0" applyNumberFormat="1" applyFont="1" applyFill="1" applyBorder="1" applyAlignment="1">
      <alignment horizontal="center"/>
    </xf>
    <xf numFmtId="181" fontId="0" fillId="0" borderId="27" xfId="0" applyNumberFormat="1" applyFont="1" applyFill="1" applyBorder="1" applyAlignment="1">
      <alignment horizontal="center"/>
    </xf>
    <xf numFmtId="0" fontId="4" fillId="36" borderId="27" xfId="0" applyFont="1" applyFill="1" applyBorder="1" applyAlignment="1">
      <alignment horizontal="center"/>
    </xf>
    <xf numFmtId="170" fontId="0" fillId="1" borderId="28" xfId="0" applyNumberFormat="1" applyFont="1" applyFill="1" applyBorder="1" applyAlignment="1" applyProtection="1">
      <alignment horizontal="center"/>
      <protection/>
    </xf>
    <xf numFmtId="170" fontId="4" fillId="1" borderId="20" xfId="0" applyNumberFormat="1" applyFont="1" applyFill="1" applyBorder="1" applyAlignment="1" applyProtection="1">
      <alignment horizontal="center"/>
      <protection/>
    </xf>
    <xf numFmtId="170" fontId="0" fillId="1" borderId="20" xfId="0" applyNumberFormat="1" applyFill="1" applyBorder="1" applyAlignment="1" applyProtection="1">
      <alignment horizontal="center"/>
      <protection/>
    </xf>
    <xf numFmtId="170" fontId="0" fillId="1" borderId="28" xfId="0" applyNumberFormat="1" applyFill="1" applyBorder="1" applyAlignment="1" applyProtection="1">
      <alignment horizontal="center"/>
      <protection/>
    </xf>
    <xf numFmtId="0" fontId="0" fillId="0" borderId="29" xfId="0" applyBorder="1" applyAlignment="1">
      <alignment/>
    </xf>
    <xf numFmtId="0" fontId="0" fillId="0" borderId="8" xfId="0" applyBorder="1" applyAlignment="1">
      <alignment/>
    </xf>
    <xf numFmtId="0" fontId="0" fillId="0" borderId="30" xfId="0" applyBorder="1" applyAlignment="1">
      <alignment/>
    </xf>
    <xf numFmtId="0" fontId="0" fillId="0" borderId="9" xfId="0" applyBorder="1" applyAlignment="1">
      <alignment/>
    </xf>
    <xf numFmtId="3" fontId="15" fillId="35" borderId="30" xfId="0" applyNumberFormat="1" applyFont="1" applyFill="1" applyBorder="1" applyAlignment="1">
      <alignment horizontal="right" vertical="center"/>
    </xf>
    <xf numFmtId="0" fontId="3" fillId="35" borderId="9" xfId="0" applyFont="1" applyFill="1" applyBorder="1" applyAlignment="1">
      <alignment vertical="center"/>
    </xf>
    <xf numFmtId="0" fontId="0" fillId="0" borderId="31" xfId="0" applyBorder="1" applyAlignment="1">
      <alignment/>
    </xf>
    <xf numFmtId="0" fontId="14" fillId="0" borderId="0" xfId="0" applyFont="1" applyFill="1" applyBorder="1" applyAlignment="1">
      <alignment vertical="center"/>
    </xf>
    <xf numFmtId="0" fontId="0" fillId="0" borderId="32" xfId="0" applyBorder="1" applyAlignment="1">
      <alignment/>
    </xf>
    <xf numFmtId="10" fontId="20" fillId="0" borderId="0" xfId="62" applyNumberFormat="1" applyFont="1" applyFill="1" applyBorder="1" applyAlignment="1">
      <alignment horizontal="center" vertical="center"/>
    </xf>
    <xf numFmtId="10" fontId="16" fillId="0" borderId="0" xfId="62" applyNumberFormat="1" applyFont="1" applyFill="1" applyBorder="1" applyAlignment="1">
      <alignment horizontal="center" vertical="center"/>
    </xf>
    <xf numFmtId="39" fontId="4" fillId="0" borderId="0" xfId="47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6" fillId="0" borderId="10" xfId="0" applyFont="1" applyFill="1" applyBorder="1" applyAlignment="1">
      <alignment horizontal="left" vertical="center" indent="5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39" fontId="16" fillId="0" borderId="10" xfId="47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39" fontId="16" fillId="0" borderId="10" xfId="47" applyNumberFormat="1" applyFont="1" applyFill="1" applyBorder="1" applyAlignment="1">
      <alignment horizontal="center" vertical="center"/>
    </xf>
    <xf numFmtId="10" fontId="20" fillId="0" borderId="10" xfId="62" applyNumberFormat="1" applyFont="1" applyFill="1" applyBorder="1" applyAlignment="1">
      <alignment horizontal="center" vertical="center"/>
    </xf>
    <xf numFmtId="10" fontId="16" fillId="0" borderId="10" xfId="62" applyNumberFormat="1" applyFont="1" applyFill="1" applyBorder="1" applyAlignment="1">
      <alignment horizontal="center" vertical="center"/>
    </xf>
    <xf numFmtId="39" fontId="4" fillId="0" borderId="10" xfId="47" applyNumberFormat="1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 wrapText="1"/>
    </xf>
    <xf numFmtId="2" fontId="4" fillId="35" borderId="34" xfId="0" applyNumberFormat="1" applyFont="1" applyFill="1" applyBorder="1" applyAlignment="1">
      <alignment horizontal="center" vertical="center" wrapText="1"/>
    </xf>
    <xf numFmtId="2" fontId="4" fillId="35" borderId="35" xfId="0" applyNumberFormat="1" applyFont="1" applyFill="1" applyBorder="1" applyAlignment="1">
      <alignment horizontal="center" vertical="center" wrapText="1"/>
    </xf>
    <xf numFmtId="174" fontId="0" fillId="0" borderId="20" xfId="47" applyNumberFormat="1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 horizontal="center" vertical="center"/>
    </xf>
    <xf numFmtId="3" fontId="0" fillId="0" borderId="40" xfId="0" applyNumberFormat="1" applyFont="1" applyFill="1" applyBorder="1" applyAlignment="1">
      <alignment horizontal="center" vertical="center"/>
    </xf>
    <xf numFmtId="175" fontId="0" fillId="0" borderId="21" xfId="0" applyNumberFormat="1" applyFont="1" applyFill="1" applyBorder="1" applyAlignment="1">
      <alignment horizontal="center" vertical="center"/>
    </xf>
    <xf numFmtId="39" fontId="0" fillId="0" borderId="41" xfId="47" applyNumberFormat="1" applyFont="1" applyFill="1" applyBorder="1" applyAlignment="1">
      <alignment horizontal="center" vertical="center"/>
    </xf>
    <xf numFmtId="175" fontId="0" fillId="0" borderId="42" xfId="0" applyNumberFormat="1" applyFont="1" applyFill="1" applyBorder="1" applyAlignment="1">
      <alignment horizontal="center" vertical="center"/>
    </xf>
    <xf numFmtId="39" fontId="0" fillId="0" borderId="43" xfId="47" applyNumberFormat="1" applyFont="1" applyFill="1" applyBorder="1" applyAlignment="1">
      <alignment horizontal="center" vertical="center"/>
    </xf>
    <xf numFmtId="0" fontId="0" fillId="1" borderId="44" xfId="0" applyFont="1" applyFill="1" applyBorder="1" applyAlignment="1">
      <alignment horizontal="center" vertical="center"/>
    </xf>
    <xf numFmtId="0" fontId="0" fillId="1" borderId="45" xfId="0" applyFont="1" applyFill="1" applyBorder="1" applyAlignment="1">
      <alignment horizontal="center" vertical="center"/>
    </xf>
    <xf numFmtId="39" fontId="0" fillId="0" borderId="46" xfId="47" applyNumberFormat="1" applyFont="1" applyFill="1" applyBorder="1" applyAlignment="1">
      <alignment horizontal="center" vertical="center"/>
    </xf>
    <xf numFmtId="39" fontId="0" fillId="0" borderId="47" xfId="47" applyNumberFormat="1" applyFont="1" applyFill="1" applyBorder="1" applyAlignment="1">
      <alignment horizontal="center" vertical="center"/>
    </xf>
    <xf numFmtId="3" fontId="0" fillId="0" borderId="48" xfId="0" applyNumberFormat="1" applyFont="1" applyFill="1" applyBorder="1" applyAlignment="1">
      <alignment horizontal="center" vertical="center"/>
    </xf>
    <xf numFmtId="179" fontId="0" fillId="0" borderId="46" xfId="47" applyNumberFormat="1" applyFont="1" applyFill="1" applyBorder="1" applyAlignment="1">
      <alignment horizontal="center" vertical="center"/>
    </xf>
    <xf numFmtId="179" fontId="0" fillId="0" borderId="47" xfId="47" applyNumberFormat="1" applyFont="1" applyFill="1" applyBorder="1" applyAlignment="1">
      <alignment horizontal="center" vertical="center"/>
    </xf>
    <xf numFmtId="182" fontId="0" fillId="0" borderId="20" xfId="62" applyNumberFormat="1" applyFont="1" applyFill="1" applyBorder="1" applyAlignment="1">
      <alignment horizontal="center" vertical="center"/>
    </xf>
    <xf numFmtId="0" fontId="0" fillId="1" borderId="20" xfId="0" applyFont="1" applyFill="1" applyBorder="1" applyAlignment="1">
      <alignment horizontal="center" vertical="center"/>
    </xf>
    <xf numFmtId="0" fontId="0" fillId="1" borderId="28" xfId="0" applyFont="1" applyFill="1" applyBorder="1" applyAlignment="1">
      <alignment horizontal="center" vertical="center"/>
    </xf>
    <xf numFmtId="179" fontId="0" fillId="0" borderId="44" xfId="47" applyNumberFormat="1" applyFont="1" applyFill="1" applyBorder="1" applyAlignment="1">
      <alignment horizontal="center" vertical="center"/>
    </xf>
    <xf numFmtId="182" fontId="0" fillId="0" borderId="45" xfId="62" applyNumberFormat="1" applyFont="1" applyFill="1" applyBorder="1" applyAlignment="1">
      <alignment horizontal="center" vertical="center"/>
    </xf>
    <xf numFmtId="182" fontId="0" fillId="0" borderId="46" xfId="62" applyNumberFormat="1" applyFont="1" applyFill="1" applyBorder="1" applyAlignment="1">
      <alignment horizontal="center" vertical="center"/>
    </xf>
    <xf numFmtId="179" fontId="0" fillId="0" borderId="28" xfId="47" applyNumberFormat="1" applyFont="1" applyFill="1" applyBorder="1" applyAlignment="1">
      <alignment horizontal="center" vertical="center"/>
    </xf>
    <xf numFmtId="182" fontId="0" fillId="0" borderId="47" xfId="62" applyNumberFormat="1" applyFont="1" applyFill="1" applyBorder="1" applyAlignment="1">
      <alignment horizontal="center" vertical="center"/>
    </xf>
    <xf numFmtId="3" fontId="0" fillId="0" borderId="48" xfId="0" applyNumberFormat="1" applyFont="1" applyFill="1" applyBorder="1" applyAlignment="1">
      <alignment horizontal="center" vertical="center" wrapText="1"/>
    </xf>
    <xf numFmtId="174" fontId="0" fillId="0" borderId="42" xfId="0" applyNumberFormat="1" applyFont="1" applyFill="1" applyBorder="1" applyAlignment="1">
      <alignment horizontal="center" vertical="center"/>
    </xf>
    <xf numFmtId="179" fontId="0" fillId="0" borderId="43" xfId="47" applyNumberFormat="1" applyFont="1" applyFill="1" applyBorder="1" applyAlignment="1">
      <alignment horizontal="center" vertical="center"/>
    </xf>
    <xf numFmtId="179" fontId="0" fillId="0" borderId="48" xfId="47" applyNumberFormat="1" applyFont="1" applyFill="1" applyBorder="1" applyAlignment="1">
      <alignment horizontal="center" vertical="center"/>
    </xf>
    <xf numFmtId="182" fontId="0" fillId="0" borderId="42" xfId="62" applyNumberFormat="1" applyFont="1" applyFill="1" applyBorder="1" applyAlignment="1">
      <alignment horizontal="center" vertical="center"/>
    </xf>
    <xf numFmtId="179" fontId="0" fillId="0" borderId="41" xfId="47" applyNumberFormat="1" applyFont="1" applyFill="1" applyBorder="1" applyAlignment="1">
      <alignment horizontal="center" vertical="center"/>
    </xf>
    <xf numFmtId="179" fontId="0" fillId="0" borderId="40" xfId="47" applyNumberFormat="1" applyFont="1" applyFill="1" applyBorder="1" applyAlignment="1">
      <alignment horizontal="center" vertical="center"/>
    </xf>
    <xf numFmtId="182" fontId="0" fillId="0" borderId="21" xfId="62" applyNumberFormat="1" applyFont="1" applyFill="1" applyBorder="1" applyAlignment="1">
      <alignment horizontal="center" vertical="center"/>
    </xf>
    <xf numFmtId="182" fontId="0" fillId="0" borderId="41" xfId="62" applyNumberFormat="1" applyFont="1" applyFill="1" applyBorder="1" applyAlignment="1">
      <alignment horizontal="center" vertical="center"/>
    </xf>
    <xf numFmtId="175" fontId="4" fillId="37" borderId="33" xfId="0" applyNumberFormat="1" applyFont="1" applyFill="1" applyBorder="1" applyAlignment="1">
      <alignment horizontal="center" vertical="center"/>
    </xf>
    <xf numFmtId="0" fontId="16" fillId="37" borderId="33" xfId="0" applyFont="1" applyFill="1" applyBorder="1" applyAlignment="1">
      <alignment horizontal="center" vertical="center"/>
    </xf>
    <xf numFmtId="39" fontId="4" fillId="37" borderId="49" xfId="47" applyNumberFormat="1" applyFont="1" applyFill="1" applyBorder="1" applyAlignment="1">
      <alignment horizontal="center" vertical="center"/>
    </xf>
    <xf numFmtId="39" fontId="16" fillId="37" borderId="49" xfId="47" applyNumberFormat="1" applyFont="1" applyFill="1" applyBorder="1" applyAlignment="1">
      <alignment horizontal="center" vertical="center"/>
    </xf>
    <xf numFmtId="179" fontId="4" fillId="37" borderId="50" xfId="47" applyNumberFormat="1" applyFont="1" applyFill="1" applyBorder="1" applyAlignment="1">
      <alignment horizontal="center" vertical="center"/>
    </xf>
    <xf numFmtId="182" fontId="4" fillId="37" borderId="34" xfId="62" applyNumberFormat="1" applyFont="1" applyFill="1" applyBorder="1" applyAlignment="1">
      <alignment horizontal="center" vertical="center"/>
    </xf>
    <xf numFmtId="0" fontId="16" fillId="37" borderId="27" xfId="0" applyFont="1" applyFill="1" applyBorder="1" applyAlignment="1">
      <alignment horizontal="center" vertical="center"/>
    </xf>
    <xf numFmtId="182" fontId="4" fillId="37" borderId="49" xfId="62" applyNumberFormat="1" applyFont="1" applyFill="1" applyBorder="1" applyAlignment="1">
      <alignment horizontal="center" vertical="center"/>
    </xf>
    <xf numFmtId="182" fontId="0" fillId="0" borderId="51" xfId="62" applyNumberFormat="1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wrapText="1"/>
    </xf>
    <xf numFmtId="39" fontId="5" fillId="0" borderId="8" xfId="0" applyNumberFormat="1" applyFont="1" applyBorder="1" applyAlignment="1">
      <alignment horizontal="center"/>
    </xf>
    <xf numFmtId="174" fontId="5" fillId="0" borderId="8" xfId="0" applyNumberFormat="1" applyFont="1" applyBorder="1" applyAlignment="1">
      <alignment horizontal="center"/>
    </xf>
    <xf numFmtId="0" fontId="18" fillId="0" borderId="30" xfId="0" applyFont="1" applyFill="1" applyBorder="1" applyAlignment="1">
      <alignment wrapText="1"/>
    </xf>
    <xf numFmtId="167" fontId="5" fillId="0" borderId="10" xfId="0" applyNumberFormat="1" applyFont="1" applyFill="1" applyBorder="1" applyAlignment="1">
      <alignment/>
    </xf>
    <xf numFmtId="169" fontId="5" fillId="0" borderId="10" xfId="0" applyNumberFormat="1" applyFont="1" applyFill="1" applyBorder="1" applyAlignment="1">
      <alignment horizontal="center"/>
    </xf>
    <xf numFmtId="174" fontId="5" fillId="0" borderId="9" xfId="0" applyNumberFormat="1" applyFont="1" applyBorder="1" applyAlignment="1">
      <alignment horizontal="center"/>
    </xf>
    <xf numFmtId="39" fontId="5" fillId="38" borderId="20" xfId="0" applyNumberFormat="1" applyFont="1" applyFill="1" applyBorder="1" applyAlignment="1">
      <alignment horizontal="left" vertical="center"/>
    </xf>
    <xf numFmtId="170" fontId="5" fillId="0" borderId="20" xfId="0" applyNumberFormat="1" applyFont="1" applyBorder="1" applyAlignment="1">
      <alignment horizontal="center"/>
    </xf>
    <xf numFmtId="0" fontId="14" fillId="33" borderId="20" xfId="0" applyFont="1" applyFill="1" applyBorder="1" applyAlignment="1">
      <alignment horizontal="left" vertical="center" wrapText="1"/>
    </xf>
    <xf numFmtId="0" fontId="14" fillId="38" borderId="20" xfId="0" applyFont="1" applyFill="1" applyBorder="1" applyAlignment="1">
      <alignment horizontal="left" vertical="center" wrapText="1"/>
    </xf>
    <xf numFmtId="169" fontId="25" fillId="38" borderId="20" xfId="0" applyNumberFormat="1" applyFont="1" applyFill="1" applyBorder="1" applyAlignment="1">
      <alignment horizontal="left" vertical="center"/>
    </xf>
    <xf numFmtId="169" fontId="0" fillId="0" borderId="20" xfId="0" applyNumberFormat="1" applyFont="1" applyFill="1" applyBorder="1" applyAlignment="1">
      <alignment horizontal="center" vertical="center"/>
    </xf>
    <xf numFmtId="39" fontId="0" fillId="0" borderId="2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69" fontId="19" fillId="0" borderId="0" xfId="0" applyNumberFormat="1" applyFont="1" applyFill="1" applyBorder="1" applyAlignment="1">
      <alignment horizontal="left" vertical="center"/>
    </xf>
    <xf numFmtId="39" fontId="5" fillId="0" borderId="0" xfId="0" applyNumberFormat="1" applyFont="1" applyFill="1" applyBorder="1" applyAlignment="1">
      <alignment horizontal="left" vertical="center"/>
    </xf>
    <xf numFmtId="168" fontId="0" fillId="39" borderId="0" xfId="0" applyNumberFormat="1" applyFill="1" applyAlignment="1">
      <alignment/>
    </xf>
    <xf numFmtId="0" fontId="0" fillId="39" borderId="0" xfId="0" applyFill="1" applyAlignment="1">
      <alignment/>
    </xf>
    <xf numFmtId="168" fontId="0" fillId="39" borderId="23" xfId="0" applyNumberFormat="1" applyFill="1" applyBorder="1" applyAlignment="1">
      <alignment/>
    </xf>
    <xf numFmtId="168" fontId="4" fillId="0" borderId="12" xfId="45" applyNumberFormat="1" applyFont="1" applyFill="1" applyBorder="1" applyAlignment="1">
      <alignment/>
    </xf>
    <xf numFmtId="38" fontId="0" fillId="0" borderId="20" xfId="0" applyNumberFormat="1" applyFill="1" applyBorder="1" applyAlignment="1">
      <alignment horizontal="center"/>
    </xf>
    <xf numFmtId="38" fontId="4" fillId="0" borderId="12" xfId="0" applyNumberFormat="1" applyFont="1" applyFill="1" applyBorder="1" applyAlignment="1">
      <alignment horizontal="center"/>
    </xf>
    <xf numFmtId="170" fontId="23" fillId="0" borderId="20" xfId="0" applyNumberFormat="1" applyFont="1" applyFill="1" applyBorder="1" applyAlignment="1">
      <alignment wrapText="1"/>
    </xf>
    <xf numFmtId="0" fontId="22" fillId="0" borderId="20" xfId="0" applyFont="1" applyFill="1" applyBorder="1" applyAlignment="1">
      <alignment horizontal="center" wrapText="1"/>
    </xf>
    <xf numFmtId="4" fontId="22" fillId="0" borderId="26" xfId="0" applyNumberFormat="1" applyFont="1" applyFill="1" applyBorder="1" applyAlignment="1">
      <alignment horizontal="center" wrapText="1"/>
    </xf>
    <xf numFmtId="4" fontId="22" fillId="0" borderId="26" xfId="0" applyNumberFormat="1" applyFont="1" applyFill="1" applyBorder="1" applyAlignment="1">
      <alignment wrapText="1"/>
    </xf>
    <xf numFmtId="0" fontId="16" fillId="0" borderId="52" xfId="0" applyFont="1" applyFill="1" applyBorder="1" applyAlignment="1">
      <alignment horizontal="left" vertical="center" indent="5"/>
    </xf>
    <xf numFmtId="0" fontId="16" fillId="0" borderId="52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vertical="center"/>
    </xf>
    <xf numFmtId="39" fontId="16" fillId="0" borderId="52" xfId="47" applyNumberFormat="1" applyFont="1" applyFill="1" applyBorder="1" applyAlignment="1">
      <alignment vertical="center"/>
    </xf>
    <xf numFmtId="0" fontId="16" fillId="0" borderId="52" xfId="0" applyFont="1" applyFill="1" applyBorder="1" applyAlignment="1">
      <alignment horizontal="left" vertical="center"/>
    </xf>
    <xf numFmtId="10" fontId="20" fillId="0" borderId="52" xfId="62" applyNumberFormat="1" applyFont="1" applyFill="1" applyBorder="1" applyAlignment="1">
      <alignment horizontal="center" vertical="center"/>
    </xf>
    <xf numFmtId="10" fontId="16" fillId="0" borderId="52" xfId="62" applyNumberFormat="1" applyFont="1" applyFill="1" applyBorder="1" applyAlignment="1">
      <alignment horizontal="center" vertical="center"/>
    </xf>
    <xf numFmtId="170" fontId="23" fillId="0" borderId="20" xfId="0" applyNumberFormat="1" applyFont="1" applyFill="1" applyBorder="1" applyAlignment="1">
      <alignment horizontal="center" wrapText="1"/>
    </xf>
    <xf numFmtId="166" fontId="4" fillId="36" borderId="27" xfId="42" applyNumberFormat="1" applyFont="1" applyFill="1" applyBorder="1" applyAlignment="1">
      <alignment horizontal="center"/>
    </xf>
    <xf numFmtId="37" fontId="22" fillId="0" borderId="20" xfId="0" applyNumberFormat="1" applyFont="1" applyFill="1" applyBorder="1" applyAlignment="1">
      <alignment wrapText="1"/>
    </xf>
    <xf numFmtId="37" fontId="3" fillId="0" borderId="53" xfId="0" applyNumberFormat="1" applyFont="1" applyFill="1" applyBorder="1" applyAlignment="1">
      <alignment/>
    </xf>
    <xf numFmtId="37" fontId="3" fillId="0" borderId="54" xfId="0" applyNumberFormat="1" applyFont="1" applyFill="1" applyBorder="1" applyAlignment="1">
      <alignment/>
    </xf>
    <xf numFmtId="0" fontId="27" fillId="0" borderId="0" xfId="0" applyFont="1" applyAlignment="1">
      <alignment/>
    </xf>
    <xf numFmtId="37" fontId="0" fillId="0" borderId="20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vertical="center" wrapText="1"/>
    </xf>
    <xf numFmtId="3" fontId="0" fillId="0" borderId="55" xfId="0" applyNumberFormat="1" applyFont="1" applyFill="1" applyBorder="1" applyAlignment="1">
      <alignment horizontal="center" vertical="center"/>
    </xf>
    <xf numFmtId="39" fontId="0" fillId="0" borderId="56" xfId="47" applyNumberFormat="1" applyFont="1" applyFill="1" applyBorder="1" applyAlignment="1">
      <alignment horizontal="center" vertical="center"/>
    </xf>
    <xf numFmtId="179" fontId="0" fillId="0" borderId="56" xfId="47" applyNumberFormat="1" applyFont="1" applyFill="1" applyBorder="1" applyAlignment="1">
      <alignment horizontal="center" vertical="center"/>
    </xf>
    <xf numFmtId="10" fontId="0" fillId="0" borderId="57" xfId="0" applyNumberFormat="1" applyFont="1" applyFill="1" applyBorder="1" applyAlignment="1">
      <alignment horizontal="center" vertical="center"/>
    </xf>
    <xf numFmtId="10" fontId="0" fillId="0" borderId="8" xfId="0" applyNumberFormat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7" fontId="0" fillId="0" borderId="20" xfId="0" applyNumberFormat="1" applyFont="1" applyFill="1" applyBorder="1" applyAlignment="1">
      <alignment/>
    </xf>
    <xf numFmtId="37" fontId="0" fillId="0" borderId="20" xfId="0" applyNumberFormat="1" applyFill="1" applyBorder="1" applyAlignment="1">
      <alignment/>
    </xf>
    <xf numFmtId="3" fontId="0" fillId="0" borderId="20" xfId="42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center"/>
    </xf>
    <xf numFmtId="6" fontId="0" fillId="0" borderId="20" xfId="45" applyNumberFormat="1" applyFont="1" applyFill="1" applyBorder="1" applyAlignment="1">
      <alignment horizontal="center"/>
    </xf>
    <xf numFmtId="6" fontId="3" fillId="0" borderId="20" xfId="0" applyNumberFormat="1" applyFont="1" applyFill="1" applyBorder="1" applyAlignment="1">
      <alignment/>
    </xf>
    <xf numFmtId="183" fontId="0" fillId="36" borderId="27" xfId="0" applyNumberFormat="1" applyFill="1" applyBorder="1" applyAlignment="1">
      <alignment horizontal="center"/>
    </xf>
    <xf numFmtId="8" fontId="0" fillId="0" borderId="0" xfId="45" applyNumberFormat="1" applyFont="1" applyFill="1" applyBorder="1" applyAlignment="1">
      <alignment/>
    </xf>
    <xf numFmtId="168" fontId="4" fillId="0" borderId="58" xfId="45" applyNumberFormat="1" applyFont="1" applyFill="1" applyBorder="1" applyAlignment="1">
      <alignment/>
    </xf>
    <xf numFmtId="0" fontId="0" fillId="0" borderId="0" xfId="0" applyFill="1" applyAlignment="1">
      <alignment/>
    </xf>
    <xf numFmtId="168" fontId="0" fillId="0" borderId="0" xfId="45" applyNumberFormat="1" applyFont="1" applyFill="1" applyBorder="1" applyAlignment="1">
      <alignment/>
    </xf>
    <xf numFmtId="168" fontId="4" fillId="0" borderId="23" xfId="45" applyNumberFormat="1" applyFont="1" applyFill="1" applyBorder="1" applyAlignment="1">
      <alignment/>
    </xf>
    <xf numFmtId="168" fontId="0" fillId="0" borderId="0" xfId="45" applyNumberFormat="1" applyFont="1" applyFill="1" applyAlignment="1">
      <alignment/>
    </xf>
    <xf numFmtId="168" fontId="4" fillId="0" borderId="12" xfId="45" applyNumberFormat="1" applyFont="1" applyFill="1" applyBorder="1" applyAlignment="1">
      <alignment/>
    </xf>
    <xf numFmtId="171" fontId="4" fillId="0" borderId="0" xfId="62" applyNumberFormat="1" applyFont="1" applyFill="1" applyBorder="1" applyAlignment="1">
      <alignment/>
    </xf>
    <xf numFmtId="184" fontId="0" fillId="0" borderId="20" xfId="45" applyNumberFormat="1" applyFont="1" applyFill="1" applyBorder="1" applyAlignment="1">
      <alignment/>
    </xf>
    <xf numFmtId="184" fontId="4" fillId="0" borderId="12" xfId="45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0" xfId="62" applyNumberFormat="1" applyFont="1" applyFill="1" applyBorder="1" applyAlignment="1">
      <alignment horizontal="center"/>
    </xf>
    <xf numFmtId="176" fontId="0" fillId="0" borderId="20" xfId="42" applyNumberFormat="1" applyFont="1" applyFill="1" applyBorder="1" applyAlignment="1">
      <alignment horizontal="center"/>
    </xf>
    <xf numFmtId="176" fontId="4" fillId="0" borderId="23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40" borderId="0" xfId="0" applyNumberFormat="1" applyFill="1" applyAlignment="1">
      <alignment horizontal="center"/>
    </xf>
    <xf numFmtId="3" fontId="4" fillId="0" borderId="12" xfId="45" applyNumberFormat="1" applyFont="1" applyFill="1" applyBorder="1" applyAlignment="1">
      <alignment horizontal="center"/>
    </xf>
    <xf numFmtId="3" fontId="0" fillId="0" borderId="20" xfId="62" applyNumberFormat="1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 horizontal="left" indent="1"/>
    </xf>
    <xf numFmtId="0" fontId="4" fillId="38" borderId="0" xfId="0" applyFont="1" applyFill="1" applyAlignment="1">
      <alignment/>
    </xf>
    <xf numFmtId="37" fontId="0" fillId="0" borderId="59" xfId="0" applyNumberFormat="1" applyFont="1" applyFill="1" applyBorder="1" applyAlignment="1">
      <alignment horizont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37" fontId="0" fillId="0" borderId="57" xfId="0" applyNumberFormat="1" applyFont="1" applyFill="1" applyBorder="1" applyAlignment="1">
      <alignment horizontal="center"/>
    </xf>
    <xf numFmtId="9" fontId="0" fillId="0" borderId="20" xfId="62" applyNumberFormat="1" applyFont="1" applyFill="1" applyBorder="1" applyAlignment="1">
      <alignment horizontal="center"/>
    </xf>
    <xf numFmtId="9" fontId="0" fillId="0" borderId="20" xfId="0" applyNumberFormat="1" applyBorder="1" applyAlignment="1">
      <alignment horizontal="center"/>
    </xf>
    <xf numFmtId="0" fontId="0" fillId="0" borderId="20" xfId="0" applyBorder="1" applyAlignment="1">
      <alignment/>
    </xf>
    <xf numFmtId="170" fontId="23" fillId="0" borderId="42" xfId="0" applyNumberFormat="1" applyFont="1" applyFill="1" applyBorder="1" applyAlignment="1">
      <alignment wrapText="1"/>
    </xf>
    <xf numFmtId="37" fontId="3" fillId="0" borderId="0" xfId="0" applyNumberFormat="1" applyFont="1" applyFill="1" applyBorder="1" applyAlignment="1">
      <alignment/>
    </xf>
    <xf numFmtId="170" fontId="0" fillId="0" borderId="0" xfId="0" applyNumberFormat="1" applyFill="1" applyBorder="1" applyAlignment="1">
      <alignment horizontal="center"/>
    </xf>
    <xf numFmtId="174" fontId="0" fillId="0" borderId="0" xfId="0" applyNumberFormat="1" applyFill="1" applyBorder="1" applyAlignment="1" applyProtection="1">
      <alignment horizontal="center"/>
      <protection/>
    </xf>
    <xf numFmtId="170" fontId="0" fillId="0" borderId="0" xfId="0" applyNumberFormat="1" applyFont="1" applyFill="1" applyBorder="1" applyAlignment="1" applyProtection="1">
      <alignment horizontal="center"/>
      <protection locked="0"/>
    </xf>
    <xf numFmtId="170" fontId="0" fillId="0" borderId="0" xfId="0" applyNumberFormat="1" applyFill="1" applyBorder="1" applyAlignment="1" applyProtection="1">
      <alignment horizontal="center"/>
      <protection locked="0"/>
    </xf>
    <xf numFmtId="170" fontId="0" fillId="0" borderId="0" xfId="0" applyNumberFormat="1" applyFill="1" applyBorder="1" applyAlignment="1" applyProtection="1">
      <alignment horizontal="center"/>
      <protection/>
    </xf>
    <xf numFmtId="3" fontId="15" fillId="35" borderId="0" xfId="0" applyNumberFormat="1" applyFont="1" applyFill="1" applyBorder="1" applyAlignment="1">
      <alignment horizontal="right" vertical="center"/>
    </xf>
    <xf numFmtId="182" fontId="4" fillId="37" borderId="63" xfId="62" applyNumberFormat="1" applyFont="1" applyFill="1" applyBorder="1" applyAlignment="1">
      <alignment horizontal="center" vertical="center"/>
    </xf>
    <xf numFmtId="3" fontId="0" fillId="0" borderId="55" xfId="0" applyNumberFormat="1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179" fontId="0" fillId="0" borderId="50" xfId="47" applyNumberFormat="1" applyFont="1" applyFill="1" applyBorder="1" applyAlignment="1">
      <alignment horizontal="center" vertical="center"/>
    </xf>
    <xf numFmtId="182" fontId="4" fillId="37" borderId="46" xfId="62" applyNumberFormat="1" applyFont="1" applyFill="1" applyBorder="1" applyAlignment="1">
      <alignment horizontal="center" vertical="center"/>
    </xf>
    <xf numFmtId="0" fontId="14" fillId="0" borderId="31" xfId="0" applyFont="1" applyBorder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6" fillId="37" borderId="33" xfId="0" applyFont="1" applyFill="1" applyBorder="1" applyAlignment="1">
      <alignment horizontal="center" vertical="center"/>
    </xf>
    <xf numFmtId="39" fontId="16" fillId="37" borderId="49" xfId="47" applyNumberFormat="1" applyFont="1" applyFill="1" applyBorder="1" applyAlignment="1">
      <alignment horizontal="center" vertical="center"/>
    </xf>
    <xf numFmtId="182" fontId="16" fillId="37" borderId="34" xfId="62" applyNumberFormat="1" applyFont="1" applyFill="1" applyBorder="1" applyAlignment="1">
      <alignment horizontal="center" vertical="center"/>
    </xf>
    <xf numFmtId="182" fontId="16" fillId="37" borderId="49" xfId="62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/>
    </xf>
    <xf numFmtId="0" fontId="14" fillId="0" borderId="0" xfId="0" applyFont="1" applyAlignment="1">
      <alignment/>
    </xf>
    <xf numFmtId="0" fontId="0" fillId="0" borderId="64" xfId="0" applyBorder="1" applyAlignment="1">
      <alignment/>
    </xf>
    <xf numFmtId="8" fontId="16" fillId="37" borderId="49" xfId="47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174" fontId="0" fillId="0" borderId="21" xfId="0" applyNumberFormat="1" applyFont="1" applyFill="1" applyBorder="1" applyAlignment="1">
      <alignment horizontal="center" vertical="center"/>
    </xf>
    <xf numFmtId="174" fontId="0" fillId="0" borderId="21" xfId="47" applyNumberFormat="1" applyFont="1" applyFill="1" applyBorder="1" applyAlignment="1">
      <alignment horizontal="center" vertical="center"/>
    </xf>
    <xf numFmtId="0" fontId="4" fillId="35" borderId="50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 wrapText="1"/>
    </xf>
    <xf numFmtId="2" fontId="4" fillId="35" borderId="49" xfId="0" applyNumberFormat="1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/>
    </xf>
    <xf numFmtId="3" fontId="0" fillId="0" borderId="65" xfId="0" applyNumberFormat="1" applyFont="1" applyFill="1" applyBorder="1" applyAlignment="1">
      <alignment horizontal="center" vertical="center"/>
    </xf>
    <xf numFmtId="3" fontId="0" fillId="0" borderId="66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20" xfId="0" applyBorder="1" applyAlignment="1">
      <alignment horizontal="center"/>
    </xf>
    <xf numFmtId="0" fontId="16" fillId="37" borderId="67" xfId="0" applyFont="1" applyFill="1" applyBorder="1" applyAlignment="1">
      <alignment horizontal="center" vertical="center"/>
    </xf>
    <xf numFmtId="39" fontId="4" fillId="37" borderId="63" xfId="47" applyNumberFormat="1" applyFont="1" applyFill="1" applyBorder="1" applyAlignment="1">
      <alignment horizontal="center" vertical="center"/>
    </xf>
    <xf numFmtId="182" fontId="4" fillId="37" borderId="59" xfId="62" applyNumberFormat="1" applyFont="1" applyFill="1" applyBorder="1" applyAlignment="1">
      <alignment horizontal="center" vertical="center"/>
    </xf>
    <xf numFmtId="39" fontId="16" fillId="0" borderId="52" xfId="47" applyNumberFormat="1" applyFont="1" applyFill="1" applyBorder="1" applyAlignment="1">
      <alignment horizontal="center" vertical="center"/>
    </xf>
    <xf numFmtId="0" fontId="3" fillId="41" borderId="0" xfId="0" applyFont="1" applyFill="1" applyBorder="1" applyAlignment="1">
      <alignment/>
    </xf>
    <xf numFmtId="4" fontId="0" fillId="0" borderId="0" xfId="0" applyNumberFormat="1" applyAlignment="1">
      <alignment/>
    </xf>
    <xf numFmtId="6" fontId="0" fillId="0" borderId="0" xfId="45" applyNumberFormat="1" applyFont="1" applyFill="1" applyBorder="1" applyAlignment="1">
      <alignment/>
    </xf>
    <xf numFmtId="6" fontId="4" fillId="0" borderId="12" xfId="45" applyNumberFormat="1" applyFont="1" applyFill="1" applyBorder="1" applyAlignment="1">
      <alignment horizontal="center"/>
    </xf>
    <xf numFmtId="0" fontId="63" fillId="20" borderId="42" xfId="0" applyFont="1" applyFill="1" applyBorder="1" applyAlignment="1">
      <alignment horizontal="center" wrapText="1"/>
    </xf>
    <xf numFmtId="0" fontId="63" fillId="20" borderId="21" xfId="0" applyFont="1" applyFill="1" applyBorder="1" applyAlignment="1">
      <alignment horizontal="center" wrapText="1"/>
    </xf>
    <xf numFmtId="4" fontId="0" fillId="2" borderId="20" xfId="42" applyNumberFormat="1" applyFont="1" applyFill="1" applyBorder="1" applyAlignment="1">
      <alignment horizontal="center"/>
    </xf>
    <xf numFmtId="37" fontId="3" fillId="0" borderId="36" xfId="0" applyNumberFormat="1" applyFont="1" applyFill="1" applyBorder="1" applyAlignment="1">
      <alignment/>
    </xf>
    <xf numFmtId="174" fontId="0" fillId="2" borderId="21" xfId="0" applyNumberFormat="1" applyFont="1" applyFill="1" applyBorder="1" applyAlignment="1">
      <alignment horizontal="right"/>
    </xf>
    <xf numFmtId="39" fontId="0" fillId="2" borderId="21" xfId="0" applyNumberFormat="1" applyFont="1" applyFill="1" applyBorder="1" applyAlignment="1">
      <alignment horizontal="right"/>
    </xf>
    <xf numFmtId="0" fontId="63" fillId="20" borderId="27" xfId="0" applyFont="1" applyFill="1" applyBorder="1" applyAlignment="1">
      <alignment horizontal="center"/>
    </xf>
    <xf numFmtId="174" fontId="63" fillId="20" borderId="27" xfId="0" applyNumberFormat="1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 wrapText="1"/>
    </xf>
    <xf numFmtId="2" fontId="4" fillId="2" borderId="56" xfId="0" applyNumberFormat="1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2" fontId="4" fillId="2" borderId="59" xfId="0" applyNumberFormat="1" applyFont="1" applyFill="1" applyBorder="1" applyAlignment="1">
      <alignment horizontal="center" vertical="center" wrapText="1"/>
    </xf>
    <xf numFmtId="2" fontId="4" fillId="2" borderId="29" xfId="0" applyNumberFormat="1" applyFont="1" applyFill="1" applyBorder="1" applyAlignment="1">
      <alignment horizontal="center" vertical="center" wrapText="1"/>
    </xf>
    <xf numFmtId="3" fontId="15" fillId="2" borderId="33" xfId="0" applyNumberFormat="1" applyFont="1" applyFill="1" applyBorder="1" applyAlignment="1">
      <alignment horizontal="right" vertical="center"/>
    </xf>
    <xf numFmtId="3" fontId="15" fillId="2" borderId="35" xfId="0" applyNumberFormat="1" applyFont="1" applyFill="1" applyBorder="1" applyAlignment="1">
      <alignment horizontal="left" vertical="center"/>
    </xf>
    <xf numFmtId="3" fontId="15" fillId="2" borderId="30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vertical="center"/>
    </xf>
    <xf numFmtId="0" fontId="4" fillId="2" borderId="68" xfId="0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2" fontId="4" fillId="2" borderId="34" xfId="0" applyNumberFormat="1" applyFont="1" applyFill="1" applyBorder="1" applyAlignment="1">
      <alignment horizontal="center" vertical="center" wrapText="1"/>
    </xf>
    <xf numFmtId="2" fontId="4" fillId="2" borderId="35" xfId="0" applyNumberFormat="1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2" fontId="4" fillId="2" borderId="49" xfId="0" applyNumberFormat="1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/>
    </xf>
    <xf numFmtId="4" fontId="15" fillId="2" borderId="3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left" vertical="center"/>
    </xf>
    <xf numFmtId="0" fontId="64" fillId="20" borderId="67" xfId="0" applyFont="1" applyFill="1" applyBorder="1" applyAlignment="1">
      <alignment horizontal="center" wrapText="1"/>
    </xf>
    <xf numFmtId="174" fontId="0" fillId="2" borderId="53" xfId="45" applyNumberFormat="1" applyFont="1" applyFill="1" applyBorder="1" applyAlignment="1" applyProtection="1">
      <alignment horizontal="center"/>
      <protection locked="0"/>
    </xf>
    <xf numFmtId="174" fontId="0" fillId="2" borderId="37" xfId="45" applyNumberFormat="1" applyFont="1" applyFill="1" applyBorder="1" applyAlignment="1" applyProtection="1">
      <alignment horizontal="center"/>
      <protection locked="0"/>
    </xf>
    <xf numFmtId="39" fontId="0" fillId="2" borderId="67" xfId="45" applyNumberFormat="1" applyFont="1" applyFill="1" applyBorder="1" applyAlignment="1" applyProtection="1">
      <alignment horizontal="center"/>
      <protection locked="0"/>
    </xf>
    <xf numFmtId="174" fontId="0" fillId="2" borderId="36" xfId="45" applyNumberFormat="1" applyFont="1" applyFill="1" applyBorder="1" applyAlignment="1" applyProtection="1">
      <alignment horizontal="center"/>
      <protection locked="0"/>
    </xf>
    <xf numFmtId="174" fontId="0" fillId="2" borderId="38" xfId="45" applyNumberFormat="1" applyFont="1" applyFill="1" applyBorder="1" applyAlignment="1" applyProtection="1">
      <alignment horizontal="center"/>
      <protection locked="0"/>
    </xf>
    <xf numFmtId="39" fontId="0" fillId="2" borderId="36" xfId="45" applyNumberFormat="1" applyFont="1" applyFill="1" applyBorder="1" applyAlignment="1" applyProtection="1">
      <alignment horizontal="center"/>
      <protection locked="0"/>
    </xf>
    <xf numFmtId="39" fontId="0" fillId="2" borderId="70" xfId="45" applyNumberFormat="1" applyFont="1" applyFill="1" applyBorder="1" applyAlignment="1" applyProtection="1">
      <alignment horizontal="center"/>
      <protection locked="0"/>
    </xf>
    <xf numFmtId="0" fontId="63" fillId="20" borderId="20" xfId="0" applyFont="1" applyFill="1" applyBorder="1" applyAlignment="1">
      <alignment horizontal="center"/>
    </xf>
    <xf numFmtId="174" fontId="63" fillId="20" borderId="20" xfId="0" applyNumberFormat="1" applyFont="1" applyFill="1" applyBorder="1" applyAlignment="1">
      <alignment horizontal="center"/>
    </xf>
    <xf numFmtId="0" fontId="63" fillId="20" borderId="20" xfId="0" applyFont="1" applyFill="1" applyBorder="1" applyAlignment="1">
      <alignment horizontal="center" wrapText="1"/>
    </xf>
    <xf numFmtId="0" fontId="65" fillId="20" borderId="20" xfId="0" applyFont="1" applyFill="1" applyBorder="1" applyAlignment="1">
      <alignment horizontal="center"/>
    </xf>
    <xf numFmtId="0" fontId="66" fillId="20" borderId="20" xfId="0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/>
    </xf>
    <xf numFmtId="3" fontId="5" fillId="2" borderId="20" xfId="0" applyNumberFormat="1" applyFont="1" applyFill="1" applyBorder="1" applyAlignment="1">
      <alignment/>
    </xf>
    <xf numFmtId="0" fontId="63" fillId="20" borderId="21" xfId="0" applyFont="1" applyFill="1" applyBorder="1" applyAlignment="1">
      <alignment horizontal="center"/>
    </xf>
    <xf numFmtId="0" fontId="63" fillId="20" borderId="66" xfId="0" applyFont="1" applyFill="1" applyBorder="1" applyAlignment="1">
      <alignment horizontal="center"/>
    </xf>
    <xf numFmtId="0" fontId="63" fillId="20" borderId="42" xfId="0" applyFont="1" applyFill="1" applyBorder="1" applyAlignment="1">
      <alignment horizontal="center" vertical="center" wrapText="1"/>
    </xf>
    <xf numFmtId="0" fontId="63" fillId="20" borderId="7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/>
    </xf>
    <xf numFmtId="37" fontId="0" fillId="2" borderId="42" xfId="0" applyNumberFormat="1" applyFont="1" applyFill="1" applyBorder="1" applyAlignment="1">
      <alignment horizontal="center"/>
    </xf>
    <xf numFmtId="37" fontId="0" fillId="2" borderId="21" xfId="0" applyNumberFormat="1" applyFont="1" applyFill="1" applyBorder="1" applyAlignment="1">
      <alignment horizontal="center"/>
    </xf>
    <xf numFmtId="37" fontId="0" fillId="2" borderId="57" xfId="0" applyNumberFormat="1" applyFont="1" applyFill="1" applyBorder="1" applyAlignment="1">
      <alignment horizontal="center"/>
    </xf>
    <xf numFmtId="37" fontId="0" fillId="2" borderId="69" xfId="0" applyNumberFormat="1" applyFont="1" applyFill="1" applyBorder="1" applyAlignment="1">
      <alignment horizontal="center"/>
    </xf>
    <xf numFmtId="37" fontId="0" fillId="2" borderId="59" xfId="0" applyNumberFormat="1" applyFont="1" applyFill="1" applyBorder="1" applyAlignment="1">
      <alignment horizontal="center"/>
    </xf>
    <xf numFmtId="37" fontId="0" fillId="2" borderId="72" xfId="0" applyNumberFormat="1" applyFont="1" applyFill="1" applyBorder="1" applyAlignment="1">
      <alignment horizontal="center"/>
    </xf>
    <xf numFmtId="37" fontId="0" fillId="2" borderId="19" xfId="0" applyNumberFormat="1" applyFont="1" applyFill="1" applyBorder="1" applyAlignment="1">
      <alignment horizontal="center"/>
    </xf>
    <xf numFmtId="37" fontId="0" fillId="2" borderId="73" xfId="0" applyNumberFormat="1" applyFont="1" applyFill="1" applyBorder="1" applyAlignment="1">
      <alignment horizontal="center"/>
    </xf>
    <xf numFmtId="0" fontId="63" fillId="20" borderId="33" xfId="0" applyFont="1" applyFill="1" applyBorder="1" applyAlignment="1">
      <alignment horizontal="center"/>
    </xf>
    <xf numFmtId="0" fontId="63" fillId="20" borderId="20" xfId="0" applyFont="1" applyFill="1" applyBorder="1" applyAlignment="1">
      <alignment/>
    </xf>
    <xf numFmtId="2" fontId="0" fillId="2" borderId="20" xfId="0" applyNumberFormat="1" applyFill="1" applyBorder="1" applyAlignment="1">
      <alignment/>
    </xf>
    <xf numFmtId="3" fontId="63" fillId="20" borderId="20" xfId="0" applyNumberFormat="1" applyFont="1" applyFill="1" applyBorder="1" applyAlignment="1">
      <alignment horizontal="center" wrapText="1"/>
    </xf>
    <xf numFmtId="0" fontId="63" fillId="20" borderId="22" xfId="0" applyFont="1" applyFill="1" applyBorder="1" applyAlignment="1">
      <alignment horizontal="center" wrapText="1"/>
    </xf>
    <xf numFmtId="37" fontId="63" fillId="20" borderId="20" xfId="62" applyNumberFormat="1" applyFont="1" applyFill="1" applyBorder="1" applyAlignment="1">
      <alignment horizontal="center" wrapText="1"/>
    </xf>
    <xf numFmtId="37" fontId="63" fillId="20" borderId="66" xfId="62" applyNumberFormat="1" applyFont="1" applyFill="1" applyBorder="1" applyAlignment="1">
      <alignment horizontal="center" wrapText="1"/>
    </xf>
    <xf numFmtId="3" fontId="0" fillId="2" borderId="20" xfId="45" applyNumberFormat="1" applyFont="1" applyFill="1" applyBorder="1" applyAlignment="1">
      <alignment horizontal="center"/>
    </xf>
    <xf numFmtId="4" fontId="23" fillId="2" borderId="20" xfId="0" applyNumberFormat="1" applyFont="1" applyFill="1" applyBorder="1" applyAlignment="1">
      <alignment horizontal="center" wrapText="1"/>
    </xf>
    <xf numFmtId="3" fontId="23" fillId="2" borderId="20" xfId="0" applyNumberFormat="1" applyFont="1" applyFill="1" applyBorder="1" applyAlignment="1">
      <alignment horizontal="center" wrapText="1"/>
    </xf>
    <xf numFmtId="3" fontId="22" fillId="2" borderId="20" xfId="0" applyNumberFormat="1" applyFont="1" applyFill="1" applyBorder="1" applyAlignment="1">
      <alignment wrapText="1"/>
    </xf>
    <xf numFmtId="170" fontId="23" fillId="2" borderId="20" xfId="0" applyNumberFormat="1" applyFont="1" applyFill="1" applyBorder="1" applyAlignment="1">
      <alignment horizontal="center" wrapText="1"/>
    </xf>
    <xf numFmtId="3" fontId="23" fillId="2" borderId="42" xfId="0" applyNumberFormat="1" applyFont="1" applyFill="1" applyBorder="1" applyAlignment="1">
      <alignment horizontal="center" wrapText="1"/>
    </xf>
    <xf numFmtId="168" fontId="3" fillId="2" borderId="0" xfId="45" applyNumberFormat="1" applyFont="1" applyFill="1" applyAlignment="1">
      <alignment/>
    </xf>
    <xf numFmtId="0" fontId="67" fillId="20" borderId="20" xfId="0" applyFont="1" applyFill="1" applyBorder="1" applyAlignment="1">
      <alignment horizontal="center" wrapText="1"/>
    </xf>
    <xf numFmtId="164" fontId="67" fillId="20" borderId="20" xfId="45" applyFont="1" applyFill="1" applyBorder="1" applyAlignment="1">
      <alignment horizontal="center" wrapText="1"/>
    </xf>
    <xf numFmtId="177" fontId="67" fillId="20" borderId="20" xfId="0" applyNumberFormat="1" applyFont="1" applyFill="1" applyBorder="1" applyAlignment="1">
      <alignment horizontal="center" wrapText="1"/>
    </xf>
    <xf numFmtId="178" fontId="67" fillId="20" borderId="20" xfId="0" applyNumberFormat="1" applyFont="1" applyFill="1" applyBorder="1" applyAlignment="1">
      <alignment horizontal="center" wrapText="1"/>
    </xf>
    <xf numFmtId="170" fontId="68" fillId="20" borderId="37" xfId="0" applyNumberFormat="1" applyFont="1" applyFill="1" applyBorder="1" applyAlignment="1">
      <alignment horizontal="center" vertical="center" wrapText="1"/>
    </xf>
    <xf numFmtId="174" fontId="69" fillId="20" borderId="28" xfId="0" applyNumberFormat="1" applyFont="1" applyFill="1" applyBorder="1" applyAlignment="1">
      <alignment horizontal="center" vertical="center" wrapText="1"/>
    </xf>
    <xf numFmtId="0" fontId="69" fillId="20" borderId="20" xfId="0" applyFont="1" applyFill="1" applyBorder="1" applyAlignment="1">
      <alignment horizontal="center" vertical="center" wrapText="1"/>
    </xf>
    <xf numFmtId="170" fontId="69" fillId="20" borderId="20" xfId="0" applyNumberFormat="1" applyFont="1" applyFill="1" applyBorder="1" applyAlignment="1">
      <alignment horizontal="center" vertical="center" wrapText="1"/>
    </xf>
    <xf numFmtId="0" fontId="69" fillId="20" borderId="28" xfId="0" applyFont="1" applyFill="1" applyBorder="1" applyAlignment="1">
      <alignment horizontal="center" vertical="center" wrapText="1"/>
    </xf>
    <xf numFmtId="170" fontId="69" fillId="20" borderId="36" xfId="0" applyNumberFormat="1" applyFont="1" applyFill="1" applyBorder="1" applyAlignment="1">
      <alignment horizontal="center" vertical="center" wrapText="1"/>
    </xf>
    <xf numFmtId="170" fontId="69" fillId="20" borderId="74" xfId="0" applyNumberFormat="1" applyFont="1" applyFill="1" applyBorder="1" applyAlignment="1">
      <alignment horizontal="center" vertical="center" wrapText="1"/>
    </xf>
    <xf numFmtId="0" fontId="69" fillId="20" borderId="28" xfId="0" applyFont="1" applyFill="1" applyBorder="1" applyAlignment="1" quotePrefix="1">
      <alignment horizontal="center" vertical="center" wrapText="1"/>
    </xf>
    <xf numFmtId="174" fontId="69" fillId="20" borderId="28" xfId="0" applyNumberFormat="1" applyFont="1" applyFill="1" applyBorder="1" applyAlignment="1">
      <alignment horizontal="center" vertical="center"/>
    </xf>
    <xf numFmtId="0" fontId="69" fillId="20" borderId="20" xfId="0" applyFont="1" applyFill="1" applyBorder="1" applyAlignment="1">
      <alignment horizontal="center" vertical="center"/>
    </xf>
    <xf numFmtId="170" fontId="69" fillId="20" borderId="20" xfId="0" applyNumberFormat="1" applyFont="1" applyFill="1" applyBorder="1" applyAlignment="1">
      <alignment horizontal="center" vertical="center"/>
    </xf>
    <xf numFmtId="0" fontId="69" fillId="20" borderId="28" xfId="0" applyFont="1" applyFill="1" applyBorder="1" applyAlignment="1">
      <alignment horizontal="center" vertical="center"/>
    </xf>
    <xf numFmtId="170" fontId="69" fillId="20" borderId="36" xfId="0" applyNumberFormat="1" applyFont="1" applyFill="1" applyBorder="1" applyAlignment="1">
      <alignment horizontal="center" vertical="center"/>
    </xf>
    <xf numFmtId="170" fontId="69" fillId="20" borderId="74" xfId="0" applyNumberFormat="1" applyFont="1" applyFill="1" applyBorder="1" applyAlignment="1">
      <alignment horizontal="center" vertical="center"/>
    </xf>
    <xf numFmtId="0" fontId="69" fillId="20" borderId="28" xfId="0" applyFont="1" applyFill="1" applyBorder="1" applyAlignment="1">
      <alignment vertical="center"/>
    </xf>
    <xf numFmtId="170" fontId="69" fillId="20" borderId="28" xfId="0" applyNumberFormat="1" applyFont="1" applyFill="1" applyBorder="1" applyAlignment="1">
      <alignment horizontal="center" vertical="center" wrapText="1"/>
    </xf>
    <xf numFmtId="170" fontId="69" fillId="20" borderId="75" xfId="0" applyNumberFormat="1" applyFont="1" applyFill="1" applyBorder="1" applyAlignment="1">
      <alignment horizontal="center" vertical="center" wrapText="1"/>
    </xf>
    <xf numFmtId="170" fontId="69" fillId="20" borderId="28" xfId="0" applyNumberFormat="1" applyFont="1" applyFill="1" applyBorder="1" applyAlignment="1">
      <alignment horizontal="center" vertical="center"/>
    </xf>
    <xf numFmtId="174" fontId="0" fillId="2" borderId="28" xfId="0" applyNumberFormat="1" applyFont="1" applyFill="1" applyBorder="1" applyAlignment="1" applyProtection="1">
      <alignment horizontal="center"/>
      <protection/>
    </xf>
    <xf numFmtId="170" fontId="0" fillId="2" borderId="20" xfId="0" applyNumberFormat="1" applyFont="1" applyFill="1" applyBorder="1" applyAlignment="1" applyProtection="1">
      <alignment horizontal="center"/>
      <protection locked="0"/>
    </xf>
    <xf numFmtId="174" fontId="0" fillId="2" borderId="28" xfId="0" applyNumberFormat="1" applyFill="1" applyBorder="1" applyAlignment="1" applyProtection="1">
      <alignment horizontal="center"/>
      <protection/>
    </xf>
    <xf numFmtId="170" fontId="0" fillId="2" borderId="20" xfId="0" applyNumberFormat="1" applyFill="1" applyBorder="1" applyAlignment="1" applyProtection="1">
      <alignment horizontal="center"/>
      <protection locked="0"/>
    </xf>
    <xf numFmtId="170" fontId="0" fillId="2" borderId="28" xfId="0" applyNumberFormat="1" applyFill="1" applyBorder="1" applyAlignment="1" applyProtection="1">
      <alignment horizontal="center"/>
      <protection/>
    </xf>
    <xf numFmtId="170" fontId="0" fillId="2" borderId="36" xfId="0" applyNumberFormat="1" applyFont="1" applyFill="1" applyBorder="1" applyAlignment="1" applyProtection="1">
      <alignment horizontal="center"/>
      <protection locked="0"/>
    </xf>
    <xf numFmtId="170" fontId="0" fillId="2" borderId="74" xfId="0" applyNumberFormat="1" applyFont="1" applyFill="1" applyBorder="1" applyAlignment="1" applyProtection="1">
      <alignment horizontal="center"/>
      <protection locked="0"/>
    </xf>
    <xf numFmtId="170" fontId="0" fillId="2" borderId="28" xfId="0" applyNumberFormat="1" applyFont="1" applyFill="1" applyBorder="1" applyAlignment="1" applyProtection="1">
      <alignment horizontal="center"/>
      <protection locked="0"/>
    </xf>
    <xf numFmtId="170" fontId="0" fillId="2" borderId="36" xfId="0" applyNumberFormat="1" applyFill="1" applyBorder="1" applyAlignment="1" applyProtection="1">
      <alignment horizontal="center"/>
      <protection locked="0"/>
    </xf>
    <xf numFmtId="170" fontId="0" fillId="2" borderId="66" xfId="0" applyNumberFormat="1" applyFill="1" applyBorder="1" applyAlignment="1" applyProtection="1">
      <alignment horizontal="center"/>
      <protection locked="0"/>
    </xf>
    <xf numFmtId="170" fontId="0" fillId="2" borderId="28" xfId="0" applyNumberFormat="1" applyFill="1" applyBorder="1" applyAlignment="1" applyProtection="1">
      <alignment horizontal="center"/>
      <protection locked="0"/>
    </xf>
    <xf numFmtId="170" fontId="0" fillId="2" borderId="74" xfId="0" applyNumberFormat="1" applyFill="1" applyBorder="1" applyAlignment="1" applyProtection="1">
      <alignment horizontal="center"/>
      <protection locked="0"/>
    </xf>
    <xf numFmtId="170" fontId="4" fillId="0" borderId="20" xfId="0" applyNumberFormat="1" applyFont="1" applyFill="1" applyBorder="1" applyAlignment="1">
      <alignment horizontal="center"/>
    </xf>
    <xf numFmtId="0" fontId="65" fillId="20" borderId="27" xfId="0" applyFont="1" applyFill="1" applyBorder="1" applyAlignment="1">
      <alignment horizontal="center" vertical="center" wrapText="1"/>
    </xf>
    <xf numFmtId="0" fontId="65" fillId="20" borderId="20" xfId="0" applyFont="1" applyFill="1" applyBorder="1" applyAlignment="1">
      <alignment horizontal="center" vertical="center" wrapText="1"/>
    </xf>
    <xf numFmtId="37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6" fontId="0" fillId="0" borderId="0" xfId="0" applyNumberFormat="1" applyAlignment="1">
      <alignment/>
    </xf>
    <xf numFmtId="174" fontId="0" fillId="2" borderId="39" xfId="45" applyNumberFormat="1" applyFont="1" applyFill="1" applyBorder="1" applyAlignment="1" applyProtection="1">
      <alignment horizontal="center"/>
      <protection locked="0"/>
    </xf>
    <xf numFmtId="39" fontId="0" fillId="2" borderId="32" xfId="45" applyNumberFormat="1" applyFont="1" applyFill="1" applyBorder="1" applyAlignment="1" applyProtection="1">
      <alignment horizontal="center"/>
      <protection locked="0"/>
    </xf>
    <xf numFmtId="39" fontId="0" fillId="2" borderId="38" xfId="45" applyNumberFormat="1" applyFont="1" applyFill="1" applyBorder="1" applyAlignment="1" applyProtection="1">
      <alignment horizontal="center"/>
      <protection locked="0"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6" fillId="20" borderId="52" xfId="0" applyFont="1" applyFill="1" applyBorder="1" applyAlignment="1">
      <alignment/>
    </xf>
    <xf numFmtId="0" fontId="0" fillId="20" borderId="52" xfId="0" applyFill="1" applyBorder="1" applyAlignment="1">
      <alignment horizontal="center"/>
    </xf>
    <xf numFmtId="0" fontId="64" fillId="20" borderId="33" xfId="0" applyFont="1" applyFill="1" applyBorder="1" applyAlignment="1">
      <alignment/>
    </xf>
    <xf numFmtId="0" fontId="0" fillId="20" borderId="35" xfId="0" applyFill="1" applyBorder="1" applyAlignment="1">
      <alignment horizontal="center"/>
    </xf>
    <xf numFmtId="39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85" fontId="0" fillId="0" borderId="8" xfId="0" applyNumberFormat="1" applyBorder="1" applyAlignment="1">
      <alignment horizontal="center"/>
    </xf>
    <xf numFmtId="186" fontId="0" fillId="0" borderId="8" xfId="0" applyNumberFormat="1" applyBorder="1" applyAlignment="1">
      <alignment horizontal="center"/>
    </xf>
    <xf numFmtId="3" fontId="15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4" fontId="0" fillId="0" borderId="8" xfId="0" applyNumberFormat="1" applyBorder="1" applyAlignment="1">
      <alignment horizontal="center"/>
    </xf>
    <xf numFmtId="37" fontId="0" fillId="0" borderId="69" xfId="0" applyNumberFormat="1" applyFill="1" applyBorder="1" applyAlignment="1">
      <alignment horizontal="center"/>
    </xf>
    <xf numFmtId="10" fontId="0" fillId="2" borderId="20" xfId="45" applyNumberFormat="1" applyFont="1" applyFill="1" applyBorder="1" applyAlignment="1">
      <alignment horizontal="center"/>
    </xf>
    <xf numFmtId="10" fontId="0" fillId="2" borderId="20" xfId="62" applyNumberFormat="1" applyFont="1" applyFill="1" applyBorder="1" applyAlignment="1">
      <alignment horizontal="center"/>
    </xf>
    <xf numFmtId="182" fontId="0" fillId="0" borderId="56" xfId="6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182" fontId="0" fillId="0" borderId="76" xfId="62" applyNumberFormat="1" applyFont="1" applyFill="1" applyBorder="1" applyAlignment="1">
      <alignment horizontal="center" vertical="center"/>
    </xf>
    <xf numFmtId="182" fontId="4" fillId="37" borderId="50" xfId="62" applyNumberFormat="1" applyFont="1" applyFill="1" applyBorder="1" applyAlignment="1">
      <alignment horizontal="center" vertical="center"/>
    </xf>
    <xf numFmtId="37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185" fontId="0" fillId="0" borderId="9" xfId="0" applyNumberFormat="1" applyBorder="1" applyAlignment="1">
      <alignment horizontal="center"/>
    </xf>
    <xf numFmtId="0" fontId="70" fillId="20" borderId="0" xfId="0" applyFont="1" applyFill="1" applyAlignment="1">
      <alignment horizontal="center"/>
    </xf>
    <xf numFmtId="0" fontId="4" fillId="38" borderId="0" xfId="0" applyFont="1" applyFill="1" applyAlignment="1">
      <alignment/>
    </xf>
    <xf numFmtId="0" fontId="21" fillId="0" borderId="0" xfId="0" applyFont="1" applyFill="1" applyAlignment="1">
      <alignment/>
    </xf>
    <xf numFmtId="0" fontId="4" fillId="38" borderId="0" xfId="0" applyFont="1" applyFill="1" applyAlignment="1">
      <alignment/>
    </xf>
    <xf numFmtId="0" fontId="0" fillId="0" borderId="0" xfId="0" applyFill="1" applyAlignment="1">
      <alignment/>
    </xf>
    <xf numFmtId="0" fontId="65" fillId="20" borderId="20" xfId="0" applyFont="1" applyFill="1" applyBorder="1" applyAlignment="1">
      <alignment horizontal="center"/>
    </xf>
    <xf numFmtId="0" fontId="65" fillId="20" borderId="42" xfId="0" applyFont="1" applyFill="1" applyBorder="1" applyAlignment="1">
      <alignment horizontal="center"/>
    </xf>
    <xf numFmtId="0" fontId="65" fillId="20" borderId="2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174" fontId="0" fillId="2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74" fontId="63" fillId="20" borderId="33" xfId="0" applyNumberFormat="1" applyFont="1" applyFill="1" applyBorder="1" applyAlignment="1">
      <alignment horizontal="center" wrapText="1"/>
    </xf>
    <xf numFmtId="0" fontId="69" fillId="20" borderId="35" xfId="0" applyFont="1" applyFill="1" applyBorder="1" applyAlignment="1">
      <alignment/>
    </xf>
    <xf numFmtId="0" fontId="0" fillId="0" borderId="78" xfId="0" applyFill="1" applyBorder="1" applyAlignment="1">
      <alignment/>
    </xf>
    <xf numFmtId="174" fontId="0" fillId="2" borderId="21" xfId="0" applyNumberFormat="1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174" fontId="63" fillId="20" borderId="35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7" fillId="0" borderId="77" xfId="0" applyFont="1" applyBorder="1" applyAlignment="1">
      <alignment horizontal="center"/>
    </xf>
    <xf numFmtId="0" fontId="4" fillId="38" borderId="0" xfId="0" applyFont="1" applyFill="1" applyAlignment="1">
      <alignment horizontal="left"/>
    </xf>
    <xf numFmtId="0" fontId="24" fillId="38" borderId="0" xfId="0" applyFont="1" applyFill="1" applyAlignment="1">
      <alignment/>
    </xf>
    <xf numFmtId="0" fontId="6" fillId="0" borderId="7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7" fontId="4" fillId="35" borderId="20" xfId="0" applyNumberFormat="1" applyFont="1" applyFill="1" applyBorder="1" applyAlignment="1">
      <alignment horizontal="center" vertical="center" wrapText="1"/>
    </xf>
    <xf numFmtId="37" fontId="7" fillId="0" borderId="0" xfId="0" applyNumberFormat="1" applyFont="1" applyFill="1" applyAlignment="1">
      <alignment horizontal="center" vertical="center" wrapText="1"/>
    </xf>
    <xf numFmtId="37" fontId="4" fillId="35" borderId="2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7" fillId="20" borderId="20" xfId="0" applyFont="1" applyFill="1" applyBorder="1" applyAlignment="1">
      <alignment horizontal="center" wrapText="1"/>
    </xf>
    <xf numFmtId="0" fontId="67" fillId="20" borderId="42" xfId="0" applyFont="1" applyFill="1" applyBorder="1" applyAlignment="1">
      <alignment horizontal="center" wrapText="1"/>
    </xf>
    <xf numFmtId="0" fontId="67" fillId="20" borderId="57" xfId="0" applyFont="1" applyFill="1" applyBorder="1" applyAlignment="1">
      <alignment horizontal="center" wrapText="1"/>
    </xf>
    <xf numFmtId="0" fontId="67" fillId="20" borderId="2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6" fillId="0" borderId="77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70" fillId="20" borderId="67" xfId="0" applyFont="1" applyFill="1" applyBorder="1" applyAlignment="1">
      <alignment horizontal="center"/>
    </xf>
    <xf numFmtId="0" fontId="70" fillId="20" borderId="64" xfId="0" applyFont="1" applyFill="1" applyBorder="1" applyAlignment="1">
      <alignment horizontal="center"/>
    </xf>
    <xf numFmtId="0" fontId="70" fillId="20" borderId="79" xfId="0" applyFont="1" applyFill="1" applyBorder="1" applyAlignment="1">
      <alignment horizontal="center"/>
    </xf>
    <xf numFmtId="174" fontId="68" fillId="20" borderId="37" xfId="0" applyNumberFormat="1" applyFont="1" applyFill="1" applyBorder="1" applyAlignment="1">
      <alignment horizontal="center" vertical="center" wrapText="1"/>
    </xf>
    <xf numFmtId="174" fontId="68" fillId="20" borderId="80" xfId="0" applyNumberFormat="1" applyFont="1" applyFill="1" applyBorder="1" applyAlignment="1">
      <alignment horizontal="center" vertical="center" wrapText="1"/>
    </xf>
    <xf numFmtId="0" fontId="68" fillId="20" borderId="37" xfId="0" applyFont="1" applyFill="1" applyBorder="1" applyAlignment="1">
      <alignment horizontal="center" vertical="center" wrapText="1"/>
    </xf>
    <xf numFmtId="0" fontId="68" fillId="20" borderId="80" xfId="0" applyFont="1" applyFill="1" applyBorder="1" applyAlignment="1">
      <alignment horizontal="center" vertical="center" wrapText="1"/>
    </xf>
    <xf numFmtId="170" fontId="68" fillId="20" borderId="37" xfId="0" applyNumberFormat="1" applyFont="1" applyFill="1" applyBorder="1" applyAlignment="1">
      <alignment horizontal="center" vertical="center" wrapText="1"/>
    </xf>
    <xf numFmtId="170" fontId="68" fillId="20" borderId="81" xfId="0" applyNumberFormat="1" applyFont="1" applyFill="1" applyBorder="1" applyAlignment="1">
      <alignment horizontal="center" vertical="center" wrapText="1"/>
    </xf>
    <xf numFmtId="0" fontId="70" fillId="20" borderId="10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2" fillId="0" borderId="82" xfId="0" applyFont="1" applyFill="1" applyBorder="1" applyAlignment="1">
      <alignment horizontal="left"/>
    </xf>
    <xf numFmtId="0" fontId="2" fillId="39" borderId="0" xfId="0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0" fontId="4" fillId="0" borderId="83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7" fillId="35" borderId="33" xfId="0" applyFont="1" applyFill="1" applyBorder="1" applyAlignment="1">
      <alignment horizontal="center" vertical="center"/>
    </xf>
    <xf numFmtId="0" fontId="7" fillId="35" borderId="52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2" fillId="39" borderId="82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6" fillId="0" borderId="5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/>
    </xf>
    <xf numFmtId="0" fontId="2" fillId="39" borderId="8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37" fontId="3" fillId="0" borderId="32" xfId="0" applyNumberFormat="1" applyFont="1" applyFill="1" applyBorder="1" applyAlignment="1">
      <alignment horizontal="left" wrapText="1"/>
    </xf>
    <xf numFmtId="0" fontId="3" fillId="0" borderId="82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68" fillId="20" borderId="22" xfId="0" applyFont="1" applyFill="1" applyBorder="1" applyAlignment="1">
      <alignment horizontal="center" vertical="center" wrapText="1"/>
    </xf>
    <xf numFmtId="0" fontId="68" fillId="20" borderId="11" xfId="0" applyFont="1" applyFill="1" applyBorder="1" applyAlignment="1">
      <alignment horizontal="center" vertical="center" wrapText="1"/>
    </xf>
    <xf numFmtId="0" fontId="68" fillId="20" borderId="66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66" xfId="0" applyFont="1" applyBorder="1" applyAlignment="1">
      <alignment/>
    </xf>
    <xf numFmtId="0" fontId="0" fillId="0" borderId="0" xfId="0" applyFont="1" applyFill="1" applyAlignment="1">
      <alignment/>
    </xf>
    <xf numFmtId="168" fontId="0" fillId="39" borderId="0" xfId="0" applyNumberFormat="1" applyFill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37" fontId="0" fillId="0" borderId="0" xfId="0" applyNumberFormat="1" applyFill="1" applyAlignment="1">
      <alignment/>
    </xf>
    <xf numFmtId="0" fontId="64" fillId="20" borderId="32" xfId="0" applyFont="1" applyFill="1" applyBorder="1" applyAlignment="1">
      <alignment horizontal="center"/>
    </xf>
    <xf numFmtId="0" fontId="64" fillId="20" borderId="82" xfId="0" applyFont="1" applyFill="1" applyBorder="1" applyAlignment="1">
      <alignment horizontal="center"/>
    </xf>
    <xf numFmtId="0" fontId="64" fillId="20" borderId="29" xfId="0" applyFont="1" applyFill="1" applyBorder="1" applyAlignment="1">
      <alignment horizontal="center"/>
    </xf>
    <xf numFmtId="0" fontId="64" fillId="20" borderId="31" xfId="0" applyFont="1" applyFill="1" applyBorder="1" applyAlignment="1">
      <alignment horizontal="center"/>
    </xf>
    <xf numFmtId="0" fontId="64" fillId="20" borderId="0" xfId="0" applyFont="1" applyFill="1" applyBorder="1" applyAlignment="1">
      <alignment horizontal="center"/>
    </xf>
    <xf numFmtId="0" fontId="64" fillId="20" borderId="8" xfId="0" applyFont="1" applyFill="1" applyBorder="1" applyAlignment="1">
      <alignment horizontal="center"/>
    </xf>
    <xf numFmtId="15" fontId="64" fillId="20" borderId="30" xfId="0" applyNumberFormat="1" applyFont="1" applyFill="1" applyBorder="1" applyAlignment="1" quotePrefix="1">
      <alignment horizontal="center"/>
    </xf>
    <xf numFmtId="15" fontId="64" fillId="20" borderId="10" xfId="0" applyNumberFormat="1" applyFont="1" applyFill="1" applyBorder="1" applyAlignment="1">
      <alignment horizontal="center"/>
    </xf>
    <xf numFmtId="15" fontId="64" fillId="20" borderId="9" xfId="0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_Final - 2004 RAM for rate schedule - milton" xfId="47"/>
    <cellStyle name="Currency0" xfId="48"/>
    <cellStyle name="Date" xfId="49"/>
    <cellStyle name="Explanatory Text" xfId="50"/>
    <cellStyle name="Fixed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easury\LoriJanice\Hydro\2010%20Rate%20Filing\Files%20from%20Bruce\2011%20Rate%20Application%20Files\Revenue%20Requirement%20Model%20-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Treasury\LoriJanice\Hydro\2010%20Rate%20Filing\Files%20from%20Bruce\2011%20Rate%20Application%20Files\Load%20Data\Kenora%202011%20Load%20Forecast%20Model%20April%2026%202010%20-%20B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reasury\LoriJanice\Hydro\2010%20Rate%20Filing\Files%20from%20Bruce\2011%20Rate%20Application%20Files\Load%20Data\Kenora%202011%20Load%20Forecast%20Model%20April%2026%202010%20-%20B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reasury\LoriJanice\Hydro\2010%20Rate%20Filing\Files%20from%20Bruce\2011%20Rate%20Application%20Files\Cost%20Allocation\2010%20%20Kenora%20CA_MODEL_RUN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reasury\LoriJanice\Hydro\2010%20Rate%20Filing\Files%20from%20Bruce\2011%20Rate%20Application%20Files\LRAM%20SSM%20Model\LRAM%20SSM%20Model_Kenor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reasury\LoriJanice\Hydro\2010%20Rate%20Filing\Files%20from%20Bruce\2011%20Rate%20Application%20Files\Deferral%20Accounts\Deferral%20and%20Variance%20Account%20Riders%20-%20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reasury\LoriJanice\Hydro\2010%20Rate%20Filing\Files%20from%20Bruce\2011%20Rate%20Application%20Files\Deferral%20Accounts\Smart%20Meter%20Incremental%20Capital%20Calculatio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reasury\LoriJanice\Hydro\2010%20Rate%20Filing\Files%20from%20Bruce\2011%20Rate%20Application%20Files\Deferral%20Accounts\Copy%20of%202011%20RTSR%20Adjustment%20Workform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reasury\LoriJanice\Hydro\2010%20Rate%20Filing\Files%20from%20Bruce\2011%20Rate%20Application%20Files\Deferral%20Accounts\Smart%20Meter%20Rate%20Adder%20Calculation%20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FA Continuity 2006"/>
      <sheetName val="FA Continuity 2007"/>
      <sheetName val="FA Continuity 2008"/>
      <sheetName val="FA Continuity 2009"/>
      <sheetName val="FA Continuity 2010"/>
      <sheetName val="FA Continuity 2011"/>
      <sheetName val="Trial Balance"/>
      <sheetName val="2006 Balance Sheet"/>
      <sheetName val="2006 Income Statement"/>
      <sheetName val="2007 Balance Sheet"/>
      <sheetName val="2007 Income Statement"/>
      <sheetName val="2008 Balance Sheet"/>
      <sheetName val="2008 Income Statement"/>
      <sheetName val="2009 Balance Sheet"/>
      <sheetName val="2009 Income Statement"/>
      <sheetName val="2010 Balance Sheet"/>
      <sheetName val="2010 Income Statement"/>
      <sheetName val="2011 Balance Sheet"/>
      <sheetName val="2011 Income Statement"/>
      <sheetName val="Return on Capital"/>
      <sheetName val="Debt &amp; Capital Structure"/>
      <sheetName val="Capitalization and Cost of Cap"/>
      <sheetName val="Tax rates"/>
      <sheetName val="CCA Continuity 2010"/>
      <sheetName val="CCA Continuity 2011"/>
      <sheetName val="Reserves Continuity"/>
      <sheetName val="Tax Adjustments 2010"/>
      <sheetName val="Corporation Loss Continuity"/>
      <sheetName val="Tax Adjustments 2011"/>
      <sheetName val="2011 Rev Deficiency"/>
      <sheetName val="Capital Tax &amp; Expense Schedules"/>
      <sheetName val="Revenue Requirement"/>
      <sheetName val="Base Revenue Requirement"/>
    </sheetNames>
    <sheetDataSet>
      <sheetData sheetId="30">
        <row r="67">
          <cell r="C67">
            <v>909069.9646807397</v>
          </cell>
        </row>
      </sheetData>
      <sheetData sheetId="32">
        <row r="1">
          <cell r="A1">
            <v>0</v>
          </cell>
        </row>
        <row r="2">
          <cell r="A2" t="str">
            <v>, License Number , File Number </v>
          </cell>
        </row>
        <row r="53">
          <cell r="D53">
            <v>3208191.298576361</v>
          </cell>
        </row>
        <row r="54">
          <cell r="D54">
            <v>357246.326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Purchased Power Model - Cust"/>
      <sheetName val="Purchased Power Model -Pop "/>
      <sheetName val="Residential"/>
      <sheetName val="Rate Class Energy Model"/>
      <sheetName val="Rate Class Customer Model"/>
      <sheetName val="Rate Class Load Model"/>
    </sheetNames>
    <sheetDataSet>
      <sheetData sheetId="0">
        <row r="13">
          <cell r="J13">
            <v>4673.719338221552</v>
          </cell>
        </row>
        <row r="17">
          <cell r="J17">
            <v>703.0358111314804</v>
          </cell>
        </row>
        <row r="21">
          <cell r="J21">
            <v>74.60820907868447</v>
          </cell>
        </row>
        <row r="31">
          <cell r="J31">
            <v>29.89749232819475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Purchased Power Model - Cust"/>
      <sheetName val="Purchased Power Model -Pop "/>
      <sheetName val="Residential"/>
      <sheetName val="Rate Class Energy Model"/>
      <sheetName val="Rate Class Customer Model"/>
      <sheetName val="Rate Class Load Model"/>
    </sheetNames>
    <sheetDataSet>
      <sheetData sheetId="0">
        <row r="14">
          <cell r="J14">
            <v>38188928.15902468</v>
          </cell>
        </row>
        <row r="18">
          <cell r="J18">
            <v>22359418.212458227</v>
          </cell>
        </row>
        <row r="22">
          <cell r="J22">
            <v>45342065.67161414</v>
          </cell>
        </row>
        <row r="23">
          <cell r="J23">
            <v>116530.31169835008</v>
          </cell>
        </row>
        <row r="26">
          <cell r="J26">
            <v>550</v>
          </cell>
        </row>
        <row r="27">
          <cell r="J27">
            <v>1807975.0364859295</v>
          </cell>
        </row>
        <row r="28">
          <cell r="J28">
            <v>5736.97361884233</v>
          </cell>
        </row>
        <row r="32">
          <cell r="J32">
            <v>144681.32071822416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1 Intro"/>
      <sheetName val="I2 LDC class"/>
      <sheetName val="I3 TB Data"/>
      <sheetName val="I4 BO ASSETS"/>
      <sheetName val="I5 Misc Data"/>
      <sheetName val="I6 Customer Data"/>
      <sheetName val="I7.1 Meter Capital"/>
      <sheetName val="I7.2 Meter Reading"/>
      <sheetName val="I8 Demand Data"/>
      <sheetName val="I9 Direct Allocation"/>
      <sheetName val="O1 Revenue to cost|RR"/>
      <sheetName val="O2 Fixed Charge|Floor|Ceiling"/>
      <sheetName val="O2.1 Line Tran PLCC Adj"/>
      <sheetName val="O2.2 Primary Cost PLCC Adj"/>
      <sheetName val="O2.3 Secondary Cost PLCC Adj"/>
      <sheetName val="O3.1 Line Tran Unit Cost"/>
      <sheetName val="O3.2 Substat Tran Unit Cost "/>
      <sheetName val="O3.3 Primary Cost Pool"/>
      <sheetName val="O3.4 Secondary Cost Pool"/>
      <sheetName val="O3.5 USL Metering Credit"/>
      <sheetName val="O4 Summary by Class &amp; Accounts"/>
      <sheetName val="O5 Details by Class &amp; Accounts"/>
      <sheetName val="O6 Source Data for E2"/>
      <sheetName val="O7 Amortization"/>
      <sheetName val="E1 Categorization"/>
      <sheetName val="E2 Allocators"/>
      <sheetName val="E3 PLCC"/>
      <sheetName val="E4 TB Allocation Details"/>
      <sheetName val="E5 Reconciliation"/>
      <sheetName val="Click here if completed"/>
    </sheetNames>
    <sheetDataSet>
      <sheetData sheetId="10">
        <row r="19">
          <cell r="D19">
            <v>218819.08535460132</v>
          </cell>
          <cell r="E19">
            <v>73283.55842471418</v>
          </cell>
          <cell r="F19">
            <v>59440.424922008795</v>
          </cell>
          <cell r="J19">
            <v>5178.757462683183</v>
          </cell>
          <cell r="L19">
            <v>524.4998359925714</v>
          </cell>
        </row>
        <row r="35">
          <cell r="D35">
            <v>1875272.0458529918</v>
          </cell>
          <cell r="E35">
            <v>683802.478411069</v>
          </cell>
          <cell r="F35">
            <v>567692.7789420534</v>
          </cell>
          <cell r="J35">
            <v>76164.32294204617</v>
          </cell>
          <cell r="L35">
            <v>5259.672428200743</v>
          </cell>
        </row>
        <row r="70">
          <cell r="D70">
            <v>1.0067558684829556</v>
          </cell>
          <cell r="E70">
            <v>0.7659730776582362</v>
          </cell>
          <cell r="F70">
            <v>1.2844045656724232</v>
          </cell>
          <cell r="J70">
            <v>0.7757682696750839</v>
          </cell>
          <cell r="L70">
            <v>1.5671718026787609</v>
          </cell>
        </row>
      </sheetData>
      <sheetData sheetId="11">
        <row r="17">
          <cell r="D17">
            <v>18.687732057363018</v>
          </cell>
          <cell r="E17">
            <v>30.854418321575167</v>
          </cell>
          <cell r="F17">
            <v>81.69489545946763</v>
          </cell>
          <cell r="J17">
            <v>6.399092305198778</v>
          </cell>
          <cell r="L17">
            <v>9.708688041070896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LRAM"/>
      <sheetName val="SSM"/>
      <sheetName val="Sheet1"/>
    </sheetNames>
    <sheetDataSet>
      <sheetData sheetId="0">
        <row r="19">
          <cell r="C19">
            <v>4107.464666666667</v>
          </cell>
          <cell r="D19">
            <v>841.6500000000001</v>
          </cell>
          <cell r="F19">
            <v>12682.995333333334</v>
          </cell>
          <cell r="G19">
            <v>280.55</v>
          </cell>
          <cell r="I19">
            <v>2505.931333333333</v>
          </cell>
          <cell r="J19">
            <v>-1496.05</v>
          </cell>
        </row>
        <row r="30">
          <cell r="G30">
            <v>-332.35</v>
          </cell>
          <cell r="I30">
            <v>271.136</v>
          </cell>
          <cell r="J30">
            <v>1687.3500000000001</v>
          </cell>
        </row>
        <row r="38">
          <cell r="C38">
            <v>672.0784333333334</v>
          </cell>
          <cell r="D38">
            <v>1281</v>
          </cell>
          <cell r="F38">
            <v>72.77199999999999</v>
          </cell>
          <cell r="G38">
            <v>-460</v>
          </cell>
          <cell r="I38">
            <v>256.823</v>
          </cell>
          <cell r="J38">
            <v>-1401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te Riders Calculation"/>
      <sheetName val="Dec. 31, 2009 DAVAs"/>
      <sheetName val="Rate Impact"/>
      <sheetName val="Late Payment"/>
    </sheetNames>
    <sheetDataSet>
      <sheetData sheetId="0">
        <row r="45">
          <cell r="E45">
            <v>-0.0015721359195805511</v>
          </cell>
          <cell r="F45">
            <v>-0.0015721359195805518</v>
          </cell>
          <cell r="G45">
            <v>-0.6117197240049442</v>
          </cell>
          <cell r="K45">
            <v>-0.001572369612514053</v>
          </cell>
          <cell r="M45">
            <v>-0.4954498112435202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covery of Smart Meter Costs"/>
      <sheetName val="Revenue Requirement"/>
      <sheetName val="PILs"/>
      <sheetName val="Avg Nt Fix Ass &amp;UCC"/>
      <sheetName val="Table 1"/>
      <sheetName val="Table 2"/>
    </sheetNames>
    <sheetDataSet>
      <sheetData sheetId="0">
        <row r="21">
          <cell r="C21">
            <v>2.0941673818332727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1.1 LDC Information"/>
      <sheetName val="A2.1 Table of Contents"/>
      <sheetName val="B1.1 Rate Class And RTSR Rates"/>
      <sheetName val="B1.2 Dist Billing Determinants"/>
      <sheetName val="B1.3 UTR's and Sub-Transmission"/>
      <sheetName val="C1.1 Historical Wholesale"/>
      <sheetName val="C1.2 Current Wholesale"/>
      <sheetName val="C1.3 Forecast Wholesale"/>
      <sheetName val="D1.1 Adj Network to Curr Whsl"/>
      <sheetName val="D1.2 Adj Conn to Curr Whsl"/>
      <sheetName val="E1.1 Adj Network to Fcst Whsl"/>
      <sheetName val="E1.2 Adj Conn to Fcst Whsl"/>
      <sheetName val="F1.1 IRM RTSR Adj - Network"/>
      <sheetName val="F1.2 IRM RTSR Adj - Connection"/>
      <sheetName val="Z1.0 OEB Control Sheet"/>
    </sheetNames>
    <sheetDataSet>
      <sheetData sheetId="10">
        <row r="22">
          <cell r="S22">
            <v>0.005434595669057585</v>
          </cell>
        </row>
        <row r="23">
          <cell r="S23">
            <v>0.004789813132050752</v>
          </cell>
        </row>
        <row r="24">
          <cell r="S24">
            <v>1.9975362996471657</v>
          </cell>
        </row>
        <row r="25">
          <cell r="S25">
            <v>0.004789813132050752</v>
          </cell>
        </row>
        <row r="26">
          <cell r="S26">
            <v>1.5064883418209625</v>
          </cell>
        </row>
      </sheetData>
      <sheetData sheetId="11">
        <row r="22">
          <cell r="S22">
            <v>0.001483064200824759</v>
          </cell>
        </row>
        <row r="23">
          <cell r="S23">
            <v>0.001297681175721664</v>
          </cell>
        </row>
        <row r="24">
          <cell r="S24">
            <v>0.5021099234917324</v>
          </cell>
        </row>
        <row r="25">
          <cell r="S25">
            <v>0.0012976811757216642</v>
          </cell>
        </row>
        <row r="26">
          <cell r="S26">
            <v>0.3880993630533292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 LDC Information"/>
      <sheetName val="2. Smart Meter Data"/>
      <sheetName val="3.  LDC Assumptions and Data"/>
      <sheetName val="4. Smart Meter Rev Req"/>
      <sheetName val="5. PILs"/>
      <sheetName val="6. Avg Nt Fix Ass &amp;UCC"/>
      <sheetName val="7. Funding Adder Collected"/>
      <sheetName val="8. Smart Meter Rate  Adder"/>
    </sheetNames>
    <sheetDataSet>
      <sheetData sheetId="7">
        <row r="20">
          <cell r="C20">
            <v>0.0898917624704141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="75" zoomScaleNormal="75" zoomScalePageLayoutView="0" workbookViewId="0" topLeftCell="A1">
      <selection activeCell="G18" sqref="G18"/>
    </sheetView>
  </sheetViews>
  <sheetFormatPr defaultColWidth="9.140625" defaultRowHeight="12.75"/>
  <cols>
    <col min="1" max="1" width="80.7109375" style="0" bestFit="1" customWidth="1"/>
    <col min="2" max="2" width="25.57421875" style="0" customWidth="1"/>
    <col min="4" max="10" width="9.421875" style="0" customWidth="1"/>
  </cols>
  <sheetData>
    <row r="1" spans="1:2" ht="12.75">
      <c r="A1" s="476">
        <f>'[1]Revenue Requirement'!$A$1:$G$1</f>
        <v>0</v>
      </c>
      <c r="B1" s="476"/>
    </row>
    <row r="2" spans="1:2" ht="12.75">
      <c r="A2" s="476" t="str">
        <f>'[1]Revenue Requirement'!$A$2:$G$2</f>
        <v>, License Number , File Number </v>
      </c>
      <c r="B2" s="476"/>
    </row>
    <row r="3" spans="1:2" ht="12.75">
      <c r="A3" s="476"/>
      <c r="B3" s="476"/>
    </row>
    <row r="4" spans="1:2" ht="12.75">
      <c r="A4" s="477"/>
      <c r="B4" s="477"/>
    </row>
    <row r="5" spans="1:2" ht="30.75" customHeight="1">
      <c r="A5" s="475" t="s">
        <v>39</v>
      </c>
      <c r="B5" s="475"/>
    </row>
    <row r="6" ht="7.5" customHeight="1">
      <c r="A6" s="6"/>
    </row>
    <row r="7" spans="1:12" ht="18">
      <c r="A7" s="6"/>
      <c r="D7" s="56"/>
      <c r="E7" s="8"/>
      <c r="F7" s="8"/>
      <c r="G7" s="8"/>
      <c r="H7" s="8"/>
      <c r="I7" s="8"/>
      <c r="J7" s="8"/>
      <c r="K7" s="8"/>
      <c r="L7" s="8"/>
    </row>
    <row r="8" spans="1:12" ht="15.75">
      <c r="A8" s="5" t="s">
        <v>38</v>
      </c>
      <c r="B8" s="400">
        <f>'[1]Revenue Requirement'!$D$53</f>
        <v>3208191.298576361</v>
      </c>
      <c r="E8" s="8"/>
      <c r="F8" s="8"/>
      <c r="G8" s="8"/>
      <c r="H8" s="8"/>
      <c r="I8" s="8"/>
      <c r="J8" s="8"/>
      <c r="K8" s="8"/>
      <c r="L8" s="8"/>
    </row>
    <row r="9" spans="1:12" ht="15.75">
      <c r="A9" s="5" t="s">
        <v>42</v>
      </c>
      <c r="B9" s="400">
        <f>'[1]Revenue Requirement'!$D$54</f>
        <v>357246.326</v>
      </c>
      <c r="E9" s="8"/>
      <c r="F9" s="8"/>
      <c r="G9" s="8"/>
      <c r="H9" s="8"/>
      <c r="I9" s="8"/>
      <c r="J9" s="8"/>
      <c r="K9" s="8"/>
      <c r="L9" s="8"/>
    </row>
    <row r="10" spans="1:12" ht="15.75">
      <c r="A10" s="5" t="s">
        <v>185</v>
      </c>
      <c r="B10" s="47">
        <f>+B8-B9</f>
        <v>2850944.972576361</v>
      </c>
      <c r="E10" s="8"/>
      <c r="F10" s="8"/>
      <c r="G10" s="8"/>
      <c r="H10" s="8"/>
      <c r="I10" s="8"/>
      <c r="J10" s="8"/>
      <c r="K10" s="8"/>
      <c r="L10" s="8"/>
    </row>
    <row r="11" spans="5:12" ht="12.75">
      <c r="E11" s="8"/>
      <c r="F11" s="8"/>
      <c r="G11" s="8"/>
      <c r="H11" s="8"/>
      <c r="I11" s="8"/>
      <c r="J11" s="8"/>
      <c r="K11" s="8"/>
      <c r="L11" s="8"/>
    </row>
    <row r="12" spans="1:12" ht="15.75">
      <c r="A12" s="5" t="s">
        <v>184</v>
      </c>
      <c r="B12" s="400">
        <f>'[1]Trial Balance'!$J$152</f>
        <v>0</v>
      </c>
      <c r="E12" s="8"/>
      <c r="F12" s="8"/>
      <c r="G12" s="8"/>
      <c r="H12" s="8"/>
      <c r="I12" s="8"/>
      <c r="J12" s="8"/>
      <c r="K12" s="8"/>
      <c r="L12" s="8"/>
    </row>
    <row r="13" spans="1:2" ht="15.75">
      <c r="A13" s="5" t="s">
        <v>43</v>
      </c>
      <c r="B13" s="7">
        <f>'Transformer Allowance'!C15</f>
        <v>21295.2</v>
      </c>
    </row>
    <row r="14" spans="1:2" ht="16.5" thickBot="1">
      <c r="A14" s="5" t="s">
        <v>44</v>
      </c>
      <c r="B14" s="48">
        <f>+B10+B12+B13</f>
        <v>2872240.1725763613</v>
      </c>
    </row>
    <row r="15" ht="13.5" thickTop="1"/>
    <row r="16" spans="1:4" s="16" customFormat="1" ht="15.75">
      <c r="A16" s="20"/>
      <c r="D16"/>
    </row>
    <row r="17" spans="2:4" s="16" customFormat="1" ht="15.75">
      <c r="B17" s="21"/>
      <c r="D17"/>
    </row>
    <row r="18" spans="1:2" s="16" customFormat="1" ht="15.75">
      <c r="A18" s="20"/>
      <c r="B18" s="21"/>
    </row>
    <row r="19" spans="1:2" s="16" customFormat="1" ht="15.75">
      <c r="A19" s="326" t="s">
        <v>249</v>
      </c>
      <c r="B19" s="21"/>
    </row>
    <row r="20" spans="1:2" ht="15.75">
      <c r="A20" s="5"/>
      <c r="B20" s="7"/>
    </row>
    <row r="22" spans="1:2" ht="15.75">
      <c r="A22" s="5"/>
      <c r="B22" s="7"/>
    </row>
    <row r="23" spans="1:2" ht="15.75">
      <c r="A23" s="5"/>
      <c r="B23" s="7"/>
    </row>
    <row r="24" spans="1:2" ht="15.75">
      <c r="A24" s="5"/>
      <c r="B24" s="7"/>
    </row>
    <row r="25" ht="12.75">
      <c r="B25" s="8"/>
    </row>
  </sheetData>
  <sheetProtection/>
  <mergeCells count="5">
    <mergeCell ref="A5:B5"/>
    <mergeCell ref="A1:B1"/>
    <mergeCell ref="A2:B2"/>
    <mergeCell ref="A3:B3"/>
    <mergeCell ref="A4:B4"/>
  </mergeCells>
  <printOptions/>
  <pageMargins left="0.75" right="0.75" top="1" bottom="1" header="0.5" footer="0.5"/>
  <pageSetup fitToHeight="1" fitToWidth="1" horizontalDpi="355" verticalDpi="355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27.7109375" style="0" customWidth="1"/>
    <col min="2" max="2" width="12.421875" style="0" customWidth="1"/>
    <col min="3" max="3" width="11.57421875" style="0" bestFit="1" customWidth="1"/>
    <col min="4" max="4" width="15.140625" style="0" customWidth="1"/>
    <col min="5" max="5" width="8.28125" style="0" customWidth="1"/>
    <col min="6" max="6" width="11.7109375" style="0" customWidth="1"/>
    <col min="7" max="7" width="13.57421875" style="0" customWidth="1"/>
    <col min="8" max="8" width="12.421875" style="0" customWidth="1"/>
    <col min="9" max="9" width="13.7109375" style="0" customWidth="1"/>
    <col min="10" max="10" width="13.00390625" style="0" customWidth="1"/>
    <col min="11" max="11" width="15.00390625" style="0" customWidth="1"/>
    <col min="12" max="12" width="13.00390625" style="0" customWidth="1"/>
    <col min="13" max="13" width="2.28125" style="0" customWidth="1"/>
    <col min="14" max="14" width="22.28125" style="0" customWidth="1"/>
  </cols>
  <sheetData>
    <row r="1" spans="1:12" ht="12.75">
      <c r="A1" s="501">
        <f>+'Revenue Input'!A1</f>
        <v>0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</row>
    <row r="2" spans="1:12" ht="12.75">
      <c r="A2" s="501" t="str">
        <f>+'Revenue Input'!A2</f>
        <v>, License Number , File Number 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</row>
    <row r="3" spans="1:12" ht="12.75">
      <c r="A3" s="501">
        <f>+'Revenue Input'!A3</f>
        <v>0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</row>
    <row r="4" spans="1:12" ht="13.5" thickBot="1">
      <c r="A4" s="479"/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</row>
    <row r="5" spans="1:15" ht="21" thickBot="1">
      <c r="A5" s="509" t="s">
        <v>229</v>
      </c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509"/>
      <c r="N5" s="56" t="s">
        <v>166</v>
      </c>
      <c r="O5" s="122" t="str">
        <f>'Distribution Rate Schedule'!H5</f>
        <v>y</v>
      </c>
    </row>
    <row r="6" spans="1:12" ht="25.5">
      <c r="A6" s="511" t="s">
        <v>153</v>
      </c>
      <c r="B6" s="510" t="s">
        <v>206</v>
      </c>
      <c r="C6" s="510"/>
      <c r="D6" s="401" t="s">
        <v>230</v>
      </c>
      <c r="E6" s="401"/>
      <c r="F6" s="510" t="s">
        <v>154</v>
      </c>
      <c r="G6" s="510"/>
      <c r="H6" s="510"/>
      <c r="I6" s="401" t="s">
        <v>155</v>
      </c>
      <c r="J6" s="401" t="s">
        <v>156</v>
      </c>
      <c r="K6" s="401" t="s">
        <v>163</v>
      </c>
      <c r="L6" s="401" t="s">
        <v>164</v>
      </c>
    </row>
    <row r="7" spans="1:12" ht="12.75">
      <c r="A7" s="512"/>
      <c r="B7" s="401" t="s">
        <v>157</v>
      </c>
      <c r="C7" s="401" t="s">
        <v>158</v>
      </c>
      <c r="D7" s="401"/>
      <c r="E7" s="401"/>
      <c r="F7" s="401" t="s">
        <v>157</v>
      </c>
      <c r="G7" s="401" t="s">
        <v>158</v>
      </c>
      <c r="H7" s="401" t="s">
        <v>40</v>
      </c>
      <c r="I7" s="401" t="s">
        <v>40</v>
      </c>
      <c r="J7" s="401" t="s">
        <v>40</v>
      </c>
      <c r="K7" s="401" t="s">
        <v>165</v>
      </c>
      <c r="L7" s="401" t="s">
        <v>40</v>
      </c>
    </row>
    <row r="8" spans="1:12" ht="24.75" customHeight="1">
      <c r="A8" s="513"/>
      <c r="B8" s="402" t="s">
        <v>159</v>
      </c>
      <c r="C8" s="402" t="s">
        <v>159</v>
      </c>
      <c r="D8" s="402"/>
      <c r="E8" s="402" t="s">
        <v>181</v>
      </c>
      <c r="F8" s="401" t="s">
        <v>160</v>
      </c>
      <c r="G8" s="401" t="s">
        <v>160</v>
      </c>
      <c r="H8" s="403" t="s">
        <v>160</v>
      </c>
      <c r="I8" s="403" t="s">
        <v>160</v>
      </c>
      <c r="J8" s="403" t="s">
        <v>160</v>
      </c>
      <c r="K8" s="404">
        <v>3</v>
      </c>
      <c r="L8" s="403" t="s">
        <v>160</v>
      </c>
    </row>
    <row r="9" spans="1:12" ht="19.5" customHeight="1">
      <c r="A9" s="234" t="str">
        <f>'Distribution Rate Schedule'!A11</f>
        <v>Residential</v>
      </c>
      <c r="B9" s="395">
        <f>3*'[5]Summary'!$C$19+2*'[5]Summary'!$F$19+'[5]Summary'!$I$19</f>
        <v>40194.316</v>
      </c>
      <c r="C9" s="395">
        <f>'[5]Summary'!$D$19+'[5]Summary'!$G$19+'[5]Summary'!$J$19</f>
        <v>-373.8499999999999</v>
      </c>
      <c r="D9" s="396">
        <f>'Low Voltage Rates'!C8</f>
        <v>38188928.15902468</v>
      </c>
      <c r="E9" s="397" t="str">
        <f>'Low Voltage Rates'!E8</f>
        <v>kWh</v>
      </c>
      <c r="F9" s="398">
        <f>B9/D9</f>
        <v>0.0010525122839956276</v>
      </c>
      <c r="G9" s="398">
        <f>C9/D9</f>
        <v>-9.789486587401196E-06</v>
      </c>
      <c r="H9" s="398">
        <v>0</v>
      </c>
      <c r="I9" s="398">
        <f>H9/2</f>
        <v>0</v>
      </c>
      <c r="J9" s="398">
        <f>H9/3</f>
        <v>0</v>
      </c>
      <c r="K9" s="221">
        <v>3</v>
      </c>
      <c r="L9" s="232">
        <v>0</v>
      </c>
    </row>
    <row r="10" spans="1:15" ht="19.5" customHeight="1">
      <c r="A10" s="234" t="str">
        <f>'Distribution Rate Schedule'!A12</f>
        <v>GS &lt; 50 kW</v>
      </c>
      <c r="B10" s="395">
        <f>'[5]Summary'!$I$30</f>
        <v>271.136</v>
      </c>
      <c r="C10" s="395">
        <f>+'[5]Summary'!$J$30+'[5]Summary'!$G$30</f>
        <v>1355</v>
      </c>
      <c r="D10" s="396">
        <f>'Low Voltage Rates'!C9</f>
        <v>22359418.212458227</v>
      </c>
      <c r="E10" s="397" t="str">
        <f>'Low Voltage Rates'!E9</f>
        <v>kWh</v>
      </c>
      <c r="F10" s="398">
        <f aca="true" t="shared" si="0" ref="F10:F15">B10/D10</f>
        <v>1.2126254691588012E-05</v>
      </c>
      <c r="G10" s="398">
        <f aca="true" t="shared" si="1" ref="G10:G15">C10/D10</f>
        <v>6.06008612176242E-05</v>
      </c>
      <c r="H10" s="398">
        <v>0</v>
      </c>
      <c r="I10" s="398">
        <f aca="true" t="shared" si="2" ref="I10:I15">H10/2</f>
        <v>0</v>
      </c>
      <c r="J10" s="398">
        <f aca="true" t="shared" si="3" ref="J10:J15">H10/3</f>
        <v>0</v>
      </c>
      <c r="K10" s="221">
        <v>3</v>
      </c>
      <c r="L10" s="232">
        <f aca="true" t="shared" si="4" ref="L10:L15">IF($O$5="Y",ROUND(IF($K$8=2,I10,IF($K$8=3,J10,0)),4),IF($K$8=2,I10,IF($K$8=3,J10,0)))</f>
        <v>0</v>
      </c>
      <c r="M10" s="56"/>
      <c r="N10" s="8"/>
      <c r="O10" s="8"/>
    </row>
    <row r="11" spans="1:12" ht="19.5" customHeight="1">
      <c r="A11" s="234" t="str">
        <f>'Distribution Rate Schedule'!A13</f>
        <v>GS &gt;50</v>
      </c>
      <c r="B11" s="395">
        <f>'[5]Summary'!$C$38+'[5]Summary'!$F$38+'[5]Summary'!$I$38+'[5]Summary'!$F$38+'[5]Summary'!$C$38+'[5]Summary'!$C$38</f>
        <v>2418.6023</v>
      </c>
      <c r="C11" s="395">
        <f>+'[5]Summary'!$D$38+'[5]Summary'!$G$38+'[5]Summary'!$J$38</f>
        <v>-580</v>
      </c>
      <c r="D11" s="396">
        <f>'Low Voltage Rates'!D10</f>
        <v>116530.31169835008</v>
      </c>
      <c r="E11" s="397" t="str">
        <f>'Low Voltage Rates'!E10</f>
        <v>kW</v>
      </c>
      <c r="F11" s="398">
        <f t="shared" si="0"/>
        <v>0.020755134563278134</v>
      </c>
      <c r="G11" s="398">
        <f t="shared" si="1"/>
        <v>-0.00497724576161253</v>
      </c>
      <c r="H11" s="398">
        <v>0</v>
      </c>
      <c r="I11" s="398">
        <f t="shared" si="2"/>
        <v>0</v>
      </c>
      <c r="J11" s="398">
        <f t="shared" si="3"/>
        <v>0</v>
      </c>
      <c r="K11" s="221">
        <v>3</v>
      </c>
      <c r="L11" s="232">
        <v>0</v>
      </c>
    </row>
    <row r="12" spans="1:12" ht="19.5" customHeight="1" hidden="1">
      <c r="A12" s="234" t="str">
        <f>'Distribution Rate Schedule'!A14</f>
        <v>Large Use</v>
      </c>
      <c r="B12" s="395"/>
      <c r="C12" s="395"/>
      <c r="D12" s="396">
        <f>'Low Voltage Rates'!D11</f>
        <v>0</v>
      </c>
      <c r="E12" s="397" t="str">
        <f>'Low Voltage Rates'!E11</f>
        <v>kW</v>
      </c>
      <c r="F12" s="398" t="e">
        <f t="shared" si="0"/>
        <v>#DIV/0!</v>
      </c>
      <c r="G12" s="398" t="e">
        <f t="shared" si="1"/>
        <v>#DIV/0!</v>
      </c>
      <c r="H12" s="398" t="e">
        <f>F12+G12</f>
        <v>#DIV/0!</v>
      </c>
      <c r="I12" s="398" t="e">
        <f t="shared" si="2"/>
        <v>#DIV/0!</v>
      </c>
      <c r="J12" s="398" t="e">
        <f t="shared" si="3"/>
        <v>#DIV/0!</v>
      </c>
      <c r="K12" s="221">
        <v>3</v>
      </c>
      <c r="L12" s="232" t="e">
        <f t="shared" si="4"/>
        <v>#DIV/0!</v>
      </c>
    </row>
    <row r="13" spans="1:12" ht="19.5" customHeight="1" hidden="1">
      <c r="A13" s="234" t="str">
        <f>'Distribution Rate Schedule'!A15</f>
        <v>Sentinel Lights</v>
      </c>
      <c r="B13" s="395"/>
      <c r="C13" s="395"/>
      <c r="D13" s="399">
        <f>'Low Voltage Rates'!D12</f>
        <v>0</v>
      </c>
      <c r="E13" s="397" t="str">
        <f>'Low Voltage Rates'!E12</f>
        <v>kW</v>
      </c>
      <c r="F13" s="398" t="e">
        <f t="shared" si="0"/>
        <v>#DIV/0!</v>
      </c>
      <c r="G13" s="398" t="e">
        <f t="shared" si="1"/>
        <v>#DIV/0!</v>
      </c>
      <c r="H13" s="398" t="e">
        <f>F13+G13</f>
        <v>#DIV/0!</v>
      </c>
      <c r="I13" s="398" t="e">
        <f t="shared" si="2"/>
        <v>#DIV/0!</v>
      </c>
      <c r="J13" s="398" t="e">
        <f t="shared" si="3"/>
        <v>#DIV/0!</v>
      </c>
      <c r="K13" s="286">
        <v>3</v>
      </c>
      <c r="L13" s="232" t="e">
        <f t="shared" si="4"/>
        <v>#DIV/0!</v>
      </c>
    </row>
    <row r="14" spans="1:12" ht="19.5" customHeight="1">
      <c r="A14" s="234" t="str">
        <f>'Distribution Rate Schedule'!A16</f>
        <v>Street Lighting</v>
      </c>
      <c r="B14" s="395"/>
      <c r="C14" s="395"/>
      <c r="D14" s="399">
        <f>'Low Voltage Rates'!D13</f>
        <v>5736.97361884233</v>
      </c>
      <c r="E14" s="397" t="str">
        <f>'Low Voltage Rates'!E13</f>
        <v>kW</v>
      </c>
      <c r="F14" s="398">
        <f t="shared" si="0"/>
        <v>0</v>
      </c>
      <c r="G14" s="398">
        <f t="shared" si="1"/>
        <v>0</v>
      </c>
      <c r="H14" s="398">
        <v>0</v>
      </c>
      <c r="I14" s="398">
        <f t="shared" si="2"/>
        <v>0</v>
      </c>
      <c r="J14" s="398">
        <f t="shared" si="3"/>
        <v>0</v>
      </c>
      <c r="K14" s="286">
        <v>3</v>
      </c>
      <c r="L14" s="232">
        <f t="shared" si="4"/>
        <v>0</v>
      </c>
    </row>
    <row r="15" spans="1:12" ht="19.5" customHeight="1">
      <c r="A15" s="234" t="str">
        <f>'Distribution Rate Schedule'!A17</f>
        <v>USL</v>
      </c>
      <c r="B15" s="395"/>
      <c r="C15" s="395"/>
      <c r="D15" s="399">
        <f>'Low Voltage Rates'!C14</f>
        <v>144681.32071822416</v>
      </c>
      <c r="E15" s="397" t="str">
        <f>'Low Voltage Rates'!E14</f>
        <v>kWh</v>
      </c>
      <c r="F15" s="398">
        <f t="shared" si="0"/>
        <v>0</v>
      </c>
      <c r="G15" s="398">
        <f t="shared" si="1"/>
        <v>0</v>
      </c>
      <c r="H15" s="398">
        <v>0</v>
      </c>
      <c r="I15" s="398">
        <f t="shared" si="2"/>
        <v>0</v>
      </c>
      <c r="J15" s="398">
        <f t="shared" si="3"/>
        <v>0</v>
      </c>
      <c r="K15" s="286">
        <v>3</v>
      </c>
      <c r="L15" s="232">
        <f t="shared" si="4"/>
        <v>0</v>
      </c>
    </row>
    <row r="16" spans="1:12" ht="19.5" customHeight="1" thickBot="1">
      <c r="A16" s="222" t="s">
        <v>40</v>
      </c>
      <c r="B16" s="223">
        <f>SUM(B9:B12)</f>
        <v>42884.054299999996</v>
      </c>
      <c r="C16" s="223">
        <f>SUM(C9:C12)</f>
        <v>401.1500000000001</v>
      </c>
      <c r="D16" s="223"/>
      <c r="E16" s="224"/>
      <c r="F16" s="223"/>
      <c r="G16" s="223"/>
      <c r="H16" s="223"/>
      <c r="I16" s="223"/>
      <c r="J16" s="223"/>
      <c r="K16" s="223"/>
      <c r="L16" s="223"/>
    </row>
    <row r="17" ht="13.5" thickTop="1"/>
    <row r="18" ht="12.75">
      <c r="B18" s="327"/>
    </row>
    <row r="19" ht="12.75">
      <c r="A19" s="66"/>
    </row>
    <row r="20" ht="12.75">
      <c r="B20" s="327"/>
    </row>
  </sheetData>
  <sheetProtection/>
  <mergeCells count="8">
    <mergeCell ref="B6:C6"/>
    <mergeCell ref="F6:H6"/>
    <mergeCell ref="A1:L1"/>
    <mergeCell ref="A2:L2"/>
    <mergeCell ref="A3:L3"/>
    <mergeCell ref="A4:L4"/>
    <mergeCell ref="A5:L5"/>
    <mergeCell ref="A6:A8"/>
  </mergeCells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39.57421875" style="0" bestFit="1" customWidth="1"/>
    <col min="2" max="2" width="30.140625" style="0" customWidth="1"/>
    <col min="3" max="3" width="28.00390625" style="0" customWidth="1"/>
    <col min="4" max="4" width="24.57421875" style="0" customWidth="1"/>
    <col min="5" max="5" width="20.421875" style="0" customWidth="1"/>
    <col min="6" max="6" width="22.00390625" style="0" customWidth="1"/>
    <col min="7" max="10" width="10.00390625" style="0" customWidth="1"/>
  </cols>
  <sheetData>
    <row r="1" spans="1:5" ht="12.75">
      <c r="A1" s="501">
        <f>+'Revenue Input'!A1</f>
        <v>0</v>
      </c>
      <c r="B1" s="501"/>
      <c r="C1" s="501"/>
      <c r="D1" s="501"/>
      <c r="E1" s="501"/>
    </row>
    <row r="2" spans="1:5" ht="12.75">
      <c r="A2" s="501" t="str">
        <f>+'Revenue Input'!A2</f>
        <v>, License Number , File Number </v>
      </c>
      <c r="B2" s="501"/>
      <c r="C2" s="501"/>
      <c r="D2" s="501"/>
      <c r="E2" s="501"/>
    </row>
    <row r="3" spans="1:5" ht="12.75">
      <c r="A3" s="501">
        <f>+'Revenue Input'!A3</f>
        <v>0</v>
      </c>
      <c r="B3" s="501"/>
      <c r="C3" s="501"/>
      <c r="D3" s="501"/>
      <c r="E3" s="501"/>
    </row>
    <row r="4" spans="1:5" ht="13.5" thickBot="1">
      <c r="A4" s="479"/>
      <c r="B4" s="479"/>
      <c r="C4" s="479"/>
      <c r="D4" s="479"/>
      <c r="E4" s="479"/>
    </row>
    <row r="5" spans="1:7" ht="21" thickBot="1">
      <c r="A5" s="514" t="s">
        <v>231</v>
      </c>
      <c r="B5" s="514"/>
      <c r="C5" s="514"/>
      <c r="D5" s="514"/>
      <c r="E5" s="514"/>
      <c r="F5" s="56" t="s">
        <v>166</v>
      </c>
      <c r="G5" s="122" t="str">
        <f>'Distribution Rate Schedule'!H5</f>
        <v>y</v>
      </c>
    </row>
    <row r="6" spans="1:5" ht="60.75" thickBot="1">
      <c r="A6" s="359" t="s">
        <v>0</v>
      </c>
      <c r="B6" s="359" t="s">
        <v>196</v>
      </c>
      <c r="C6" s="359" t="s">
        <v>197</v>
      </c>
      <c r="D6" s="359" t="s">
        <v>266</v>
      </c>
      <c r="E6" s="359" t="s">
        <v>167</v>
      </c>
    </row>
    <row r="7" spans="1:10" ht="16.5" thickBot="1">
      <c r="A7" s="235" t="str">
        <f>'Distribution Rate Schedule'!A11</f>
        <v>Residential</v>
      </c>
      <c r="B7" s="360">
        <f>'[6]Rate Riders Calculation'!$E$45</f>
        <v>-0.0015721359195805511</v>
      </c>
      <c r="C7" s="361"/>
      <c r="D7" s="443">
        <v>0.25</v>
      </c>
      <c r="E7" s="362">
        <f>'[7]Recovery of Smart Meter Costs'!$C$21</f>
        <v>2.0941673818332727</v>
      </c>
      <c r="F7" s="56"/>
      <c r="G7" s="56"/>
      <c r="H7" s="56"/>
      <c r="I7" s="56"/>
      <c r="J7" s="56"/>
    </row>
    <row r="8" spans="1:5" ht="16.5" thickBot="1">
      <c r="A8" s="235" t="str">
        <f>'Distribution Rate Schedule'!A12</f>
        <v>GS &lt; 50 kW</v>
      </c>
      <c r="B8" s="363">
        <f>'[6]Rate Riders Calculation'!$F$45</f>
        <v>-0.0015721359195805518</v>
      </c>
      <c r="C8" s="364"/>
      <c r="D8" s="444">
        <v>0.25</v>
      </c>
      <c r="E8" s="362">
        <f>'[7]Recovery of Smart Meter Costs'!$C$21</f>
        <v>2.0941673818332727</v>
      </c>
    </row>
    <row r="9" spans="1:5" ht="16.5" thickBot="1">
      <c r="A9" s="235" t="str">
        <f>'Distribution Rate Schedule'!A13</f>
        <v>GS &gt;50</v>
      </c>
      <c r="B9" s="363"/>
      <c r="C9" s="364">
        <f>'[6]Rate Riders Calculation'!$G$45</f>
        <v>-0.6117197240049442</v>
      </c>
      <c r="D9" s="444">
        <v>0.25</v>
      </c>
      <c r="E9" s="362">
        <f>'[7]Recovery of Smart Meter Costs'!$C$21</f>
        <v>2.0941673818332727</v>
      </c>
    </row>
    <row r="10" spans="1:5" ht="16.5" hidden="1" thickBot="1">
      <c r="A10" s="235" t="str">
        <f>'Distribution Rate Schedule'!A14</f>
        <v>Large Use</v>
      </c>
      <c r="B10" s="363"/>
      <c r="C10" s="364"/>
      <c r="D10" s="442"/>
      <c r="E10" s="366"/>
    </row>
    <row r="11" spans="1:5" ht="16.5" hidden="1" thickBot="1">
      <c r="A11" s="235" t="str">
        <f>'Distribution Rate Schedule'!A15</f>
        <v>Sentinel Lights</v>
      </c>
      <c r="B11" s="363"/>
      <c r="C11" s="364"/>
      <c r="D11" s="364"/>
      <c r="E11" s="365"/>
    </row>
    <row r="12" spans="1:5" ht="16.5" thickBot="1">
      <c r="A12" s="235" t="str">
        <f>'Distribution Rate Schedule'!A16</f>
        <v>Street Lighting</v>
      </c>
      <c r="B12" s="363"/>
      <c r="C12" s="364">
        <f>+'[6]Rate Riders Calculation'!$M$45</f>
        <v>-0.4954498112435202</v>
      </c>
      <c r="D12" s="364"/>
      <c r="E12" s="365"/>
    </row>
    <row r="13" spans="1:5" ht="15.75">
      <c r="A13" s="235" t="str">
        <f>'Distribution Rate Schedule'!A17</f>
        <v>USL</v>
      </c>
      <c r="B13" s="363">
        <f>'[6]Rate Riders Calculation'!$K$45</f>
        <v>-0.001572369612514053</v>
      </c>
      <c r="C13" s="364"/>
      <c r="D13" s="364"/>
      <c r="E13" s="365"/>
    </row>
  </sheetData>
  <sheetProtection/>
  <mergeCells count="5">
    <mergeCell ref="A5:E5"/>
    <mergeCell ref="A1:E1"/>
    <mergeCell ref="A2:E2"/>
    <mergeCell ref="A3:E3"/>
    <mergeCell ref="A4:E4"/>
  </mergeCells>
  <printOptions/>
  <pageMargins left="0.75" right="0.75" top="1" bottom="1" header="0.5" footer="0.5"/>
  <pageSetup fitToHeight="1" fitToWidth="1" horizontalDpi="355" verticalDpi="355" orientation="landscape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4">
      <selection activeCell="D39" sqref="D39"/>
    </sheetView>
  </sheetViews>
  <sheetFormatPr defaultColWidth="9.140625" defaultRowHeight="12.75"/>
  <cols>
    <col min="1" max="1" width="32.7109375" style="0" bestFit="1" customWidth="1"/>
    <col min="2" max="2" width="13.421875" style="0" customWidth="1"/>
    <col min="3" max="3" width="13.57421875" style="0" customWidth="1"/>
    <col min="4" max="4" width="12.421875" style="0" customWidth="1"/>
    <col min="5" max="5" width="14.00390625" style="0" customWidth="1"/>
    <col min="6" max="6" width="2.7109375" style="0" customWidth="1"/>
    <col min="7" max="7" width="19.00390625" style="1" bestFit="1" customWidth="1"/>
    <col min="8" max="8" width="13.8515625" style="1" bestFit="1" customWidth="1"/>
    <col min="9" max="9" width="10.28125" style="1" bestFit="1" customWidth="1"/>
    <col min="10" max="11" width="14.00390625" style="1" bestFit="1" customWidth="1"/>
    <col min="12" max="12" width="13.7109375" style="1" customWidth="1"/>
  </cols>
  <sheetData>
    <row r="1" spans="1:5" ht="12.75">
      <c r="A1" s="501">
        <f>+'Revenue Input'!A1</f>
        <v>0</v>
      </c>
      <c r="B1" s="501"/>
      <c r="C1" s="501"/>
      <c r="D1" s="501"/>
      <c r="E1" s="501"/>
    </row>
    <row r="2" spans="1:5" ht="12.75">
      <c r="A2" s="501" t="str">
        <f>+'Revenue Input'!A2</f>
        <v>, License Number , File Number </v>
      </c>
      <c r="B2" s="501"/>
      <c r="C2" s="501"/>
      <c r="D2" s="501"/>
      <c r="E2" s="501"/>
    </row>
    <row r="3" spans="1:5" ht="12.75">
      <c r="A3" s="501">
        <f>+'Revenue Input'!A3</f>
        <v>0</v>
      </c>
      <c r="B3" s="501"/>
      <c r="C3" s="501"/>
      <c r="D3" s="501"/>
      <c r="E3" s="501"/>
    </row>
    <row r="4" spans="1:5" ht="13.5" thickBot="1">
      <c r="A4" s="479"/>
      <c r="B4" s="479"/>
      <c r="C4" s="479"/>
      <c r="D4" s="479"/>
      <c r="E4" s="479"/>
    </row>
    <row r="5" spans="1:8" ht="21" thickBot="1">
      <c r="A5" s="516" t="s">
        <v>228</v>
      </c>
      <c r="B5" s="516"/>
      <c r="C5" s="516"/>
      <c r="D5" s="516"/>
      <c r="E5" s="516"/>
      <c r="G5" s="61" t="s">
        <v>146</v>
      </c>
      <c r="H5" s="233" t="s">
        <v>236</v>
      </c>
    </row>
    <row r="6" spans="1:5" ht="15.75">
      <c r="A6" s="518"/>
      <c r="B6" s="518"/>
      <c r="C6" s="518"/>
      <c r="D6" s="518"/>
      <c r="E6" s="518"/>
    </row>
    <row r="7" spans="1:11" ht="12.75">
      <c r="A7" s="517"/>
      <c r="B7" s="517"/>
      <c r="C7" s="517"/>
      <c r="D7" s="517"/>
      <c r="E7" s="517"/>
      <c r="F7" s="57"/>
      <c r="G7" s="57"/>
      <c r="H7" s="57"/>
      <c r="I7" s="57"/>
      <c r="J7" s="57"/>
      <c r="K7" s="57"/>
    </row>
    <row r="8" spans="1:5" ht="15.75">
      <c r="A8" s="518"/>
      <c r="B8" s="518"/>
      <c r="C8" s="518"/>
      <c r="D8" s="518"/>
      <c r="E8" s="518"/>
    </row>
    <row r="9" spans="1:12" s="8" customFormat="1" ht="18">
      <c r="A9" s="515" t="s">
        <v>280</v>
      </c>
      <c r="B9" s="515"/>
      <c r="C9" s="515"/>
      <c r="D9" s="515"/>
      <c r="E9" s="515"/>
      <c r="G9" s="18"/>
      <c r="H9" s="18"/>
      <c r="I9" s="18"/>
      <c r="J9" s="18"/>
      <c r="K9" s="18"/>
      <c r="L9" s="18"/>
    </row>
    <row r="10" spans="1:12" s="8" customFormat="1" ht="12.75">
      <c r="A10" s="367" t="s">
        <v>0</v>
      </c>
      <c r="B10" s="368" t="s">
        <v>25</v>
      </c>
      <c r="C10" s="368" t="s">
        <v>26</v>
      </c>
      <c r="D10" s="368" t="s">
        <v>17</v>
      </c>
      <c r="E10" s="368" t="s">
        <v>16</v>
      </c>
      <c r="G10" s="19"/>
      <c r="H10" s="19"/>
      <c r="I10" s="19"/>
      <c r="J10" s="19"/>
      <c r="K10" s="19"/>
      <c r="L10" s="19"/>
    </row>
    <row r="11" spans="1:12" s="8" customFormat="1" ht="18" customHeight="1">
      <c r="A11" s="98" t="str">
        <f>'Low Voltage Rates'!A8</f>
        <v>Residential</v>
      </c>
      <c r="B11" s="251">
        <v>0</v>
      </c>
      <c r="C11" s="251">
        <f>IF(+$H$5="Y",+ROUND(+'Rates By Rate Class'!D8,2),+'Rates By Rate Class'!D8)</f>
        <v>19.86</v>
      </c>
      <c r="D11" s="120">
        <v>0</v>
      </c>
      <c r="E11" s="120">
        <f>IF(+$H$5="Y",ROUND(+'Rates By Rate Class'!E8,4),+'Rates By Rate Class'!E8)</f>
        <v>0.0145</v>
      </c>
      <c r="G11" s="59"/>
      <c r="H11" s="59"/>
      <c r="I11" s="18"/>
      <c r="J11" s="18"/>
      <c r="K11" s="18"/>
      <c r="L11" s="18"/>
    </row>
    <row r="12" spans="1:12" s="8" customFormat="1" ht="18" customHeight="1">
      <c r="A12" s="98" t="str">
        <f>'Low Voltage Rates'!A9</f>
        <v>GS &lt; 50 kW</v>
      </c>
      <c r="B12" s="251">
        <v>0</v>
      </c>
      <c r="C12" s="251">
        <f>IF(+$H$5="Y",+ROUND(+'Rates By Rate Class'!D9,2),+'Rates By Rate Class'!D9)</f>
        <v>39.79</v>
      </c>
      <c r="D12" s="120">
        <v>0</v>
      </c>
      <c r="E12" s="120">
        <f>IF(+$H$5="Y",ROUND(+'Rates By Rate Class'!E9,4),+'Rates By Rate Class'!E9)</f>
        <v>0.0062</v>
      </c>
      <c r="G12" s="59"/>
      <c r="H12" s="59"/>
      <c r="I12" s="18"/>
      <c r="J12" s="18"/>
      <c r="K12" s="18"/>
      <c r="L12" s="18"/>
    </row>
    <row r="13" spans="1:12" s="8" customFormat="1" ht="18" customHeight="1">
      <c r="A13" s="98" t="str">
        <f>'Low Voltage Rates'!A10</f>
        <v>GS &gt;50</v>
      </c>
      <c r="B13" s="251">
        <v>0</v>
      </c>
      <c r="C13" s="251">
        <f>IF(+$H$5="Y",+ROUND(+'Rates By Rate Class'!D10,2),+'Rates By Rate Class'!D10)</f>
        <v>528.38</v>
      </c>
      <c r="D13" s="120">
        <f>IF(+$H$5="Y",ROUND(+'Rates By Rate Class'!E10,4),+'Rates By Rate Class'!E10)</f>
        <v>1.6794</v>
      </c>
      <c r="E13" s="120">
        <v>0</v>
      </c>
      <c r="G13" s="59"/>
      <c r="H13" s="59"/>
      <c r="I13" s="18"/>
      <c r="J13" s="18"/>
      <c r="K13" s="18"/>
      <c r="L13" s="18"/>
    </row>
    <row r="14" spans="1:12" s="8" customFormat="1" ht="18" customHeight="1" hidden="1">
      <c r="A14" s="98" t="str">
        <f>'Low Voltage Rates'!A11</f>
        <v>Large Use</v>
      </c>
      <c r="B14" s="251">
        <v>0</v>
      </c>
      <c r="C14" s="251">
        <f>IF(+$H$5="Y",+ROUND(+'Rates By Rate Class'!D11,2),+'Rates By Rate Class'!D11)</f>
        <v>0</v>
      </c>
      <c r="D14" s="120">
        <f>IF(+$H$5="Y",ROUND(+'Rates By Rate Class'!E11,4),+'Rates By Rate Class'!E11)</f>
        <v>0</v>
      </c>
      <c r="E14" s="120">
        <v>0</v>
      </c>
      <c r="G14" s="59"/>
      <c r="H14" s="59"/>
      <c r="I14" s="18"/>
      <c r="J14" s="18"/>
      <c r="K14" s="18"/>
      <c r="L14" s="18"/>
    </row>
    <row r="15" spans="1:12" s="8" customFormat="1" ht="18" customHeight="1" hidden="1">
      <c r="A15" s="98" t="str">
        <f>'Low Voltage Rates'!A12</f>
        <v>Sentinel Lights</v>
      </c>
      <c r="B15" s="251">
        <f>IF(+$H$5="Y",+ROUND(+'Rates By Rate Class'!D12,4),+'Rates By Rate Class'!D12)</f>
        <v>0</v>
      </c>
      <c r="C15" s="251">
        <v>0</v>
      </c>
      <c r="D15" s="120" t="e">
        <f>IF(+$H$5="Y",ROUND(+'Rates By Rate Class'!E12,4),+'Rates By Rate Class'!E12)</f>
        <v>#DIV/0!</v>
      </c>
      <c r="E15" s="120">
        <v>0</v>
      </c>
      <c r="G15" s="59"/>
      <c r="H15" s="59"/>
      <c r="I15" s="18"/>
      <c r="J15" s="18"/>
      <c r="K15" s="18"/>
      <c r="L15" s="18"/>
    </row>
    <row r="16" spans="1:12" s="8" customFormat="1" ht="18" customHeight="1">
      <c r="A16" s="98" t="str">
        <f>'Low Voltage Rates'!A13</f>
        <v>Street Lighting</v>
      </c>
      <c r="B16" s="251">
        <f>IF(+$H$5="Y",+ROUND(+'Rates By Rate Class'!D13,4),+'Rates By Rate Class'!D13)</f>
        <v>5.2033</v>
      </c>
      <c r="C16" s="251">
        <v>0</v>
      </c>
      <c r="D16" s="120">
        <f>IF(+$H$5="Y",ROUND(+'Rates By Rate Class'!E13,4),+'Rates By Rate Class'!E13)</f>
        <v>3.4214</v>
      </c>
      <c r="E16" s="120">
        <v>0</v>
      </c>
      <c r="G16" s="59"/>
      <c r="H16" s="59"/>
      <c r="I16" s="18"/>
      <c r="J16" s="18"/>
      <c r="K16" s="18"/>
      <c r="L16" s="18"/>
    </row>
    <row r="17" spans="1:12" s="8" customFormat="1" ht="18" customHeight="1">
      <c r="A17" s="98" t="str">
        <f>'Low Voltage Rates'!A14</f>
        <v>USL</v>
      </c>
      <c r="B17" s="251">
        <f>IF(+$H$5="Y",+ROUND(+'Rates By Rate Class'!D14,4),+'Rates By Rate Class'!D14)</f>
        <v>16.6514</v>
      </c>
      <c r="C17" s="251">
        <v>0</v>
      </c>
      <c r="D17" s="120">
        <v>0</v>
      </c>
      <c r="E17" s="120">
        <f>IF(+$H$5="Y",ROUND(+'Rates By Rate Class'!E14,4),+'Rates By Rate Class'!E14)</f>
        <v>0.0053</v>
      </c>
      <c r="G17" s="59"/>
      <c r="H17" s="59"/>
      <c r="I17" s="18"/>
      <c r="J17" s="18"/>
      <c r="K17" s="18"/>
      <c r="L17" s="18"/>
    </row>
    <row r="18" spans="1:12" ht="18.75" customHeight="1">
      <c r="A18" s="518"/>
      <c r="B18" s="518"/>
      <c r="C18" s="518"/>
      <c r="D18" s="518"/>
      <c r="E18" s="518"/>
      <c r="G18" s="18"/>
      <c r="H18" s="18"/>
      <c r="I18" s="18"/>
      <c r="J18" s="18"/>
      <c r="K18" s="18"/>
      <c r="L18" s="18"/>
    </row>
    <row r="19" spans="1:12" s="8" customFormat="1" ht="18">
      <c r="A19" s="515" t="s">
        <v>278</v>
      </c>
      <c r="B19" s="515"/>
      <c r="C19" s="515"/>
      <c r="D19" s="515"/>
      <c r="E19" s="515"/>
      <c r="G19" s="18"/>
      <c r="H19" s="18"/>
      <c r="I19" s="18"/>
      <c r="J19" s="18"/>
      <c r="K19" s="18"/>
      <c r="L19" s="18"/>
    </row>
    <row r="20" spans="1:12" s="8" customFormat="1" ht="12.75">
      <c r="A20" s="367" t="s">
        <v>0</v>
      </c>
      <c r="B20" s="368" t="s">
        <v>25</v>
      </c>
      <c r="C20" s="368" t="s">
        <v>26</v>
      </c>
      <c r="D20" s="368" t="s">
        <v>17</v>
      </c>
      <c r="E20" s="368" t="s">
        <v>16</v>
      </c>
      <c r="G20" s="18"/>
      <c r="H20" s="18"/>
      <c r="I20" s="18"/>
      <c r="J20" s="18"/>
      <c r="K20" s="18"/>
      <c r="L20" s="18"/>
    </row>
    <row r="21" spans="1:12" s="8" customFormat="1" ht="18" customHeight="1">
      <c r="A21" s="98" t="str">
        <f aca="true" t="shared" si="0" ref="A21:A27">A11</f>
        <v>Residential</v>
      </c>
      <c r="B21" s="120"/>
      <c r="C21" s="120"/>
      <c r="D21" s="120"/>
      <c r="E21" s="120">
        <f>IF(+$H$5="Y",+ROUND(+'Low Voltage Rates'!F8,4),+'Low Voltage Rates'!F8)</f>
        <v>0</v>
      </c>
      <c r="G21" s="59"/>
      <c r="H21" s="59"/>
      <c r="I21" s="18"/>
      <c r="J21" s="18"/>
      <c r="K21" s="18"/>
      <c r="L21" s="18"/>
    </row>
    <row r="22" spans="1:12" s="8" customFormat="1" ht="18" customHeight="1">
      <c r="A22" s="98" t="str">
        <f t="shared" si="0"/>
        <v>GS &lt; 50 kW</v>
      </c>
      <c r="B22" s="120"/>
      <c r="C22" s="120"/>
      <c r="D22" s="120"/>
      <c r="E22" s="120">
        <f>IF(+$H$5="Y",+ROUND(+'Low Voltage Rates'!F9,4),+'Low Voltage Rates'!F9)</f>
        <v>0</v>
      </c>
      <c r="G22" s="59"/>
      <c r="H22" s="59"/>
      <c r="I22" s="18"/>
      <c r="J22" s="18"/>
      <c r="K22" s="18"/>
      <c r="L22" s="18"/>
    </row>
    <row r="23" spans="1:12" s="8" customFormat="1" ht="18" customHeight="1">
      <c r="A23" s="98" t="str">
        <f t="shared" si="0"/>
        <v>GS &gt;50</v>
      </c>
      <c r="B23" s="120"/>
      <c r="C23" s="120"/>
      <c r="D23" s="120">
        <f>IF(+$H$5="Y",+ROUND(+'Low Voltage Rates'!G10,4),+'Low Voltage Rates'!G10)</f>
        <v>0</v>
      </c>
      <c r="E23" s="120"/>
      <c r="G23" s="59"/>
      <c r="H23" s="59"/>
      <c r="I23" s="18"/>
      <c r="J23" s="18"/>
      <c r="K23" s="18"/>
      <c r="L23" s="18"/>
    </row>
    <row r="24" spans="1:12" s="8" customFormat="1" ht="18" customHeight="1" hidden="1">
      <c r="A24" s="98" t="str">
        <f t="shared" si="0"/>
        <v>Large Use</v>
      </c>
      <c r="B24" s="120"/>
      <c r="C24" s="120"/>
      <c r="D24" s="120" t="e">
        <f>IF(+$H$5="Y",+ROUND(+'Low Voltage Rates'!G11,4),+'Low Voltage Rates'!G11)</f>
        <v>#DIV/0!</v>
      </c>
      <c r="E24" s="120"/>
      <c r="G24" s="59"/>
      <c r="H24" s="59"/>
      <c r="I24" s="18"/>
      <c r="J24" s="18"/>
      <c r="K24" s="18"/>
      <c r="L24" s="18"/>
    </row>
    <row r="25" spans="1:12" s="8" customFormat="1" ht="18" customHeight="1" hidden="1">
      <c r="A25" s="98" t="str">
        <f t="shared" si="0"/>
        <v>Sentinel Lights</v>
      </c>
      <c r="B25" s="120"/>
      <c r="C25" s="120"/>
      <c r="D25" s="120" t="e">
        <f>IF(+$H$5="Y",+ROUND(+'Low Voltage Rates'!G12,4),+'Low Voltage Rates'!G12)</f>
        <v>#DIV/0!</v>
      </c>
      <c r="E25" s="120"/>
      <c r="G25" s="59"/>
      <c r="H25" s="59"/>
      <c r="I25" s="18"/>
      <c r="J25" s="18"/>
      <c r="K25" s="18"/>
      <c r="L25" s="18"/>
    </row>
    <row r="26" spans="1:12" s="8" customFormat="1" ht="18" customHeight="1">
      <c r="A26" s="98" t="str">
        <f t="shared" si="0"/>
        <v>Street Lighting</v>
      </c>
      <c r="B26" s="120"/>
      <c r="C26" s="120"/>
      <c r="D26" s="120">
        <f>IF(+$H$5="Y",+ROUND(+'Low Voltage Rates'!G13,4),+'Low Voltage Rates'!G13)</f>
        <v>0</v>
      </c>
      <c r="E26" s="120"/>
      <c r="G26" s="59"/>
      <c r="H26" s="59"/>
      <c r="I26" s="18"/>
      <c r="J26" s="18"/>
      <c r="K26" s="18"/>
      <c r="L26" s="18"/>
    </row>
    <row r="27" spans="1:12" s="8" customFormat="1" ht="18" customHeight="1">
      <c r="A27" s="98" t="str">
        <f t="shared" si="0"/>
        <v>USL</v>
      </c>
      <c r="B27" s="120"/>
      <c r="C27" s="120"/>
      <c r="D27" s="120"/>
      <c r="E27" s="120">
        <f>IF(+$H$5="Y",+ROUND(+'Low Voltage Rates'!F14,4),+'Low Voltage Rates'!F14)</f>
        <v>0</v>
      </c>
      <c r="G27" s="59"/>
      <c r="H27" s="59"/>
      <c r="I27" s="18"/>
      <c r="J27" s="18"/>
      <c r="K27" s="18"/>
      <c r="L27" s="18"/>
    </row>
    <row r="28" spans="1:12" s="8" customFormat="1" ht="15.75">
      <c r="A28" s="518"/>
      <c r="B28" s="518"/>
      <c r="C28" s="518"/>
      <c r="D28" s="518"/>
      <c r="E28" s="518"/>
      <c r="G28" s="18"/>
      <c r="H28" s="18"/>
      <c r="I28" s="18"/>
      <c r="J28" s="18"/>
      <c r="K28" s="18"/>
      <c r="L28" s="18"/>
    </row>
    <row r="29" spans="1:12" s="8" customFormat="1" ht="18">
      <c r="A29" s="515" t="s">
        <v>279</v>
      </c>
      <c r="B29" s="515"/>
      <c r="C29" s="515"/>
      <c r="D29" s="515"/>
      <c r="E29" s="515"/>
      <c r="G29" s="18"/>
      <c r="H29" s="18"/>
      <c r="I29" s="18"/>
      <c r="J29" s="18"/>
      <c r="K29" s="18"/>
      <c r="L29" s="18"/>
    </row>
    <row r="30" spans="1:12" s="8" customFormat="1" ht="12.75">
      <c r="A30" s="367" t="s">
        <v>0</v>
      </c>
      <c r="B30" s="368" t="s">
        <v>25</v>
      </c>
      <c r="C30" s="368" t="s">
        <v>26</v>
      </c>
      <c r="D30" s="368" t="s">
        <v>17</v>
      </c>
      <c r="E30" s="368" t="s">
        <v>16</v>
      </c>
      <c r="G30" s="19"/>
      <c r="H30" s="19"/>
      <c r="I30" s="19"/>
      <c r="J30" s="19"/>
      <c r="K30" s="19"/>
      <c r="L30" s="19"/>
    </row>
    <row r="31" spans="1:13" s="8" customFormat="1" ht="18" customHeight="1">
      <c r="A31" s="98" t="str">
        <f aca="true" t="shared" si="1" ref="A31:A37">A21</f>
        <v>Residential</v>
      </c>
      <c r="B31" s="251">
        <f aca="true" t="shared" si="2" ref="B31:E37">+B11+B21</f>
        <v>0</v>
      </c>
      <c r="C31" s="251">
        <f t="shared" si="2"/>
        <v>19.86</v>
      </c>
      <c r="D31" s="120">
        <f t="shared" si="2"/>
        <v>0</v>
      </c>
      <c r="E31" s="120">
        <f t="shared" si="2"/>
        <v>0.0145</v>
      </c>
      <c r="G31" s="59"/>
      <c r="H31" s="59"/>
      <c r="I31" s="18"/>
      <c r="J31" s="18"/>
      <c r="K31" s="18"/>
      <c r="L31" s="18"/>
      <c r="M31" s="119"/>
    </row>
    <row r="32" spans="1:13" s="8" customFormat="1" ht="18" customHeight="1">
      <c r="A32" s="98" t="str">
        <f t="shared" si="1"/>
        <v>GS &lt; 50 kW</v>
      </c>
      <c r="B32" s="251">
        <f t="shared" si="2"/>
        <v>0</v>
      </c>
      <c r="C32" s="251">
        <f t="shared" si="2"/>
        <v>39.79</v>
      </c>
      <c r="D32" s="120">
        <f t="shared" si="2"/>
        <v>0</v>
      </c>
      <c r="E32" s="120">
        <f t="shared" si="2"/>
        <v>0.0062</v>
      </c>
      <c r="G32" s="59"/>
      <c r="H32" s="59"/>
      <c r="I32" s="18"/>
      <c r="J32" s="18"/>
      <c r="K32" s="18"/>
      <c r="L32" s="18"/>
      <c r="M32" s="119"/>
    </row>
    <row r="33" spans="1:13" s="8" customFormat="1" ht="18" customHeight="1">
      <c r="A33" s="98" t="str">
        <f t="shared" si="1"/>
        <v>GS &gt;50</v>
      </c>
      <c r="B33" s="251">
        <f t="shared" si="2"/>
        <v>0</v>
      </c>
      <c r="C33" s="251">
        <f t="shared" si="2"/>
        <v>528.38</v>
      </c>
      <c r="D33" s="120">
        <f t="shared" si="2"/>
        <v>1.6794</v>
      </c>
      <c r="E33" s="120">
        <f t="shared" si="2"/>
        <v>0</v>
      </c>
      <c r="G33" s="59"/>
      <c r="H33" s="59"/>
      <c r="I33" s="18"/>
      <c r="J33" s="18"/>
      <c r="K33" s="18"/>
      <c r="L33" s="18"/>
      <c r="M33" s="119"/>
    </row>
    <row r="34" spans="1:13" s="8" customFormat="1" ht="18" customHeight="1" hidden="1">
      <c r="A34" s="98" t="str">
        <f t="shared" si="1"/>
        <v>Large Use</v>
      </c>
      <c r="B34" s="251">
        <f t="shared" si="2"/>
        <v>0</v>
      </c>
      <c r="C34" s="251">
        <f t="shared" si="2"/>
        <v>0</v>
      </c>
      <c r="D34" s="120" t="e">
        <f t="shared" si="2"/>
        <v>#DIV/0!</v>
      </c>
      <c r="E34" s="120">
        <f t="shared" si="2"/>
        <v>0</v>
      </c>
      <c r="G34" s="59"/>
      <c r="H34" s="59"/>
      <c r="I34" s="18"/>
      <c r="J34" s="18"/>
      <c r="K34" s="18"/>
      <c r="L34" s="18"/>
      <c r="M34" s="119"/>
    </row>
    <row r="35" spans="1:13" s="8" customFormat="1" ht="18" customHeight="1" hidden="1">
      <c r="A35" s="98" t="str">
        <f t="shared" si="1"/>
        <v>Sentinel Lights</v>
      </c>
      <c r="B35" s="251">
        <f t="shared" si="2"/>
        <v>0</v>
      </c>
      <c r="C35" s="251">
        <f t="shared" si="2"/>
        <v>0</v>
      </c>
      <c r="D35" s="120" t="e">
        <f t="shared" si="2"/>
        <v>#DIV/0!</v>
      </c>
      <c r="E35" s="120">
        <f t="shared" si="2"/>
        <v>0</v>
      </c>
      <c r="G35" s="59"/>
      <c r="H35" s="59"/>
      <c r="I35" s="18"/>
      <c r="J35" s="18"/>
      <c r="K35" s="18"/>
      <c r="L35" s="18"/>
      <c r="M35" s="119"/>
    </row>
    <row r="36" spans="1:13" s="8" customFormat="1" ht="18" customHeight="1">
      <c r="A36" s="98" t="str">
        <f t="shared" si="1"/>
        <v>Street Lighting</v>
      </c>
      <c r="B36" s="251">
        <f t="shared" si="2"/>
        <v>5.2033</v>
      </c>
      <c r="C36" s="251">
        <f t="shared" si="2"/>
        <v>0</v>
      </c>
      <c r="D36" s="120">
        <f t="shared" si="2"/>
        <v>3.4214</v>
      </c>
      <c r="E36" s="120">
        <f t="shared" si="2"/>
        <v>0</v>
      </c>
      <c r="G36" s="59"/>
      <c r="H36" s="59"/>
      <c r="I36" s="18"/>
      <c r="J36" s="18"/>
      <c r="K36" s="18"/>
      <c r="L36" s="18"/>
      <c r="M36" s="119"/>
    </row>
    <row r="37" spans="1:13" s="8" customFormat="1" ht="18" customHeight="1">
      <c r="A37" s="98" t="str">
        <f t="shared" si="1"/>
        <v>USL</v>
      </c>
      <c r="B37" s="251">
        <f t="shared" si="2"/>
        <v>16.6514</v>
      </c>
      <c r="C37" s="251">
        <f t="shared" si="2"/>
        <v>0</v>
      </c>
      <c r="D37" s="120">
        <f t="shared" si="2"/>
        <v>0</v>
      </c>
      <c r="E37" s="120">
        <f t="shared" si="2"/>
        <v>0.0053</v>
      </c>
      <c r="G37" s="59"/>
      <c r="H37" s="59"/>
      <c r="I37" s="18"/>
      <c r="J37" s="18"/>
      <c r="K37" s="18"/>
      <c r="L37" s="18"/>
      <c r="M37" s="119"/>
    </row>
    <row r="38" spans="1:12" s="8" customFormat="1" ht="16.5" thickBot="1">
      <c r="A38" s="518"/>
      <c r="B38" s="518"/>
      <c r="C38" s="518"/>
      <c r="D38" s="518"/>
      <c r="E38" s="518"/>
      <c r="G38" s="18"/>
      <c r="H38" s="18"/>
      <c r="I38" s="18"/>
      <c r="J38" s="18"/>
      <c r="K38" s="18"/>
      <c r="L38" s="18"/>
    </row>
    <row r="39" spans="1:12" s="8" customFormat="1" ht="18" customHeight="1" thickBot="1">
      <c r="A39" s="56" t="s">
        <v>152</v>
      </c>
      <c r="B39" s="66"/>
      <c r="C39" s="66"/>
      <c r="D39" s="121">
        <f>'Transformer Allowance'!B17</f>
        <v>0.6</v>
      </c>
      <c r="E39" s="66"/>
      <c r="G39" s="18"/>
      <c r="H39" s="18"/>
      <c r="I39" s="18"/>
      <c r="J39" s="18"/>
      <c r="K39" s="18"/>
      <c r="L39" s="18"/>
    </row>
  </sheetData>
  <sheetProtection/>
  <mergeCells count="14">
    <mergeCell ref="A18:E18"/>
    <mergeCell ref="A28:E28"/>
    <mergeCell ref="A38:E38"/>
    <mergeCell ref="A19:E19"/>
    <mergeCell ref="A29:E29"/>
    <mergeCell ref="A1:E1"/>
    <mergeCell ref="A2:E2"/>
    <mergeCell ref="A3:E3"/>
    <mergeCell ref="A4:E4"/>
    <mergeCell ref="A9:E9"/>
    <mergeCell ref="A5:E5"/>
    <mergeCell ref="A7:E7"/>
    <mergeCell ref="A6:E6"/>
    <mergeCell ref="A8:E8"/>
  </mergeCells>
  <printOptions/>
  <pageMargins left="0.75" right="0.75" top="1" bottom="1" header="0.5" footer="0.5"/>
  <pageSetup fitToHeight="1" fitToWidth="1" horizontalDpi="355" verticalDpi="35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85" zoomScaleNormal="85" zoomScalePageLayoutView="0" workbookViewId="0" topLeftCell="A7">
      <selection activeCell="B30" sqref="B30"/>
    </sheetView>
  </sheetViews>
  <sheetFormatPr defaultColWidth="9.140625" defaultRowHeight="12.75"/>
  <cols>
    <col min="1" max="1" width="42.8515625" style="0" bestFit="1" customWidth="1"/>
    <col min="2" max="5" width="11.7109375" style="0" customWidth="1"/>
    <col min="6" max="6" width="13.7109375" style="0" customWidth="1"/>
    <col min="7" max="7" width="13.421875" style="0" bestFit="1" customWidth="1"/>
    <col min="8" max="8" width="10.8515625" style="0" customWidth="1"/>
    <col min="9" max="9" width="7.28125" style="0" bestFit="1" customWidth="1"/>
    <col min="10" max="11" width="13.00390625" style="0" customWidth="1"/>
    <col min="12" max="12" width="15.7109375" style="0" customWidth="1"/>
    <col min="13" max="13" width="1.57421875" style="0" customWidth="1"/>
  </cols>
  <sheetData>
    <row r="1" spans="1:12" ht="12.75">
      <c r="A1" s="478">
        <f>+'Revenue Input'!A1</f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2" ht="12.75">
      <c r="A2" s="478" t="str">
        <f>+'Revenue Input'!A2</f>
        <v>, License Number , File Number 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</row>
    <row r="3" spans="1:12" ht="12.75">
      <c r="A3" s="478">
        <f>+'Revenue Input'!A3</f>
        <v>0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</row>
    <row r="4" spans="1:12" ht="12.75">
      <c r="A4" s="479"/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</row>
    <row r="5" spans="1:12" ht="20.25">
      <c r="A5" s="509" t="s">
        <v>65</v>
      </c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509"/>
    </row>
    <row r="6" spans="1:12" ht="21" thickBot="1">
      <c r="A6" s="528" t="s">
        <v>237</v>
      </c>
      <c r="B6" s="528"/>
      <c r="C6" s="528"/>
      <c r="D6" s="528"/>
      <c r="E6" s="528"/>
      <c r="F6" s="528"/>
      <c r="G6" s="528"/>
      <c r="H6" s="528"/>
      <c r="I6" s="528"/>
      <c r="J6" s="528"/>
      <c r="K6" s="528"/>
      <c r="L6" s="528"/>
    </row>
    <row r="7" spans="1:12" ht="54">
      <c r="A7" s="519" t="s">
        <v>0</v>
      </c>
      <c r="B7" s="522" t="s">
        <v>48</v>
      </c>
      <c r="C7" s="523"/>
      <c r="D7" s="523"/>
      <c r="E7" s="523"/>
      <c r="F7" s="524" t="s">
        <v>49</v>
      </c>
      <c r="G7" s="525"/>
      <c r="H7" s="525"/>
      <c r="I7" s="525"/>
      <c r="J7" s="526" t="s">
        <v>50</v>
      </c>
      <c r="K7" s="527"/>
      <c r="L7" s="405" t="s">
        <v>51</v>
      </c>
    </row>
    <row r="8" spans="1:12" ht="51.75" customHeight="1">
      <c r="A8" s="520"/>
      <c r="B8" s="406" t="s">
        <v>135</v>
      </c>
      <c r="C8" s="407" t="s">
        <v>53</v>
      </c>
      <c r="D8" s="407" t="s">
        <v>171</v>
      </c>
      <c r="E8" s="408" t="s">
        <v>40</v>
      </c>
      <c r="F8" s="409" t="s">
        <v>52</v>
      </c>
      <c r="G8" s="407" t="s">
        <v>53</v>
      </c>
      <c r="H8" s="407" t="s">
        <v>171</v>
      </c>
      <c r="I8" s="408" t="s">
        <v>40</v>
      </c>
      <c r="J8" s="410" t="s">
        <v>147</v>
      </c>
      <c r="K8" s="411" t="s">
        <v>148</v>
      </c>
      <c r="L8" s="412">
        <v>2010</v>
      </c>
    </row>
    <row r="9" spans="1:12" ht="13.5" thickBot="1">
      <c r="A9" s="521"/>
      <c r="B9" s="413" t="s">
        <v>22</v>
      </c>
      <c r="C9" s="414" t="s">
        <v>22</v>
      </c>
      <c r="D9" s="414" t="s">
        <v>22</v>
      </c>
      <c r="E9" s="415" t="s">
        <v>22</v>
      </c>
      <c r="F9" s="416" t="s">
        <v>54</v>
      </c>
      <c r="G9" s="414" t="s">
        <v>54</v>
      </c>
      <c r="H9" s="414" t="s">
        <v>54</v>
      </c>
      <c r="I9" s="415" t="s">
        <v>54</v>
      </c>
      <c r="J9" s="417" t="s">
        <v>55</v>
      </c>
      <c r="K9" s="418" t="s">
        <v>55</v>
      </c>
      <c r="L9" s="419"/>
    </row>
    <row r="10" spans="1:12" ht="18" customHeight="1">
      <c r="A10" s="236" t="str">
        <f>'2011 Rate Rider'!A7</f>
        <v>Residential</v>
      </c>
      <c r="B10" s="423">
        <f>0.0059+0.0016</f>
        <v>0.0075</v>
      </c>
      <c r="C10" s="424">
        <v>0.0065</v>
      </c>
      <c r="D10" s="424">
        <v>0.007</v>
      </c>
      <c r="E10" s="435">
        <f>SUM(B10:D10)</f>
        <v>0.020999999999999998</v>
      </c>
      <c r="F10" s="123">
        <v>0</v>
      </c>
      <c r="G10" s="124"/>
      <c r="H10" s="124"/>
      <c r="I10" s="125"/>
      <c r="J10" s="428">
        <v>0.065</v>
      </c>
      <c r="K10" s="429">
        <v>0.075</v>
      </c>
      <c r="L10" s="430">
        <v>1.043</v>
      </c>
    </row>
    <row r="11" spans="1:12" ht="18" customHeight="1">
      <c r="A11" s="236" t="str">
        <f>'2011 Rate Rider'!A8</f>
        <v>GS &lt; 50 kW</v>
      </c>
      <c r="B11" s="425">
        <f>0.0052+0.0014</f>
        <v>0.0066</v>
      </c>
      <c r="C11" s="424">
        <v>0.0065</v>
      </c>
      <c r="D11" s="424">
        <v>0.007</v>
      </c>
      <c r="E11" s="435">
        <f aca="true" t="shared" si="0" ref="E11:E16">SUM(B11:D11)</f>
        <v>0.0201</v>
      </c>
      <c r="F11" s="126">
        <v>0</v>
      </c>
      <c r="G11" s="125"/>
      <c r="H11" s="125"/>
      <c r="I11" s="125"/>
      <c r="J11" s="428">
        <v>0.065</v>
      </c>
      <c r="K11" s="429">
        <v>0.075</v>
      </c>
      <c r="L11" s="430">
        <v>1.043</v>
      </c>
    </row>
    <row r="12" spans="1:12" ht="22.5" customHeight="1">
      <c r="A12" s="236" t="str">
        <f>'2011 Rate Rider'!A9</f>
        <v>GS &gt;50</v>
      </c>
      <c r="B12" s="125"/>
      <c r="C12" s="424">
        <v>0.0065</v>
      </c>
      <c r="D12" s="424">
        <v>0.007</v>
      </c>
      <c r="E12" s="435">
        <f t="shared" si="0"/>
        <v>0.0135</v>
      </c>
      <c r="F12" s="427">
        <f>2.1686+0.5417</f>
        <v>2.7103</v>
      </c>
      <c r="G12" s="125"/>
      <c r="H12" s="125"/>
      <c r="I12" s="435">
        <f>SUM(F12:H12)</f>
        <v>2.7103</v>
      </c>
      <c r="J12" s="429">
        <v>0.065</v>
      </c>
      <c r="K12" s="429">
        <v>0.065</v>
      </c>
      <c r="L12" s="430">
        <v>1.043</v>
      </c>
    </row>
    <row r="13" spans="1:12" ht="14.25" customHeight="1" hidden="1">
      <c r="A13" s="236" t="str">
        <f>'2011 Rate Rider'!A10</f>
        <v>Large Use</v>
      </c>
      <c r="B13" s="125"/>
      <c r="C13" s="424"/>
      <c r="D13" s="424"/>
      <c r="E13" s="435">
        <f>SUM(B13:D13)</f>
        <v>0</v>
      </c>
      <c r="F13" s="427"/>
      <c r="G13" s="125"/>
      <c r="H13" s="125"/>
      <c r="I13" s="435">
        <f>SUM(F13:H13)</f>
        <v>0</v>
      </c>
      <c r="J13" s="431"/>
      <c r="K13" s="432"/>
      <c r="L13" s="433">
        <v>1.043</v>
      </c>
    </row>
    <row r="14" spans="1:12" ht="16.5" customHeight="1" hidden="1">
      <c r="A14" s="236" t="str">
        <f>'2011 Rate Rider'!A11</f>
        <v>Sentinel Lights</v>
      </c>
      <c r="B14" s="125"/>
      <c r="C14" s="424"/>
      <c r="D14" s="426"/>
      <c r="E14" s="435">
        <f t="shared" si="0"/>
        <v>0</v>
      </c>
      <c r="F14" s="427"/>
      <c r="G14" s="125"/>
      <c r="H14" s="125"/>
      <c r="I14" s="435">
        <f>SUM(F14:H14)</f>
        <v>0</v>
      </c>
      <c r="J14" s="431"/>
      <c r="K14" s="432"/>
      <c r="L14" s="433">
        <v>1.043</v>
      </c>
    </row>
    <row r="15" spans="1:12" ht="18" customHeight="1">
      <c r="A15" s="236" t="str">
        <f>'2011 Rate Rider'!A12</f>
        <v>Street Lighting</v>
      </c>
      <c r="B15" s="125"/>
      <c r="C15" s="424">
        <f>0.0052+0.0013</f>
        <v>0.0065</v>
      </c>
      <c r="D15" s="426">
        <v>0.007</v>
      </c>
      <c r="E15" s="435">
        <f t="shared" si="0"/>
        <v>0.0135</v>
      </c>
      <c r="F15" s="427">
        <f>1.6355+0.4187</f>
        <v>2.0542</v>
      </c>
      <c r="G15" s="125"/>
      <c r="H15" s="125"/>
      <c r="I15" s="435">
        <f>SUM(F15:H15)</f>
        <v>2.0542</v>
      </c>
      <c r="J15" s="429">
        <v>0.065</v>
      </c>
      <c r="K15" s="429">
        <v>0.075</v>
      </c>
      <c r="L15" s="430">
        <v>1.043</v>
      </c>
    </row>
    <row r="16" spans="1:12" ht="18" customHeight="1">
      <c r="A16" s="333" t="str">
        <f>'2011 Rate Rider'!A13</f>
        <v>USL</v>
      </c>
      <c r="B16" s="425">
        <f>0.0052+0.0014</f>
        <v>0.0066</v>
      </c>
      <c r="C16" s="424">
        <f>0.0052+0.0013</f>
        <v>0.0065</v>
      </c>
      <c r="D16" s="426">
        <v>0.007</v>
      </c>
      <c r="E16" s="435">
        <f t="shared" si="0"/>
        <v>0.0201</v>
      </c>
      <c r="F16" s="126">
        <v>0</v>
      </c>
      <c r="G16" s="125"/>
      <c r="H16" s="125"/>
      <c r="I16" s="125"/>
      <c r="J16" s="428">
        <v>0.065</v>
      </c>
      <c r="K16" s="429">
        <v>0.075</v>
      </c>
      <c r="L16" s="430">
        <v>1.043</v>
      </c>
    </row>
    <row r="17" spans="1:12" ht="18" customHeight="1">
      <c r="A17" s="287"/>
      <c r="B17" s="289"/>
      <c r="C17" s="290"/>
      <c r="D17" s="291"/>
      <c r="E17" s="288"/>
      <c r="F17" s="292"/>
      <c r="G17" s="292"/>
      <c r="H17" s="292"/>
      <c r="I17" s="292"/>
      <c r="J17" s="290"/>
      <c r="K17" s="290"/>
      <c r="L17" s="290"/>
    </row>
    <row r="18" spans="1:12" ht="18" customHeight="1">
      <c r="A18" s="287"/>
      <c r="B18" s="289"/>
      <c r="C18" s="290"/>
      <c r="D18" s="291"/>
      <c r="E18" s="288"/>
      <c r="F18" s="292"/>
      <c r="G18" s="292"/>
      <c r="H18" s="292"/>
      <c r="I18" s="292"/>
      <c r="J18" s="290"/>
      <c r="K18" s="290"/>
      <c r="L18" s="290"/>
    </row>
    <row r="19" spans="1:12" ht="15">
      <c r="A19" s="26"/>
      <c r="B19" s="27"/>
      <c r="E19" s="28"/>
      <c r="I19" s="28"/>
      <c r="J19" s="28"/>
      <c r="K19" s="28"/>
      <c r="L19" s="25"/>
    </row>
    <row r="20" spans="1:12" ht="21" thickBot="1">
      <c r="A20" s="528" t="s">
        <v>238</v>
      </c>
      <c r="B20" s="528"/>
      <c r="C20" s="528"/>
      <c r="D20" s="528"/>
      <c r="E20" s="528"/>
      <c r="F20" s="528"/>
      <c r="G20" s="528"/>
      <c r="H20" s="528"/>
      <c r="I20" s="528"/>
      <c r="J20" s="528"/>
      <c r="K20" s="528"/>
      <c r="L20" s="528"/>
    </row>
    <row r="21" spans="1:12" ht="54">
      <c r="A21" s="519" t="s">
        <v>0</v>
      </c>
      <c r="B21" s="522" t="s">
        <v>48</v>
      </c>
      <c r="C21" s="523"/>
      <c r="D21" s="523"/>
      <c r="E21" s="523"/>
      <c r="F21" s="524" t="s">
        <v>49</v>
      </c>
      <c r="G21" s="525"/>
      <c r="H21" s="525"/>
      <c r="I21" s="525"/>
      <c r="J21" s="526" t="s">
        <v>50</v>
      </c>
      <c r="K21" s="527"/>
      <c r="L21" s="405" t="s">
        <v>51</v>
      </c>
    </row>
    <row r="22" spans="1:12" ht="51">
      <c r="A22" s="520"/>
      <c r="B22" s="406" t="s">
        <v>135</v>
      </c>
      <c r="C22" s="407" t="s">
        <v>53</v>
      </c>
      <c r="D22" s="407" t="s">
        <v>171</v>
      </c>
      <c r="E22" s="408" t="s">
        <v>40</v>
      </c>
      <c r="F22" s="409" t="s">
        <v>52</v>
      </c>
      <c r="G22" s="407" t="s">
        <v>53</v>
      </c>
      <c r="H22" s="407" t="s">
        <v>171</v>
      </c>
      <c r="I22" s="408" t="s">
        <v>40</v>
      </c>
      <c r="J22" s="420" t="s">
        <v>147</v>
      </c>
      <c r="K22" s="421" t="s">
        <v>148</v>
      </c>
      <c r="L22" s="412">
        <v>2011</v>
      </c>
    </row>
    <row r="23" spans="1:12" ht="13.5" thickBot="1">
      <c r="A23" s="521"/>
      <c r="B23" s="413" t="s">
        <v>22</v>
      </c>
      <c r="C23" s="414" t="s">
        <v>22</v>
      </c>
      <c r="D23" s="414" t="s">
        <v>22</v>
      </c>
      <c r="E23" s="415" t="s">
        <v>22</v>
      </c>
      <c r="F23" s="416" t="s">
        <v>54</v>
      </c>
      <c r="G23" s="414" t="s">
        <v>54</v>
      </c>
      <c r="H23" s="414" t="s">
        <v>54</v>
      </c>
      <c r="I23" s="415" t="s">
        <v>54</v>
      </c>
      <c r="J23" s="422" t="s">
        <v>55</v>
      </c>
      <c r="K23" s="418" t="s">
        <v>55</v>
      </c>
      <c r="L23" s="419"/>
    </row>
    <row r="24" spans="1:12" ht="15.75">
      <c r="A24" s="236" t="str">
        <f>A10</f>
        <v>Residential</v>
      </c>
      <c r="B24" s="423">
        <f>'[8]E1.1 Adj Network to Fcst Whsl'!$S$22+'[8]E1.2 Adj Conn to Fcst Whsl'!$S$22</f>
        <v>0.006917659869882344</v>
      </c>
      <c r="C24" s="424">
        <f>0.0052+0.0013</f>
        <v>0.0065</v>
      </c>
      <c r="D24" s="424">
        <v>0.007</v>
      </c>
      <c r="E24" s="435">
        <f aca="true" t="shared" si="1" ref="E24:E30">SUM(B24:D24)</f>
        <v>0.020417659869882344</v>
      </c>
      <c r="F24" s="123">
        <v>0</v>
      </c>
      <c r="G24" s="124"/>
      <c r="H24" s="124"/>
      <c r="I24" s="125"/>
      <c r="J24" s="428">
        <v>0.065</v>
      </c>
      <c r="K24" s="429">
        <v>0.075</v>
      </c>
      <c r="L24" s="430">
        <v>1.043</v>
      </c>
    </row>
    <row r="25" spans="1:12" ht="15.75">
      <c r="A25" s="236" t="str">
        <f aca="true" t="shared" si="2" ref="A25:A30">A11</f>
        <v>GS &lt; 50 kW</v>
      </c>
      <c r="B25" s="425">
        <f>'[8]E1.1 Adj Network to Fcst Whsl'!$S$23+'[8]E1.2 Adj Conn to Fcst Whsl'!$S$23</f>
        <v>0.006087494307772416</v>
      </c>
      <c r="C25" s="424">
        <f>0.0052+0.0013</f>
        <v>0.0065</v>
      </c>
      <c r="D25" s="424">
        <v>0.007</v>
      </c>
      <c r="E25" s="435">
        <f t="shared" si="1"/>
        <v>0.019587494307772416</v>
      </c>
      <c r="F25" s="126">
        <v>0</v>
      </c>
      <c r="G25" s="125"/>
      <c r="H25" s="125"/>
      <c r="I25" s="125"/>
      <c r="J25" s="428">
        <v>0.065</v>
      </c>
      <c r="K25" s="429">
        <v>0.075</v>
      </c>
      <c r="L25" s="430">
        <v>1.043</v>
      </c>
    </row>
    <row r="26" spans="1:12" ht="22.5" customHeight="1">
      <c r="A26" s="236" t="str">
        <f t="shared" si="2"/>
        <v>GS &gt;50</v>
      </c>
      <c r="B26" s="125"/>
      <c r="C26" s="424">
        <f>0.0052+0.0013</f>
        <v>0.0065</v>
      </c>
      <c r="D26" s="424">
        <v>0.007</v>
      </c>
      <c r="E26" s="435">
        <f t="shared" si="1"/>
        <v>0.0135</v>
      </c>
      <c r="F26" s="427">
        <f>'[8]E1.1 Adj Network to Fcst Whsl'!$S$24+'[8]E1.2 Adj Conn to Fcst Whsl'!$S$24</f>
        <v>2.4996462231388983</v>
      </c>
      <c r="G26" s="125"/>
      <c r="H26" s="125"/>
      <c r="I26" s="435">
        <f>SUM(F26:H26)</f>
        <v>2.4996462231388983</v>
      </c>
      <c r="J26" s="429">
        <v>0.065</v>
      </c>
      <c r="K26" s="429">
        <v>0.065</v>
      </c>
      <c r="L26" s="430">
        <v>1.043</v>
      </c>
    </row>
    <row r="27" spans="1:15" ht="11.25" customHeight="1" hidden="1">
      <c r="A27" s="236" t="str">
        <f t="shared" si="2"/>
        <v>Large Use</v>
      </c>
      <c r="B27" s="125"/>
      <c r="C27" s="424"/>
      <c r="D27" s="424"/>
      <c r="E27" s="435">
        <f t="shared" si="1"/>
        <v>0</v>
      </c>
      <c r="F27" s="427"/>
      <c r="G27" s="125"/>
      <c r="H27" s="125"/>
      <c r="I27" s="435">
        <f>SUM(F27:H27)</f>
        <v>0</v>
      </c>
      <c r="J27" s="433"/>
      <c r="K27" s="434"/>
      <c r="L27" s="433">
        <v>1.043</v>
      </c>
      <c r="O27" s="25"/>
    </row>
    <row r="28" spans="1:12" ht="15.75" customHeight="1" hidden="1">
      <c r="A28" s="236" t="str">
        <f t="shared" si="2"/>
        <v>Sentinel Lights</v>
      </c>
      <c r="B28" s="125"/>
      <c r="C28" s="424"/>
      <c r="D28" s="426"/>
      <c r="E28" s="435">
        <f t="shared" si="1"/>
        <v>0</v>
      </c>
      <c r="F28" s="427"/>
      <c r="G28" s="125"/>
      <c r="H28" s="125"/>
      <c r="I28" s="435">
        <f>SUM(F28:H28)</f>
        <v>0</v>
      </c>
      <c r="J28" s="433"/>
      <c r="K28" s="434"/>
      <c r="L28" s="433">
        <v>1.043</v>
      </c>
    </row>
    <row r="29" spans="1:12" ht="15.75">
      <c r="A29" s="236" t="str">
        <f t="shared" si="2"/>
        <v>Street Lighting</v>
      </c>
      <c r="B29" s="125"/>
      <c r="C29" s="424">
        <f>0.0052+0.0013</f>
        <v>0.0065</v>
      </c>
      <c r="D29" s="426">
        <v>0.007</v>
      </c>
      <c r="E29" s="435">
        <f t="shared" si="1"/>
        <v>0.0135</v>
      </c>
      <c r="F29" s="427">
        <f>'[8]E1.1 Adj Network to Fcst Whsl'!$S$26+'[8]E1.2 Adj Conn to Fcst Whsl'!$S$26</f>
        <v>1.8945877048742916</v>
      </c>
      <c r="G29" s="125"/>
      <c r="H29" s="125"/>
      <c r="I29" s="435">
        <f>SUM(F29:H29)</f>
        <v>1.8945877048742916</v>
      </c>
      <c r="J29" s="429">
        <v>0.065</v>
      </c>
      <c r="K29" s="429">
        <v>0.075</v>
      </c>
      <c r="L29" s="430">
        <v>1.043</v>
      </c>
    </row>
    <row r="30" spans="1:12" ht="15.75">
      <c r="A30" s="333" t="str">
        <f t="shared" si="2"/>
        <v>USL</v>
      </c>
      <c r="B30" s="425">
        <f>'[8]E1.1 Adj Network to Fcst Whsl'!$S$25+'[8]E1.2 Adj Conn to Fcst Whsl'!$S$25</f>
        <v>0.006087494307772416</v>
      </c>
      <c r="C30" s="424">
        <f>0.0052+0.0013</f>
        <v>0.0065</v>
      </c>
      <c r="D30" s="426">
        <v>0.007</v>
      </c>
      <c r="E30" s="435">
        <f t="shared" si="1"/>
        <v>0.019587494307772416</v>
      </c>
      <c r="F30" s="126">
        <v>0</v>
      </c>
      <c r="G30" s="125"/>
      <c r="H30" s="125"/>
      <c r="I30" s="125"/>
      <c r="J30" s="428">
        <v>0.065</v>
      </c>
      <c r="K30" s="429">
        <v>0.075</v>
      </c>
      <c r="L30" s="430">
        <v>1.043</v>
      </c>
    </row>
    <row r="31" ht="12.75">
      <c r="E31" s="2"/>
    </row>
    <row r="34" ht="12.75">
      <c r="A34" s="66"/>
    </row>
  </sheetData>
  <sheetProtection/>
  <mergeCells count="15">
    <mergeCell ref="A21:A23"/>
    <mergeCell ref="B21:E21"/>
    <mergeCell ref="F21:I21"/>
    <mergeCell ref="J21:K21"/>
    <mergeCell ref="A1:L1"/>
    <mergeCell ref="A2:L2"/>
    <mergeCell ref="A3:L3"/>
    <mergeCell ref="A4:L4"/>
    <mergeCell ref="A5:L5"/>
    <mergeCell ref="A7:A9"/>
    <mergeCell ref="B7:E7"/>
    <mergeCell ref="F7:I7"/>
    <mergeCell ref="J7:K7"/>
    <mergeCell ref="A6:L6"/>
    <mergeCell ref="A20:L20"/>
  </mergeCells>
  <printOptions/>
  <pageMargins left="0.75" right="0.75" top="1" bottom="1" header="0.5" footer="0.5"/>
  <pageSetup fitToHeight="1" fitToWidth="1" horizontalDpi="355" verticalDpi="355" orientation="landscape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7"/>
  <sheetViews>
    <sheetView zoomScale="85" zoomScaleNormal="85" zoomScalePageLayoutView="0" workbookViewId="0" topLeftCell="A1">
      <selection activeCell="M111" sqref="M111"/>
    </sheetView>
  </sheetViews>
  <sheetFormatPr defaultColWidth="9.140625" defaultRowHeight="12.75"/>
  <cols>
    <col min="2" max="2" width="1.57421875" style="0" customWidth="1"/>
    <col min="3" max="3" width="18.57421875" style="0" customWidth="1"/>
    <col min="4" max="4" width="15.8515625" style="0" customWidth="1"/>
    <col min="5" max="5" width="1.28515625" style="0" customWidth="1"/>
    <col min="6" max="6" width="34.00390625" style="0" customWidth="1"/>
    <col min="7" max="7" width="10.8515625" style="0" bestFit="1" customWidth="1"/>
    <col min="8" max="8" width="9.57421875" style="0" bestFit="1" customWidth="1"/>
    <col min="9" max="9" width="13.7109375" style="0" bestFit="1" customWidth="1"/>
    <col min="10" max="10" width="10.8515625" style="0" bestFit="1" customWidth="1"/>
    <col min="11" max="11" width="9.57421875" style="0" bestFit="1" customWidth="1"/>
    <col min="12" max="12" width="14.7109375" style="0" bestFit="1" customWidth="1"/>
    <col min="13" max="13" width="13.421875" style="0" bestFit="1" customWidth="1"/>
    <col min="14" max="14" width="10.8515625" style="0" bestFit="1" customWidth="1"/>
    <col min="15" max="15" width="13.8515625" style="0" bestFit="1" customWidth="1"/>
    <col min="16" max="16" width="1.57421875" style="0" customWidth="1"/>
  </cols>
  <sheetData>
    <row r="1" spans="1:15" ht="12.75">
      <c r="A1" s="60"/>
      <c r="B1" s="478">
        <f>+'Revenue Input'!A1</f>
        <v>0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</row>
    <row r="2" spans="1:15" ht="12.75">
      <c r="A2" s="60"/>
      <c r="B2" s="478" t="str">
        <f>+'Revenue Input'!A2</f>
        <v>, License Number , File Number </v>
      </c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</row>
    <row r="3" spans="1:15" ht="12.75">
      <c r="A3" s="60"/>
      <c r="B3" s="478">
        <f>+'Revenue Input'!A3</f>
        <v>0</v>
      </c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</row>
    <row r="4" spans="1:15" ht="12.75">
      <c r="A4" s="60"/>
      <c r="B4" s="8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</row>
    <row r="5" spans="1:15" ht="20.25">
      <c r="A5" s="60"/>
      <c r="B5" s="8"/>
      <c r="C5" s="509" t="s">
        <v>182</v>
      </c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</row>
    <row r="6" spans="1:15" ht="18">
      <c r="A6" s="60"/>
      <c r="B6" s="8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</row>
    <row r="7" spans="1:15" ht="18" customHeight="1" thickBot="1">
      <c r="A7" s="60"/>
      <c r="B7" s="479"/>
      <c r="C7" s="479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</row>
    <row r="8" spans="2:16" ht="21.75" customHeight="1">
      <c r="B8" s="135"/>
      <c r="C8" s="549" t="s">
        <v>47</v>
      </c>
      <c r="D8" s="549"/>
      <c r="E8" s="549"/>
      <c r="F8" s="549"/>
      <c r="G8" s="549"/>
      <c r="H8" s="549"/>
      <c r="I8" s="549"/>
      <c r="J8" s="549"/>
      <c r="K8" s="549"/>
      <c r="L8" s="549"/>
      <c r="M8" s="549"/>
      <c r="N8" s="549"/>
      <c r="O8" s="549"/>
      <c r="P8" s="127"/>
    </row>
    <row r="9" spans="2:16" ht="21.75" customHeight="1" thickBot="1">
      <c r="B9" s="133"/>
      <c r="C9" s="550"/>
      <c r="D9" s="550"/>
      <c r="E9" s="550"/>
      <c r="F9" s="550"/>
      <c r="G9" s="550"/>
      <c r="H9" s="550"/>
      <c r="I9" s="550"/>
      <c r="J9" s="550"/>
      <c r="K9" s="550"/>
      <c r="L9" s="550"/>
      <c r="M9" s="550"/>
      <c r="N9" s="550"/>
      <c r="O9" s="550"/>
      <c r="P9" s="128"/>
    </row>
    <row r="10" spans="2:16" ht="21.75" customHeight="1" thickBot="1">
      <c r="B10" s="133"/>
      <c r="C10" s="134"/>
      <c r="D10" s="134"/>
      <c r="E10" s="31"/>
      <c r="F10" s="37"/>
      <c r="G10" s="529" t="s">
        <v>198</v>
      </c>
      <c r="H10" s="530"/>
      <c r="I10" s="531"/>
      <c r="J10" s="529" t="s">
        <v>239</v>
      </c>
      <c r="K10" s="530"/>
      <c r="L10" s="531"/>
      <c r="M10" s="529" t="s">
        <v>72</v>
      </c>
      <c r="N10" s="530"/>
      <c r="O10" s="531"/>
      <c r="P10" s="128"/>
    </row>
    <row r="11" spans="2:16" ht="26.25" thickBot="1">
      <c r="B11" s="133"/>
      <c r="C11" s="31"/>
      <c r="D11" s="31"/>
      <c r="E11" s="33"/>
      <c r="F11" s="38"/>
      <c r="G11" s="338" t="s">
        <v>66</v>
      </c>
      <c r="H11" s="339" t="s">
        <v>67</v>
      </c>
      <c r="I11" s="340" t="s">
        <v>68</v>
      </c>
      <c r="J11" s="338" t="s">
        <v>66</v>
      </c>
      <c r="K11" s="339" t="s">
        <v>67</v>
      </c>
      <c r="L11" s="340" t="s">
        <v>68</v>
      </c>
      <c r="M11" s="341" t="s">
        <v>73</v>
      </c>
      <c r="N11" s="342" t="s">
        <v>74</v>
      </c>
      <c r="O11" s="343" t="s">
        <v>75</v>
      </c>
      <c r="P11" s="128"/>
    </row>
    <row r="12" spans="2:16" ht="21.75" customHeight="1" thickBot="1">
      <c r="B12" s="133"/>
      <c r="C12" s="532" t="s">
        <v>69</v>
      </c>
      <c r="D12" s="533"/>
      <c r="E12" s="31"/>
      <c r="F12" s="155" t="s">
        <v>70</v>
      </c>
      <c r="G12" s="165"/>
      <c r="H12" s="166"/>
      <c r="I12" s="167">
        <f>+'2010 Existing Rates'!$C$8</f>
        <v>13.53</v>
      </c>
      <c r="J12" s="165"/>
      <c r="K12" s="166"/>
      <c r="L12" s="170">
        <f>'Rate Schedule (Part 1)'!$E$12</f>
        <v>19.86</v>
      </c>
      <c r="M12" s="175">
        <f aca="true" t="shared" si="0" ref="M12:M18">+L12-I12</f>
        <v>6.33</v>
      </c>
      <c r="N12" s="176">
        <f aca="true" t="shared" si="1" ref="N12:N19">+M12/I12</f>
        <v>0.46784922394678496</v>
      </c>
      <c r="O12" s="177">
        <f>L12/L29</f>
        <v>0.5289818681354599</v>
      </c>
      <c r="P12" s="128"/>
    </row>
    <row r="13" spans="2:16" ht="21.75" customHeight="1" thickBot="1">
      <c r="B13" s="133"/>
      <c r="C13" s="344">
        <v>100</v>
      </c>
      <c r="D13" s="345" t="s">
        <v>16</v>
      </c>
      <c r="E13" s="31"/>
      <c r="F13" s="156" t="s">
        <v>71</v>
      </c>
      <c r="G13" s="159">
        <f>+C13</f>
        <v>100</v>
      </c>
      <c r="H13" s="153">
        <f>'2010 Existing Rates'!$B$53</f>
        <v>0.0099</v>
      </c>
      <c r="I13" s="168">
        <f>+G13*H13</f>
        <v>0.9900000000000001</v>
      </c>
      <c r="J13" s="159">
        <f>+C13</f>
        <v>100</v>
      </c>
      <c r="K13" s="152">
        <f>'Rate Schedule (Part 1)'!$E$13</f>
        <v>0.0145</v>
      </c>
      <c r="L13" s="171">
        <f>+J13*K13</f>
        <v>1.4500000000000002</v>
      </c>
      <c r="M13" s="178">
        <f t="shared" si="0"/>
        <v>0.4600000000000001</v>
      </c>
      <c r="N13" s="172">
        <f t="shared" si="1"/>
        <v>0.4646464646464647</v>
      </c>
      <c r="O13" s="179">
        <f>L13/L29</f>
        <v>0.03862153619317306</v>
      </c>
      <c r="P13" s="128"/>
    </row>
    <row r="14" spans="2:16" ht="21.75" customHeight="1" hidden="1">
      <c r="B14" s="133"/>
      <c r="C14" s="63"/>
      <c r="D14" s="358"/>
      <c r="E14" s="31"/>
      <c r="P14" s="128"/>
    </row>
    <row r="15" spans="2:16" ht="21.75" customHeight="1">
      <c r="B15" s="133"/>
      <c r="C15" s="63"/>
      <c r="D15" s="358"/>
      <c r="E15" s="31"/>
      <c r="F15" s="156" t="s">
        <v>277</v>
      </c>
      <c r="G15" s="174"/>
      <c r="H15" s="153">
        <v>1</v>
      </c>
      <c r="I15" s="168">
        <v>1</v>
      </c>
      <c r="J15" s="174"/>
      <c r="K15" s="152">
        <f>'[9]8. Smart Meter Rate  Adder'!$C$20</f>
        <v>0.0898917624704141</v>
      </c>
      <c r="L15" s="171">
        <f>K15</f>
        <v>0.0898917624704141</v>
      </c>
      <c r="M15" s="178">
        <f t="shared" si="0"/>
        <v>-0.9101082375295859</v>
      </c>
      <c r="N15" s="172">
        <f t="shared" si="1"/>
        <v>-0.9101082375295859</v>
      </c>
      <c r="O15" s="179">
        <f>L15/L29</f>
        <v>0.0023943158329098025</v>
      </c>
      <c r="P15" s="128"/>
    </row>
    <row r="16" spans="2:16" ht="21.75" customHeight="1">
      <c r="B16" s="133"/>
      <c r="C16" s="63"/>
      <c r="D16" s="64"/>
      <c r="E16" s="31"/>
      <c r="F16" s="156" t="s">
        <v>169</v>
      </c>
      <c r="G16" s="174"/>
      <c r="H16" s="173"/>
      <c r="I16" s="168">
        <v>0</v>
      </c>
      <c r="J16" s="174"/>
      <c r="K16" s="173"/>
      <c r="L16" s="171">
        <f>'[7]Recovery of Smart Meter Costs'!$C$21</f>
        <v>2.0941673818332727</v>
      </c>
      <c r="M16" s="178">
        <f t="shared" si="0"/>
        <v>2.0941673818332727</v>
      </c>
      <c r="N16" s="172">
        <v>1</v>
      </c>
      <c r="O16" s="179">
        <f>L16/L29</f>
        <v>0.05577928367726634</v>
      </c>
      <c r="P16" s="128"/>
    </row>
    <row r="17" spans="2:16" ht="21.75" customHeight="1" hidden="1">
      <c r="B17" s="133"/>
      <c r="C17" s="63"/>
      <c r="D17" s="64"/>
      <c r="E17" s="31"/>
      <c r="P17" s="128"/>
    </row>
    <row r="18" spans="2:16" ht="21.75" customHeight="1" thickBot="1">
      <c r="B18" s="133"/>
      <c r="C18" s="31"/>
      <c r="D18" s="31"/>
      <c r="E18" s="31"/>
      <c r="F18" s="157" t="s">
        <v>240</v>
      </c>
      <c r="G18" s="180">
        <f>+C13</f>
        <v>100</v>
      </c>
      <c r="H18" s="181">
        <f>+'2010 Existing Rates'!$B$19</f>
        <v>0</v>
      </c>
      <c r="I18" s="164">
        <f>+G18*H18</f>
        <v>0</v>
      </c>
      <c r="J18" s="180">
        <f>+C13</f>
        <v>100</v>
      </c>
      <c r="K18" s="181">
        <f>'Rate Schedule (Part 1)'!$E$18</f>
        <v>-0.0015721359195805511</v>
      </c>
      <c r="L18" s="182">
        <f>+J18*K18</f>
        <v>-0.15721359195805512</v>
      </c>
      <c r="M18" s="178">
        <f t="shared" si="0"/>
        <v>-0.15721359195805512</v>
      </c>
      <c r="N18" s="172">
        <v>-1</v>
      </c>
      <c r="O18" s="179">
        <f>L18/L29</f>
        <v>-0.004187469263356391</v>
      </c>
      <c r="P18" s="128"/>
    </row>
    <row r="19" spans="2:16" ht="21.75" customHeight="1" thickBot="1">
      <c r="B19" s="133"/>
      <c r="C19" s="31"/>
      <c r="D19" s="31"/>
      <c r="E19" s="31"/>
      <c r="F19" s="189" t="s">
        <v>242</v>
      </c>
      <c r="G19" s="534"/>
      <c r="H19" s="535"/>
      <c r="I19" s="191">
        <f>SUM(I12:I18)</f>
        <v>15.52</v>
      </c>
      <c r="J19" s="534"/>
      <c r="K19" s="535"/>
      <c r="L19" s="191">
        <f>SUM(L12:L18)</f>
        <v>23.336845552345633</v>
      </c>
      <c r="M19" s="193">
        <f>SUM(M12:M18)</f>
        <v>7.816845552345632</v>
      </c>
      <c r="N19" s="194">
        <f t="shared" si="1"/>
        <v>0.5036627288882495</v>
      </c>
      <c r="O19" s="196">
        <f>L19/L29</f>
        <v>0.6215895345754527</v>
      </c>
      <c r="P19" s="128"/>
    </row>
    <row r="20" spans="2:16" ht="21.75" customHeight="1" thickBot="1">
      <c r="B20" s="133"/>
      <c r="C20" s="31"/>
      <c r="D20" s="31"/>
      <c r="E20" s="31"/>
      <c r="F20" s="156" t="s">
        <v>243</v>
      </c>
      <c r="G20" s="295">
        <f>C13*'Other Electriciy Rates'!$L$10</f>
        <v>104.3</v>
      </c>
      <c r="H20" s="296">
        <f>'Other Electriciy Rates'!$B$10</f>
        <v>0.0075</v>
      </c>
      <c r="I20" s="168">
        <f>+G20*H20</f>
        <v>0.78225</v>
      </c>
      <c r="J20" s="295">
        <f>'BILL IMPACTS'!C13*'Other Electriciy Rates'!$L$24</f>
        <v>104.3</v>
      </c>
      <c r="K20" s="296">
        <f>'Other Electriciy Rates'!$B$24</f>
        <v>0.006917659869882344</v>
      </c>
      <c r="L20" s="168">
        <f>+J20*K20</f>
        <v>0.7215119244287285</v>
      </c>
      <c r="M20" s="297">
        <f>+L20-I20</f>
        <v>-0.06073807557127153</v>
      </c>
      <c r="N20" s="176">
        <f aca="true" t="shared" si="2" ref="N20:N29">+M20/I20</f>
        <v>-0.07764535068235415</v>
      </c>
      <c r="O20" s="177">
        <f>L20/L29</f>
        <v>0.0192178613125035</v>
      </c>
      <c r="P20" s="128"/>
    </row>
    <row r="21" spans="2:16" ht="21.75" customHeight="1" thickBot="1">
      <c r="B21" s="133"/>
      <c r="C21" s="31"/>
      <c r="D21" s="31"/>
      <c r="E21" s="31"/>
      <c r="F21" s="189" t="s">
        <v>244</v>
      </c>
      <c r="G21" s="534"/>
      <c r="H21" s="535"/>
      <c r="I21" s="191">
        <f>I19+I20</f>
        <v>16.30225</v>
      </c>
      <c r="J21" s="534"/>
      <c r="K21" s="535"/>
      <c r="L21" s="191">
        <f>L19+L20</f>
        <v>24.05835747677436</v>
      </c>
      <c r="M21" s="193">
        <f>M19+M20</f>
        <v>7.7561074767743605</v>
      </c>
      <c r="N21" s="194">
        <f t="shared" si="2"/>
        <v>0.4757691408716196</v>
      </c>
      <c r="O21" s="294">
        <f>L21/L29</f>
        <v>0.6408073958879562</v>
      </c>
      <c r="P21" s="128"/>
    </row>
    <row r="22" spans="2:16" ht="21.75" customHeight="1">
      <c r="B22" s="133"/>
      <c r="C22" s="31"/>
      <c r="D22" s="31"/>
      <c r="E22" s="31"/>
      <c r="F22" s="158" t="s">
        <v>284</v>
      </c>
      <c r="G22" s="160">
        <f>+'Other Electriciy Rates'!$L$10*C13</f>
        <v>104.3</v>
      </c>
      <c r="H22" s="161">
        <f>'Other Electriciy Rates'!$C$10</f>
        <v>0.0065</v>
      </c>
      <c r="I22" s="162">
        <f>+G22*H22</f>
        <v>0.6779499999999999</v>
      </c>
      <c r="J22" s="160">
        <f>J20</f>
        <v>104.3</v>
      </c>
      <c r="K22" s="161">
        <f>'Other Electriciy Rates'!$C$24</f>
        <v>0.0065</v>
      </c>
      <c r="L22" s="185">
        <f>+J22*K22</f>
        <v>0.6779499999999999</v>
      </c>
      <c r="M22" s="186">
        <f>+L22-I22</f>
        <v>0</v>
      </c>
      <c r="N22" s="187">
        <f t="shared" si="2"/>
        <v>0</v>
      </c>
      <c r="O22" s="177">
        <f>L22/L29</f>
        <v>0.018057565835973566</v>
      </c>
      <c r="P22" s="128"/>
    </row>
    <row r="23" spans="2:16" ht="21.75" customHeight="1">
      <c r="B23" s="133"/>
      <c r="C23" s="31"/>
      <c r="D23" s="31"/>
      <c r="E23" s="31"/>
      <c r="F23" s="158" t="s">
        <v>285</v>
      </c>
      <c r="G23" s="160">
        <v>100</v>
      </c>
      <c r="H23" s="161">
        <f>+'Other Electriciy Rates'!$D$10</f>
        <v>0.007</v>
      </c>
      <c r="I23" s="162">
        <f>+G23*H23</f>
        <v>0.7000000000000001</v>
      </c>
      <c r="J23" s="160">
        <v>100</v>
      </c>
      <c r="K23" s="161">
        <f>+'Other Electriciy Rates'!$D$24</f>
        <v>0.007</v>
      </c>
      <c r="L23" s="185">
        <f>+J23*K23</f>
        <v>0.7000000000000001</v>
      </c>
      <c r="M23" s="186">
        <f>+L23-I23</f>
        <v>0</v>
      </c>
      <c r="N23" s="187">
        <f t="shared" si="2"/>
        <v>0</v>
      </c>
      <c r="O23" s="465">
        <f>L23/L29</f>
        <v>0.018644879541531822</v>
      </c>
      <c r="P23" s="128"/>
    </row>
    <row r="24" spans="2:16" ht="21.75" customHeight="1">
      <c r="B24" s="133"/>
      <c r="C24" s="31"/>
      <c r="D24" s="31"/>
      <c r="E24" s="31"/>
      <c r="F24" s="156" t="s">
        <v>267</v>
      </c>
      <c r="G24" s="159">
        <f>G13</f>
        <v>100</v>
      </c>
      <c r="H24" s="153">
        <f>'2010 Existing Rates'!$B$30</f>
        <v>0</v>
      </c>
      <c r="I24" s="168">
        <f>+G24*H24</f>
        <v>0</v>
      </c>
      <c r="J24" s="174"/>
      <c r="K24" s="152">
        <v>0.25</v>
      </c>
      <c r="L24" s="171">
        <v>0.25</v>
      </c>
      <c r="M24" s="178">
        <f>+L24-I24</f>
        <v>0.25</v>
      </c>
      <c r="N24" s="172">
        <v>1</v>
      </c>
      <c r="O24" s="179">
        <f>L24/L29</f>
        <v>0.006658885550547078</v>
      </c>
      <c r="P24" s="128"/>
    </row>
    <row r="25" spans="2:16" ht="21.75" customHeight="1">
      <c r="B25" s="133"/>
      <c r="C25" s="31"/>
      <c r="D25" s="31"/>
      <c r="E25" s="31"/>
      <c r="F25" s="156" t="s">
        <v>275</v>
      </c>
      <c r="G25" s="159">
        <f>C13</f>
        <v>100</v>
      </c>
      <c r="H25" s="153">
        <v>0.000373</v>
      </c>
      <c r="I25" s="164">
        <f>+G25*H25</f>
        <v>0.0373</v>
      </c>
      <c r="J25" s="159">
        <f>C13</f>
        <v>100</v>
      </c>
      <c r="K25" s="153">
        <v>0.000373</v>
      </c>
      <c r="L25" s="171">
        <f>J25*K25</f>
        <v>0.0373</v>
      </c>
      <c r="M25" s="178">
        <f>+L25-I25</f>
        <v>0</v>
      </c>
      <c r="N25" s="172">
        <f>+M25/I25</f>
        <v>0</v>
      </c>
      <c r="O25" s="179">
        <f>L25/L29</f>
        <v>0.000993505724141624</v>
      </c>
      <c r="P25" s="128"/>
    </row>
    <row r="26" spans="2:16" ht="21.75" customHeight="1" thickBot="1">
      <c r="B26" s="133"/>
      <c r="C26" s="31"/>
      <c r="D26" s="31"/>
      <c r="E26" s="31"/>
      <c r="F26" s="156" t="s">
        <v>77</v>
      </c>
      <c r="G26" s="169">
        <f>+'Other Electriciy Rates'!$L$10*C13</f>
        <v>104.3</v>
      </c>
      <c r="H26" s="163">
        <f>'Other Electriciy Rates'!$J$10</f>
        <v>0.065</v>
      </c>
      <c r="I26" s="164">
        <f>+G26*H26</f>
        <v>6.7795</v>
      </c>
      <c r="J26" s="169">
        <f>J22</f>
        <v>104.3</v>
      </c>
      <c r="K26" s="163">
        <f>'Other Electriciy Rates'!$J$24</f>
        <v>0.065</v>
      </c>
      <c r="L26" s="182">
        <f>+J26*K26</f>
        <v>6.7795</v>
      </c>
      <c r="M26" s="183">
        <f>+L26-I26</f>
        <v>0</v>
      </c>
      <c r="N26" s="184">
        <f t="shared" si="2"/>
        <v>0</v>
      </c>
      <c r="O26" s="197">
        <f>L26/L29</f>
        <v>0.18057565835973566</v>
      </c>
      <c r="P26" s="128"/>
    </row>
    <row r="27" spans="2:16" ht="21.75" customHeight="1" thickBot="1">
      <c r="B27" s="133"/>
      <c r="C27" s="31"/>
      <c r="D27" s="31"/>
      <c r="E27" s="31"/>
      <c r="F27" s="189" t="s">
        <v>194</v>
      </c>
      <c r="G27" s="534"/>
      <c r="H27" s="535"/>
      <c r="I27" s="191">
        <f>SUM(I20:I26)</f>
        <v>25.279249999999998</v>
      </c>
      <c r="J27" s="534"/>
      <c r="K27" s="535"/>
      <c r="L27" s="191">
        <f>SUM(L20:L26)</f>
        <v>33.224619401203086</v>
      </c>
      <c r="M27" s="191">
        <f>M21+M22+M26+M25</f>
        <v>7.7561074767743605</v>
      </c>
      <c r="N27" s="194">
        <f t="shared" si="2"/>
        <v>0.3068171514888441</v>
      </c>
      <c r="O27" s="196">
        <f>L27/L29</f>
        <v>0.8849557522123894</v>
      </c>
      <c r="P27" s="245"/>
    </row>
    <row r="28" spans="2:16" ht="21.75" customHeight="1" thickBot="1">
      <c r="B28" s="133"/>
      <c r="C28" s="31"/>
      <c r="D28" s="31"/>
      <c r="E28" s="31"/>
      <c r="F28" s="240" t="s">
        <v>274</v>
      </c>
      <c r="G28" s="241"/>
      <c r="H28" s="244">
        <v>0.13</v>
      </c>
      <c r="I28" s="242">
        <f>I27*H28</f>
        <v>3.2863024999999997</v>
      </c>
      <c r="J28" s="241"/>
      <c r="K28" s="244">
        <v>0.13</v>
      </c>
      <c r="L28" s="243">
        <f>L27*K28</f>
        <v>4.319200522156401</v>
      </c>
      <c r="M28" s="183">
        <f>+L28-I28</f>
        <v>1.0328980221564015</v>
      </c>
      <c r="N28" s="187">
        <f t="shared" si="2"/>
        <v>0.31430400036405703</v>
      </c>
      <c r="O28" s="469">
        <f>L28/L29</f>
        <v>0.11504424778761062</v>
      </c>
      <c r="P28" s="128"/>
    </row>
    <row r="29" spans="2:16" s="307" customFormat="1" ht="21.75" customHeight="1" thickBot="1">
      <c r="B29" s="299"/>
      <c r="C29" s="300"/>
      <c r="D29" s="300"/>
      <c r="E29" s="301"/>
      <c r="F29" s="302" t="s">
        <v>78</v>
      </c>
      <c r="G29" s="551"/>
      <c r="H29" s="552"/>
      <c r="I29" s="303">
        <f>I27+I28</f>
        <v>28.565552499999995</v>
      </c>
      <c r="J29" s="551"/>
      <c r="K29" s="552"/>
      <c r="L29" s="303">
        <f>L27+L28</f>
        <v>37.543819923359486</v>
      </c>
      <c r="M29" s="303">
        <f>M27+M28</f>
        <v>8.789005498930763</v>
      </c>
      <c r="N29" s="304">
        <f t="shared" si="2"/>
        <v>0.3076784703859925</v>
      </c>
      <c r="O29" s="305">
        <f>O27+O28</f>
        <v>1</v>
      </c>
      <c r="P29" s="306"/>
    </row>
    <row r="30" spans="2:16" ht="9.75" customHeight="1" thickBot="1">
      <c r="B30" s="129"/>
      <c r="C30" s="553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3"/>
      <c r="P30" s="130"/>
    </row>
    <row r="31" ht="18" customHeight="1" thickBot="1"/>
    <row r="32" spans="2:16" ht="21.75" customHeight="1">
      <c r="B32" s="135"/>
      <c r="C32" s="549" t="s">
        <v>47</v>
      </c>
      <c r="D32" s="549"/>
      <c r="E32" s="549"/>
      <c r="F32" s="549"/>
      <c r="G32" s="549"/>
      <c r="H32" s="549"/>
      <c r="I32" s="549"/>
      <c r="J32" s="549"/>
      <c r="K32" s="549"/>
      <c r="L32" s="549"/>
      <c r="M32" s="549"/>
      <c r="N32" s="549"/>
      <c r="O32" s="549"/>
      <c r="P32" s="127"/>
    </row>
    <row r="33" spans="2:16" ht="21.75" customHeight="1" thickBot="1">
      <c r="B33" s="133"/>
      <c r="C33" s="550"/>
      <c r="D33" s="550"/>
      <c r="E33" s="550"/>
      <c r="F33" s="550"/>
      <c r="G33" s="550"/>
      <c r="H33" s="550"/>
      <c r="I33" s="550"/>
      <c r="J33" s="550"/>
      <c r="K33" s="550"/>
      <c r="L33" s="550"/>
      <c r="M33" s="550"/>
      <c r="N33" s="550"/>
      <c r="O33" s="550"/>
      <c r="P33" s="128"/>
    </row>
    <row r="34" spans="2:16" ht="21.75" customHeight="1" thickBot="1">
      <c r="B34" s="133"/>
      <c r="C34" s="134"/>
      <c r="D34" s="134"/>
      <c r="E34" s="31"/>
      <c r="F34" s="37"/>
      <c r="G34" s="529" t="s">
        <v>198</v>
      </c>
      <c r="H34" s="530"/>
      <c r="I34" s="531"/>
      <c r="J34" s="529" t="s">
        <v>239</v>
      </c>
      <c r="K34" s="530"/>
      <c r="L34" s="531"/>
      <c r="M34" s="529" t="s">
        <v>72</v>
      </c>
      <c r="N34" s="530"/>
      <c r="O34" s="531"/>
      <c r="P34" s="128"/>
    </row>
    <row r="35" spans="2:16" ht="26.25" thickBot="1">
      <c r="B35" s="133"/>
      <c r="C35" s="31"/>
      <c r="D35" s="31"/>
      <c r="E35" s="33"/>
      <c r="F35" s="38"/>
      <c r="G35" s="338" t="s">
        <v>66</v>
      </c>
      <c r="H35" s="339" t="s">
        <v>67</v>
      </c>
      <c r="I35" s="340" t="s">
        <v>68</v>
      </c>
      <c r="J35" s="338" t="s">
        <v>66</v>
      </c>
      <c r="K35" s="339" t="s">
        <v>67</v>
      </c>
      <c r="L35" s="340" t="s">
        <v>68</v>
      </c>
      <c r="M35" s="341" t="s">
        <v>73</v>
      </c>
      <c r="N35" s="342" t="s">
        <v>74</v>
      </c>
      <c r="O35" s="343" t="s">
        <v>75</v>
      </c>
      <c r="P35" s="128"/>
    </row>
    <row r="36" spans="2:16" ht="21.75" customHeight="1" thickBot="1">
      <c r="B36" s="133"/>
      <c r="C36" s="532" t="s">
        <v>69</v>
      </c>
      <c r="D36" s="533"/>
      <c r="E36" s="31"/>
      <c r="F36" s="155" t="s">
        <v>70</v>
      </c>
      <c r="G36" s="165"/>
      <c r="H36" s="166"/>
      <c r="I36" s="167">
        <f>+'2010 Existing Rates'!$C$8</f>
        <v>13.53</v>
      </c>
      <c r="J36" s="165"/>
      <c r="K36" s="166"/>
      <c r="L36" s="170">
        <f>'Rate Schedule (Part 1)'!$E$12</f>
        <v>19.86</v>
      </c>
      <c r="M36" s="175">
        <f aca="true" t="shared" si="3" ref="M36:M42">+L36-I36</f>
        <v>6.33</v>
      </c>
      <c r="N36" s="176">
        <f aca="true" t="shared" si="4" ref="N36:N47">+M36/I36</f>
        <v>0.46784922394678496</v>
      </c>
      <c r="O36" s="177">
        <f>L36/L53</f>
        <v>0.35419303477919756</v>
      </c>
      <c r="P36" s="128"/>
    </row>
    <row r="37" spans="2:16" ht="21.75" customHeight="1" thickBot="1">
      <c r="B37" s="133"/>
      <c r="C37" s="344">
        <v>250</v>
      </c>
      <c r="D37" s="345" t="s">
        <v>16</v>
      </c>
      <c r="E37" s="31"/>
      <c r="F37" s="156" t="s">
        <v>71</v>
      </c>
      <c r="G37" s="159">
        <f>+C37</f>
        <v>250</v>
      </c>
      <c r="H37" s="153">
        <f>'2010 Existing Rates'!$B$53</f>
        <v>0.0099</v>
      </c>
      <c r="I37" s="168">
        <f>+G37*H37</f>
        <v>2.475</v>
      </c>
      <c r="J37" s="159">
        <f>+C37</f>
        <v>250</v>
      </c>
      <c r="K37" s="152">
        <f>'Rate Schedule (Part 1)'!$E$13</f>
        <v>0.0145</v>
      </c>
      <c r="L37" s="171">
        <f>+J37*K37</f>
        <v>3.625</v>
      </c>
      <c r="M37" s="178">
        <f t="shared" si="3"/>
        <v>1.15</v>
      </c>
      <c r="N37" s="172">
        <f t="shared" si="4"/>
        <v>0.4646464646464646</v>
      </c>
      <c r="O37" s="179">
        <f>L37/L53</f>
        <v>0.06465003781845877</v>
      </c>
      <c r="P37" s="128"/>
    </row>
    <row r="38" spans="2:16" ht="21.75" customHeight="1" hidden="1">
      <c r="B38" s="133"/>
      <c r="C38" s="63"/>
      <c r="D38" s="358"/>
      <c r="E38" s="31"/>
      <c r="P38" s="128"/>
    </row>
    <row r="39" spans="2:16" ht="21.75" customHeight="1">
      <c r="B39" s="133"/>
      <c r="C39" s="63"/>
      <c r="D39" s="358"/>
      <c r="E39" s="31"/>
      <c r="F39" s="156" t="s">
        <v>277</v>
      </c>
      <c r="G39" s="174"/>
      <c r="H39" s="153">
        <v>1</v>
      </c>
      <c r="I39" s="168">
        <v>1</v>
      </c>
      <c r="J39" s="174"/>
      <c r="K39" s="152">
        <f>'[9]8. Smart Meter Rate  Adder'!$C$20</f>
        <v>0.0898917624704141</v>
      </c>
      <c r="L39" s="171">
        <f>K39</f>
        <v>0.0898917624704141</v>
      </c>
      <c r="M39" s="178">
        <f t="shared" si="3"/>
        <v>-0.9101082375295859</v>
      </c>
      <c r="N39" s="172">
        <f>+M39/I39</f>
        <v>-0.9101082375295859</v>
      </c>
      <c r="O39" s="179">
        <f>L39/L53</f>
        <v>0.0016031740257324645</v>
      </c>
      <c r="P39" s="128"/>
    </row>
    <row r="40" spans="2:16" ht="21.75" customHeight="1">
      <c r="B40" s="133"/>
      <c r="C40" s="63"/>
      <c r="D40" s="64"/>
      <c r="E40" s="31"/>
      <c r="F40" s="156" t="s">
        <v>169</v>
      </c>
      <c r="G40" s="174"/>
      <c r="H40" s="173"/>
      <c r="I40" s="168">
        <v>0</v>
      </c>
      <c r="J40" s="174"/>
      <c r="K40" s="173"/>
      <c r="L40" s="171">
        <f>'[7]Recovery of Smart Meter Costs'!$C$21</f>
        <v>2.0941673818332727</v>
      </c>
      <c r="M40" s="178">
        <f t="shared" si="3"/>
        <v>2.0941673818332727</v>
      </c>
      <c r="N40" s="172">
        <v>1</v>
      </c>
      <c r="O40" s="179">
        <f>L40/L53</f>
        <v>0.0373484139127459</v>
      </c>
      <c r="P40" s="128"/>
    </row>
    <row r="41" spans="2:16" ht="21.75" customHeight="1" hidden="1">
      <c r="B41" s="133"/>
      <c r="C41" s="63"/>
      <c r="D41" s="64"/>
      <c r="E41" s="31"/>
      <c r="P41" s="128"/>
    </row>
    <row r="42" spans="2:16" ht="21.75" customHeight="1" thickBot="1">
      <c r="B42" s="133"/>
      <c r="C42" s="31"/>
      <c r="D42" s="31"/>
      <c r="E42" s="31"/>
      <c r="F42" s="157" t="s">
        <v>240</v>
      </c>
      <c r="G42" s="180">
        <f>+C37</f>
        <v>250</v>
      </c>
      <c r="H42" s="181">
        <f>+'2010 Existing Rates'!$B$19</f>
        <v>0</v>
      </c>
      <c r="I42" s="164">
        <f>+G42*H42</f>
        <v>0</v>
      </c>
      <c r="J42" s="180">
        <f>+C37</f>
        <v>250</v>
      </c>
      <c r="K42" s="181">
        <f>'Rate Schedule (Part 1)'!$E$18</f>
        <v>-0.0015721359195805511</v>
      </c>
      <c r="L42" s="182">
        <f>+J42*K42</f>
        <v>-0.3930339798951378</v>
      </c>
      <c r="M42" s="178">
        <f t="shared" si="3"/>
        <v>-0.3930339798951378</v>
      </c>
      <c r="N42" s="172">
        <v>-1</v>
      </c>
      <c r="O42" s="179">
        <f>L42/L53</f>
        <v>-0.007009561838388971</v>
      </c>
      <c r="P42" s="128"/>
    </row>
    <row r="43" spans="2:16" ht="21.75" customHeight="1" thickBot="1">
      <c r="B43" s="133"/>
      <c r="C43" s="31"/>
      <c r="D43" s="31"/>
      <c r="E43" s="31"/>
      <c r="F43" s="189" t="s">
        <v>242</v>
      </c>
      <c r="G43" s="534"/>
      <c r="H43" s="535"/>
      <c r="I43" s="191">
        <f>SUM(I36:I42)</f>
        <v>17.005</v>
      </c>
      <c r="J43" s="534"/>
      <c r="K43" s="535"/>
      <c r="L43" s="191">
        <f>SUM(L36:L42)</f>
        <v>25.27602516440855</v>
      </c>
      <c r="M43" s="193">
        <f>SUM(M36:M42)</f>
        <v>8.271025164408549</v>
      </c>
      <c r="N43" s="194">
        <f t="shared" si="4"/>
        <v>0.48638783677792113</v>
      </c>
      <c r="O43" s="196">
        <f>L43/L53</f>
        <v>0.45078509869774575</v>
      </c>
      <c r="P43" s="128"/>
    </row>
    <row r="44" spans="2:16" ht="21.75" customHeight="1" thickBot="1">
      <c r="B44" s="133"/>
      <c r="C44" s="31"/>
      <c r="D44" s="31"/>
      <c r="E44" s="31"/>
      <c r="F44" s="156" t="s">
        <v>243</v>
      </c>
      <c r="G44" s="295">
        <f>C37*'Other Electriciy Rates'!$L$10</f>
        <v>260.75</v>
      </c>
      <c r="H44" s="296">
        <f>'Other Electriciy Rates'!$B$10</f>
        <v>0.0075</v>
      </c>
      <c r="I44" s="168">
        <f>+G44*H44</f>
        <v>1.955625</v>
      </c>
      <c r="J44" s="295">
        <f>'BILL IMPACTS'!C37*'Other Electriciy Rates'!$L$24</f>
        <v>260.75</v>
      </c>
      <c r="K44" s="296">
        <f>'Other Electriciy Rates'!$B$24</f>
        <v>0.006917659869882344</v>
      </c>
      <c r="L44" s="168">
        <f>+J44*K44</f>
        <v>1.803779811071821</v>
      </c>
      <c r="M44" s="297">
        <f>+L44-I44</f>
        <v>-0.1518451889281789</v>
      </c>
      <c r="N44" s="176">
        <f t="shared" si="4"/>
        <v>-0.07764535068235418</v>
      </c>
      <c r="O44" s="177">
        <f>L44/L53</f>
        <v>0.03216949875916294</v>
      </c>
      <c r="P44" s="128"/>
    </row>
    <row r="45" spans="2:16" ht="21.75" customHeight="1" thickBot="1">
      <c r="B45" s="133"/>
      <c r="C45" s="31"/>
      <c r="D45" s="31"/>
      <c r="E45" s="31"/>
      <c r="F45" s="189" t="s">
        <v>244</v>
      </c>
      <c r="G45" s="534"/>
      <c r="H45" s="535"/>
      <c r="I45" s="191">
        <f>I43+I44</f>
        <v>18.960625</v>
      </c>
      <c r="J45" s="534"/>
      <c r="K45" s="535"/>
      <c r="L45" s="191">
        <f>L43+L44</f>
        <v>27.07980497548037</v>
      </c>
      <c r="M45" s="193">
        <f>M43+M44</f>
        <v>8.11917997548037</v>
      </c>
      <c r="N45" s="194">
        <f t="shared" si="4"/>
        <v>0.4282126762952365</v>
      </c>
      <c r="O45" s="298">
        <f>L45/L53</f>
        <v>0.48295459745690866</v>
      </c>
      <c r="P45" s="128"/>
    </row>
    <row r="46" spans="2:16" ht="21.75" customHeight="1">
      <c r="B46" s="133"/>
      <c r="C46" s="31"/>
      <c r="D46" s="31"/>
      <c r="E46" s="31"/>
      <c r="F46" s="158" t="s">
        <v>284</v>
      </c>
      <c r="G46" s="160">
        <f>+'Other Electriciy Rates'!$L$10*C37</f>
        <v>260.75</v>
      </c>
      <c r="H46" s="161">
        <f>'Other Electriciy Rates'!$C$10</f>
        <v>0.0065</v>
      </c>
      <c r="I46" s="162">
        <f>+G46*H46</f>
        <v>1.694875</v>
      </c>
      <c r="J46" s="160">
        <f>J44</f>
        <v>260.75</v>
      </c>
      <c r="K46" s="161">
        <f>'Other Electriciy Rates'!$C$24</f>
        <v>0.0065</v>
      </c>
      <c r="L46" s="185">
        <f>+J46*K46</f>
        <v>1.694875</v>
      </c>
      <c r="M46" s="186">
        <f>+L46-I46</f>
        <v>0</v>
      </c>
      <c r="N46" s="187">
        <f t="shared" si="4"/>
        <v>0</v>
      </c>
      <c r="O46" s="177">
        <f>L46/L53</f>
        <v>0.03022723664760284</v>
      </c>
      <c r="P46" s="128"/>
    </row>
    <row r="47" spans="2:16" ht="21.75" customHeight="1">
      <c r="B47" s="133"/>
      <c r="C47" s="31"/>
      <c r="D47" s="31"/>
      <c r="E47" s="31"/>
      <c r="F47" s="158" t="s">
        <v>285</v>
      </c>
      <c r="G47" s="160">
        <v>250</v>
      </c>
      <c r="H47" s="161">
        <f>+'Other Electriciy Rates'!$D$10</f>
        <v>0.007</v>
      </c>
      <c r="I47" s="162">
        <f>+G47*H47</f>
        <v>1.75</v>
      </c>
      <c r="J47" s="160">
        <v>250</v>
      </c>
      <c r="K47" s="161">
        <f>+'Other Electriciy Rates'!$D$10</f>
        <v>0.007</v>
      </c>
      <c r="L47" s="162">
        <f>+J47*K47</f>
        <v>1.75</v>
      </c>
      <c r="M47" s="186">
        <f>+L47-I47</f>
        <v>0</v>
      </c>
      <c r="N47" s="187">
        <f t="shared" si="4"/>
        <v>0</v>
      </c>
      <c r="O47" s="465">
        <f>L47/L53</f>
        <v>0.0312103630847732</v>
      </c>
      <c r="P47" s="128"/>
    </row>
    <row r="48" spans="2:16" ht="21.75" customHeight="1">
      <c r="B48" s="133"/>
      <c r="C48" s="31"/>
      <c r="D48" s="31"/>
      <c r="E48" s="31"/>
      <c r="F48" s="156" t="s">
        <v>267</v>
      </c>
      <c r="G48" s="159">
        <f>G37</f>
        <v>250</v>
      </c>
      <c r="H48" s="153">
        <f>'2010 Existing Rates'!$B$30</f>
        <v>0</v>
      </c>
      <c r="I48" s="168">
        <f>+G48*H48</f>
        <v>0</v>
      </c>
      <c r="J48" s="174"/>
      <c r="K48" s="152">
        <v>0.25</v>
      </c>
      <c r="L48" s="171">
        <v>0.25</v>
      </c>
      <c r="M48" s="178">
        <f>+L48-I48</f>
        <v>0.25</v>
      </c>
      <c r="N48" s="172">
        <v>1</v>
      </c>
      <c r="O48" s="179">
        <f>L48/L53</f>
        <v>0.004458623297824742</v>
      </c>
      <c r="P48" s="128"/>
    </row>
    <row r="49" spans="2:16" ht="21.75" customHeight="1">
      <c r="B49" s="133"/>
      <c r="C49" s="31"/>
      <c r="D49" s="31"/>
      <c r="E49" s="31"/>
      <c r="F49" s="156" t="s">
        <v>275</v>
      </c>
      <c r="G49" s="159">
        <f>C37</f>
        <v>250</v>
      </c>
      <c r="H49" s="153">
        <v>0.000373</v>
      </c>
      <c r="I49" s="164">
        <f>+G49*H49</f>
        <v>0.09325</v>
      </c>
      <c r="J49" s="159">
        <f>C37</f>
        <v>250</v>
      </c>
      <c r="K49" s="153">
        <v>0.000373</v>
      </c>
      <c r="L49" s="171">
        <f>J49*K49</f>
        <v>0.09325</v>
      </c>
      <c r="M49" s="178">
        <f>+L49-I49</f>
        <v>0</v>
      </c>
      <c r="N49" s="172">
        <f>+M49/I49</f>
        <v>0</v>
      </c>
      <c r="O49" s="179">
        <f>L49/L53</f>
        <v>0.0016630664900886291</v>
      </c>
      <c r="P49" s="128"/>
    </row>
    <row r="50" spans="2:16" ht="21.75" customHeight="1" thickBot="1">
      <c r="B50" s="133"/>
      <c r="C50" s="31"/>
      <c r="D50" s="31"/>
      <c r="E50" s="31"/>
      <c r="F50" s="156" t="s">
        <v>77</v>
      </c>
      <c r="G50" s="169">
        <f>+'Other Electriciy Rates'!$L$10*C37</f>
        <v>260.75</v>
      </c>
      <c r="H50" s="163">
        <f>'Other Electriciy Rates'!$J$10</f>
        <v>0.065</v>
      </c>
      <c r="I50" s="164">
        <f>+G50*H50</f>
        <v>16.94875</v>
      </c>
      <c r="J50" s="169">
        <f>J46</f>
        <v>260.75</v>
      </c>
      <c r="K50" s="163">
        <f>'Other Electriciy Rates'!$J$24</f>
        <v>0.065</v>
      </c>
      <c r="L50" s="182">
        <f>+J50*K50</f>
        <v>16.94875</v>
      </c>
      <c r="M50" s="183">
        <f>+L50-I50</f>
        <v>0</v>
      </c>
      <c r="N50" s="184">
        <f>+M50/I50</f>
        <v>0</v>
      </c>
      <c r="O50" s="197">
        <f>L50/L53</f>
        <v>0.30227236647602845</v>
      </c>
      <c r="P50" s="128"/>
    </row>
    <row r="51" spans="2:16" ht="21.75" customHeight="1" thickBot="1">
      <c r="B51" s="133"/>
      <c r="C51" s="31"/>
      <c r="D51" s="31"/>
      <c r="E51" s="31"/>
      <c r="F51" s="189" t="s">
        <v>194</v>
      </c>
      <c r="G51" s="534"/>
      <c r="H51" s="535"/>
      <c r="I51" s="191">
        <f>SUM(I44:I50)</f>
        <v>41.403125</v>
      </c>
      <c r="J51" s="534"/>
      <c r="K51" s="535"/>
      <c r="L51" s="191">
        <f>SUM(L44:L50)</f>
        <v>49.62045978655219</v>
      </c>
      <c r="M51" s="191">
        <f>SUM(M45:M50)</f>
        <v>8.36917997548037</v>
      </c>
      <c r="N51" s="194">
        <f>+M51/I51</f>
        <v>0.2021388476227427</v>
      </c>
      <c r="O51" s="196">
        <f>L51/L53</f>
        <v>0.8849557522123894</v>
      </c>
      <c r="P51" s="245"/>
    </row>
    <row r="52" spans="2:16" ht="21.75" customHeight="1" thickBot="1">
      <c r="B52" s="133"/>
      <c r="C52" s="31"/>
      <c r="D52" s="31"/>
      <c r="E52" s="31"/>
      <c r="F52" s="240" t="s">
        <v>274</v>
      </c>
      <c r="G52" s="241"/>
      <c r="H52" s="244">
        <v>0.13</v>
      </c>
      <c r="I52" s="242">
        <f>I51*H52</f>
        <v>5.382406250000001</v>
      </c>
      <c r="J52" s="241"/>
      <c r="K52" s="244">
        <v>0.13</v>
      </c>
      <c r="L52" s="243">
        <f>L51*K52</f>
        <v>6.450659772251785</v>
      </c>
      <c r="M52" s="183">
        <f>+L52-I52</f>
        <v>1.0682535222517844</v>
      </c>
      <c r="N52" s="187">
        <f>+M52/I52</f>
        <v>0.1984713662689033</v>
      </c>
      <c r="O52" s="469">
        <f>L52/L53</f>
        <v>0.11504424778761063</v>
      </c>
      <c r="P52" s="128"/>
    </row>
    <row r="53" spans="2:17" ht="21.75" customHeight="1" thickBot="1">
      <c r="B53" s="299"/>
      <c r="C53" s="300"/>
      <c r="D53" s="300"/>
      <c r="E53" s="301"/>
      <c r="F53" s="302" t="s">
        <v>78</v>
      </c>
      <c r="G53" s="551"/>
      <c r="H53" s="552"/>
      <c r="I53" s="303">
        <f>I51+I52</f>
        <v>46.785531250000005</v>
      </c>
      <c r="J53" s="551"/>
      <c r="K53" s="552"/>
      <c r="L53" s="303">
        <f>L51+L52</f>
        <v>56.07111955880397</v>
      </c>
      <c r="M53" s="303">
        <f>M51+M52</f>
        <v>9.437433497732155</v>
      </c>
      <c r="N53" s="304">
        <f>+M53/I53</f>
        <v>0.20171692498911517</v>
      </c>
      <c r="O53" s="305">
        <f>O51+O52</f>
        <v>1</v>
      </c>
      <c r="P53" s="306"/>
      <c r="Q53" s="307"/>
    </row>
    <row r="54" spans="2:16" ht="10.5" customHeight="1" thickBot="1">
      <c r="B54" s="129"/>
      <c r="C54" s="553"/>
      <c r="D54" s="553"/>
      <c r="E54" s="553"/>
      <c r="F54" s="553"/>
      <c r="G54" s="553"/>
      <c r="H54" s="553"/>
      <c r="I54" s="553"/>
      <c r="J54" s="553"/>
      <c r="K54" s="553"/>
      <c r="L54" s="553"/>
      <c r="M54" s="553"/>
      <c r="N54" s="553"/>
      <c r="O54" s="553"/>
      <c r="P54" s="130"/>
    </row>
    <row r="55" ht="21.75" customHeight="1" thickBot="1"/>
    <row r="56" spans="2:16" ht="22.5" customHeight="1">
      <c r="B56" s="135"/>
      <c r="C56" s="549" t="s">
        <v>47</v>
      </c>
      <c r="D56" s="549"/>
      <c r="E56" s="549"/>
      <c r="F56" s="549"/>
      <c r="G56" s="549"/>
      <c r="H56" s="549"/>
      <c r="I56" s="549"/>
      <c r="J56" s="549"/>
      <c r="K56" s="549"/>
      <c r="L56" s="549"/>
      <c r="M56" s="549"/>
      <c r="N56" s="549"/>
      <c r="O56" s="549"/>
      <c r="P56" s="127"/>
    </row>
    <row r="57" spans="2:16" ht="18" customHeight="1" thickBot="1">
      <c r="B57" s="133"/>
      <c r="C57" s="550"/>
      <c r="D57" s="550"/>
      <c r="E57" s="550"/>
      <c r="F57" s="550"/>
      <c r="G57" s="550"/>
      <c r="H57" s="550"/>
      <c r="I57" s="550"/>
      <c r="J57" s="550"/>
      <c r="K57" s="550"/>
      <c r="L57" s="550"/>
      <c r="M57" s="550"/>
      <c r="N57" s="550"/>
      <c r="O57" s="550"/>
      <c r="P57" s="128"/>
    </row>
    <row r="58" spans="2:16" ht="18" customHeight="1" thickBot="1">
      <c r="B58" s="133"/>
      <c r="C58" s="134"/>
      <c r="D58" s="134"/>
      <c r="E58" s="31"/>
      <c r="F58" s="37"/>
      <c r="G58" s="529" t="s">
        <v>198</v>
      </c>
      <c r="H58" s="530"/>
      <c r="I58" s="531"/>
      <c r="J58" s="529" t="s">
        <v>239</v>
      </c>
      <c r="K58" s="530"/>
      <c r="L58" s="531"/>
      <c r="M58" s="529" t="s">
        <v>72</v>
      </c>
      <c r="N58" s="530"/>
      <c r="O58" s="531"/>
      <c r="P58" s="128"/>
    </row>
    <row r="59" spans="2:16" ht="26.25" thickBot="1">
      <c r="B59" s="133"/>
      <c r="C59" s="31"/>
      <c r="D59" s="31"/>
      <c r="E59" s="33"/>
      <c r="F59" s="38"/>
      <c r="G59" s="338" t="s">
        <v>66</v>
      </c>
      <c r="H59" s="339" t="s">
        <v>67</v>
      </c>
      <c r="I59" s="340" t="s">
        <v>68</v>
      </c>
      <c r="J59" s="338" t="s">
        <v>66</v>
      </c>
      <c r="K59" s="339" t="s">
        <v>67</v>
      </c>
      <c r="L59" s="340" t="s">
        <v>68</v>
      </c>
      <c r="M59" s="341" t="s">
        <v>73</v>
      </c>
      <c r="N59" s="342" t="s">
        <v>74</v>
      </c>
      <c r="O59" s="343" t="s">
        <v>75</v>
      </c>
      <c r="P59" s="128"/>
    </row>
    <row r="60" spans="2:16" ht="18" customHeight="1" thickBot="1">
      <c r="B60" s="133"/>
      <c r="C60" s="532" t="s">
        <v>69</v>
      </c>
      <c r="D60" s="533"/>
      <c r="E60" s="31"/>
      <c r="F60" s="155" t="s">
        <v>70</v>
      </c>
      <c r="G60" s="165"/>
      <c r="H60" s="166"/>
      <c r="I60" s="167">
        <f>+'2010 Existing Rates'!$C$8</f>
        <v>13.53</v>
      </c>
      <c r="J60" s="165"/>
      <c r="K60" s="166"/>
      <c r="L60" s="170">
        <f>'Rate Schedule (Part 1)'!$E$12</f>
        <v>19.86</v>
      </c>
      <c r="M60" s="175">
        <f aca="true" t="shared" si="5" ref="M60:M66">+L60-I60</f>
        <v>6.33</v>
      </c>
      <c r="N60" s="176">
        <f aca="true" t="shared" si="6" ref="N60:N71">+M60/I60</f>
        <v>0.46784922394678496</v>
      </c>
      <c r="O60" s="177">
        <f>L60/L77</f>
        <v>0.22840725587758695</v>
      </c>
      <c r="P60" s="128"/>
    </row>
    <row r="61" spans="2:16" ht="18" customHeight="1" thickBot="1">
      <c r="B61" s="133"/>
      <c r="C61" s="344">
        <v>500</v>
      </c>
      <c r="D61" s="345" t="s">
        <v>16</v>
      </c>
      <c r="E61" s="31"/>
      <c r="F61" s="156" t="s">
        <v>71</v>
      </c>
      <c r="G61" s="159">
        <f>+C61</f>
        <v>500</v>
      </c>
      <c r="H61" s="153">
        <f>'2010 Existing Rates'!$B$53</f>
        <v>0.0099</v>
      </c>
      <c r="I61" s="168">
        <f>+G61*H61</f>
        <v>4.95</v>
      </c>
      <c r="J61" s="159">
        <f>+C61</f>
        <v>500</v>
      </c>
      <c r="K61" s="152">
        <f>'Rate Schedule (Part 1)'!$E$13</f>
        <v>0.0145</v>
      </c>
      <c r="L61" s="171">
        <f>+J61*K61</f>
        <v>7.25</v>
      </c>
      <c r="M61" s="178">
        <f t="shared" si="5"/>
        <v>2.3</v>
      </c>
      <c r="N61" s="172">
        <f t="shared" si="6"/>
        <v>0.4646464646464646</v>
      </c>
      <c r="O61" s="179">
        <f>L61/L77</f>
        <v>0.08338129935108285</v>
      </c>
      <c r="P61" s="128"/>
    </row>
    <row r="62" spans="2:16" ht="18" customHeight="1" hidden="1">
      <c r="B62" s="133"/>
      <c r="C62" s="63"/>
      <c r="D62" s="358"/>
      <c r="E62" s="31"/>
      <c r="P62" s="128"/>
    </row>
    <row r="63" spans="2:16" ht="18" customHeight="1">
      <c r="B63" s="133"/>
      <c r="C63" s="63"/>
      <c r="D63" s="358"/>
      <c r="E63" s="31"/>
      <c r="F63" s="156" t="s">
        <v>277</v>
      </c>
      <c r="G63" s="174"/>
      <c r="H63" s="153">
        <v>1</v>
      </c>
      <c r="I63" s="168">
        <v>1</v>
      </c>
      <c r="J63" s="174"/>
      <c r="K63" s="152">
        <f>'[9]8. Smart Meter Rate  Adder'!$C$20</f>
        <v>0.0898917624704141</v>
      </c>
      <c r="L63" s="171">
        <f>K63</f>
        <v>0.0898917624704141</v>
      </c>
      <c r="M63" s="178">
        <f t="shared" si="5"/>
        <v>-0.9101082375295859</v>
      </c>
      <c r="N63" s="172">
        <f>+M63/I63</f>
        <v>-0.9101082375295859</v>
      </c>
      <c r="O63" s="179">
        <f>L63/L77</f>
        <v>0.0010338333732057977</v>
      </c>
      <c r="P63" s="128"/>
    </row>
    <row r="64" spans="2:16" ht="18" customHeight="1">
      <c r="B64" s="133"/>
      <c r="C64" s="63"/>
      <c r="D64" s="64"/>
      <c r="E64" s="31"/>
      <c r="F64" s="156" t="s">
        <v>169</v>
      </c>
      <c r="G64" s="174"/>
      <c r="H64" s="173"/>
      <c r="I64" s="168">
        <v>0</v>
      </c>
      <c r="J64" s="174"/>
      <c r="K64" s="173"/>
      <c r="L64" s="171">
        <f>'[7]Recovery of Smart Meter Costs'!$C$21</f>
        <v>2.0941673818332727</v>
      </c>
      <c r="M64" s="178">
        <f t="shared" si="5"/>
        <v>2.0941673818332727</v>
      </c>
      <c r="N64" s="172">
        <v>1</v>
      </c>
      <c r="O64" s="179">
        <f>L64/L77</f>
        <v>0.024084744462884625</v>
      </c>
      <c r="P64" s="128"/>
    </row>
    <row r="65" spans="2:16" ht="18" customHeight="1" hidden="1">
      <c r="B65" s="133"/>
      <c r="C65" s="63"/>
      <c r="D65" s="64"/>
      <c r="E65" s="31"/>
      <c r="F65" s="156"/>
      <c r="G65" s="159"/>
      <c r="H65" s="153"/>
      <c r="I65" s="164"/>
      <c r="J65" s="159"/>
      <c r="K65" s="153"/>
      <c r="L65" s="171"/>
      <c r="M65" s="178"/>
      <c r="N65" s="172"/>
      <c r="O65" s="179">
        <f>L65/L77</f>
        <v>0</v>
      </c>
      <c r="P65" s="128"/>
    </row>
    <row r="66" spans="2:16" ht="18" customHeight="1" thickBot="1">
      <c r="B66" s="133"/>
      <c r="C66" s="31"/>
      <c r="D66" s="31"/>
      <c r="E66" s="31"/>
      <c r="F66" s="157" t="s">
        <v>240</v>
      </c>
      <c r="G66" s="180">
        <f>+C61</f>
        <v>500</v>
      </c>
      <c r="H66" s="181">
        <f>+'2010 Existing Rates'!$B$19</f>
        <v>0</v>
      </c>
      <c r="I66" s="164">
        <f>+G66*H66</f>
        <v>0</v>
      </c>
      <c r="J66" s="180">
        <f>+C61</f>
        <v>500</v>
      </c>
      <c r="K66" s="181">
        <f>'Rate Schedule (Part 1)'!$E$18</f>
        <v>-0.0015721359195805511</v>
      </c>
      <c r="L66" s="182">
        <f>+J66*K66</f>
        <v>-0.7860679597902755</v>
      </c>
      <c r="M66" s="178">
        <f t="shared" si="5"/>
        <v>-0.7860679597902755</v>
      </c>
      <c r="N66" s="172">
        <v>-1</v>
      </c>
      <c r="O66" s="179">
        <f>L66/L77</f>
        <v>-0.009040464533181783</v>
      </c>
      <c r="P66" s="128"/>
    </row>
    <row r="67" spans="2:16" ht="18" customHeight="1" thickBot="1">
      <c r="B67" s="133"/>
      <c r="C67" s="31"/>
      <c r="D67" s="31"/>
      <c r="E67" s="31"/>
      <c r="F67" s="189" t="s">
        <v>242</v>
      </c>
      <c r="G67" s="534"/>
      <c r="H67" s="535"/>
      <c r="I67" s="191">
        <f>SUM(I60:I66)</f>
        <v>19.48</v>
      </c>
      <c r="J67" s="534"/>
      <c r="K67" s="535"/>
      <c r="L67" s="191">
        <f>SUM(L60:L66)</f>
        <v>28.50799118451341</v>
      </c>
      <c r="M67" s="193">
        <f>SUM(M60:M66)</f>
        <v>9.02799118451341</v>
      </c>
      <c r="N67" s="194">
        <f t="shared" si="6"/>
        <v>0.4634492394514071</v>
      </c>
      <c r="O67" s="196">
        <f>L67/L77</f>
        <v>0.3278666685315785</v>
      </c>
      <c r="P67" s="128"/>
    </row>
    <row r="68" spans="2:16" ht="18" customHeight="1" thickBot="1">
      <c r="B68" s="133"/>
      <c r="C68" s="31"/>
      <c r="D68" s="31"/>
      <c r="E68" s="31"/>
      <c r="F68" s="156" t="s">
        <v>243</v>
      </c>
      <c r="G68" s="295">
        <f>C61*'Other Electriciy Rates'!$L$10</f>
        <v>521.5</v>
      </c>
      <c r="H68" s="296">
        <f>'Other Electriciy Rates'!$B$10</f>
        <v>0.0075</v>
      </c>
      <c r="I68" s="168">
        <f>+G68*H68</f>
        <v>3.91125</v>
      </c>
      <c r="J68" s="295">
        <f>'BILL IMPACTS'!C61*'Other Electriciy Rates'!$L$24</f>
        <v>521.5</v>
      </c>
      <c r="K68" s="296">
        <f>'Other Electriciy Rates'!$B$24</f>
        <v>0.006917659869882344</v>
      </c>
      <c r="L68" s="168">
        <f>+J68*K68</f>
        <v>3.607559622143642</v>
      </c>
      <c r="M68" s="297">
        <f>+L68-I68</f>
        <v>-0.3036903778563578</v>
      </c>
      <c r="N68" s="176">
        <f t="shared" si="6"/>
        <v>-0.07764535068235418</v>
      </c>
      <c r="O68" s="177">
        <f>L68/L77</f>
        <v>0.041490070176667365</v>
      </c>
      <c r="P68" s="128"/>
    </row>
    <row r="69" spans="2:16" ht="18" customHeight="1" thickBot="1">
      <c r="B69" s="133"/>
      <c r="C69" s="31"/>
      <c r="D69" s="31"/>
      <c r="E69" s="31"/>
      <c r="F69" s="189" t="s">
        <v>244</v>
      </c>
      <c r="G69" s="534"/>
      <c r="H69" s="535"/>
      <c r="I69" s="191">
        <f>I67+I68</f>
        <v>23.39125</v>
      </c>
      <c r="J69" s="534"/>
      <c r="K69" s="535"/>
      <c r="L69" s="191">
        <f>L67+L68</f>
        <v>32.115550806657055</v>
      </c>
      <c r="M69" s="193">
        <f>SUM(M62:M68)</f>
        <v>9.122291991170465</v>
      </c>
      <c r="N69" s="194">
        <f t="shared" si="6"/>
        <v>0.38998736669354844</v>
      </c>
      <c r="O69" s="298">
        <f>L69/L77</f>
        <v>0.36935673870824587</v>
      </c>
      <c r="P69" s="128"/>
    </row>
    <row r="70" spans="2:16" ht="18" customHeight="1">
      <c r="B70" s="133"/>
      <c r="C70" s="31"/>
      <c r="D70" s="31"/>
      <c r="E70" s="31"/>
      <c r="F70" s="158" t="s">
        <v>284</v>
      </c>
      <c r="G70" s="160">
        <f>+'Other Electriciy Rates'!$L$10*C61</f>
        <v>521.5</v>
      </c>
      <c r="H70" s="161">
        <f>'Other Electriciy Rates'!$C$10</f>
        <v>0.0065</v>
      </c>
      <c r="I70" s="162">
        <f>+G70*H70</f>
        <v>3.38975</v>
      </c>
      <c r="J70" s="160">
        <f>J68</f>
        <v>521.5</v>
      </c>
      <c r="K70" s="161">
        <f>'Other Electriciy Rates'!$C$24</f>
        <v>0.0065</v>
      </c>
      <c r="L70" s="185">
        <f>+J70*K70</f>
        <v>3.38975</v>
      </c>
      <c r="M70" s="186">
        <f>+L70-I70</f>
        <v>0</v>
      </c>
      <c r="N70" s="187">
        <f t="shared" si="6"/>
        <v>0</v>
      </c>
      <c r="O70" s="177">
        <f>L70/L77</f>
        <v>0.03898507027245974</v>
      </c>
      <c r="P70" s="128"/>
    </row>
    <row r="71" spans="2:16" ht="18" customHeight="1">
      <c r="B71" s="133"/>
      <c r="C71" s="31"/>
      <c r="D71" s="31"/>
      <c r="E71" s="31"/>
      <c r="F71" s="158" t="s">
        <v>285</v>
      </c>
      <c r="G71" s="160">
        <v>500</v>
      </c>
      <c r="H71" s="161">
        <f>+'Other Electriciy Rates'!$D$10</f>
        <v>0.007</v>
      </c>
      <c r="I71" s="162">
        <f>+G71*H71</f>
        <v>3.5</v>
      </c>
      <c r="J71" s="160">
        <v>500</v>
      </c>
      <c r="K71" s="161">
        <f>+'Other Electriciy Rates'!$D$10</f>
        <v>0.007</v>
      </c>
      <c r="L71" s="162">
        <f>+J71*K71</f>
        <v>3.5</v>
      </c>
      <c r="M71" s="186">
        <f>+L71-I71</f>
        <v>0</v>
      </c>
      <c r="N71" s="187">
        <f t="shared" si="6"/>
        <v>0</v>
      </c>
      <c r="O71" s="465">
        <f>L71/L77</f>
        <v>0.040253041066039996</v>
      </c>
      <c r="P71" s="128"/>
    </row>
    <row r="72" spans="2:16" ht="18" customHeight="1">
      <c r="B72" s="133"/>
      <c r="C72" s="31"/>
      <c r="D72" s="31"/>
      <c r="E72" s="31"/>
      <c r="F72" s="156" t="s">
        <v>267</v>
      </c>
      <c r="G72" s="159">
        <f>G61</f>
        <v>500</v>
      </c>
      <c r="H72" s="153">
        <f>'2010 Existing Rates'!$B$30</f>
        <v>0</v>
      </c>
      <c r="I72" s="168">
        <f>+G72*H72</f>
        <v>0</v>
      </c>
      <c r="J72" s="174"/>
      <c r="K72" s="152">
        <v>0.25</v>
      </c>
      <c r="L72" s="171">
        <v>0.25</v>
      </c>
      <c r="M72" s="178">
        <f>+L72-I72</f>
        <v>0.25</v>
      </c>
      <c r="N72" s="172">
        <v>1</v>
      </c>
      <c r="O72" s="179">
        <f>L72/L77</f>
        <v>0.0028752172190028573</v>
      </c>
      <c r="P72" s="128"/>
    </row>
    <row r="73" spans="2:16" ht="18" customHeight="1">
      <c r="B73" s="133"/>
      <c r="C73" s="31"/>
      <c r="D73" s="31"/>
      <c r="E73" s="31"/>
      <c r="F73" s="156" t="s">
        <v>275</v>
      </c>
      <c r="G73" s="159">
        <f>G66</f>
        <v>500</v>
      </c>
      <c r="H73" s="153">
        <v>0.000373</v>
      </c>
      <c r="I73" s="164">
        <f>+G73*H73</f>
        <v>0.1865</v>
      </c>
      <c r="J73" s="159">
        <v>500</v>
      </c>
      <c r="K73" s="153">
        <v>0.000373</v>
      </c>
      <c r="L73" s="171">
        <f>J73*K73</f>
        <v>0.1865</v>
      </c>
      <c r="M73" s="178">
        <f>+L73-I73</f>
        <v>0</v>
      </c>
      <c r="N73" s="172">
        <f>+M73/I73</f>
        <v>0</v>
      </c>
      <c r="O73" s="179">
        <f>L73/L77</f>
        <v>0.0021449120453761314</v>
      </c>
      <c r="P73" s="128"/>
    </row>
    <row r="74" spans="2:16" ht="18" customHeight="1" thickBot="1">
      <c r="B74" s="133"/>
      <c r="C74" s="31"/>
      <c r="D74" s="31"/>
      <c r="E74" s="31"/>
      <c r="F74" s="156" t="s">
        <v>77</v>
      </c>
      <c r="G74" s="169">
        <f>+'Other Electriciy Rates'!$L$10*C61</f>
        <v>521.5</v>
      </c>
      <c r="H74" s="163">
        <f>'Other Electriciy Rates'!$J$10</f>
        <v>0.065</v>
      </c>
      <c r="I74" s="164">
        <f>+G74*H74</f>
        <v>33.8975</v>
      </c>
      <c r="J74" s="169">
        <f>J70</f>
        <v>521.5</v>
      </c>
      <c r="K74" s="163">
        <f>'Other Electriciy Rates'!$J$24</f>
        <v>0.065</v>
      </c>
      <c r="L74" s="182">
        <f>+J74*K74</f>
        <v>33.8975</v>
      </c>
      <c r="M74" s="183">
        <f>+L74-I74</f>
        <v>0</v>
      </c>
      <c r="N74" s="184">
        <f>+M74/I74</f>
        <v>0</v>
      </c>
      <c r="O74" s="197">
        <f>L74/L77</f>
        <v>0.38985070272459743</v>
      </c>
      <c r="P74" s="128"/>
    </row>
    <row r="75" spans="2:16" ht="18" customHeight="1" thickBot="1">
      <c r="B75" s="133"/>
      <c r="C75" s="31"/>
      <c r="D75" s="31"/>
      <c r="E75" s="31"/>
      <c r="F75" s="189" t="s">
        <v>194</v>
      </c>
      <c r="G75" s="534"/>
      <c r="H75" s="535"/>
      <c r="I75" s="191">
        <f>SUM(I68:I74)</f>
        <v>68.27625</v>
      </c>
      <c r="J75" s="534"/>
      <c r="K75" s="535"/>
      <c r="L75" s="191">
        <f>SUM(L68:L74)</f>
        <v>76.9468604288007</v>
      </c>
      <c r="M75" s="191">
        <f>SUM(M69:M74)</f>
        <v>9.372291991170465</v>
      </c>
      <c r="N75" s="194">
        <f>+M75/I75</f>
        <v>0.13727016336091197</v>
      </c>
      <c r="O75" s="196">
        <f>L75/L77</f>
        <v>0.8849557522123894</v>
      </c>
      <c r="P75" s="245"/>
    </row>
    <row r="76" spans="2:16" ht="18" customHeight="1" thickBot="1">
      <c r="B76" s="133"/>
      <c r="C76" s="31"/>
      <c r="D76" s="31"/>
      <c r="E76" s="31"/>
      <c r="F76" s="240" t="s">
        <v>274</v>
      </c>
      <c r="G76" s="241"/>
      <c r="H76" s="244">
        <v>0.13</v>
      </c>
      <c r="I76" s="242">
        <f>I75*H76</f>
        <v>8.8759125</v>
      </c>
      <c r="J76" s="241"/>
      <c r="K76" s="244">
        <v>0.13</v>
      </c>
      <c r="L76" s="243">
        <f>L75*K76</f>
        <v>10.003091855744092</v>
      </c>
      <c r="M76" s="183">
        <f>+L76-I76</f>
        <v>1.127179355744092</v>
      </c>
      <c r="N76" s="187">
        <f>+M76/I76</f>
        <v>0.12699306755717701</v>
      </c>
      <c r="O76" s="469">
        <f>L76/L77</f>
        <v>0.11504424778761063</v>
      </c>
      <c r="P76" s="128"/>
    </row>
    <row r="77" spans="2:16" ht="18" customHeight="1" thickBot="1">
      <c r="B77" s="299"/>
      <c r="C77" s="300"/>
      <c r="D77" s="300"/>
      <c r="E77" s="301"/>
      <c r="F77" s="302" t="s">
        <v>78</v>
      </c>
      <c r="G77" s="551"/>
      <c r="H77" s="552"/>
      <c r="I77" s="303">
        <f>I75+I76</f>
        <v>77.1521625</v>
      </c>
      <c r="J77" s="551"/>
      <c r="K77" s="552"/>
      <c r="L77" s="303">
        <f>L75+L76</f>
        <v>86.94995228454479</v>
      </c>
      <c r="M77" s="303">
        <f>M75+M76</f>
        <v>10.499471346914557</v>
      </c>
      <c r="N77" s="304">
        <f>+M77/I77</f>
        <v>0.13608784260473006</v>
      </c>
      <c r="O77" s="305">
        <f>O75+O76</f>
        <v>1</v>
      </c>
      <c r="P77" s="306"/>
    </row>
    <row r="78" spans="2:16" ht="18" customHeight="1" thickBot="1">
      <c r="B78" s="129"/>
      <c r="C78" s="553"/>
      <c r="D78" s="553"/>
      <c r="E78" s="553"/>
      <c r="F78" s="553"/>
      <c r="G78" s="553"/>
      <c r="H78" s="553"/>
      <c r="I78" s="553"/>
      <c r="J78" s="553"/>
      <c r="K78" s="553"/>
      <c r="L78" s="553"/>
      <c r="M78" s="553"/>
      <c r="N78" s="553"/>
      <c r="O78" s="553"/>
      <c r="P78" s="130"/>
    </row>
    <row r="79" ht="18" customHeight="1" thickBot="1"/>
    <row r="80" spans="2:16" ht="6.75" customHeight="1">
      <c r="B80" s="135"/>
      <c r="C80" s="536"/>
      <c r="D80" s="536"/>
      <c r="E80" s="536"/>
      <c r="F80" s="536"/>
      <c r="G80" s="536"/>
      <c r="H80" s="536"/>
      <c r="I80" s="536"/>
      <c r="J80" s="536"/>
      <c r="K80" s="536"/>
      <c r="L80" s="536"/>
      <c r="M80" s="536"/>
      <c r="N80" s="536"/>
      <c r="O80" s="536"/>
      <c r="P80" s="127"/>
    </row>
    <row r="81" spans="2:16" ht="23.25">
      <c r="B81" s="133"/>
      <c r="C81" s="538" t="s">
        <v>47</v>
      </c>
      <c r="D81" s="538"/>
      <c r="E81" s="538"/>
      <c r="F81" s="538"/>
      <c r="G81" s="538"/>
      <c r="H81" s="538"/>
      <c r="I81" s="538"/>
      <c r="J81" s="538"/>
      <c r="K81" s="538"/>
      <c r="L81" s="538"/>
      <c r="M81" s="538"/>
      <c r="N81" s="538"/>
      <c r="O81" s="538"/>
      <c r="P81" s="128"/>
    </row>
    <row r="82" spans="2:16" ht="6.75" customHeight="1" thickBot="1">
      <c r="B82" s="133"/>
      <c r="C82" s="541"/>
      <c r="D82" s="541"/>
      <c r="E82" s="541"/>
      <c r="F82" s="541"/>
      <c r="G82" s="541"/>
      <c r="H82" s="541"/>
      <c r="I82" s="541"/>
      <c r="J82" s="541"/>
      <c r="K82" s="541"/>
      <c r="L82" s="541"/>
      <c r="M82" s="541"/>
      <c r="N82" s="541"/>
      <c r="O82" s="541"/>
      <c r="P82" s="128"/>
    </row>
    <row r="83" spans="2:16" ht="21" thickBot="1">
      <c r="B83" s="133"/>
      <c r="C83" s="134"/>
      <c r="D83" s="134"/>
      <c r="E83" s="31"/>
      <c r="F83" s="37"/>
      <c r="G83" s="529" t="str">
        <f>$G$10</f>
        <v>2010 BILL</v>
      </c>
      <c r="H83" s="530"/>
      <c r="I83" s="531"/>
      <c r="J83" s="529" t="str">
        <f>$J$10</f>
        <v>2011 BILL</v>
      </c>
      <c r="K83" s="530"/>
      <c r="L83" s="531"/>
      <c r="M83" s="529" t="s">
        <v>72</v>
      </c>
      <c r="N83" s="530"/>
      <c r="O83" s="531"/>
      <c r="P83" s="128"/>
    </row>
    <row r="84" spans="2:16" ht="26.25" thickBot="1">
      <c r="B84" s="133"/>
      <c r="C84" s="31"/>
      <c r="D84" s="31"/>
      <c r="E84" s="33"/>
      <c r="F84" s="38"/>
      <c r="G84" s="348" t="s">
        <v>66</v>
      </c>
      <c r="H84" s="339" t="s">
        <v>67</v>
      </c>
      <c r="I84" s="340" t="s">
        <v>68</v>
      </c>
      <c r="J84" s="349" t="s">
        <v>66</v>
      </c>
      <c r="K84" s="339" t="s">
        <v>67</v>
      </c>
      <c r="L84" s="340" t="s">
        <v>68</v>
      </c>
      <c r="M84" s="350" t="s">
        <v>79</v>
      </c>
      <c r="N84" s="351" t="s">
        <v>80</v>
      </c>
      <c r="O84" s="352" t="s">
        <v>75</v>
      </c>
      <c r="P84" s="128"/>
    </row>
    <row r="85" spans="2:16" ht="18" customHeight="1" thickBot="1">
      <c r="B85" s="133"/>
      <c r="C85" s="532" t="s">
        <v>69</v>
      </c>
      <c r="D85" s="533"/>
      <c r="E85" s="31"/>
      <c r="F85" s="155" t="s">
        <v>70</v>
      </c>
      <c r="G85" s="165"/>
      <c r="H85" s="166"/>
      <c r="I85" s="167">
        <f>+'2010 Existing Rates'!$C$8</f>
        <v>13.53</v>
      </c>
      <c r="J85" s="165"/>
      <c r="K85" s="166"/>
      <c r="L85" s="170">
        <f>'Rate Schedule (Part 1)'!$E$12</f>
        <v>19.86</v>
      </c>
      <c r="M85" s="175">
        <f aca="true" t="shared" si="7" ref="M85:M91">+L85-I85</f>
        <v>6.33</v>
      </c>
      <c r="N85" s="176">
        <f aca="true" t="shared" si="8" ref="N85:N96">+M85/I85</f>
        <v>0.46784922394678496</v>
      </c>
      <c r="O85" s="177">
        <f>L85/L103</f>
        <v>0.17455750306792137</v>
      </c>
      <c r="P85" s="128"/>
    </row>
    <row r="86" spans="2:16" ht="18" customHeight="1" thickBot="1">
      <c r="B86" s="133"/>
      <c r="C86" s="346">
        <v>750</v>
      </c>
      <c r="D86" s="347" t="s">
        <v>16</v>
      </c>
      <c r="E86" s="31"/>
      <c r="F86" s="156" t="s">
        <v>71</v>
      </c>
      <c r="G86" s="159">
        <f>+C86</f>
        <v>750</v>
      </c>
      <c r="H86" s="153">
        <f>'2010 Existing Rates'!$B$53</f>
        <v>0.0099</v>
      </c>
      <c r="I86" s="168">
        <f>+G86*H86</f>
        <v>7.425000000000001</v>
      </c>
      <c r="J86" s="159">
        <f>+C86</f>
        <v>750</v>
      </c>
      <c r="K86" s="152">
        <f>'Rate Schedule (Part 1)'!$E$13</f>
        <v>0.0145</v>
      </c>
      <c r="L86" s="171">
        <f>+J86*K86</f>
        <v>10.875</v>
      </c>
      <c r="M86" s="178">
        <f t="shared" si="7"/>
        <v>3.4499999999999993</v>
      </c>
      <c r="N86" s="172">
        <f t="shared" si="8"/>
        <v>0.46464646464646453</v>
      </c>
      <c r="O86" s="179">
        <f>L86/L103</f>
        <v>0.09558473544127115</v>
      </c>
      <c r="P86" s="128"/>
    </row>
    <row r="87" spans="2:16" ht="18" customHeight="1" hidden="1">
      <c r="B87" s="133"/>
      <c r="C87" s="63"/>
      <c r="D87" s="64"/>
      <c r="E87" s="31"/>
      <c r="P87" s="128"/>
    </row>
    <row r="88" spans="2:16" ht="18" customHeight="1">
      <c r="B88" s="133"/>
      <c r="C88" s="63"/>
      <c r="D88" s="64"/>
      <c r="E88" s="31"/>
      <c r="F88" s="156" t="s">
        <v>277</v>
      </c>
      <c r="G88" s="174"/>
      <c r="H88" s="153">
        <v>1</v>
      </c>
      <c r="I88" s="168">
        <v>1</v>
      </c>
      <c r="J88" s="174"/>
      <c r="K88" s="152">
        <f>'[9]8. Smart Meter Rate  Adder'!$C$20</f>
        <v>0.0898917624704141</v>
      </c>
      <c r="L88" s="171">
        <f>K88</f>
        <v>0.0898917624704141</v>
      </c>
      <c r="M88" s="178">
        <f t="shared" si="7"/>
        <v>-0.9101082375295859</v>
      </c>
      <c r="N88" s="172">
        <f>+M88/I88</f>
        <v>-0.9101082375295859</v>
      </c>
      <c r="O88" s="179">
        <f>L88/L103</f>
        <v>0.0007900947433640568</v>
      </c>
      <c r="P88" s="128"/>
    </row>
    <row r="89" spans="2:16" ht="18" customHeight="1">
      <c r="B89" s="133"/>
      <c r="C89" s="63"/>
      <c r="D89" s="64"/>
      <c r="E89" s="31"/>
      <c r="F89" s="156" t="s">
        <v>169</v>
      </c>
      <c r="G89" s="174"/>
      <c r="H89" s="173"/>
      <c r="I89" s="168">
        <v>0</v>
      </c>
      <c r="J89" s="174"/>
      <c r="K89" s="173"/>
      <c r="L89" s="171">
        <f>'[7]Recovery of Smart Meter Costs'!$C$21</f>
        <v>2.0941673818332727</v>
      </c>
      <c r="M89" s="178">
        <f t="shared" si="7"/>
        <v>2.0941673818332727</v>
      </c>
      <c r="N89" s="172">
        <v>1</v>
      </c>
      <c r="O89" s="179">
        <f>L89/L103</f>
        <v>0.018406476796530836</v>
      </c>
      <c r="P89" s="128"/>
    </row>
    <row r="90" spans="2:16" ht="18" customHeight="1" hidden="1">
      <c r="B90" s="133"/>
      <c r="C90" s="31"/>
      <c r="D90" s="31"/>
      <c r="E90" s="31"/>
      <c r="P90" s="128"/>
    </row>
    <row r="91" spans="1:16" ht="18" customHeight="1" thickBot="1">
      <c r="A91" s="128"/>
      <c r="B91" s="25"/>
      <c r="C91" s="31"/>
      <c r="D91" s="31"/>
      <c r="E91" s="31"/>
      <c r="F91" s="157" t="s">
        <v>240</v>
      </c>
      <c r="G91" s="180">
        <f>+C86</f>
        <v>750</v>
      </c>
      <c r="H91" s="181">
        <f>+'2010 Existing Rates'!$B$19</f>
        <v>0</v>
      </c>
      <c r="I91" s="164">
        <f>+G91*H91</f>
        <v>0</v>
      </c>
      <c r="J91" s="180">
        <f>+C86</f>
        <v>750</v>
      </c>
      <c r="K91" s="181">
        <f>'Rate Schedule (Part 1)'!$E$18</f>
        <v>-0.0015721359195805511</v>
      </c>
      <c r="L91" s="182">
        <f>+J91*K91</f>
        <v>-1.1791019396854134</v>
      </c>
      <c r="M91" s="178">
        <f t="shared" si="7"/>
        <v>-1.1791019396854134</v>
      </c>
      <c r="N91" s="172">
        <v>-1</v>
      </c>
      <c r="O91" s="179">
        <f>L91/L103</f>
        <v>-0.010363599720746656</v>
      </c>
      <c r="P91" s="308"/>
    </row>
    <row r="92" spans="1:16" ht="18" customHeight="1" thickBot="1">
      <c r="A92" s="128"/>
      <c r="F92" s="189" t="s">
        <v>242</v>
      </c>
      <c r="G92" s="534"/>
      <c r="H92" s="535"/>
      <c r="I92" s="191">
        <f>SUM(I85:I91)</f>
        <v>21.955</v>
      </c>
      <c r="J92" s="534"/>
      <c r="K92" s="535"/>
      <c r="L92" s="191">
        <f>SUM(L85:L91)</f>
        <v>31.739957204618275</v>
      </c>
      <c r="M92" s="193">
        <f>SUM(M85:M91)</f>
        <v>9.784957204618273</v>
      </c>
      <c r="N92" s="194">
        <f t="shared" si="8"/>
        <v>0.44568240512950463</v>
      </c>
      <c r="O92" s="196">
        <f>L92/L103</f>
        <v>0.2789752103283408</v>
      </c>
      <c r="P92" s="308"/>
    </row>
    <row r="93" spans="1:16" ht="18" customHeight="1" thickBot="1">
      <c r="A93" s="128"/>
      <c r="F93" s="156" t="s">
        <v>243</v>
      </c>
      <c r="G93" s="295">
        <f>C86*'Other Electriciy Rates'!$L$10</f>
        <v>782.25</v>
      </c>
      <c r="H93" s="296">
        <f>'Other Electriciy Rates'!$B$10</f>
        <v>0.0075</v>
      </c>
      <c r="I93" s="168">
        <f>+G93*H93</f>
        <v>5.866874999999999</v>
      </c>
      <c r="J93" s="295">
        <f>'BILL IMPACTS'!C86*'Other Electriciy Rates'!$L$24</f>
        <v>782.25</v>
      </c>
      <c r="K93" s="296">
        <f>'Other Electriciy Rates'!$B$24</f>
        <v>0.006917659869882344</v>
      </c>
      <c r="L93" s="168">
        <f>+J93*K93</f>
        <v>5.411339433215463</v>
      </c>
      <c r="M93" s="297">
        <f>+L93-I93</f>
        <v>-0.455535566784536</v>
      </c>
      <c r="N93" s="176">
        <f t="shared" si="8"/>
        <v>-0.07764535068235408</v>
      </c>
      <c r="O93" s="177">
        <f>L93/L103</f>
        <v>0.04756243200982237</v>
      </c>
      <c r="P93" s="308"/>
    </row>
    <row r="94" spans="1:16" ht="18" customHeight="1" thickBot="1">
      <c r="A94" s="128"/>
      <c r="F94" s="189" t="s">
        <v>244</v>
      </c>
      <c r="G94" s="534"/>
      <c r="H94" s="535"/>
      <c r="I94" s="191">
        <f>I92+I93</f>
        <v>27.821875</v>
      </c>
      <c r="J94" s="534"/>
      <c r="K94" s="535"/>
      <c r="L94" s="191">
        <f>L92+L93</f>
        <v>37.15129663783374</v>
      </c>
      <c r="M94" s="193">
        <f>SUM(M87:M93)</f>
        <v>9.334378842452011</v>
      </c>
      <c r="N94" s="194">
        <f t="shared" si="8"/>
        <v>0.3355050241025097</v>
      </c>
      <c r="O94" s="298">
        <f>L94/L103</f>
        <v>0.3265376423381631</v>
      </c>
      <c r="P94" s="308"/>
    </row>
    <row r="95" spans="1:16" ht="18" customHeight="1">
      <c r="A95" s="128"/>
      <c r="F95" s="158" t="s">
        <v>284</v>
      </c>
      <c r="G95" s="160">
        <f>+'Other Electriciy Rates'!$L$10*C86</f>
        <v>782.25</v>
      </c>
      <c r="H95" s="161">
        <f>'Other Electriciy Rates'!$C$10</f>
        <v>0.0065</v>
      </c>
      <c r="I95" s="162">
        <f aca="true" t="shared" si="9" ref="I95:I100">+G95*H95</f>
        <v>5.084625</v>
      </c>
      <c r="J95" s="160">
        <f>J93</f>
        <v>782.25</v>
      </c>
      <c r="K95" s="161">
        <f>'Other Electriciy Rates'!$C$24</f>
        <v>0.0065</v>
      </c>
      <c r="L95" s="185">
        <f>+J95*K95</f>
        <v>5.084625</v>
      </c>
      <c r="M95" s="186">
        <f aca="true" t="shared" si="10" ref="M95:M100">+L95-I95</f>
        <v>0</v>
      </c>
      <c r="N95" s="187">
        <f t="shared" si="8"/>
        <v>0</v>
      </c>
      <c r="O95" s="177">
        <f>L95/L103</f>
        <v>0.044690807856834325</v>
      </c>
      <c r="P95" s="308"/>
    </row>
    <row r="96" spans="1:16" ht="18" customHeight="1">
      <c r="A96" s="128"/>
      <c r="F96" s="158" t="s">
        <v>285</v>
      </c>
      <c r="G96" s="160">
        <v>750</v>
      </c>
      <c r="H96" s="161">
        <f>+'Other Electriciy Rates'!$D$10</f>
        <v>0.007</v>
      </c>
      <c r="I96" s="162">
        <f t="shared" si="9"/>
        <v>5.25</v>
      </c>
      <c r="J96" s="160">
        <v>750</v>
      </c>
      <c r="K96" s="161">
        <f>+'Other Electriciy Rates'!$D$10</f>
        <v>0.007</v>
      </c>
      <c r="L96" s="162">
        <f>+J96*K96</f>
        <v>5.25</v>
      </c>
      <c r="M96" s="186">
        <f t="shared" si="10"/>
        <v>0</v>
      </c>
      <c r="N96" s="187">
        <f t="shared" si="8"/>
        <v>0</v>
      </c>
      <c r="O96" s="465">
        <f>L96/L103</f>
        <v>0.046144355040613656</v>
      </c>
      <c r="P96" s="308"/>
    </row>
    <row r="97" spans="1:16" ht="18" customHeight="1">
      <c r="A97" s="128"/>
      <c r="F97" s="156" t="s">
        <v>267</v>
      </c>
      <c r="G97" s="159">
        <f>G86</f>
        <v>750</v>
      </c>
      <c r="H97" s="153">
        <f>'2010 Existing Rates'!$B$30</f>
        <v>0</v>
      </c>
      <c r="I97" s="168">
        <f t="shared" si="9"/>
        <v>0</v>
      </c>
      <c r="J97" s="174"/>
      <c r="K97" s="152">
        <v>0.25</v>
      </c>
      <c r="L97" s="171">
        <v>0.25</v>
      </c>
      <c r="M97" s="178">
        <f t="shared" si="10"/>
        <v>0.25</v>
      </c>
      <c r="N97" s="172">
        <v>1</v>
      </c>
      <c r="O97" s="179">
        <f>L97/L103</f>
        <v>0.0021973502400292216</v>
      </c>
      <c r="P97" s="308"/>
    </row>
    <row r="98" spans="1:16" ht="18" customHeight="1">
      <c r="A98" s="128"/>
      <c r="F98" s="156" t="s">
        <v>275</v>
      </c>
      <c r="G98" s="159">
        <f>C86</f>
        <v>750</v>
      </c>
      <c r="H98" s="153">
        <v>0.000373</v>
      </c>
      <c r="I98" s="168">
        <f t="shared" si="9"/>
        <v>0.27975</v>
      </c>
      <c r="J98" s="159">
        <f>C86</f>
        <v>750</v>
      </c>
      <c r="K98" s="153">
        <v>0.000373</v>
      </c>
      <c r="L98" s="171">
        <f>J98*K98</f>
        <v>0.27975</v>
      </c>
      <c r="M98" s="178">
        <f t="shared" si="10"/>
        <v>0</v>
      </c>
      <c r="N98" s="172">
        <f aca="true" t="shared" si="11" ref="N98:N103">+M98/I98</f>
        <v>0</v>
      </c>
      <c r="O98" s="179">
        <f>L98/L103</f>
        <v>0.0024588349185926993</v>
      </c>
      <c r="P98" s="308"/>
    </row>
    <row r="99" spans="1:16" ht="18" customHeight="1">
      <c r="A99" s="128"/>
      <c r="B99" s="25"/>
      <c r="C99" s="31"/>
      <c r="D99" s="31"/>
      <c r="E99" s="31"/>
      <c r="F99" s="154" t="s">
        <v>77</v>
      </c>
      <c r="G99" s="160">
        <v>600</v>
      </c>
      <c r="H99" s="161">
        <f>'Other Electriciy Rates'!$J$11</f>
        <v>0.065</v>
      </c>
      <c r="I99" s="162">
        <f t="shared" si="9"/>
        <v>39</v>
      </c>
      <c r="J99" s="160">
        <v>600</v>
      </c>
      <c r="K99" s="161">
        <f>'Other Electriciy Rates'!$J$24</f>
        <v>0.065</v>
      </c>
      <c r="L99" s="185">
        <f>+J99*K99</f>
        <v>39</v>
      </c>
      <c r="M99" s="186">
        <f t="shared" si="10"/>
        <v>0</v>
      </c>
      <c r="N99" s="187">
        <f t="shared" si="11"/>
        <v>0</v>
      </c>
      <c r="O99" s="188">
        <f>L99/L103</f>
        <v>0.3427866374445586</v>
      </c>
      <c r="P99" s="308"/>
    </row>
    <row r="100" spans="2:16" ht="18" customHeight="1" thickBot="1">
      <c r="B100" s="133"/>
      <c r="C100" s="31"/>
      <c r="D100" s="31"/>
      <c r="E100" s="31"/>
      <c r="F100" s="154" t="s">
        <v>77</v>
      </c>
      <c r="G100" s="160">
        <f>G95-G99</f>
        <v>182.25</v>
      </c>
      <c r="H100" s="161">
        <f>'Other Electriciy Rates'!$K$10</f>
        <v>0.075</v>
      </c>
      <c r="I100" s="162">
        <f t="shared" si="9"/>
        <v>13.66875</v>
      </c>
      <c r="J100" s="160">
        <f>J95-J99</f>
        <v>182.25</v>
      </c>
      <c r="K100" s="161">
        <f>'Other Electriciy Rates'!$K$24</f>
        <v>0.075</v>
      </c>
      <c r="L100" s="185">
        <f>+J100*K100</f>
        <v>13.66875</v>
      </c>
      <c r="M100" s="186">
        <f t="shared" si="10"/>
        <v>0</v>
      </c>
      <c r="N100" s="187">
        <f t="shared" si="11"/>
        <v>0</v>
      </c>
      <c r="O100" s="188">
        <f>L100/L103</f>
        <v>0.1201401243735977</v>
      </c>
      <c r="P100" s="128"/>
    </row>
    <row r="101" spans="2:16" ht="18" customHeight="1" thickBot="1">
      <c r="B101" s="133"/>
      <c r="C101" s="31"/>
      <c r="D101" s="31"/>
      <c r="E101" s="31"/>
      <c r="F101" s="189" t="s">
        <v>194</v>
      </c>
      <c r="G101" s="534"/>
      <c r="H101" s="535"/>
      <c r="I101" s="191">
        <f>SUM(I94:I100)</f>
        <v>91.105</v>
      </c>
      <c r="J101" s="534"/>
      <c r="K101" s="535"/>
      <c r="L101" s="191">
        <f>SUM(L94:L100)</f>
        <v>100.68442163783375</v>
      </c>
      <c r="M101" s="191">
        <f>SUM(M94:M100)</f>
        <v>9.584378842452011</v>
      </c>
      <c r="N101" s="194">
        <f t="shared" si="11"/>
        <v>0.10520145812471336</v>
      </c>
      <c r="O101" s="196">
        <f>L101/L103</f>
        <v>0.8849557522123894</v>
      </c>
      <c r="P101" s="128"/>
    </row>
    <row r="102" spans="2:16" ht="18" customHeight="1" thickBot="1">
      <c r="B102" s="133"/>
      <c r="C102" s="31"/>
      <c r="D102" s="31"/>
      <c r="E102" s="31"/>
      <c r="F102" s="240" t="s">
        <v>274</v>
      </c>
      <c r="G102" s="241"/>
      <c r="H102" s="244">
        <v>0.13</v>
      </c>
      <c r="I102" s="242">
        <f>I101*H102</f>
        <v>11.84365</v>
      </c>
      <c r="J102" s="241"/>
      <c r="K102" s="244">
        <v>0.13</v>
      </c>
      <c r="L102" s="243">
        <f>L101*K102</f>
        <v>13.088974812918387</v>
      </c>
      <c r="M102" s="183">
        <f>+L102-I102</f>
        <v>1.245324812918387</v>
      </c>
      <c r="N102" s="184">
        <f t="shared" si="11"/>
        <v>0.10514704613175727</v>
      </c>
      <c r="O102" s="469">
        <f>L102/L103</f>
        <v>0.11504424778761062</v>
      </c>
      <c r="P102" s="128"/>
    </row>
    <row r="103" spans="2:16" ht="18" customHeight="1" thickBot="1">
      <c r="B103" s="133"/>
      <c r="C103" s="31"/>
      <c r="D103" s="31"/>
      <c r="E103" s="35"/>
      <c r="F103" s="190" t="s">
        <v>78</v>
      </c>
      <c r="G103" s="547"/>
      <c r="H103" s="548"/>
      <c r="I103" s="192">
        <f>I101+I102</f>
        <v>102.94865</v>
      </c>
      <c r="J103" s="547"/>
      <c r="K103" s="548"/>
      <c r="L103" s="192">
        <f>L101+L102</f>
        <v>113.77339645075213</v>
      </c>
      <c r="M103" s="192">
        <f>M101+M102</f>
        <v>10.829703655370398</v>
      </c>
      <c r="N103" s="194">
        <f t="shared" si="11"/>
        <v>0.1051951983379131</v>
      </c>
      <c r="O103" s="196">
        <f>SUM(O101:O102)</f>
        <v>1</v>
      </c>
      <c r="P103" s="128"/>
    </row>
    <row r="104" spans="2:16" ht="6.75" customHeight="1" thickBot="1">
      <c r="B104" s="129"/>
      <c r="C104" s="139"/>
      <c r="D104" s="139"/>
      <c r="E104" s="139"/>
      <c r="F104" s="140"/>
      <c r="G104" s="141"/>
      <c r="H104" s="142"/>
      <c r="I104" s="143"/>
      <c r="J104" s="141"/>
      <c r="K104" s="144"/>
      <c r="L104" s="143"/>
      <c r="M104" s="148"/>
      <c r="N104" s="146"/>
      <c r="O104" s="147"/>
      <c r="P104" s="130"/>
    </row>
    <row r="105" ht="18" customHeight="1" thickBot="1"/>
    <row r="106" spans="2:16" ht="18" customHeight="1">
      <c r="B106" s="135"/>
      <c r="C106" s="536"/>
      <c r="D106" s="536"/>
      <c r="E106" s="536"/>
      <c r="F106" s="536"/>
      <c r="G106" s="536"/>
      <c r="H106" s="536"/>
      <c r="I106" s="536"/>
      <c r="J106" s="536"/>
      <c r="K106" s="536"/>
      <c r="L106" s="536"/>
      <c r="M106" s="536"/>
      <c r="N106" s="536"/>
      <c r="O106" s="536"/>
      <c r="P106" s="127"/>
    </row>
    <row r="107" spans="2:16" ht="23.25">
      <c r="B107" s="133"/>
      <c r="C107" s="538" t="s">
        <v>47</v>
      </c>
      <c r="D107" s="538"/>
      <c r="E107" s="538"/>
      <c r="F107" s="538"/>
      <c r="G107" s="538"/>
      <c r="H107" s="538"/>
      <c r="I107" s="538"/>
      <c r="J107" s="538"/>
      <c r="K107" s="538"/>
      <c r="L107" s="538"/>
      <c r="M107" s="538"/>
      <c r="N107" s="538"/>
      <c r="O107" s="538"/>
      <c r="P107" s="128"/>
    </row>
    <row r="108" spans="2:16" ht="18" customHeight="1" thickBot="1">
      <c r="B108" s="133"/>
      <c r="C108" s="541"/>
      <c r="D108" s="541"/>
      <c r="E108" s="541"/>
      <c r="F108" s="541"/>
      <c r="G108" s="541"/>
      <c r="H108" s="541"/>
      <c r="I108" s="541"/>
      <c r="J108" s="541"/>
      <c r="K108" s="541"/>
      <c r="L108" s="541"/>
      <c r="M108" s="541"/>
      <c r="N108" s="541"/>
      <c r="O108" s="541"/>
      <c r="P108" s="128"/>
    </row>
    <row r="109" spans="2:16" ht="18" customHeight="1" thickBot="1">
      <c r="B109" s="133"/>
      <c r="C109" s="134"/>
      <c r="D109" s="134"/>
      <c r="E109" s="31"/>
      <c r="F109" s="37"/>
      <c r="G109" s="529" t="str">
        <f>$G$10</f>
        <v>2010 BILL</v>
      </c>
      <c r="H109" s="530"/>
      <c r="I109" s="531"/>
      <c r="J109" s="529" t="str">
        <f>$J$10</f>
        <v>2011 BILL</v>
      </c>
      <c r="K109" s="530"/>
      <c r="L109" s="531"/>
      <c r="M109" s="529" t="s">
        <v>72</v>
      </c>
      <c r="N109" s="530"/>
      <c r="O109" s="531"/>
      <c r="P109" s="128"/>
    </row>
    <row r="110" spans="2:16" ht="26.25" thickBot="1">
      <c r="B110" s="133"/>
      <c r="C110" s="31"/>
      <c r="D110" s="31"/>
      <c r="E110" s="33"/>
      <c r="F110" s="38"/>
      <c r="G110" s="348" t="s">
        <v>66</v>
      </c>
      <c r="H110" s="339" t="s">
        <v>67</v>
      </c>
      <c r="I110" s="340" t="s">
        <v>68</v>
      </c>
      <c r="J110" s="349" t="s">
        <v>66</v>
      </c>
      <c r="K110" s="339" t="s">
        <v>67</v>
      </c>
      <c r="L110" s="340" t="s">
        <v>68</v>
      </c>
      <c r="M110" s="350" t="s">
        <v>79</v>
      </c>
      <c r="N110" s="351" t="s">
        <v>80</v>
      </c>
      <c r="O110" s="352" t="s">
        <v>75</v>
      </c>
      <c r="P110" s="128"/>
    </row>
    <row r="111" spans="2:16" ht="18" customHeight="1" thickBot="1">
      <c r="B111" s="133"/>
      <c r="C111" s="532" t="s">
        <v>69</v>
      </c>
      <c r="D111" s="533"/>
      <c r="E111" s="31"/>
      <c r="F111" s="155" t="s">
        <v>70</v>
      </c>
      <c r="G111" s="165"/>
      <c r="H111" s="166"/>
      <c r="I111" s="167">
        <f>+'2010 Existing Rates'!$C$8</f>
        <v>13.53</v>
      </c>
      <c r="J111" s="165"/>
      <c r="K111" s="166"/>
      <c r="L111" s="170">
        <f>'Rate Schedule (Part 1)'!$E$12</f>
        <v>19.86</v>
      </c>
      <c r="M111" s="175">
        <f aca="true" t="shared" si="12" ref="M111:M117">+L111-I111</f>
        <v>6.33</v>
      </c>
      <c r="N111" s="176">
        <f aca="true" t="shared" si="13" ref="N111:N122">+M111/I111</f>
        <v>0.46784922394678496</v>
      </c>
      <c r="O111" s="177">
        <f>L111/L129</f>
        <v>0.16531979624400514</v>
      </c>
      <c r="P111" s="128"/>
    </row>
    <row r="112" spans="2:16" ht="18" customHeight="1" thickBot="1">
      <c r="B112" s="133"/>
      <c r="C112" s="346">
        <v>800</v>
      </c>
      <c r="D112" s="347" t="s">
        <v>16</v>
      </c>
      <c r="E112" s="31"/>
      <c r="F112" s="156" t="s">
        <v>71</v>
      </c>
      <c r="G112" s="159">
        <f>+C112</f>
        <v>800</v>
      </c>
      <c r="H112" s="153">
        <f>'2010 Existing Rates'!$B$53</f>
        <v>0.0099</v>
      </c>
      <c r="I112" s="168">
        <f>+G112*H112</f>
        <v>7.920000000000001</v>
      </c>
      <c r="J112" s="159">
        <f>+C112</f>
        <v>800</v>
      </c>
      <c r="K112" s="152">
        <f>'Rate Schedule (Part 1)'!$E$13</f>
        <v>0.0145</v>
      </c>
      <c r="L112" s="171">
        <f>+J112*K112</f>
        <v>11.600000000000001</v>
      </c>
      <c r="M112" s="178">
        <f t="shared" si="12"/>
        <v>3.6800000000000006</v>
      </c>
      <c r="N112" s="172">
        <f t="shared" si="13"/>
        <v>0.4646464646464647</v>
      </c>
      <c r="O112" s="179">
        <f>L112/L129</f>
        <v>0.09656141170344713</v>
      </c>
      <c r="P112" s="128"/>
    </row>
    <row r="113" spans="2:16" ht="18" customHeight="1" hidden="1">
      <c r="B113" s="133"/>
      <c r="C113" s="63"/>
      <c r="D113" s="64"/>
      <c r="E113" s="31"/>
      <c r="P113" s="128"/>
    </row>
    <row r="114" spans="2:16" ht="18" customHeight="1">
      <c r="B114" s="133"/>
      <c r="C114" s="63"/>
      <c r="D114" s="64"/>
      <c r="E114" s="31"/>
      <c r="F114" s="156" t="s">
        <v>277</v>
      </c>
      <c r="G114" s="174"/>
      <c r="H114" s="153">
        <v>1</v>
      </c>
      <c r="I114" s="168">
        <v>1</v>
      </c>
      <c r="J114" s="174"/>
      <c r="K114" s="152">
        <f>'[9]8. Smart Meter Rate  Adder'!$C$20</f>
        <v>0.0898917624704141</v>
      </c>
      <c r="L114" s="171">
        <f>K114</f>
        <v>0.0898917624704141</v>
      </c>
      <c r="M114" s="178">
        <f t="shared" si="12"/>
        <v>-0.9101082375295859</v>
      </c>
      <c r="N114" s="172">
        <f>+M114/I114</f>
        <v>-0.9101082375295859</v>
      </c>
      <c r="O114" s="179">
        <f>L114/L129</f>
        <v>0.0007482823693667355</v>
      </c>
      <c r="P114" s="128"/>
    </row>
    <row r="115" spans="2:16" ht="18" customHeight="1">
      <c r="B115" s="133"/>
      <c r="C115" s="63"/>
      <c r="D115" s="64"/>
      <c r="E115" s="31"/>
      <c r="F115" s="156" t="s">
        <v>169</v>
      </c>
      <c r="G115" s="174"/>
      <c r="H115" s="173"/>
      <c r="I115" s="168">
        <v>0</v>
      </c>
      <c r="J115" s="174"/>
      <c r="K115" s="173"/>
      <c r="L115" s="171">
        <f>'[7]Recovery of Smart Meter Costs'!$C$21</f>
        <v>2.0941673818332727</v>
      </c>
      <c r="M115" s="178">
        <f t="shared" si="12"/>
        <v>2.0941673818332727</v>
      </c>
      <c r="N115" s="172">
        <v>1</v>
      </c>
      <c r="O115" s="179">
        <f>L115/L129</f>
        <v>0.017432392994235567</v>
      </c>
      <c r="P115" s="128"/>
    </row>
    <row r="116" spans="1:16" ht="18" customHeight="1" hidden="1">
      <c r="A116" s="128"/>
      <c r="B116" s="25"/>
      <c r="C116" s="31"/>
      <c r="D116" s="31"/>
      <c r="E116" s="31"/>
      <c r="P116" s="128"/>
    </row>
    <row r="117" spans="1:16" ht="18" customHeight="1" thickBot="1">
      <c r="A117" s="128"/>
      <c r="B117" s="25"/>
      <c r="C117" s="31"/>
      <c r="D117" s="31"/>
      <c r="E117" s="31"/>
      <c r="F117" s="157" t="s">
        <v>240</v>
      </c>
      <c r="G117" s="180">
        <f>+C112</f>
        <v>800</v>
      </c>
      <c r="H117" s="181">
        <f>+'2010 Existing Rates'!$B$19</f>
        <v>0</v>
      </c>
      <c r="I117" s="164">
        <f>+G117*H117</f>
        <v>0</v>
      </c>
      <c r="J117" s="180">
        <f>+C112</f>
        <v>800</v>
      </c>
      <c r="K117" s="181">
        <f>'Rate Schedule (Part 1)'!$E$18</f>
        <v>-0.0015721359195805511</v>
      </c>
      <c r="L117" s="182">
        <f>+J117*K117</f>
        <v>-1.257708735664441</v>
      </c>
      <c r="M117" s="178">
        <f t="shared" si="12"/>
        <v>-1.257708735664441</v>
      </c>
      <c r="N117" s="172">
        <v>-1</v>
      </c>
      <c r="O117" s="179">
        <f>L117/L129</f>
        <v>-0.01046949405409621</v>
      </c>
      <c r="P117" s="308"/>
    </row>
    <row r="118" spans="1:16" ht="18" customHeight="1" thickBot="1">
      <c r="A118" s="128"/>
      <c r="F118" s="189" t="s">
        <v>242</v>
      </c>
      <c r="G118" s="534"/>
      <c r="H118" s="535"/>
      <c r="I118" s="191">
        <f>SUM(I111:I117)</f>
        <v>22.45</v>
      </c>
      <c r="J118" s="534"/>
      <c r="K118" s="535"/>
      <c r="L118" s="191">
        <f>SUM(L111:L117)</f>
        <v>32.386350408639245</v>
      </c>
      <c r="M118" s="193">
        <f>SUM(M111:M117)</f>
        <v>9.936350408639248</v>
      </c>
      <c r="N118" s="194">
        <f t="shared" si="13"/>
        <v>0.4425991273335968</v>
      </c>
      <c r="O118" s="196">
        <f>L118/L129</f>
        <v>0.2695923892569584</v>
      </c>
      <c r="P118" s="308"/>
    </row>
    <row r="119" spans="1:16" ht="18" customHeight="1" thickBot="1">
      <c r="A119" s="128"/>
      <c r="F119" s="156" t="s">
        <v>243</v>
      </c>
      <c r="G119" s="295">
        <f>C112*'Other Electriciy Rates'!$L$10</f>
        <v>834.4</v>
      </c>
      <c r="H119" s="296">
        <f>'Other Electriciy Rates'!$B$10</f>
        <v>0.0075</v>
      </c>
      <c r="I119" s="168">
        <f>+G119*H119</f>
        <v>6.258</v>
      </c>
      <c r="J119" s="295">
        <f>'BILL IMPACTS'!C112*'Other Electriciy Rates'!$L$24</f>
        <v>834.4</v>
      </c>
      <c r="K119" s="296">
        <f>'Other Electriciy Rates'!$B$24</f>
        <v>0.006917659869882344</v>
      </c>
      <c r="L119" s="168">
        <f>+J119*K119</f>
        <v>5.772095395429828</v>
      </c>
      <c r="M119" s="297">
        <f>+L119-I119</f>
        <v>-0.48590460457017226</v>
      </c>
      <c r="N119" s="176">
        <f t="shared" si="13"/>
        <v>-0.07764535068235415</v>
      </c>
      <c r="O119" s="177">
        <f>L119/L129</f>
        <v>0.04804842067841991</v>
      </c>
      <c r="P119" s="308"/>
    </row>
    <row r="120" spans="1:16" ht="18" customHeight="1" thickBot="1">
      <c r="A120" s="128"/>
      <c r="F120" s="189" t="s">
        <v>244</v>
      </c>
      <c r="G120" s="534"/>
      <c r="H120" s="535"/>
      <c r="I120" s="191">
        <f>I118+I119</f>
        <v>28.708</v>
      </c>
      <c r="J120" s="534"/>
      <c r="K120" s="535"/>
      <c r="L120" s="191">
        <f>L118+L119</f>
        <v>38.158445804069075</v>
      </c>
      <c r="M120" s="193">
        <f>SUM(M111:M119)-M118</f>
        <v>9.450445804069075</v>
      </c>
      <c r="N120" s="194">
        <f t="shared" si="13"/>
        <v>0.32919206507137644</v>
      </c>
      <c r="O120" s="298">
        <f>L120/L129</f>
        <v>0.3176408099353783</v>
      </c>
      <c r="P120" s="308"/>
    </row>
    <row r="121" spans="1:16" ht="18" customHeight="1">
      <c r="A121" s="128"/>
      <c r="F121" s="158" t="s">
        <v>284</v>
      </c>
      <c r="G121" s="160">
        <f>+'Other Electriciy Rates'!$L$10*C112</f>
        <v>834.4</v>
      </c>
      <c r="H121" s="161">
        <f>'Other Electriciy Rates'!$C$10</f>
        <v>0.0065</v>
      </c>
      <c r="I121" s="162">
        <f aca="true" t="shared" si="14" ref="I121:I126">+G121*H121</f>
        <v>5.4235999999999995</v>
      </c>
      <c r="J121" s="160">
        <f>J119</f>
        <v>834.4</v>
      </c>
      <c r="K121" s="161">
        <f>'Other Electriciy Rates'!$C$24</f>
        <v>0.0065</v>
      </c>
      <c r="L121" s="185">
        <f>+J121*K121</f>
        <v>5.4235999999999995</v>
      </c>
      <c r="M121" s="186">
        <f aca="true" t="shared" si="15" ref="M121:M126">+L121-I121</f>
        <v>0</v>
      </c>
      <c r="N121" s="187">
        <f t="shared" si="13"/>
        <v>0</v>
      </c>
      <c r="O121" s="177">
        <f>L121/L129</f>
        <v>0.04514745452713929</v>
      </c>
      <c r="P121" s="308"/>
    </row>
    <row r="122" spans="1:16" ht="18" customHeight="1">
      <c r="A122" s="128"/>
      <c r="F122" s="158" t="s">
        <v>285</v>
      </c>
      <c r="G122" s="160">
        <v>800</v>
      </c>
      <c r="H122" s="161">
        <f>+'Other Electriciy Rates'!$D$10</f>
        <v>0.007</v>
      </c>
      <c r="I122" s="162">
        <f t="shared" si="14"/>
        <v>5.6000000000000005</v>
      </c>
      <c r="J122" s="160">
        <v>800</v>
      </c>
      <c r="K122" s="161">
        <f>+'Other Electriciy Rates'!$D$10</f>
        <v>0.007</v>
      </c>
      <c r="L122" s="162">
        <f>+J122*K122</f>
        <v>5.6000000000000005</v>
      </c>
      <c r="M122" s="186">
        <f t="shared" si="15"/>
        <v>0</v>
      </c>
      <c r="N122" s="187">
        <f t="shared" si="13"/>
        <v>0</v>
      </c>
      <c r="O122" s="465">
        <f>L122/L129</f>
        <v>0.04661585392580206</v>
      </c>
      <c r="P122" s="308"/>
    </row>
    <row r="123" spans="1:16" ht="18" customHeight="1">
      <c r="A123" s="128"/>
      <c r="F123" s="156" t="s">
        <v>267</v>
      </c>
      <c r="G123" s="159">
        <f>G112</f>
        <v>800</v>
      </c>
      <c r="H123" s="153">
        <f>'2010 Existing Rates'!$B$30</f>
        <v>0</v>
      </c>
      <c r="I123" s="168">
        <f t="shared" si="14"/>
        <v>0</v>
      </c>
      <c r="J123" s="174"/>
      <c r="K123" s="152">
        <v>0.25</v>
      </c>
      <c r="L123" s="171">
        <v>0.25</v>
      </c>
      <c r="M123" s="178">
        <f t="shared" si="15"/>
        <v>0.25</v>
      </c>
      <c r="N123" s="172">
        <v>1</v>
      </c>
      <c r="O123" s="179">
        <f>L123/L129</f>
        <v>0.0020810649074018777</v>
      </c>
      <c r="P123" s="308"/>
    </row>
    <row r="124" spans="1:16" ht="18" customHeight="1">
      <c r="A124" s="128"/>
      <c r="F124" s="156" t="s">
        <v>275</v>
      </c>
      <c r="G124" s="159">
        <f>C112</f>
        <v>800</v>
      </c>
      <c r="H124" s="153">
        <v>0.000373</v>
      </c>
      <c r="I124" s="168">
        <f t="shared" si="14"/>
        <v>0.2984</v>
      </c>
      <c r="J124" s="159">
        <f>C112</f>
        <v>800</v>
      </c>
      <c r="K124" s="153">
        <v>0.000373</v>
      </c>
      <c r="L124" s="171">
        <f>J124*K124</f>
        <v>0.2984</v>
      </c>
      <c r="M124" s="178">
        <f t="shared" si="15"/>
        <v>0</v>
      </c>
      <c r="N124" s="172">
        <f aca="true" t="shared" si="16" ref="N124:N129">+M124/I124</f>
        <v>0</v>
      </c>
      <c r="O124" s="179">
        <f>L124/L129</f>
        <v>0.002483959073474881</v>
      </c>
      <c r="P124" s="308"/>
    </row>
    <row r="125" spans="1:16" ht="18" customHeight="1">
      <c r="A125" s="128"/>
      <c r="B125" s="25"/>
      <c r="C125" s="31"/>
      <c r="D125" s="31"/>
      <c r="E125" s="31"/>
      <c r="F125" s="154" t="s">
        <v>77</v>
      </c>
      <c r="G125" s="160">
        <v>600</v>
      </c>
      <c r="H125" s="161">
        <f>'Other Electriciy Rates'!$J$11</f>
        <v>0.065</v>
      </c>
      <c r="I125" s="162">
        <f t="shared" si="14"/>
        <v>39</v>
      </c>
      <c r="J125" s="160">
        <v>600</v>
      </c>
      <c r="K125" s="161">
        <f>'Other Electriciy Rates'!$J$24</f>
        <v>0.065</v>
      </c>
      <c r="L125" s="185">
        <f>+J125*K125</f>
        <v>39</v>
      </c>
      <c r="M125" s="186">
        <f t="shared" si="15"/>
        <v>0</v>
      </c>
      <c r="N125" s="187">
        <f t="shared" si="16"/>
        <v>0</v>
      </c>
      <c r="O125" s="188">
        <f>L125/L129</f>
        <v>0.3246461255546929</v>
      </c>
      <c r="P125" s="308"/>
    </row>
    <row r="126" spans="2:16" ht="18" customHeight="1" thickBot="1">
      <c r="B126" s="133"/>
      <c r="C126" s="31"/>
      <c r="D126" s="31"/>
      <c r="E126" s="31"/>
      <c r="F126" s="154" t="s">
        <v>77</v>
      </c>
      <c r="G126" s="160">
        <f>G121-G125</f>
        <v>234.39999999999998</v>
      </c>
      <c r="H126" s="161">
        <f>'Other Electriciy Rates'!$K$10</f>
        <v>0.075</v>
      </c>
      <c r="I126" s="162">
        <f t="shared" si="14"/>
        <v>17.58</v>
      </c>
      <c r="J126" s="160">
        <f>J121-J125</f>
        <v>234.39999999999998</v>
      </c>
      <c r="K126" s="161">
        <f>'Other Electriciy Rates'!$K$24</f>
        <v>0.075</v>
      </c>
      <c r="L126" s="185">
        <f>+J126*K126</f>
        <v>17.58</v>
      </c>
      <c r="M126" s="186">
        <f t="shared" si="15"/>
        <v>0</v>
      </c>
      <c r="N126" s="187">
        <f t="shared" si="16"/>
        <v>0</v>
      </c>
      <c r="O126" s="188">
        <f>L126/L129</f>
        <v>0.14634048428850002</v>
      </c>
      <c r="P126" s="128"/>
    </row>
    <row r="127" spans="2:16" ht="18" customHeight="1" thickBot="1">
      <c r="B127" s="133"/>
      <c r="C127" s="31"/>
      <c r="D127" s="31"/>
      <c r="E127" s="31"/>
      <c r="F127" s="189" t="s">
        <v>194</v>
      </c>
      <c r="G127" s="534"/>
      <c r="H127" s="535"/>
      <c r="I127" s="191">
        <f>SUM(I120:I126)</f>
        <v>96.61</v>
      </c>
      <c r="J127" s="534"/>
      <c r="K127" s="535"/>
      <c r="L127" s="191">
        <f>SUM(L120:L126)</f>
        <v>106.31044580406908</v>
      </c>
      <c r="M127" s="191">
        <f>SUM(M120:M126)</f>
        <v>9.700445804069075</v>
      </c>
      <c r="N127" s="194">
        <f t="shared" si="16"/>
        <v>0.10040829939001215</v>
      </c>
      <c r="O127" s="196">
        <f>L127/L129</f>
        <v>0.8849557522123893</v>
      </c>
      <c r="P127" s="128"/>
    </row>
    <row r="128" spans="2:16" ht="18" customHeight="1" thickBot="1">
      <c r="B128" s="133"/>
      <c r="C128" s="31"/>
      <c r="D128" s="31"/>
      <c r="E128" s="31"/>
      <c r="F128" s="240" t="s">
        <v>274</v>
      </c>
      <c r="G128" s="241"/>
      <c r="H128" s="244">
        <v>0.13</v>
      </c>
      <c r="I128" s="242">
        <f>I127*H128</f>
        <v>12.5593</v>
      </c>
      <c r="J128" s="241"/>
      <c r="K128" s="244">
        <v>0.13</v>
      </c>
      <c r="L128" s="243">
        <f>L127*K128</f>
        <v>13.82035795452898</v>
      </c>
      <c r="M128" s="183">
        <f>+L128-I128</f>
        <v>1.2610579545289795</v>
      </c>
      <c r="N128" s="184">
        <f t="shared" si="16"/>
        <v>0.10040829939001214</v>
      </c>
      <c r="O128" s="469">
        <f>L128/L129</f>
        <v>0.11504424778761062</v>
      </c>
      <c r="P128" s="128"/>
    </row>
    <row r="129" spans="2:16" ht="18" customHeight="1" thickBot="1">
      <c r="B129" s="133"/>
      <c r="C129" s="31"/>
      <c r="D129" s="31"/>
      <c r="E129" s="35"/>
      <c r="F129" s="190" t="s">
        <v>78</v>
      </c>
      <c r="G129" s="547"/>
      <c r="H129" s="548"/>
      <c r="I129" s="192">
        <f>I127+I128</f>
        <v>109.16929999999999</v>
      </c>
      <c r="J129" s="547"/>
      <c r="K129" s="548"/>
      <c r="L129" s="192">
        <f>L127+L128</f>
        <v>120.13080375859806</v>
      </c>
      <c r="M129" s="192">
        <f>M127+M128</f>
        <v>10.961503758598054</v>
      </c>
      <c r="N129" s="194">
        <f t="shared" si="16"/>
        <v>0.10040829939001217</v>
      </c>
      <c r="O129" s="196">
        <f>SUM(O127:O128)</f>
        <v>0.9999999999999999</v>
      </c>
      <c r="P129" s="128"/>
    </row>
    <row r="130" spans="2:16" ht="18" customHeight="1" thickBot="1">
      <c r="B130" s="129"/>
      <c r="C130" s="139"/>
      <c r="D130" s="139"/>
      <c r="E130" s="139"/>
      <c r="F130" s="140"/>
      <c r="G130" s="141"/>
      <c r="H130" s="142"/>
      <c r="I130" s="143"/>
      <c r="J130" s="141"/>
      <c r="K130" s="144"/>
      <c r="L130" s="143"/>
      <c r="M130" s="148"/>
      <c r="N130" s="146"/>
      <c r="O130" s="147"/>
      <c r="P130" s="130"/>
    </row>
    <row r="131" ht="18" customHeight="1" thickBot="1"/>
    <row r="132" spans="2:16" ht="18" customHeight="1">
      <c r="B132" s="135"/>
      <c r="C132" s="536"/>
      <c r="D132" s="536"/>
      <c r="E132" s="536"/>
      <c r="F132" s="536"/>
      <c r="G132" s="536"/>
      <c r="H132" s="536"/>
      <c r="I132" s="536"/>
      <c r="J132" s="536"/>
      <c r="K132" s="536"/>
      <c r="L132" s="536"/>
      <c r="M132" s="536"/>
      <c r="N132" s="536"/>
      <c r="O132" s="536"/>
      <c r="P132" s="127"/>
    </row>
    <row r="133" spans="2:16" ht="23.25">
      <c r="B133" s="133"/>
      <c r="C133" s="538" t="s">
        <v>47</v>
      </c>
      <c r="D133" s="538"/>
      <c r="E133" s="538"/>
      <c r="F133" s="538"/>
      <c r="G133" s="538"/>
      <c r="H133" s="538"/>
      <c r="I133" s="538"/>
      <c r="J133" s="538"/>
      <c r="K133" s="538"/>
      <c r="L133" s="538"/>
      <c r="M133" s="538"/>
      <c r="N133" s="538"/>
      <c r="O133" s="538"/>
      <c r="P133" s="128"/>
    </row>
    <row r="134" spans="2:16" ht="18" customHeight="1" thickBot="1">
      <c r="B134" s="133"/>
      <c r="C134" s="541"/>
      <c r="D134" s="541"/>
      <c r="E134" s="541"/>
      <c r="F134" s="541"/>
      <c r="G134" s="541"/>
      <c r="H134" s="541"/>
      <c r="I134" s="541"/>
      <c r="J134" s="541"/>
      <c r="K134" s="541"/>
      <c r="L134" s="541"/>
      <c r="M134" s="541"/>
      <c r="N134" s="541"/>
      <c r="O134" s="541"/>
      <c r="P134" s="128"/>
    </row>
    <row r="135" spans="2:16" ht="18" customHeight="1" thickBot="1">
      <c r="B135" s="133"/>
      <c r="C135" s="134"/>
      <c r="D135" s="134"/>
      <c r="E135" s="31"/>
      <c r="F135" s="37"/>
      <c r="G135" s="529" t="str">
        <f>$G$10</f>
        <v>2010 BILL</v>
      </c>
      <c r="H135" s="530"/>
      <c r="I135" s="531"/>
      <c r="J135" s="529" t="str">
        <f>$J$10</f>
        <v>2011 BILL</v>
      </c>
      <c r="K135" s="530"/>
      <c r="L135" s="531"/>
      <c r="M135" s="529" t="s">
        <v>72</v>
      </c>
      <c r="N135" s="530"/>
      <c r="O135" s="531"/>
      <c r="P135" s="128"/>
    </row>
    <row r="136" spans="2:16" ht="26.25" thickBot="1">
      <c r="B136" s="133"/>
      <c r="C136" s="31"/>
      <c r="D136" s="31"/>
      <c r="E136" s="33"/>
      <c r="F136" s="38"/>
      <c r="G136" s="348" t="s">
        <v>66</v>
      </c>
      <c r="H136" s="339" t="s">
        <v>67</v>
      </c>
      <c r="I136" s="340" t="s">
        <v>68</v>
      </c>
      <c r="J136" s="349" t="s">
        <v>66</v>
      </c>
      <c r="K136" s="339" t="s">
        <v>67</v>
      </c>
      <c r="L136" s="340" t="s">
        <v>68</v>
      </c>
      <c r="M136" s="350" t="s">
        <v>79</v>
      </c>
      <c r="N136" s="351" t="s">
        <v>80</v>
      </c>
      <c r="O136" s="352" t="s">
        <v>75</v>
      </c>
      <c r="P136" s="128"/>
    </row>
    <row r="137" spans="2:16" ht="18" customHeight="1" thickBot="1">
      <c r="B137" s="133"/>
      <c r="C137" s="532" t="s">
        <v>69</v>
      </c>
      <c r="D137" s="533"/>
      <c r="E137" s="31"/>
      <c r="F137" s="155" t="s">
        <v>70</v>
      </c>
      <c r="G137" s="165"/>
      <c r="H137" s="166"/>
      <c r="I137" s="167">
        <f>+'2010 Existing Rates'!$C$8</f>
        <v>13.53</v>
      </c>
      <c r="J137" s="165"/>
      <c r="K137" s="166"/>
      <c r="L137" s="170">
        <f>'Rate Schedule (Part 1)'!$E$12</f>
        <v>19.86</v>
      </c>
      <c r="M137" s="175">
        <f aca="true" t="shared" si="17" ref="M137:M143">+L137-I137</f>
        <v>6.33</v>
      </c>
      <c r="N137" s="176">
        <f aca="true" t="shared" si="18" ref="N137:N148">+M137/I137</f>
        <v>0.46784922394678496</v>
      </c>
      <c r="O137" s="177">
        <f>L137/L155</f>
        <v>0.13643817617227663</v>
      </c>
      <c r="P137" s="128"/>
    </row>
    <row r="138" spans="2:16" ht="18" customHeight="1" thickBot="1">
      <c r="B138" s="133"/>
      <c r="C138" s="346">
        <v>1000</v>
      </c>
      <c r="D138" s="347" t="s">
        <v>16</v>
      </c>
      <c r="E138" s="31"/>
      <c r="F138" s="156" t="s">
        <v>71</v>
      </c>
      <c r="G138" s="159">
        <f>+C138</f>
        <v>1000</v>
      </c>
      <c r="H138" s="153">
        <f>'2010 Existing Rates'!$B$53</f>
        <v>0.0099</v>
      </c>
      <c r="I138" s="168">
        <f>+G138*H138</f>
        <v>9.9</v>
      </c>
      <c r="J138" s="159">
        <f>+C138</f>
        <v>1000</v>
      </c>
      <c r="K138" s="152">
        <f>'Rate Schedule (Part 1)'!$E$13</f>
        <v>0.0145</v>
      </c>
      <c r="L138" s="171">
        <f>+J138*K138</f>
        <v>14.5</v>
      </c>
      <c r="M138" s="178">
        <f t="shared" si="17"/>
        <v>4.6</v>
      </c>
      <c r="N138" s="172">
        <f t="shared" si="18"/>
        <v>0.4646464646464646</v>
      </c>
      <c r="O138" s="179">
        <f>L138/L155</f>
        <v>0.09961498260312242</v>
      </c>
      <c r="P138" s="128"/>
    </row>
    <row r="139" spans="2:16" ht="18" customHeight="1" hidden="1">
      <c r="B139" s="133"/>
      <c r="C139" s="63"/>
      <c r="D139" s="64"/>
      <c r="E139" s="31"/>
      <c r="P139" s="128"/>
    </row>
    <row r="140" spans="2:16" ht="18" customHeight="1">
      <c r="B140" s="133"/>
      <c r="C140" s="63"/>
      <c r="D140" s="64"/>
      <c r="E140" s="31"/>
      <c r="F140" s="156" t="s">
        <v>277</v>
      </c>
      <c r="G140" s="174"/>
      <c r="H140" s="153">
        <v>1</v>
      </c>
      <c r="I140" s="168">
        <v>1</v>
      </c>
      <c r="J140" s="174"/>
      <c r="K140" s="152">
        <f>'[9]8. Smart Meter Rate  Adder'!$C$20</f>
        <v>0.0898917624704141</v>
      </c>
      <c r="L140" s="171">
        <f>K140</f>
        <v>0.0898917624704141</v>
      </c>
      <c r="M140" s="178">
        <f t="shared" si="17"/>
        <v>-0.9101082375295859</v>
      </c>
      <c r="N140" s="172">
        <f>+M140/I140</f>
        <v>-0.9101082375295859</v>
      </c>
      <c r="O140" s="179">
        <f>L140/L155</f>
        <v>0.000617556300320987</v>
      </c>
      <c r="P140" s="128"/>
    </row>
    <row r="141" spans="2:16" ht="18" customHeight="1">
      <c r="B141" s="133"/>
      <c r="C141" s="63"/>
      <c r="D141" s="64"/>
      <c r="E141" s="31"/>
      <c r="F141" s="156" t="s">
        <v>169</v>
      </c>
      <c r="G141" s="174"/>
      <c r="H141" s="173"/>
      <c r="I141" s="168">
        <v>0</v>
      </c>
      <c r="J141" s="174"/>
      <c r="K141" s="173"/>
      <c r="L141" s="171">
        <f>'[7]Recovery of Smart Meter Costs'!$C$21</f>
        <v>2.0941673818332727</v>
      </c>
      <c r="M141" s="178">
        <f t="shared" si="17"/>
        <v>2.0941673818332727</v>
      </c>
      <c r="N141" s="172">
        <v>1</v>
      </c>
      <c r="O141" s="179">
        <f>L141/L155</f>
        <v>0.014386927400644681</v>
      </c>
      <c r="P141" s="128"/>
    </row>
    <row r="142" spans="1:16" ht="18" customHeight="1" hidden="1">
      <c r="A142" s="128"/>
      <c r="B142" s="25"/>
      <c r="C142" s="31"/>
      <c r="D142" s="31"/>
      <c r="E142" s="31"/>
      <c r="P142" s="128"/>
    </row>
    <row r="143" spans="1:16" ht="18" customHeight="1" thickBot="1">
      <c r="A143" s="128"/>
      <c r="B143" s="25"/>
      <c r="C143" s="31"/>
      <c r="D143" s="31"/>
      <c r="E143" s="31"/>
      <c r="F143" s="157" t="s">
        <v>240</v>
      </c>
      <c r="G143" s="180">
        <f>+C138</f>
        <v>1000</v>
      </c>
      <c r="H143" s="181">
        <f>+'2010 Existing Rates'!$B$19</f>
        <v>0</v>
      </c>
      <c r="I143" s="164">
        <f>+G143*H143</f>
        <v>0</v>
      </c>
      <c r="J143" s="180">
        <f>+C138</f>
        <v>1000</v>
      </c>
      <c r="K143" s="181">
        <f>'Rate Schedule (Part 1)'!$E$18</f>
        <v>-0.0015721359195805511</v>
      </c>
      <c r="L143" s="182">
        <f>+J143*K143</f>
        <v>-1.572135919580551</v>
      </c>
      <c r="M143" s="178">
        <f t="shared" si="17"/>
        <v>-1.572135919580551</v>
      </c>
      <c r="N143" s="172">
        <v>-1</v>
      </c>
      <c r="O143" s="179">
        <f>L143/L155</f>
        <v>-0.010800571881293825</v>
      </c>
      <c r="P143" s="308"/>
    </row>
    <row r="144" spans="1:16" ht="18" customHeight="1" thickBot="1">
      <c r="A144" s="128"/>
      <c r="F144" s="189" t="s">
        <v>242</v>
      </c>
      <c r="G144" s="534"/>
      <c r="H144" s="535"/>
      <c r="I144" s="191">
        <f>SUM(I137:I143)</f>
        <v>24.43</v>
      </c>
      <c r="J144" s="534"/>
      <c r="K144" s="535"/>
      <c r="L144" s="191">
        <f>SUM(L137:L143)</f>
        <v>34.971923224723135</v>
      </c>
      <c r="M144" s="193">
        <f>SUM(M137:M143)</f>
        <v>10.541923224723135</v>
      </c>
      <c r="N144" s="194">
        <f t="shared" si="18"/>
        <v>0.43151548197802436</v>
      </c>
      <c r="O144" s="196">
        <f>L144/L155</f>
        <v>0.2402570705950709</v>
      </c>
      <c r="P144" s="308"/>
    </row>
    <row r="145" spans="1:16" ht="18" customHeight="1" thickBot="1">
      <c r="A145" s="128"/>
      <c r="F145" s="156" t="s">
        <v>243</v>
      </c>
      <c r="G145" s="295">
        <f>C138*'Other Electriciy Rates'!$L$10</f>
        <v>1043</v>
      </c>
      <c r="H145" s="296">
        <f>'Other Electriciy Rates'!$B$10</f>
        <v>0.0075</v>
      </c>
      <c r="I145" s="168">
        <f>+G145*H145</f>
        <v>7.8225</v>
      </c>
      <c r="J145" s="295">
        <f>'BILL IMPACTS'!C138*'Other Electriciy Rates'!$L$24</f>
        <v>1043</v>
      </c>
      <c r="K145" s="296">
        <f>'Other Electriciy Rates'!$B$24</f>
        <v>0.006917659869882344</v>
      </c>
      <c r="L145" s="168">
        <f>+J145*K145</f>
        <v>7.215119244287284</v>
      </c>
      <c r="M145" s="297">
        <f>+L145-I145</f>
        <v>-0.6073807557127155</v>
      </c>
      <c r="N145" s="176">
        <f t="shared" si="18"/>
        <v>-0.07764535068235418</v>
      </c>
      <c r="O145" s="177">
        <f>L145/L155</f>
        <v>0.04956786055166425</v>
      </c>
      <c r="P145" s="308"/>
    </row>
    <row r="146" spans="1:16" ht="18" customHeight="1" thickBot="1">
      <c r="A146" s="128"/>
      <c r="F146" s="189" t="s">
        <v>244</v>
      </c>
      <c r="G146" s="534"/>
      <c r="H146" s="535"/>
      <c r="I146" s="191">
        <f>I144+I145</f>
        <v>32.2525</v>
      </c>
      <c r="J146" s="534"/>
      <c r="K146" s="535"/>
      <c r="L146" s="191">
        <f>L144+L145</f>
        <v>42.18704246901042</v>
      </c>
      <c r="M146" s="191">
        <f>M144+M145</f>
        <v>9.93454246901042</v>
      </c>
      <c r="N146" s="194">
        <f t="shared" si="18"/>
        <v>0.3080239506708138</v>
      </c>
      <c r="O146" s="298">
        <f>L146/L155</f>
        <v>0.2898249311467352</v>
      </c>
      <c r="P146" s="308"/>
    </row>
    <row r="147" spans="1:16" ht="18" customHeight="1">
      <c r="A147" s="128"/>
      <c r="F147" s="158" t="s">
        <v>284</v>
      </c>
      <c r="G147" s="160">
        <f>+'Other Electriciy Rates'!$L$10*C138</f>
        <v>1043</v>
      </c>
      <c r="H147" s="161">
        <f>'Other Electriciy Rates'!$C$10</f>
        <v>0.0065</v>
      </c>
      <c r="I147" s="162">
        <f aca="true" t="shared" si="19" ref="I147:I152">+G147*H147</f>
        <v>6.7795</v>
      </c>
      <c r="J147" s="160">
        <f>J145</f>
        <v>1043</v>
      </c>
      <c r="K147" s="161">
        <f>'Other Electriciy Rates'!$C$24</f>
        <v>0.0065</v>
      </c>
      <c r="L147" s="185">
        <f>+J147*K147</f>
        <v>6.7795</v>
      </c>
      <c r="M147" s="186">
        <f aca="true" t="shared" si="20" ref="M147:M152">+L147-I147</f>
        <v>0</v>
      </c>
      <c r="N147" s="187">
        <f t="shared" si="18"/>
        <v>0</v>
      </c>
      <c r="O147" s="177">
        <f>L147/L155</f>
        <v>0.04657515686605989</v>
      </c>
      <c r="P147" s="308"/>
    </row>
    <row r="148" spans="1:16" ht="18" customHeight="1">
      <c r="A148" s="128"/>
      <c r="F148" s="158" t="s">
        <v>285</v>
      </c>
      <c r="G148" s="160">
        <v>1000</v>
      </c>
      <c r="H148" s="161">
        <f>+'Other Electriciy Rates'!$D$10</f>
        <v>0.007</v>
      </c>
      <c r="I148" s="162">
        <f t="shared" si="19"/>
        <v>7</v>
      </c>
      <c r="J148" s="160">
        <v>1000</v>
      </c>
      <c r="K148" s="161">
        <f>+'Other Electriciy Rates'!$D$10</f>
        <v>0.007</v>
      </c>
      <c r="L148" s="162">
        <f>+J148*K148</f>
        <v>7</v>
      </c>
      <c r="M148" s="186">
        <f t="shared" si="20"/>
        <v>0</v>
      </c>
      <c r="N148" s="187">
        <f t="shared" si="18"/>
        <v>0</v>
      </c>
      <c r="O148" s="465">
        <f>L148/L155</f>
        <v>0.04808999160150738</v>
      </c>
      <c r="P148" s="308"/>
    </row>
    <row r="149" spans="1:16" ht="18" customHeight="1">
      <c r="A149" s="128"/>
      <c r="F149" s="156" t="s">
        <v>267</v>
      </c>
      <c r="G149" s="159">
        <f>G138</f>
        <v>1000</v>
      </c>
      <c r="H149" s="153">
        <f>'2010 Existing Rates'!$B$30</f>
        <v>0</v>
      </c>
      <c r="I149" s="168">
        <f t="shared" si="19"/>
        <v>0</v>
      </c>
      <c r="J149" s="174"/>
      <c r="K149" s="152">
        <v>0.25</v>
      </c>
      <c r="L149" s="171">
        <v>0.25</v>
      </c>
      <c r="M149" s="178">
        <f t="shared" si="20"/>
        <v>0.25</v>
      </c>
      <c r="N149" s="172">
        <v>1</v>
      </c>
      <c r="O149" s="179">
        <f>L149/L155</f>
        <v>0.0017174997000538347</v>
      </c>
      <c r="P149" s="308"/>
    </row>
    <row r="150" spans="1:16" ht="18" customHeight="1">
      <c r="A150" s="128"/>
      <c r="F150" s="156" t="s">
        <v>275</v>
      </c>
      <c r="G150" s="159">
        <f>C138</f>
        <v>1000</v>
      </c>
      <c r="H150" s="153">
        <v>0.000373</v>
      </c>
      <c r="I150" s="168">
        <f t="shared" si="19"/>
        <v>0.373</v>
      </c>
      <c r="J150" s="159">
        <f>C138</f>
        <v>1000</v>
      </c>
      <c r="K150" s="153">
        <v>0.000373</v>
      </c>
      <c r="L150" s="171">
        <f>J150*K150</f>
        <v>0.373</v>
      </c>
      <c r="M150" s="178">
        <f t="shared" si="20"/>
        <v>0</v>
      </c>
      <c r="N150" s="172">
        <f aca="true" t="shared" si="21" ref="N150:N155">+M150/I150</f>
        <v>0</v>
      </c>
      <c r="O150" s="179">
        <f>L150/L155</f>
        <v>0.0025625095524803216</v>
      </c>
      <c r="P150" s="308"/>
    </row>
    <row r="151" spans="1:16" ht="18" customHeight="1">
      <c r="A151" s="128"/>
      <c r="B151" s="25"/>
      <c r="C151" s="31"/>
      <c r="D151" s="31"/>
      <c r="E151" s="31"/>
      <c r="F151" s="154" t="s">
        <v>77</v>
      </c>
      <c r="G151" s="160">
        <v>600</v>
      </c>
      <c r="H151" s="161">
        <f>'Other Electriciy Rates'!$J$11</f>
        <v>0.065</v>
      </c>
      <c r="I151" s="162">
        <f t="shared" si="19"/>
        <v>39</v>
      </c>
      <c r="J151" s="160">
        <v>600</v>
      </c>
      <c r="K151" s="161">
        <f>'Other Electriciy Rates'!$J$24</f>
        <v>0.065</v>
      </c>
      <c r="L151" s="185">
        <f>+J151*K151</f>
        <v>39</v>
      </c>
      <c r="M151" s="186">
        <f t="shared" si="20"/>
        <v>0</v>
      </c>
      <c r="N151" s="187">
        <f t="shared" si="21"/>
        <v>0</v>
      </c>
      <c r="O151" s="188">
        <f>L151/L155</f>
        <v>0.26792995320839824</v>
      </c>
      <c r="P151" s="308"/>
    </row>
    <row r="152" spans="2:16" ht="18" customHeight="1" thickBot="1">
      <c r="B152" s="133"/>
      <c r="C152" s="31"/>
      <c r="D152" s="31"/>
      <c r="E152" s="31"/>
      <c r="F152" s="154" t="s">
        <v>77</v>
      </c>
      <c r="G152" s="160">
        <f>G147-G151</f>
        <v>443</v>
      </c>
      <c r="H152" s="161">
        <f>'Other Electriciy Rates'!$K$10</f>
        <v>0.075</v>
      </c>
      <c r="I152" s="162">
        <f t="shared" si="19"/>
        <v>33.225</v>
      </c>
      <c r="J152" s="160">
        <f>J147-J151</f>
        <v>443</v>
      </c>
      <c r="K152" s="161">
        <f>'Other Electriciy Rates'!$K$24</f>
        <v>0.075</v>
      </c>
      <c r="L152" s="185">
        <f>+J152*K152</f>
        <v>33.225</v>
      </c>
      <c r="M152" s="186">
        <f t="shared" si="20"/>
        <v>0</v>
      </c>
      <c r="N152" s="187">
        <f t="shared" si="21"/>
        <v>0</v>
      </c>
      <c r="O152" s="188">
        <f>L152/L155</f>
        <v>0.22825571013715465</v>
      </c>
      <c r="P152" s="128"/>
    </row>
    <row r="153" spans="2:16" ht="18" customHeight="1" thickBot="1">
      <c r="B153" s="133"/>
      <c r="C153" s="31"/>
      <c r="D153" s="31"/>
      <c r="E153" s="31"/>
      <c r="F153" s="189" t="s">
        <v>194</v>
      </c>
      <c r="G153" s="534"/>
      <c r="H153" s="535"/>
      <c r="I153" s="191">
        <f>SUM(I146:I152)</f>
        <v>118.63</v>
      </c>
      <c r="J153" s="534"/>
      <c r="K153" s="535"/>
      <c r="L153" s="191">
        <f>SUM(L146:L152)</f>
        <v>128.8145424690104</v>
      </c>
      <c r="M153" s="191">
        <f>SUM(M146:M152)</f>
        <v>10.18454246901042</v>
      </c>
      <c r="N153" s="194">
        <f t="shared" si="21"/>
        <v>0.08585132318140791</v>
      </c>
      <c r="O153" s="196">
        <f>L153/L155</f>
        <v>0.8849557522123893</v>
      </c>
      <c r="P153" s="128"/>
    </row>
    <row r="154" spans="2:16" ht="18" customHeight="1" thickBot="1">
      <c r="B154" s="133"/>
      <c r="C154" s="31"/>
      <c r="D154" s="31"/>
      <c r="E154" s="31"/>
      <c r="F154" s="240" t="s">
        <v>274</v>
      </c>
      <c r="G154" s="241"/>
      <c r="H154" s="244">
        <v>0.13</v>
      </c>
      <c r="I154" s="242">
        <f>I153*H154</f>
        <v>15.421899999999999</v>
      </c>
      <c r="J154" s="241"/>
      <c r="K154" s="244">
        <v>0.13</v>
      </c>
      <c r="L154" s="243">
        <f>L153*K154</f>
        <v>16.745890520971354</v>
      </c>
      <c r="M154" s="183">
        <f>+L154-I154</f>
        <v>1.3239905209713552</v>
      </c>
      <c r="N154" s="184">
        <f t="shared" si="21"/>
        <v>0.08585132318140795</v>
      </c>
      <c r="O154" s="469">
        <f>L154/L155</f>
        <v>0.11504424778761063</v>
      </c>
      <c r="P154" s="128"/>
    </row>
    <row r="155" spans="2:16" ht="18" customHeight="1" thickBot="1">
      <c r="B155" s="133"/>
      <c r="C155" s="31"/>
      <c r="D155" s="31"/>
      <c r="E155" s="35"/>
      <c r="F155" s="190" t="s">
        <v>78</v>
      </c>
      <c r="G155" s="547"/>
      <c r="H155" s="548"/>
      <c r="I155" s="192">
        <f>I153+I154</f>
        <v>134.0519</v>
      </c>
      <c r="J155" s="547"/>
      <c r="K155" s="548"/>
      <c r="L155" s="192">
        <f>L153+L154</f>
        <v>145.56043298998176</v>
      </c>
      <c r="M155" s="192">
        <f>M153+M154</f>
        <v>11.508532989981775</v>
      </c>
      <c r="N155" s="194">
        <f t="shared" si="21"/>
        <v>0.08585132318140792</v>
      </c>
      <c r="O155" s="196">
        <f>SUM(O153:O154)</f>
        <v>1</v>
      </c>
      <c r="P155" s="128"/>
    </row>
    <row r="156" spans="2:16" ht="18" customHeight="1" thickBot="1">
      <c r="B156" s="129"/>
      <c r="C156" s="139"/>
      <c r="D156" s="139"/>
      <c r="E156" s="139"/>
      <c r="F156" s="140"/>
      <c r="G156" s="141"/>
      <c r="H156" s="142"/>
      <c r="I156" s="143"/>
      <c r="J156" s="141"/>
      <c r="K156" s="144"/>
      <c r="L156" s="143"/>
      <c r="M156" s="148"/>
      <c r="N156" s="146"/>
      <c r="O156" s="147"/>
      <c r="P156" s="130"/>
    </row>
    <row r="157" ht="18" customHeight="1" thickBot="1"/>
    <row r="158" spans="2:16" ht="18" customHeight="1">
      <c r="B158" s="135"/>
      <c r="C158" s="536"/>
      <c r="D158" s="536"/>
      <c r="E158" s="536"/>
      <c r="F158" s="536"/>
      <c r="G158" s="536"/>
      <c r="H158" s="536"/>
      <c r="I158" s="536"/>
      <c r="J158" s="536"/>
      <c r="K158" s="536"/>
      <c r="L158" s="536"/>
      <c r="M158" s="536"/>
      <c r="N158" s="536"/>
      <c r="O158" s="536"/>
      <c r="P158" s="127"/>
    </row>
    <row r="159" spans="2:16" ht="23.25">
      <c r="B159" s="133"/>
      <c r="C159" s="538" t="s">
        <v>47</v>
      </c>
      <c r="D159" s="538"/>
      <c r="E159" s="538"/>
      <c r="F159" s="538"/>
      <c r="G159" s="538"/>
      <c r="H159" s="538"/>
      <c r="I159" s="538"/>
      <c r="J159" s="538"/>
      <c r="K159" s="538"/>
      <c r="L159" s="538"/>
      <c r="M159" s="538"/>
      <c r="N159" s="538"/>
      <c r="O159" s="538"/>
      <c r="P159" s="128"/>
    </row>
    <row r="160" spans="2:16" ht="18" customHeight="1" thickBot="1">
      <c r="B160" s="133"/>
      <c r="C160" s="541"/>
      <c r="D160" s="541"/>
      <c r="E160" s="541"/>
      <c r="F160" s="541"/>
      <c r="G160" s="541"/>
      <c r="H160" s="541"/>
      <c r="I160" s="541"/>
      <c r="J160" s="541"/>
      <c r="K160" s="541"/>
      <c r="L160" s="541"/>
      <c r="M160" s="541"/>
      <c r="N160" s="541"/>
      <c r="O160" s="541"/>
      <c r="P160" s="128"/>
    </row>
    <row r="161" spans="2:16" ht="18" customHeight="1" thickBot="1">
      <c r="B161" s="133"/>
      <c r="C161" s="134"/>
      <c r="D161" s="134"/>
      <c r="E161" s="31"/>
      <c r="F161" s="37"/>
      <c r="G161" s="529" t="str">
        <f>$G$10</f>
        <v>2010 BILL</v>
      </c>
      <c r="H161" s="530"/>
      <c r="I161" s="531"/>
      <c r="J161" s="529" t="str">
        <f>$J$10</f>
        <v>2011 BILL</v>
      </c>
      <c r="K161" s="530"/>
      <c r="L161" s="531"/>
      <c r="M161" s="529" t="s">
        <v>72</v>
      </c>
      <c r="N161" s="530"/>
      <c r="O161" s="531"/>
      <c r="P161" s="128"/>
    </row>
    <row r="162" spans="2:16" ht="26.25" thickBot="1">
      <c r="B162" s="133"/>
      <c r="C162" s="31"/>
      <c r="D162" s="31"/>
      <c r="E162" s="33"/>
      <c r="F162" s="38"/>
      <c r="G162" s="348" t="s">
        <v>66</v>
      </c>
      <c r="H162" s="339" t="s">
        <v>67</v>
      </c>
      <c r="I162" s="340" t="s">
        <v>68</v>
      </c>
      <c r="J162" s="349" t="s">
        <v>66</v>
      </c>
      <c r="K162" s="339" t="s">
        <v>67</v>
      </c>
      <c r="L162" s="340" t="s">
        <v>68</v>
      </c>
      <c r="M162" s="350" t="s">
        <v>79</v>
      </c>
      <c r="N162" s="351" t="s">
        <v>80</v>
      </c>
      <c r="O162" s="352" t="s">
        <v>75</v>
      </c>
      <c r="P162" s="128"/>
    </row>
    <row r="163" spans="2:16" ht="18" customHeight="1" thickBot="1">
      <c r="B163" s="133"/>
      <c r="C163" s="532" t="s">
        <v>69</v>
      </c>
      <c r="D163" s="533"/>
      <c r="E163" s="31"/>
      <c r="F163" s="155" t="s">
        <v>70</v>
      </c>
      <c r="G163" s="165"/>
      <c r="H163" s="166"/>
      <c r="I163" s="167">
        <f>+'2010 Existing Rates'!$C$8</f>
        <v>13.53</v>
      </c>
      <c r="J163" s="165"/>
      <c r="K163" s="166"/>
      <c r="L163" s="170">
        <f>'Rate Schedule (Part 1)'!$E$12</f>
        <v>19.86</v>
      </c>
      <c r="M163" s="175">
        <f aca="true" t="shared" si="22" ref="M163:M169">+L163-I163</f>
        <v>6.33</v>
      </c>
      <c r="N163" s="176">
        <f aca="true" t="shared" si="23" ref="N163:N174">+M163/I163</f>
        <v>0.46784922394678496</v>
      </c>
      <c r="O163" s="177">
        <f>L163/L181</f>
        <v>0.09496280825843557</v>
      </c>
      <c r="P163" s="128"/>
    </row>
    <row r="164" spans="2:16" ht="18" customHeight="1" thickBot="1">
      <c r="B164" s="133"/>
      <c r="C164" s="346">
        <v>1500</v>
      </c>
      <c r="D164" s="347" t="s">
        <v>16</v>
      </c>
      <c r="E164" s="31"/>
      <c r="F164" s="156" t="s">
        <v>71</v>
      </c>
      <c r="G164" s="159">
        <f>+C164</f>
        <v>1500</v>
      </c>
      <c r="H164" s="153">
        <f>'2010 Existing Rates'!$B$53</f>
        <v>0.0099</v>
      </c>
      <c r="I164" s="168">
        <f>+G164*H164</f>
        <v>14.850000000000001</v>
      </c>
      <c r="J164" s="159">
        <f>+C164</f>
        <v>1500</v>
      </c>
      <c r="K164" s="152">
        <f>'Rate Schedule (Part 1)'!$E$13</f>
        <v>0.0145</v>
      </c>
      <c r="L164" s="171">
        <f>+J164*K164</f>
        <v>21.75</v>
      </c>
      <c r="M164" s="178">
        <f t="shared" si="22"/>
        <v>6.899999999999999</v>
      </c>
      <c r="N164" s="172">
        <f t="shared" si="23"/>
        <v>0.46464646464646453</v>
      </c>
      <c r="O164" s="179">
        <f>L164/L181</f>
        <v>0.10400005436157975</v>
      </c>
      <c r="P164" s="128"/>
    </row>
    <row r="165" spans="2:16" ht="18" customHeight="1" hidden="1">
      <c r="B165" s="133"/>
      <c r="C165" s="63"/>
      <c r="D165" s="64"/>
      <c r="E165" s="31"/>
      <c r="P165" s="128"/>
    </row>
    <row r="166" spans="2:16" ht="18" customHeight="1">
      <c r="B166" s="133"/>
      <c r="C166" s="63"/>
      <c r="D166" s="64"/>
      <c r="E166" s="31"/>
      <c r="F166" s="156" t="s">
        <v>277</v>
      </c>
      <c r="G166" s="174"/>
      <c r="H166" s="153">
        <v>1</v>
      </c>
      <c r="I166" s="168">
        <v>1</v>
      </c>
      <c r="J166" s="174"/>
      <c r="K166" s="152">
        <f>'[9]8. Smart Meter Rate  Adder'!$C$20</f>
        <v>0.0898917624704141</v>
      </c>
      <c r="L166" s="171">
        <f>K166</f>
        <v>0.0898917624704141</v>
      </c>
      <c r="M166" s="178">
        <f t="shared" si="22"/>
        <v>-0.9101082375295859</v>
      </c>
      <c r="N166" s="172">
        <f>+M166/I166</f>
        <v>-0.9101082375295859</v>
      </c>
      <c r="O166" s="179">
        <f>L166/L181</f>
        <v>0.0004298275026933922</v>
      </c>
      <c r="P166" s="128"/>
    </row>
    <row r="167" spans="2:16" ht="18" customHeight="1">
      <c r="B167" s="133"/>
      <c r="C167" s="63"/>
      <c r="D167" s="64"/>
      <c r="E167" s="31"/>
      <c r="F167" s="156" t="s">
        <v>169</v>
      </c>
      <c r="G167" s="174"/>
      <c r="H167" s="173"/>
      <c r="I167" s="168">
        <v>0</v>
      </c>
      <c r="J167" s="174"/>
      <c r="K167" s="173"/>
      <c r="L167" s="171">
        <f>'[7]Recovery of Smart Meter Costs'!$C$21</f>
        <v>2.0941673818332727</v>
      </c>
      <c r="M167" s="178">
        <f t="shared" si="22"/>
        <v>2.0941673818332727</v>
      </c>
      <c r="N167" s="172">
        <v>1</v>
      </c>
      <c r="O167" s="179">
        <f>L167/L181</f>
        <v>0.01001349524381184</v>
      </c>
      <c r="P167" s="128"/>
    </row>
    <row r="168" spans="1:16" ht="18" customHeight="1" hidden="1">
      <c r="A168" s="128"/>
      <c r="B168" s="25"/>
      <c r="C168" s="31"/>
      <c r="D168" s="31"/>
      <c r="E168" s="31"/>
      <c r="P168" s="128"/>
    </row>
    <row r="169" spans="1:16" ht="18" customHeight="1" thickBot="1">
      <c r="A169" s="128"/>
      <c r="B169" s="25"/>
      <c r="C169" s="31"/>
      <c r="D169" s="31"/>
      <c r="E169" s="31"/>
      <c r="F169" s="157" t="s">
        <v>240</v>
      </c>
      <c r="G169" s="180">
        <f>+C164</f>
        <v>1500</v>
      </c>
      <c r="H169" s="181">
        <f>+'2010 Existing Rates'!$B$19</f>
        <v>0</v>
      </c>
      <c r="I169" s="164">
        <f>+G169*H169</f>
        <v>0</v>
      </c>
      <c r="J169" s="180">
        <f>+C164</f>
        <v>1500</v>
      </c>
      <c r="K169" s="181">
        <f>'Rate Schedule (Part 1)'!$E$18</f>
        <v>-0.0015721359195805511</v>
      </c>
      <c r="L169" s="182">
        <f>+J169*K169</f>
        <v>-2.358203879370827</v>
      </c>
      <c r="M169" s="178">
        <f t="shared" si="22"/>
        <v>-2.358203879370827</v>
      </c>
      <c r="N169" s="172">
        <v>-1</v>
      </c>
      <c r="O169" s="179">
        <f>L169/L181</f>
        <v>-0.011276015248287552</v>
      </c>
      <c r="P169" s="308"/>
    </row>
    <row r="170" spans="1:16" ht="18" customHeight="1" thickBot="1">
      <c r="A170" s="128"/>
      <c r="F170" s="189" t="s">
        <v>242</v>
      </c>
      <c r="G170" s="534"/>
      <c r="H170" s="535"/>
      <c r="I170" s="191">
        <f>SUM(I163:I169)</f>
        <v>29.380000000000003</v>
      </c>
      <c r="J170" s="534"/>
      <c r="K170" s="535"/>
      <c r="L170" s="191">
        <f>SUM(L163:L169)</f>
        <v>41.43585526493286</v>
      </c>
      <c r="M170" s="193">
        <f>SUM(M163:M169)</f>
        <v>12.055855264932859</v>
      </c>
      <c r="N170" s="194">
        <f t="shared" si="23"/>
        <v>0.4103422486362443</v>
      </c>
      <c r="O170" s="196">
        <f>L170/L181</f>
        <v>0.19813017011823303</v>
      </c>
      <c r="P170" s="308"/>
    </row>
    <row r="171" spans="1:16" ht="18" customHeight="1" thickBot="1">
      <c r="A171" s="128"/>
      <c r="F171" s="156" t="s">
        <v>243</v>
      </c>
      <c r="G171" s="295">
        <f>C164*'Other Electriciy Rates'!$L$10</f>
        <v>1564.5</v>
      </c>
      <c r="H171" s="296">
        <f>'Other Electriciy Rates'!$B$10</f>
        <v>0.0075</v>
      </c>
      <c r="I171" s="168">
        <f>+G171*H171</f>
        <v>11.733749999999999</v>
      </c>
      <c r="J171" s="295">
        <f>'BILL IMPACTS'!C164*'Other Electriciy Rates'!$L$24</f>
        <v>1564.5</v>
      </c>
      <c r="K171" s="296">
        <f>'Other Electriciy Rates'!$B$24</f>
        <v>0.006917659869882344</v>
      </c>
      <c r="L171" s="168">
        <f>+J171*K171</f>
        <v>10.822678866430927</v>
      </c>
      <c r="M171" s="297">
        <f>+L171-I171</f>
        <v>-0.911071133569072</v>
      </c>
      <c r="N171" s="176">
        <f t="shared" si="23"/>
        <v>-0.07764535068235408</v>
      </c>
      <c r="O171" s="177">
        <f>L171/L181</f>
        <v>0.05174984783663157</v>
      </c>
      <c r="P171" s="308"/>
    </row>
    <row r="172" spans="1:16" ht="18" customHeight="1" thickBot="1">
      <c r="A172" s="128"/>
      <c r="F172" s="189" t="s">
        <v>244</v>
      </c>
      <c r="G172" s="534"/>
      <c r="H172" s="535"/>
      <c r="I172" s="191">
        <f>I170+I171</f>
        <v>41.11375</v>
      </c>
      <c r="J172" s="534"/>
      <c r="K172" s="535"/>
      <c r="L172" s="191">
        <f>L170+L171</f>
        <v>52.25853413136379</v>
      </c>
      <c r="M172" s="193">
        <f>M170+M171</f>
        <v>11.144784131363787</v>
      </c>
      <c r="N172" s="194">
        <f t="shared" si="23"/>
        <v>0.27107194384758837</v>
      </c>
      <c r="O172" s="298">
        <f>L172/L181</f>
        <v>0.24988001795486459</v>
      </c>
      <c r="P172" s="308"/>
    </row>
    <row r="173" spans="1:16" ht="18" customHeight="1">
      <c r="A173" s="128"/>
      <c r="F173" s="158" t="s">
        <v>284</v>
      </c>
      <c r="G173" s="160">
        <f>+'Other Electriciy Rates'!$L$10*C164</f>
        <v>1564.5</v>
      </c>
      <c r="H173" s="161">
        <f>'Other Electriciy Rates'!$C$10</f>
        <v>0.0065</v>
      </c>
      <c r="I173" s="162">
        <f aca="true" t="shared" si="24" ref="I173:I178">+G173*H173</f>
        <v>10.16925</v>
      </c>
      <c r="J173" s="160">
        <f>J171</f>
        <v>1564.5</v>
      </c>
      <c r="K173" s="161">
        <f>'Other Electriciy Rates'!$C$24</f>
        <v>0.0065</v>
      </c>
      <c r="L173" s="185">
        <f>+J173*K173</f>
        <v>10.16925</v>
      </c>
      <c r="M173" s="186">
        <f aca="true" t="shared" si="25" ref="M173:M178">+L173-I173</f>
        <v>0</v>
      </c>
      <c r="N173" s="187">
        <f t="shared" si="23"/>
        <v>0</v>
      </c>
      <c r="O173" s="177">
        <f>L173/L181</f>
        <v>0.04862540472719517</v>
      </c>
      <c r="P173" s="308"/>
    </row>
    <row r="174" spans="1:16" ht="18" customHeight="1">
      <c r="A174" s="128"/>
      <c r="F174" s="158" t="s">
        <v>285</v>
      </c>
      <c r="G174" s="160">
        <v>1500</v>
      </c>
      <c r="H174" s="161">
        <f>+'Other Electriciy Rates'!$D$10</f>
        <v>0.007</v>
      </c>
      <c r="I174" s="162">
        <f t="shared" si="24"/>
        <v>10.5</v>
      </c>
      <c r="J174" s="160">
        <v>1500</v>
      </c>
      <c r="K174" s="161">
        <f>+'Other Electriciy Rates'!$D$10</f>
        <v>0.007</v>
      </c>
      <c r="L174" s="162">
        <f>+J174*K174</f>
        <v>10.5</v>
      </c>
      <c r="M174" s="186">
        <f t="shared" si="25"/>
        <v>0</v>
      </c>
      <c r="N174" s="187">
        <f t="shared" si="23"/>
        <v>0</v>
      </c>
      <c r="O174" s="465">
        <f>L174/L181</f>
        <v>0.0502069227952454</v>
      </c>
      <c r="P174" s="308"/>
    </row>
    <row r="175" spans="1:16" ht="18" customHeight="1">
      <c r="A175" s="128"/>
      <c r="F175" s="156" t="s">
        <v>267</v>
      </c>
      <c r="G175" s="159">
        <f>G164</f>
        <v>1500</v>
      </c>
      <c r="H175" s="153">
        <f>'2010 Existing Rates'!$B$30</f>
        <v>0</v>
      </c>
      <c r="I175" s="168">
        <f t="shared" si="24"/>
        <v>0</v>
      </c>
      <c r="J175" s="174"/>
      <c r="K175" s="152">
        <v>0.25</v>
      </c>
      <c r="L175" s="171">
        <v>0.25</v>
      </c>
      <c r="M175" s="178">
        <f t="shared" si="25"/>
        <v>0.25</v>
      </c>
      <c r="N175" s="172">
        <v>1</v>
      </c>
      <c r="O175" s="179">
        <f>L175/L181</f>
        <v>0.001195402923696319</v>
      </c>
      <c r="P175" s="308"/>
    </row>
    <row r="176" spans="1:16" ht="18" customHeight="1">
      <c r="A176" s="128"/>
      <c r="F176" s="156" t="s">
        <v>275</v>
      </c>
      <c r="G176" s="159">
        <f>C164</f>
        <v>1500</v>
      </c>
      <c r="H176" s="153">
        <v>0.000373</v>
      </c>
      <c r="I176" s="168">
        <f t="shared" si="24"/>
        <v>0.5595</v>
      </c>
      <c r="J176" s="159">
        <f>C164</f>
        <v>1500</v>
      </c>
      <c r="K176" s="153">
        <v>0.000373</v>
      </c>
      <c r="L176" s="171">
        <f>J176*K176</f>
        <v>0.5595</v>
      </c>
      <c r="M176" s="178">
        <f t="shared" si="25"/>
        <v>0</v>
      </c>
      <c r="N176" s="172">
        <f aca="true" t="shared" si="26" ref="N176:N181">+M176/I176</f>
        <v>0</v>
      </c>
      <c r="O176" s="179">
        <f>L176/L181</f>
        <v>0.002675311743232362</v>
      </c>
      <c r="P176" s="308"/>
    </row>
    <row r="177" spans="1:16" ht="18" customHeight="1">
      <c r="A177" s="128"/>
      <c r="B177" s="25"/>
      <c r="C177" s="31"/>
      <c r="D177" s="31"/>
      <c r="E177" s="31"/>
      <c r="F177" s="154" t="s">
        <v>77</v>
      </c>
      <c r="G177" s="160">
        <v>600</v>
      </c>
      <c r="H177" s="161">
        <f>'Other Electriciy Rates'!$J$11</f>
        <v>0.065</v>
      </c>
      <c r="I177" s="162">
        <f t="shared" si="24"/>
        <v>39</v>
      </c>
      <c r="J177" s="160">
        <v>600</v>
      </c>
      <c r="K177" s="161">
        <f>'Other Electriciy Rates'!$J$24</f>
        <v>0.065</v>
      </c>
      <c r="L177" s="185">
        <f>+J177*K177</f>
        <v>39</v>
      </c>
      <c r="M177" s="186">
        <f t="shared" si="25"/>
        <v>0</v>
      </c>
      <c r="N177" s="187">
        <f t="shared" si="26"/>
        <v>0</v>
      </c>
      <c r="O177" s="188">
        <f>L177/L181</f>
        <v>0.18648285609662577</v>
      </c>
      <c r="P177" s="308"/>
    </row>
    <row r="178" spans="2:16" ht="18" customHeight="1" thickBot="1">
      <c r="B178" s="133"/>
      <c r="C178" s="31"/>
      <c r="D178" s="31"/>
      <c r="E178" s="31"/>
      <c r="F178" s="154" t="s">
        <v>77</v>
      </c>
      <c r="G178" s="160">
        <f>G173-G177</f>
        <v>964.5</v>
      </c>
      <c r="H178" s="161">
        <f>'Other Electriciy Rates'!$K$10</f>
        <v>0.075</v>
      </c>
      <c r="I178" s="162">
        <f t="shared" si="24"/>
        <v>72.33749999999999</v>
      </c>
      <c r="J178" s="160">
        <f>J173-J177</f>
        <v>964.5</v>
      </c>
      <c r="K178" s="161">
        <f>'Other Electriciy Rates'!$K$24</f>
        <v>0.075</v>
      </c>
      <c r="L178" s="185">
        <f>+J178*K178</f>
        <v>72.33749999999999</v>
      </c>
      <c r="M178" s="186">
        <f t="shared" si="25"/>
        <v>0</v>
      </c>
      <c r="N178" s="187">
        <f t="shared" si="26"/>
        <v>0</v>
      </c>
      <c r="O178" s="188">
        <f>L178/L181</f>
        <v>0.34588983597152984</v>
      </c>
      <c r="P178" s="128"/>
    </row>
    <row r="179" spans="2:16" ht="18" customHeight="1" thickBot="1">
      <c r="B179" s="133"/>
      <c r="C179" s="31"/>
      <c r="D179" s="31"/>
      <c r="E179" s="31"/>
      <c r="F179" s="189" t="s">
        <v>194</v>
      </c>
      <c r="G179" s="534"/>
      <c r="H179" s="535"/>
      <c r="I179" s="191">
        <f>SUM(I172:I178)</f>
        <v>173.68</v>
      </c>
      <c r="J179" s="534"/>
      <c r="K179" s="535"/>
      <c r="L179" s="191">
        <f>SUM(L172:L178)</f>
        <v>185.07478413136377</v>
      </c>
      <c r="M179" s="191">
        <f>SUM(M172:M178)</f>
        <v>11.394784131363787</v>
      </c>
      <c r="N179" s="194">
        <f t="shared" si="26"/>
        <v>0.06560792337266114</v>
      </c>
      <c r="O179" s="196">
        <f>L179/L181</f>
        <v>0.8849557522123894</v>
      </c>
      <c r="P179" s="128"/>
    </row>
    <row r="180" spans="2:16" ht="18" customHeight="1" thickBot="1">
      <c r="B180" s="133"/>
      <c r="C180" s="31"/>
      <c r="D180" s="31"/>
      <c r="E180" s="31"/>
      <c r="F180" s="240" t="s">
        <v>274</v>
      </c>
      <c r="G180" s="241"/>
      <c r="H180" s="244">
        <v>0.13</v>
      </c>
      <c r="I180" s="242">
        <f>I179*H180</f>
        <v>22.578400000000002</v>
      </c>
      <c r="J180" s="241"/>
      <c r="K180" s="244">
        <v>0.13</v>
      </c>
      <c r="L180" s="243">
        <f>L179*K180</f>
        <v>24.059721937077292</v>
      </c>
      <c r="M180" s="183">
        <f>+L180-I180</f>
        <v>1.4813219370772899</v>
      </c>
      <c r="N180" s="184">
        <f t="shared" si="26"/>
        <v>0.06560792337266103</v>
      </c>
      <c r="O180" s="469">
        <f>L180/L181</f>
        <v>0.11504424778761063</v>
      </c>
      <c r="P180" s="128"/>
    </row>
    <row r="181" spans="2:16" ht="18" customHeight="1" thickBot="1">
      <c r="B181" s="133"/>
      <c r="C181" s="31"/>
      <c r="D181" s="31"/>
      <c r="E181" s="35"/>
      <c r="F181" s="190" t="s">
        <v>78</v>
      </c>
      <c r="G181" s="547"/>
      <c r="H181" s="548"/>
      <c r="I181" s="192">
        <f>I179+I180</f>
        <v>196.2584</v>
      </c>
      <c r="J181" s="547"/>
      <c r="K181" s="548"/>
      <c r="L181" s="192">
        <f>L179+L180</f>
        <v>209.13450606844106</v>
      </c>
      <c r="M181" s="192">
        <f>M179+M180</f>
        <v>12.876106068441077</v>
      </c>
      <c r="N181" s="194">
        <f t="shared" si="26"/>
        <v>0.06560792337266114</v>
      </c>
      <c r="O181" s="196">
        <f>SUM(O179:O180)</f>
        <v>1</v>
      </c>
      <c r="P181" s="128"/>
    </row>
    <row r="182" spans="2:16" ht="18" customHeight="1" thickBot="1">
      <c r="B182" s="129"/>
      <c r="C182" s="139"/>
      <c r="D182" s="139"/>
      <c r="E182" s="139"/>
      <c r="F182" s="140"/>
      <c r="G182" s="141"/>
      <c r="H182" s="142"/>
      <c r="I182" s="143"/>
      <c r="J182" s="141"/>
      <c r="K182" s="144"/>
      <c r="L182" s="143"/>
      <c r="M182" s="148"/>
      <c r="N182" s="146"/>
      <c r="O182" s="147"/>
      <c r="P182" s="130"/>
    </row>
    <row r="183" spans="2:16" ht="18" customHeight="1" thickBot="1">
      <c r="B183" s="25"/>
      <c r="C183" s="31"/>
      <c r="D183" s="31"/>
      <c r="E183" s="31"/>
      <c r="F183" s="49"/>
      <c r="G183" s="50"/>
      <c r="H183" s="51"/>
      <c r="I183" s="52"/>
      <c r="J183" s="50"/>
      <c r="K183" s="53"/>
      <c r="L183" s="52"/>
      <c r="M183" s="138"/>
      <c r="N183" s="136"/>
      <c r="O183" s="137"/>
      <c r="P183" s="25"/>
    </row>
    <row r="184" spans="2:16" ht="18" customHeight="1">
      <c r="B184" s="135"/>
      <c r="C184" s="536"/>
      <c r="D184" s="536"/>
      <c r="E184" s="536"/>
      <c r="F184" s="536"/>
      <c r="G184" s="536"/>
      <c r="H184" s="536"/>
      <c r="I184" s="536"/>
      <c r="J184" s="536"/>
      <c r="K184" s="536"/>
      <c r="L184" s="536"/>
      <c r="M184" s="536"/>
      <c r="N184" s="536"/>
      <c r="O184" s="536"/>
      <c r="P184" s="127"/>
    </row>
    <row r="185" spans="2:16" ht="23.25">
      <c r="B185" s="133"/>
      <c r="C185" s="538" t="s">
        <v>136</v>
      </c>
      <c r="D185" s="538"/>
      <c r="E185" s="538"/>
      <c r="F185" s="538"/>
      <c r="G185" s="538"/>
      <c r="H185" s="538"/>
      <c r="I185" s="538"/>
      <c r="J185" s="538"/>
      <c r="K185" s="538"/>
      <c r="L185" s="538"/>
      <c r="M185" s="538"/>
      <c r="N185" s="538"/>
      <c r="O185" s="538"/>
      <c r="P185" s="128"/>
    </row>
    <row r="186" spans="2:16" ht="18" customHeight="1" thickBot="1">
      <c r="B186" s="133"/>
      <c r="C186" s="541"/>
      <c r="D186" s="541"/>
      <c r="E186" s="541"/>
      <c r="F186" s="541"/>
      <c r="G186" s="541"/>
      <c r="H186" s="541"/>
      <c r="I186" s="541"/>
      <c r="J186" s="541"/>
      <c r="K186" s="541"/>
      <c r="L186" s="541"/>
      <c r="M186" s="541"/>
      <c r="N186" s="541"/>
      <c r="O186" s="541"/>
      <c r="P186" s="128"/>
    </row>
    <row r="187" spans="2:16" ht="18" customHeight="1" thickBot="1">
      <c r="B187" s="133"/>
      <c r="C187" s="134"/>
      <c r="D187" s="134"/>
      <c r="E187" s="31"/>
      <c r="F187" s="37"/>
      <c r="G187" s="529" t="str">
        <f>$G$10</f>
        <v>2010 BILL</v>
      </c>
      <c r="H187" s="530"/>
      <c r="I187" s="531"/>
      <c r="J187" s="529" t="str">
        <f>$J$10</f>
        <v>2011 BILL</v>
      </c>
      <c r="K187" s="530"/>
      <c r="L187" s="531"/>
      <c r="M187" s="529" t="s">
        <v>72</v>
      </c>
      <c r="N187" s="530"/>
      <c r="O187" s="531"/>
      <c r="P187" s="128"/>
    </row>
    <row r="188" spans="2:16" ht="26.25" thickBot="1">
      <c r="B188" s="133"/>
      <c r="C188" s="31"/>
      <c r="D188" s="31"/>
      <c r="E188" s="33"/>
      <c r="F188" s="38"/>
      <c r="G188" s="348" t="s">
        <v>66</v>
      </c>
      <c r="H188" s="339" t="s">
        <v>67</v>
      </c>
      <c r="I188" s="340" t="s">
        <v>68</v>
      </c>
      <c r="J188" s="349" t="s">
        <v>66</v>
      </c>
      <c r="K188" s="339" t="s">
        <v>67</v>
      </c>
      <c r="L188" s="340" t="s">
        <v>68</v>
      </c>
      <c r="M188" s="350" t="s">
        <v>79</v>
      </c>
      <c r="N188" s="351" t="s">
        <v>80</v>
      </c>
      <c r="O188" s="352" t="s">
        <v>75</v>
      </c>
      <c r="P188" s="128"/>
    </row>
    <row r="189" spans="2:16" ht="18" customHeight="1" thickBot="1">
      <c r="B189" s="133"/>
      <c r="C189" s="532" t="s">
        <v>69</v>
      </c>
      <c r="D189" s="533"/>
      <c r="E189" s="31"/>
      <c r="F189" s="155" t="s">
        <v>70</v>
      </c>
      <c r="G189" s="165"/>
      <c r="H189" s="166"/>
      <c r="I189" s="167">
        <f>'2010 Existing Rates'!$C$9</f>
        <v>25.77</v>
      </c>
      <c r="J189" s="165"/>
      <c r="K189" s="166"/>
      <c r="L189" s="170">
        <f>'Rate Schedule (Part 1)'!$E$21</f>
        <v>39.79</v>
      </c>
      <c r="M189" s="175">
        <f aca="true" t="shared" si="27" ref="M189:M195">+L189-I189</f>
        <v>14.02</v>
      </c>
      <c r="N189" s="176">
        <f aca="true" t="shared" si="28" ref="N189:N200">+M189/I189</f>
        <v>0.5440434613892122</v>
      </c>
      <c r="O189" s="177">
        <f>L189/L207</f>
        <v>0.1449467377178688</v>
      </c>
      <c r="P189" s="128"/>
    </row>
    <row r="190" spans="2:16" ht="18" customHeight="1" thickBot="1">
      <c r="B190" s="133"/>
      <c r="C190" s="346">
        <v>2000</v>
      </c>
      <c r="D190" s="347" t="s">
        <v>16</v>
      </c>
      <c r="E190" s="31"/>
      <c r="F190" s="156" t="s">
        <v>71</v>
      </c>
      <c r="G190" s="159">
        <f>+C190</f>
        <v>2000</v>
      </c>
      <c r="H190" s="153">
        <f>'2010 Existing Rates'!$E$9</f>
        <v>0.004</v>
      </c>
      <c r="I190" s="168">
        <f>+G190*H190</f>
        <v>8</v>
      </c>
      <c r="J190" s="159">
        <f>+C190</f>
        <v>2000</v>
      </c>
      <c r="K190" s="152">
        <f>'Rate Schedule (Part 1)'!$E$22</f>
        <v>0.0062</v>
      </c>
      <c r="L190" s="171">
        <f>+J190*K190</f>
        <v>12.4</v>
      </c>
      <c r="M190" s="178">
        <f t="shared" si="27"/>
        <v>4.4</v>
      </c>
      <c r="N190" s="172">
        <f t="shared" si="28"/>
        <v>0.55</v>
      </c>
      <c r="O190" s="179">
        <f>L190/L207</f>
        <v>0.04517063452378923</v>
      </c>
      <c r="P190" s="128"/>
    </row>
    <row r="191" spans="2:16" ht="18" customHeight="1" hidden="1">
      <c r="B191" s="133"/>
      <c r="C191" s="63"/>
      <c r="D191" s="64"/>
      <c r="E191" s="31"/>
      <c r="P191" s="128"/>
    </row>
    <row r="192" spans="2:16" ht="18" customHeight="1">
      <c r="B192" s="133"/>
      <c r="C192" s="63"/>
      <c r="D192" s="64"/>
      <c r="E192" s="31"/>
      <c r="F192" s="156" t="s">
        <v>277</v>
      </c>
      <c r="G192" s="174"/>
      <c r="H192" s="153">
        <v>1</v>
      </c>
      <c r="I192" s="168">
        <v>1</v>
      </c>
      <c r="J192" s="174"/>
      <c r="K192" s="152">
        <f>'[9]8. Smart Meter Rate  Adder'!$C$20</f>
        <v>0.0898917624704141</v>
      </c>
      <c r="L192" s="171">
        <f>K192</f>
        <v>0.0898917624704141</v>
      </c>
      <c r="M192" s="178">
        <f t="shared" si="27"/>
        <v>-0.9101082375295859</v>
      </c>
      <c r="N192" s="172">
        <f>+M192/I192</f>
        <v>-0.9101082375295859</v>
      </c>
      <c r="O192" s="179">
        <f>L192/L207</f>
        <v>0.00032745709268147964</v>
      </c>
      <c r="P192" s="128"/>
    </row>
    <row r="193" spans="2:16" ht="18" customHeight="1">
      <c r="B193" s="133"/>
      <c r="C193" s="63"/>
      <c r="D193" s="64"/>
      <c r="E193" s="31"/>
      <c r="F193" s="156" t="s">
        <v>169</v>
      </c>
      <c r="G193" s="174"/>
      <c r="H193" s="173"/>
      <c r="I193" s="168">
        <v>0</v>
      </c>
      <c r="J193" s="174"/>
      <c r="K193" s="173"/>
      <c r="L193" s="171">
        <f>'[7]Recovery of Smart Meter Costs'!$C$21</f>
        <v>2.0941673818332727</v>
      </c>
      <c r="M193" s="178">
        <f t="shared" si="27"/>
        <v>2.0941673818332727</v>
      </c>
      <c r="N193" s="172">
        <v>1</v>
      </c>
      <c r="O193" s="179">
        <f>L193/L207</f>
        <v>0.00762861850293801</v>
      </c>
      <c r="P193" s="128"/>
    </row>
    <row r="194" spans="1:16" ht="18" customHeight="1" hidden="1">
      <c r="A194" s="128"/>
      <c r="B194" s="25"/>
      <c r="C194" s="31"/>
      <c r="D194" s="31"/>
      <c r="E194" s="31"/>
      <c r="P194" s="128"/>
    </row>
    <row r="195" spans="1:16" ht="18" customHeight="1" thickBot="1">
      <c r="A195" s="128"/>
      <c r="B195" s="25"/>
      <c r="C195" s="31"/>
      <c r="D195" s="31"/>
      <c r="E195" s="31"/>
      <c r="F195" s="157" t="s">
        <v>240</v>
      </c>
      <c r="G195" s="180">
        <f>+C190</f>
        <v>2000</v>
      </c>
      <c r="H195" s="181">
        <f>'2010 Existing Rates'!$B$20</f>
        <v>0</v>
      </c>
      <c r="I195" s="164">
        <f>+G195*H195</f>
        <v>0</v>
      </c>
      <c r="J195" s="180">
        <f>+C190</f>
        <v>2000</v>
      </c>
      <c r="K195" s="181">
        <f>'Rate Schedule (Part 1)'!$E$27</f>
        <v>-0.0015721359195805518</v>
      </c>
      <c r="L195" s="182">
        <f>+J195*K195</f>
        <v>-3.1442718391611035</v>
      </c>
      <c r="M195" s="178">
        <f t="shared" si="27"/>
        <v>-3.1442718391611035</v>
      </c>
      <c r="N195" s="172">
        <v>-1</v>
      </c>
      <c r="O195" s="179">
        <f>L195/L207</f>
        <v>-0.011453931781466838</v>
      </c>
      <c r="P195" s="308"/>
    </row>
    <row r="196" spans="1:16" ht="18" customHeight="1" thickBot="1">
      <c r="A196" s="128"/>
      <c r="F196" s="189" t="s">
        <v>242</v>
      </c>
      <c r="G196" s="534"/>
      <c r="H196" s="535"/>
      <c r="I196" s="191">
        <f>SUM(I189:I195)</f>
        <v>34.769999999999996</v>
      </c>
      <c r="J196" s="534"/>
      <c r="K196" s="535"/>
      <c r="L196" s="191">
        <f>SUM(L189:L195)</f>
        <v>51.22978730514258</v>
      </c>
      <c r="M196" s="193">
        <f>SUM(M189:M195)</f>
        <v>16.459787305142587</v>
      </c>
      <c r="N196" s="194">
        <f t="shared" si="28"/>
        <v>0.4733904890751392</v>
      </c>
      <c r="O196" s="196">
        <f>L196/L207</f>
        <v>0.18661951605581067</v>
      </c>
      <c r="P196" s="308"/>
    </row>
    <row r="197" spans="1:16" ht="18" customHeight="1" thickBot="1">
      <c r="A197" s="128"/>
      <c r="F197" s="156" t="s">
        <v>243</v>
      </c>
      <c r="G197" s="295">
        <f>C190*'Other Electriciy Rates'!$L$11</f>
        <v>2086</v>
      </c>
      <c r="H197" s="296">
        <f>'Other Electriciy Rates'!$B$11</f>
        <v>0.0066</v>
      </c>
      <c r="I197" s="168">
        <f>+G197*H197</f>
        <v>13.7676</v>
      </c>
      <c r="J197" s="295">
        <f>'BILL IMPACTS'!C190*'Other Electriciy Rates'!$L$25</f>
        <v>2086</v>
      </c>
      <c r="K197" s="296">
        <f>'Other Electriciy Rates'!$B$25</f>
        <v>0.006087494307772416</v>
      </c>
      <c r="L197" s="168">
        <f>+J197*K197</f>
        <v>12.698513126013259</v>
      </c>
      <c r="M197" s="297">
        <f>+L197-I197</f>
        <v>-1.0690868739867412</v>
      </c>
      <c r="N197" s="176">
        <f t="shared" si="28"/>
        <v>-0.07765237761024008</v>
      </c>
      <c r="O197" s="177">
        <f>L197/L207</f>
        <v>0.04625805608150687</v>
      </c>
      <c r="P197" s="308"/>
    </row>
    <row r="198" spans="1:16" ht="18" customHeight="1" thickBot="1">
      <c r="A198" s="128"/>
      <c r="F198" s="189" t="s">
        <v>244</v>
      </c>
      <c r="G198" s="534"/>
      <c r="H198" s="535"/>
      <c r="I198" s="191">
        <f>I196+I197</f>
        <v>48.5376</v>
      </c>
      <c r="J198" s="534"/>
      <c r="K198" s="535"/>
      <c r="L198" s="191">
        <f>L196+L197</f>
        <v>63.92830043115584</v>
      </c>
      <c r="M198" s="193">
        <f>M196+M197</f>
        <v>15.390700431155846</v>
      </c>
      <c r="N198" s="194">
        <f t="shared" si="28"/>
        <v>0.31708820442617364</v>
      </c>
      <c r="O198" s="298">
        <f>L198/L207</f>
        <v>0.23287757213731755</v>
      </c>
      <c r="P198" s="308"/>
    </row>
    <row r="199" spans="1:16" ht="18" customHeight="1">
      <c r="A199" s="128"/>
      <c r="F199" s="158" t="s">
        <v>284</v>
      </c>
      <c r="G199" s="160">
        <f>+'Other Electriciy Rates'!$L$10*C190</f>
        <v>2086</v>
      </c>
      <c r="H199" s="161">
        <f>'Other Electriciy Rates'!$C$11</f>
        <v>0.0065</v>
      </c>
      <c r="I199" s="162">
        <f aca="true" t="shared" si="29" ref="I199:I204">+G199*H199</f>
        <v>13.559</v>
      </c>
      <c r="J199" s="160">
        <f>J197</f>
        <v>2086</v>
      </c>
      <c r="K199" s="161">
        <f>'Other Electriciy Rates'!$C$25</f>
        <v>0.0065</v>
      </c>
      <c r="L199" s="185">
        <f>+J199*K199</f>
        <v>13.559</v>
      </c>
      <c r="M199" s="186">
        <f aca="true" t="shared" si="30" ref="M199:M204">+L199-I199</f>
        <v>0</v>
      </c>
      <c r="N199" s="187">
        <f t="shared" si="28"/>
        <v>0</v>
      </c>
      <c r="O199" s="177">
        <f>L199/L207</f>
        <v>0.04939263173452082</v>
      </c>
      <c r="P199" s="308"/>
    </row>
    <row r="200" spans="1:16" ht="18" customHeight="1">
      <c r="A200" s="128"/>
      <c r="F200" s="158" t="s">
        <v>285</v>
      </c>
      <c r="G200" s="160">
        <v>2000</v>
      </c>
      <c r="H200" s="161">
        <f>+'Other Electriciy Rates'!$D$10</f>
        <v>0.007</v>
      </c>
      <c r="I200" s="162">
        <f t="shared" si="29"/>
        <v>14</v>
      </c>
      <c r="J200" s="160">
        <v>2000</v>
      </c>
      <c r="K200" s="161">
        <f>+'Other Electriciy Rates'!$D$10</f>
        <v>0.007</v>
      </c>
      <c r="L200" s="162">
        <f>+J200*K200</f>
        <v>14</v>
      </c>
      <c r="M200" s="186">
        <f t="shared" si="30"/>
        <v>0</v>
      </c>
      <c r="N200" s="187">
        <f t="shared" si="28"/>
        <v>0</v>
      </c>
      <c r="O200" s="465">
        <f>L200/L207</f>
        <v>0.05099910349460074</v>
      </c>
      <c r="P200" s="308"/>
    </row>
    <row r="201" spans="1:16" ht="18" customHeight="1">
      <c r="A201" s="128"/>
      <c r="F201" s="156" t="s">
        <v>267</v>
      </c>
      <c r="G201" s="159">
        <f>G190</f>
        <v>2000</v>
      </c>
      <c r="H201" s="153">
        <f>'2010 Existing Rates'!$B$31</f>
        <v>0</v>
      </c>
      <c r="I201" s="168">
        <f t="shared" si="29"/>
        <v>0</v>
      </c>
      <c r="J201" s="174"/>
      <c r="K201" s="152">
        <v>0.25</v>
      </c>
      <c r="L201" s="171">
        <v>0.25</v>
      </c>
      <c r="M201" s="178">
        <f t="shared" si="30"/>
        <v>0.25</v>
      </c>
      <c r="N201" s="172">
        <v>1</v>
      </c>
      <c r="O201" s="179">
        <f>L201/L207</f>
        <v>0.0009106982766892989</v>
      </c>
      <c r="P201" s="308"/>
    </row>
    <row r="202" spans="1:16" ht="18" customHeight="1">
      <c r="A202" s="128"/>
      <c r="F202" s="156" t="s">
        <v>275</v>
      </c>
      <c r="G202" s="159">
        <f>C190</f>
        <v>2000</v>
      </c>
      <c r="H202" s="153">
        <v>0.000373</v>
      </c>
      <c r="I202" s="168">
        <f t="shared" si="29"/>
        <v>0.746</v>
      </c>
      <c r="J202" s="159">
        <f>C190</f>
        <v>2000</v>
      </c>
      <c r="K202" s="153">
        <v>0.000373</v>
      </c>
      <c r="L202" s="171">
        <f>J202*K202</f>
        <v>0.746</v>
      </c>
      <c r="M202" s="178">
        <f t="shared" si="30"/>
        <v>0</v>
      </c>
      <c r="N202" s="172">
        <f aca="true" t="shared" si="31" ref="N202:N207">+M202/I202</f>
        <v>0</v>
      </c>
      <c r="O202" s="179">
        <f>L202/L207</f>
        <v>0.002717523657640868</v>
      </c>
      <c r="P202" s="308"/>
    </row>
    <row r="203" spans="1:16" ht="18" customHeight="1">
      <c r="A203" s="128"/>
      <c r="B203" s="25"/>
      <c r="C203" s="31"/>
      <c r="D203" s="31"/>
      <c r="E203" s="31"/>
      <c r="F203" s="154" t="s">
        <v>77</v>
      </c>
      <c r="G203" s="160">
        <v>600</v>
      </c>
      <c r="H203" s="161">
        <f>'Other Electriciy Rates'!$J$11</f>
        <v>0.065</v>
      </c>
      <c r="I203" s="162">
        <f t="shared" si="29"/>
        <v>39</v>
      </c>
      <c r="J203" s="160">
        <v>600</v>
      </c>
      <c r="K203" s="161">
        <f>'Other Electriciy Rates'!$J$25</f>
        <v>0.065</v>
      </c>
      <c r="L203" s="185">
        <f>+J203*K203</f>
        <v>39</v>
      </c>
      <c r="M203" s="186">
        <f t="shared" si="30"/>
        <v>0</v>
      </c>
      <c r="N203" s="187">
        <f t="shared" si="31"/>
        <v>0</v>
      </c>
      <c r="O203" s="188">
        <f>L203/L207</f>
        <v>0.14206893116353064</v>
      </c>
      <c r="P203" s="308"/>
    </row>
    <row r="204" spans="2:16" ht="18" customHeight="1" thickBot="1">
      <c r="B204" s="133"/>
      <c r="C204" s="31"/>
      <c r="D204" s="31"/>
      <c r="E204" s="31"/>
      <c r="F204" s="154" t="s">
        <v>77</v>
      </c>
      <c r="G204" s="160">
        <f>G199-G203</f>
        <v>1486</v>
      </c>
      <c r="H204" s="161">
        <f>'Other Electriciy Rates'!$K$11</f>
        <v>0.075</v>
      </c>
      <c r="I204" s="162">
        <f t="shared" si="29"/>
        <v>111.45</v>
      </c>
      <c r="J204" s="160">
        <f>J199-J203</f>
        <v>1486</v>
      </c>
      <c r="K204" s="161">
        <f>'Other Electriciy Rates'!$K$25</f>
        <v>0.075</v>
      </c>
      <c r="L204" s="185">
        <f>+J204*K204</f>
        <v>111.45</v>
      </c>
      <c r="M204" s="186">
        <f t="shared" si="30"/>
        <v>0</v>
      </c>
      <c r="N204" s="187">
        <f t="shared" si="31"/>
        <v>0</v>
      </c>
      <c r="O204" s="188">
        <f>L204/L207</f>
        <v>0.4059892917480895</v>
      </c>
      <c r="P204" s="128"/>
    </row>
    <row r="205" spans="2:16" ht="18" customHeight="1" thickBot="1">
      <c r="B205" s="133"/>
      <c r="C205" s="31"/>
      <c r="D205" s="31"/>
      <c r="E205" s="31"/>
      <c r="F205" s="189" t="s">
        <v>194</v>
      </c>
      <c r="G205" s="534"/>
      <c r="H205" s="535"/>
      <c r="I205" s="191">
        <f>SUM(I198:I204)</f>
        <v>227.2926</v>
      </c>
      <c r="J205" s="534"/>
      <c r="K205" s="535"/>
      <c r="L205" s="191">
        <f>SUM(L198:L204)</f>
        <v>242.93330043115583</v>
      </c>
      <c r="M205" s="191">
        <f>SUM(M198:M204)</f>
        <v>15.640700431155846</v>
      </c>
      <c r="N205" s="194">
        <f t="shared" si="31"/>
        <v>0.06881306488269238</v>
      </c>
      <c r="O205" s="196">
        <f>L205/L207</f>
        <v>0.8849557522123893</v>
      </c>
      <c r="P205" s="128"/>
    </row>
    <row r="206" spans="2:16" ht="18" customHeight="1" thickBot="1">
      <c r="B206" s="133"/>
      <c r="C206" s="31"/>
      <c r="D206" s="31"/>
      <c r="E206" s="31"/>
      <c r="F206" s="240" t="s">
        <v>274</v>
      </c>
      <c r="G206" s="241"/>
      <c r="H206" s="244">
        <v>0.13</v>
      </c>
      <c r="I206" s="242">
        <f>I205*H206</f>
        <v>29.548038000000002</v>
      </c>
      <c r="J206" s="241"/>
      <c r="K206" s="244">
        <v>0.13</v>
      </c>
      <c r="L206" s="243">
        <f>L205*K206</f>
        <v>31.581329056050258</v>
      </c>
      <c r="M206" s="183">
        <f>+L206-I206</f>
        <v>2.033291056050256</v>
      </c>
      <c r="N206" s="184">
        <f t="shared" si="31"/>
        <v>0.06881306488269225</v>
      </c>
      <c r="O206" s="469">
        <f>L206/L207</f>
        <v>0.11504424778761062</v>
      </c>
      <c r="P206" s="128"/>
    </row>
    <row r="207" spans="2:16" ht="18" customHeight="1" thickBot="1">
      <c r="B207" s="133"/>
      <c r="C207" s="31"/>
      <c r="D207" s="31"/>
      <c r="E207" s="35"/>
      <c r="F207" s="190" t="s">
        <v>78</v>
      </c>
      <c r="G207" s="547"/>
      <c r="H207" s="548"/>
      <c r="I207" s="192">
        <f>I205+I206</f>
        <v>256.840638</v>
      </c>
      <c r="J207" s="547"/>
      <c r="K207" s="548"/>
      <c r="L207" s="192">
        <f>L205+L206</f>
        <v>274.5146294872061</v>
      </c>
      <c r="M207" s="309">
        <f>M205+M206</f>
        <v>17.673991487206102</v>
      </c>
      <c r="N207" s="194">
        <f t="shared" si="31"/>
        <v>0.06881306488269236</v>
      </c>
      <c r="O207" s="196">
        <f>SUM(O205:O206)</f>
        <v>0.9999999999999999</v>
      </c>
      <c r="P207" s="128"/>
    </row>
    <row r="208" spans="2:16" ht="18" customHeight="1" thickBot="1">
      <c r="B208" s="129"/>
      <c r="C208" s="139"/>
      <c r="D208" s="139"/>
      <c r="E208" s="139"/>
      <c r="F208" s="140"/>
      <c r="G208" s="141"/>
      <c r="H208" s="142"/>
      <c r="I208" s="143"/>
      <c r="J208" s="141"/>
      <c r="K208" s="144"/>
      <c r="L208" s="143"/>
      <c r="M208" s="148"/>
      <c r="N208" s="146"/>
      <c r="O208" s="147"/>
      <c r="P208" s="130"/>
    </row>
    <row r="209" spans="2:16" ht="18" customHeight="1" thickBot="1">
      <c r="B209" s="25"/>
      <c r="C209" s="31"/>
      <c r="D209" s="31"/>
      <c r="E209" s="31"/>
      <c r="F209" s="49"/>
      <c r="G209" s="50"/>
      <c r="H209" s="51"/>
      <c r="I209" s="52"/>
      <c r="J209" s="50"/>
      <c r="K209" s="53"/>
      <c r="L209" s="52"/>
      <c r="M209" s="138"/>
      <c r="N209" s="136"/>
      <c r="O209" s="137"/>
      <c r="P209" s="25"/>
    </row>
    <row r="210" spans="2:16" ht="18" customHeight="1">
      <c r="B210" s="135"/>
      <c r="C210" s="536"/>
      <c r="D210" s="536"/>
      <c r="E210" s="536"/>
      <c r="F210" s="536"/>
      <c r="G210" s="536"/>
      <c r="H210" s="536"/>
      <c r="I210" s="536"/>
      <c r="J210" s="536"/>
      <c r="K210" s="536"/>
      <c r="L210" s="536"/>
      <c r="M210" s="536"/>
      <c r="N210" s="536"/>
      <c r="O210" s="536"/>
      <c r="P210" s="127"/>
    </row>
    <row r="211" spans="2:16" ht="23.25">
      <c r="B211" s="133"/>
      <c r="C211" s="538" t="s">
        <v>136</v>
      </c>
      <c r="D211" s="538"/>
      <c r="E211" s="538"/>
      <c r="F211" s="538"/>
      <c r="G211" s="538"/>
      <c r="H211" s="538"/>
      <c r="I211" s="538"/>
      <c r="J211" s="538"/>
      <c r="K211" s="538"/>
      <c r="L211" s="538"/>
      <c r="M211" s="538"/>
      <c r="N211" s="538"/>
      <c r="O211" s="538"/>
      <c r="P211" s="128"/>
    </row>
    <row r="212" spans="2:16" ht="18" customHeight="1" thickBot="1">
      <c r="B212" s="133"/>
      <c r="C212" s="541"/>
      <c r="D212" s="541"/>
      <c r="E212" s="541"/>
      <c r="F212" s="541"/>
      <c r="G212" s="541"/>
      <c r="H212" s="541"/>
      <c r="I212" s="541"/>
      <c r="J212" s="541"/>
      <c r="K212" s="541"/>
      <c r="L212" s="541"/>
      <c r="M212" s="541"/>
      <c r="N212" s="541"/>
      <c r="O212" s="541"/>
      <c r="P212" s="128"/>
    </row>
    <row r="213" spans="2:16" ht="18" customHeight="1" thickBot="1">
      <c r="B213" s="133"/>
      <c r="C213" s="134"/>
      <c r="D213" s="134"/>
      <c r="E213" s="31"/>
      <c r="F213" s="37"/>
      <c r="G213" s="529" t="str">
        <f>$G$10</f>
        <v>2010 BILL</v>
      </c>
      <c r="H213" s="530"/>
      <c r="I213" s="531"/>
      <c r="J213" s="529" t="str">
        <f>$J$10</f>
        <v>2011 BILL</v>
      </c>
      <c r="K213" s="530"/>
      <c r="L213" s="531"/>
      <c r="M213" s="529" t="s">
        <v>72</v>
      </c>
      <c r="N213" s="530"/>
      <c r="O213" s="531"/>
      <c r="P213" s="128"/>
    </row>
    <row r="214" spans="2:16" ht="26.25" thickBot="1">
      <c r="B214" s="133"/>
      <c r="C214" s="31"/>
      <c r="D214" s="31"/>
      <c r="E214" s="33"/>
      <c r="F214" s="38"/>
      <c r="G214" s="348" t="s">
        <v>66</v>
      </c>
      <c r="H214" s="339" t="s">
        <v>67</v>
      </c>
      <c r="I214" s="340" t="s">
        <v>68</v>
      </c>
      <c r="J214" s="349" t="s">
        <v>66</v>
      </c>
      <c r="K214" s="339" t="s">
        <v>67</v>
      </c>
      <c r="L214" s="340" t="s">
        <v>68</v>
      </c>
      <c r="M214" s="350" t="s">
        <v>79</v>
      </c>
      <c r="N214" s="351" t="s">
        <v>80</v>
      </c>
      <c r="O214" s="352" t="s">
        <v>75</v>
      </c>
      <c r="P214" s="128"/>
    </row>
    <row r="215" spans="2:16" ht="18" customHeight="1" thickBot="1">
      <c r="B215" s="133"/>
      <c r="C215" s="532" t="s">
        <v>69</v>
      </c>
      <c r="D215" s="533"/>
      <c r="E215" s="31"/>
      <c r="F215" s="155" t="s">
        <v>70</v>
      </c>
      <c r="G215" s="165"/>
      <c r="H215" s="166"/>
      <c r="I215" s="167">
        <f>'2010 Existing Rates'!$C$9</f>
        <v>25.77</v>
      </c>
      <c r="J215" s="165"/>
      <c r="K215" s="166"/>
      <c r="L215" s="170">
        <f>'Rate Schedule (Part 1)'!$E$21</f>
        <v>39.79</v>
      </c>
      <c r="M215" s="175">
        <f aca="true" t="shared" si="32" ref="M215:M221">+L215-I215</f>
        <v>14.02</v>
      </c>
      <c r="N215" s="176">
        <f aca="true" t="shared" si="33" ref="N215:N226">+M215/I215</f>
        <v>0.5440434613892122</v>
      </c>
      <c r="O215" s="177">
        <f>L215/L233</f>
        <v>0.07353585400073225</v>
      </c>
      <c r="P215" s="128"/>
    </row>
    <row r="216" spans="2:16" ht="18" customHeight="1" thickBot="1">
      <c r="B216" s="133"/>
      <c r="C216" s="346">
        <v>4000</v>
      </c>
      <c r="D216" s="347" t="s">
        <v>16</v>
      </c>
      <c r="E216" s="31"/>
      <c r="F216" s="156" t="s">
        <v>71</v>
      </c>
      <c r="G216" s="159">
        <f>+C216</f>
        <v>4000</v>
      </c>
      <c r="H216" s="153">
        <f>'2010 Existing Rates'!$E$9</f>
        <v>0.004</v>
      </c>
      <c r="I216" s="168">
        <f>+G216*H216</f>
        <v>16</v>
      </c>
      <c r="J216" s="159">
        <f>+C216</f>
        <v>4000</v>
      </c>
      <c r="K216" s="152">
        <f>'Rate Schedule (Part 1)'!$E$22</f>
        <v>0.0062</v>
      </c>
      <c r="L216" s="171">
        <f>+J216*K216</f>
        <v>24.8</v>
      </c>
      <c r="M216" s="178">
        <f t="shared" si="32"/>
        <v>8.8</v>
      </c>
      <c r="N216" s="172">
        <f t="shared" si="33"/>
        <v>0.55</v>
      </c>
      <c r="O216" s="179">
        <f>L216/L233</f>
        <v>0.04583285195320833</v>
      </c>
      <c r="P216" s="128"/>
    </row>
    <row r="217" spans="2:16" ht="18" customHeight="1" hidden="1">
      <c r="B217" s="133"/>
      <c r="C217" s="63"/>
      <c r="D217" s="64"/>
      <c r="E217" s="31"/>
      <c r="P217" s="128"/>
    </row>
    <row r="218" spans="2:16" ht="18" customHeight="1">
      <c r="B218" s="133"/>
      <c r="C218" s="63"/>
      <c r="D218" s="64"/>
      <c r="E218" s="31"/>
      <c r="F218" s="156" t="s">
        <v>277</v>
      </c>
      <c r="G218" s="174"/>
      <c r="H218" s="153">
        <v>1</v>
      </c>
      <c r="I218" s="168">
        <v>1</v>
      </c>
      <c r="J218" s="174"/>
      <c r="K218" s="152">
        <f>'[9]8. Smart Meter Rate  Adder'!$C$20</f>
        <v>0.0898917624704141</v>
      </c>
      <c r="L218" s="171">
        <f>K218</f>
        <v>0.0898917624704141</v>
      </c>
      <c r="M218" s="178">
        <f t="shared" si="32"/>
        <v>-0.9101082375295859</v>
      </c>
      <c r="N218" s="172">
        <f>+M218/I218</f>
        <v>-0.9101082375295859</v>
      </c>
      <c r="O218" s="179">
        <f>L218/L233</f>
        <v>0.00016612886456126848</v>
      </c>
      <c r="P218" s="128"/>
    </row>
    <row r="219" spans="2:16" ht="18" customHeight="1">
      <c r="B219" s="133"/>
      <c r="C219" s="63"/>
      <c r="D219" s="64"/>
      <c r="E219" s="31"/>
      <c r="F219" s="156" t="s">
        <v>169</v>
      </c>
      <c r="G219" s="174"/>
      <c r="H219" s="173"/>
      <c r="I219" s="168">
        <v>0</v>
      </c>
      <c r="J219" s="174"/>
      <c r="K219" s="173"/>
      <c r="L219" s="171">
        <f>'[7]Recovery of Smart Meter Costs'!$C$21</f>
        <v>2.0941673818332727</v>
      </c>
      <c r="M219" s="178">
        <f t="shared" si="32"/>
        <v>2.0941673818332727</v>
      </c>
      <c r="N219" s="172">
        <v>1</v>
      </c>
      <c r="O219" s="179">
        <f>L219/L233</f>
        <v>0.0038702283700323505</v>
      </c>
      <c r="P219" s="128"/>
    </row>
    <row r="220" spans="1:16" ht="18" customHeight="1" hidden="1">
      <c r="A220" s="128"/>
      <c r="B220" s="25"/>
      <c r="C220" s="31"/>
      <c r="D220" s="31"/>
      <c r="E220" s="31"/>
      <c r="P220" s="128"/>
    </row>
    <row r="221" spans="1:16" ht="18" customHeight="1" thickBot="1">
      <c r="A221" s="128"/>
      <c r="B221" s="25"/>
      <c r="C221" s="31"/>
      <c r="D221" s="31"/>
      <c r="E221" s="31"/>
      <c r="F221" s="157" t="s">
        <v>240</v>
      </c>
      <c r="G221" s="180">
        <f>+C216</f>
        <v>4000</v>
      </c>
      <c r="H221" s="181">
        <f>'2010 Existing Rates'!$B$20</f>
        <v>0</v>
      </c>
      <c r="I221" s="164">
        <f>+G221*H221</f>
        <v>0</v>
      </c>
      <c r="J221" s="180">
        <f>+C216</f>
        <v>4000</v>
      </c>
      <c r="K221" s="181">
        <f>'Rate Schedule (Part 1)'!$E$27</f>
        <v>-0.0015721359195805518</v>
      </c>
      <c r="L221" s="182">
        <f>+J221*K221</f>
        <v>-6.288543678322207</v>
      </c>
      <c r="M221" s="178">
        <f t="shared" si="32"/>
        <v>-6.288543678322207</v>
      </c>
      <c r="N221" s="172">
        <v>-1</v>
      </c>
      <c r="O221" s="179">
        <f>L221/L233</f>
        <v>-0.011621850460073625</v>
      </c>
      <c r="P221" s="308"/>
    </row>
    <row r="222" spans="1:16" ht="18" customHeight="1" thickBot="1">
      <c r="A222" s="128"/>
      <c r="F222" s="189" t="s">
        <v>242</v>
      </c>
      <c r="G222" s="534"/>
      <c r="H222" s="535"/>
      <c r="I222" s="191">
        <f>SUM(I215:I221)</f>
        <v>42.769999999999996</v>
      </c>
      <c r="J222" s="534"/>
      <c r="K222" s="535"/>
      <c r="L222" s="191">
        <f>SUM(L215:L221)</f>
        <v>60.485515465981486</v>
      </c>
      <c r="M222" s="193">
        <f>SUM(M215:M221)</f>
        <v>17.715515465981483</v>
      </c>
      <c r="N222" s="194">
        <f t="shared" si="33"/>
        <v>0.4142042428333291</v>
      </c>
      <c r="O222" s="196">
        <f>L222/L233</f>
        <v>0.11178321272846058</v>
      </c>
      <c r="P222" s="308"/>
    </row>
    <row r="223" spans="1:16" ht="18" customHeight="1" thickBot="1">
      <c r="A223" s="128"/>
      <c r="F223" s="156" t="s">
        <v>243</v>
      </c>
      <c r="G223" s="295">
        <f>C216*'Other Electriciy Rates'!$L$11</f>
        <v>4172</v>
      </c>
      <c r="H223" s="296">
        <f>'Other Electriciy Rates'!$B$11</f>
        <v>0.0066</v>
      </c>
      <c r="I223" s="168">
        <f>+G223*H223</f>
        <v>27.5352</v>
      </c>
      <c r="J223" s="295">
        <f>'BILL IMPACTS'!C216*'Other Electriciy Rates'!$L$25</f>
        <v>4172</v>
      </c>
      <c r="K223" s="296">
        <f>'Other Electriciy Rates'!$B$25</f>
        <v>0.006087494307772416</v>
      </c>
      <c r="L223" s="168">
        <f>+J223*K223</f>
        <v>25.397026252026517</v>
      </c>
      <c r="M223" s="297">
        <f>+L223-I223</f>
        <v>-2.1381737479734824</v>
      </c>
      <c r="N223" s="176">
        <f t="shared" si="33"/>
        <v>-0.07765237761024008</v>
      </c>
      <c r="O223" s="177">
        <f>L223/L233</f>
        <v>0.0469362154943902</v>
      </c>
      <c r="P223" s="308"/>
    </row>
    <row r="224" spans="1:16" ht="18" customHeight="1" thickBot="1">
      <c r="A224" s="128"/>
      <c r="F224" s="189" t="s">
        <v>244</v>
      </c>
      <c r="G224" s="534"/>
      <c r="H224" s="535"/>
      <c r="I224" s="191">
        <f>I222+I223</f>
        <v>70.3052</v>
      </c>
      <c r="J224" s="534"/>
      <c r="K224" s="535"/>
      <c r="L224" s="191">
        <f>L222+L223</f>
        <v>85.882541718008</v>
      </c>
      <c r="M224" s="191">
        <f>M222+M223</f>
        <v>15.577341718008</v>
      </c>
      <c r="N224" s="194">
        <f t="shared" si="33"/>
        <v>0.22156741916683262</v>
      </c>
      <c r="O224" s="298">
        <f>L224/L233</f>
        <v>0.15871942822285076</v>
      </c>
      <c r="P224" s="308"/>
    </row>
    <row r="225" spans="1:16" ht="18" customHeight="1">
      <c r="A225" s="128"/>
      <c r="F225" s="158" t="s">
        <v>284</v>
      </c>
      <c r="G225" s="160">
        <f>+'Other Electriciy Rates'!$L$10*C216</f>
        <v>4172</v>
      </c>
      <c r="H225" s="161">
        <f>'Other Electriciy Rates'!$C$11+'Other Electriciy Rates'!$D$11</f>
        <v>0.0135</v>
      </c>
      <c r="I225" s="162">
        <f aca="true" t="shared" si="34" ref="I225:I230">+G225*H225</f>
        <v>56.322</v>
      </c>
      <c r="J225" s="160">
        <f>J223</f>
        <v>4172</v>
      </c>
      <c r="K225" s="161">
        <f>'Other Electriciy Rates'!$C$25+'Other Electriciy Rates'!$D$25</f>
        <v>0.0135</v>
      </c>
      <c r="L225" s="185">
        <f>+J225*K225</f>
        <v>56.322</v>
      </c>
      <c r="M225" s="186">
        <f aca="true" t="shared" si="35" ref="M225:M230">+L225-I225</f>
        <v>0</v>
      </c>
      <c r="N225" s="187">
        <f t="shared" si="33"/>
        <v>0</v>
      </c>
      <c r="O225" s="177">
        <f>L225/L233</f>
        <v>0.10408862450437903</v>
      </c>
      <c r="P225" s="308"/>
    </row>
    <row r="226" spans="1:16" ht="18" customHeight="1">
      <c r="A226" s="128"/>
      <c r="F226" s="158" t="s">
        <v>285</v>
      </c>
      <c r="G226" s="160">
        <v>4000</v>
      </c>
      <c r="H226" s="161">
        <f>+'Other Electriciy Rates'!$D$10</f>
        <v>0.007</v>
      </c>
      <c r="I226" s="162">
        <f t="shared" si="34"/>
        <v>28</v>
      </c>
      <c r="J226" s="160">
        <v>4000</v>
      </c>
      <c r="K226" s="161">
        <f>+'Other Electriciy Rates'!$D$10</f>
        <v>0.007</v>
      </c>
      <c r="L226" s="162">
        <f>+J226*K226</f>
        <v>28</v>
      </c>
      <c r="M226" s="186">
        <f t="shared" si="35"/>
        <v>0</v>
      </c>
      <c r="N226" s="187">
        <f t="shared" si="33"/>
        <v>0</v>
      </c>
      <c r="O226" s="465">
        <f>L226/L233</f>
        <v>0.05174676833426747</v>
      </c>
      <c r="P226" s="308"/>
    </row>
    <row r="227" spans="1:16" ht="18" customHeight="1">
      <c r="A227" s="128"/>
      <c r="F227" s="156" t="s">
        <v>267</v>
      </c>
      <c r="G227" s="159">
        <f>G216</f>
        <v>4000</v>
      </c>
      <c r="H227" s="153">
        <f>'2010 Existing Rates'!$B$31</f>
        <v>0</v>
      </c>
      <c r="I227" s="168">
        <f t="shared" si="34"/>
        <v>0</v>
      </c>
      <c r="J227" s="174"/>
      <c r="K227" s="152">
        <v>0.25</v>
      </c>
      <c r="L227" s="171">
        <v>0.25</v>
      </c>
      <c r="M227" s="178">
        <f t="shared" si="35"/>
        <v>0.25</v>
      </c>
      <c r="N227" s="172">
        <v>1</v>
      </c>
      <c r="O227" s="179">
        <f>L227/L233</f>
        <v>0.0004620247172702453</v>
      </c>
      <c r="P227" s="308"/>
    </row>
    <row r="228" spans="1:16" ht="18" customHeight="1">
      <c r="A228" s="128"/>
      <c r="F228" s="156" t="s">
        <v>275</v>
      </c>
      <c r="G228" s="159">
        <f>C216</f>
        <v>4000</v>
      </c>
      <c r="H228" s="153">
        <v>0.000373</v>
      </c>
      <c r="I228" s="168">
        <f t="shared" si="34"/>
        <v>1.492</v>
      </c>
      <c r="J228" s="159">
        <f>C216</f>
        <v>4000</v>
      </c>
      <c r="K228" s="153">
        <v>0.000373</v>
      </c>
      <c r="L228" s="171">
        <f>J228*K228</f>
        <v>1.492</v>
      </c>
      <c r="M228" s="178">
        <f t="shared" si="35"/>
        <v>0</v>
      </c>
      <c r="N228" s="172">
        <f aca="true" t="shared" si="36" ref="N228:N233">+M228/I228</f>
        <v>0</v>
      </c>
      <c r="O228" s="179">
        <f>L228/L233</f>
        <v>0.0027573635126688237</v>
      </c>
      <c r="P228" s="308"/>
    </row>
    <row r="229" spans="1:16" ht="18" customHeight="1">
      <c r="A229" s="128"/>
      <c r="B229" s="25"/>
      <c r="C229" s="31"/>
      <c r="D229" s="31"/>
      <c r="E229" s="31"/>
      <c r="F229" s="154" t="s">
        <v>77</v>
      </c>
      <c r="G229" s="160">
        <v>600</v>
      </c>
      <c r="H229" s="161">
        <f>'Other Electriciy Rates'!$J$11</f>
        <v>0.065</v>
      </c>
      <c r="I229" s="162">
        <f t="shared" si="34"/>
        <v>39</v>
      </c>
      <c r="J229" s="160">
        <v>600</v>
      </c>
      <c r="K229" s="161">
        <f>'Other Electriciy Rates'!$J$25</f>
        <v>0.065</v>
      </c>
      <c r="L229" s="185">
        <f>+J229*K229</f>
        <v>39</v>
      </c>
      <c r="M229" s="186">
        <f t="shared" si="35"/>
        <v>0</v>
      </c>
      <c r="N229" s="187">
        <f t="shared" si="36"/>
        <v>0</v>
      </c>
      <c r="O229" s="188">
        <f>L229/L233</f>
        <v>0.07207585589415827</v>
      </c>
      <c r="P229" s="308"/>
    </row>
    <row r="230" spans="2:16" ht="18" customHeight="1" thickBot="1">
      <c r="B230" s="133"/>
      <c r="C230" s="31"/>
      <c r="D230" s="31"/>
      <c r="E230" s="31"/>
      <c r="F230" s="154" t="s">
        <v>77</v>
      </c>
      <c r="G230" s="160">
        <f>G225-G229</f>
        <v>3572</v>
      </c>
      <c r="H230" s="161">
        <f>'Other Electriciy Rates'!$K$11</f>
        <v>0.075</v>
      </c>
      <c r="I230" s="162">
        <f t="shared" si="34"/>
        <v>267.9</v>
      </c>
      <c r="J230" s="160">
        <f>J225-J229</f>
        <v>3572</v>
      </c>
      <c r="K230" s="161">
        <f>'Other Electriciy Rates'!$K$25</f>
        <v>0.075</v>
      </c>
      <c r="L230" s="185">
        <f>+J230*K230</f>
        <v>267.9</v>
      </c>
      <c r="M230" s="186">
        <f t="shared" si="35"/>
        <v>0</v>
      </c>
      <c r="N230" s="187">
        <f t="shared" si="36"/>
        <v>0</v>
      </c>
      <c r="O230" s="188">
        <f>L230/L233</f>
        <v>0.4951056870267948</v>
      </c>
      <c r="P230" s="128"/>
    </row>
    <row r="231" spans="2:16" ht="18" customHeight="1" thickBot="1">
      <c r="B231" s="133"/>
      <c r="C231" s="31"/>
      <c r="D231" s="31"/>
      <c r="E231" s="31"/>
      <c r="F231" s="189" t="s">
        <v>194</v>
      </c>
      <c r="G231" s="534"/>
      <c r="H231" s="535"/>
      <c r="I231" s="191">
        <f>SUM(I224:I230)</f>
        <v>463.01919999999996</v>
      </c>
      <c r="J231" s="534"/>
      <c r="K231" s="535"/>
      <c r="L231" s="191">
        <f>SUM(L224:L230)</f>
        <v>478.846541718008</v>
      </c>
      <c r="M231" s="191">
        <f>SUM(M224:M230)</f>
        <v>15.827341718008</v>
      </c>
      <c r="N231" s="194">
        <f t="shared" si="36"/>
        <v>0.034182905844958485</v>
      </c>
      <c r="O231" s="196">
        <f>L231/L233</f>
        <v>0.8849557522123894</v>
      </c>
      <c r="P231" s="128"/>
    </row>
    <row r="232" spans="2:16" ht="18" customHeight="1" thickBot="1">
      <c r="B232" s="133"/>
      <c r="C232" s="31"/>
      <c r="D232" s="31"/>
      <c r="E232" s="31"/>
      <c r="F232" s="240" t="s">
        <v>274</v>
      </c>
      <c r="G232" s="241"/>
      <c r="H232" s="244">
        <v>0.13</v>
      </c>
      <c r="I232" s="242">
        <f>I231*H232</f>
        <v>60.192496</v>
      </c>
      <c r="J232" s="241"/>
      <c r="K232" s="244">
        <v>0.13</v>
      </c>
      <c r="L232" s="243">
        <f>L231*K232</f>
        <v>62.25005042334104</v>
      </c>
      <c r="M232" s="183">
        <f>+L232-I232</f>
        <v>2.0575544233410383</v>
      </c>
      <c r="N232" s="184">
        <f t="shared" si="36"/>
        <v>0.03418290584495846</v>
      </c>
      <c r="O232" s="469">
        <f>L232/L233</f>
        <v>0.11504424778761062</v>
      </c>
      <c r="P232" s="128"/>
    </row>
    <row r="233" spans="2:16" ht="18" customHeight="1" thickBot="1">
      <c r="B233" s="133"/>
      <c r="C233" s="31"/>
      <c r="D233" s="31"/>
      <c r="E233" s="35"/>
      <c r="F233" s="190" t="s">
        <v>78</v>
      </c>
      <c r="G233" s="547"/>
      <c r="H233" s="548"/>
      <c r="I233" s="192">
        <f>I231+I232</f>
        <v>523.211696</v>
      </c>
      <c r="J233" s="547"/>
      <c r="K233" s="548"/>
      <c r="L233" s="192">
        <f>L231+L232</f>
        <v>541.096592141349</v>
      </c>
      <c r="M233" s="309">
        <f>M231+M232</f>
        <v>17.88489614134904</v>
      </c>
      <c r="N233" s="194">
        <f t="shared" si="36"/>
        <v>0.03418290584495848</v>
      </c>
      <c r="O233" s="196">
        <f>SUM(O231:O232)</f>
        <v>1</v>
      </c>
      <c r="P233" s="128"/>
    </row>
    <row r="234" spans="2:16" ht="18" customHeight="1" thickBot="1">
      <c r="B234" s="129"/>
      <c r="C234" s="139"/>
      <c r="D234" s="139"/>
      <c r="E234" s="139"/>
      <c r="F234" s="140"/>
      <c r="G234" s="141"/>
      <c r="H234" s="142"/>
      <c r="I234" s="143"/>
      <c r="J234" s="141"/>
      <c r="K234" s="144"/>
      <c r="L234" s="143"/>
      <c r="M234" s="148"/>
      <c r="N234" s="146"/>
      <c r="O234" s="147"/>
      <c r="P234" s="130"/>
    </row>
    <row r="235" spans="2:16" ht="18" customHeight="1" thickBot="1">
      <c r="B235" s="25"/>
      <c r="C235" s="31"/>
      <c r="D235" s="31"/>
      <c r="E235" s="31"/>
      <c r="F235" s="49"/>
      <c r="G235" s="50"/>
      <c r="H235" s="51"/>
      <c r="I235" s="52"/>
      <c r="J235" s="50"/>
      <c r="K235" s="53"/>
      <c r="L235" s="52"/>
      <c r="M235" s="138"/>
      <c r="N235" s="136"/>
      <c r="O235" s="137"/>
      <c r="P235" s="25"/>
    </row>
    <row r="236" spans="2:16" ht="18" customHeight="1">
      <c r="B236" s="135"/>
      <c r="C236" s="536"/>
      <c r="D236" s="536"/>
      <c r="E236" s="536"/>
      <c r="F236" s="536"/>
      <c r="G236" s="536"/>
      <c r="H236" s="536"/>
      <c r="I236" s="536"/>
      <c r="J236" s="536"/>
      <c r="K236" s="536"/>
      <c r="L236" s="536"/>
      <c r="M236" s="536"/>
      <c r="N236" s="536"/>
      <c r="O236" s="536"/>
      <c r="P236" s="127"/>
    </row>
    <row r="237" spans="2:16" ht="23.25">
      <c r="B237" s="133"/>
      <c r="C237" s="538" t="s">
        <v>136</v>
      </c>
      <c r="D237" s="538"/>
      <c r="E237" s="538"/>
      <c r="F237" s="538"/>
      <c r="G237" s="538"/>
      <c r="H237" s="538"/>
      <c r="I237" s="538"/>
      <c r="J237" s="538"/>
      <c r="K237" s="538"/>
      <c r="L237" s="538"/>
      <c r="M237" s="538"/>
      <c r="N237" s="538"/>
      <c r="O237" s="538"/>
      <c r="P237" s="128"/>
    </row>
    <row r="238" spans="2:16" ht="18" customHeight="1" thickBot="1">
      <c r="B238" s="133"/>
      <c r="C238" s="541"/>
      <c r="D238" s="541"/>
      <c r="E238" s="541"/>
      <c r="F238" s="541"/>
      <c r="G238" s="541"/>
      <c r="H238" s="541"/>
      <c r="I238" s="541"/>
      <c r="J238" s="541"/>
      <c r="K238" s="541"/>
      <c r="L238" s="541"/>
      <c r="M238" s="541"/>
      <c r="N238" s="541"/>
      <c r="O238" s="541"/>
      <c r="P238" s="128"/>
    </row>
    <row r="239" spans="2:16" ht="18" customHeight="1" thickBot="1">
      <c r="B239" s="133"/>
      <c r="C239" s="134"/>
      <c r="D239" s="134"/>
      <c r="E239" s="31"/>
      <c r="F239" s="37"/>
      <c r="G239" s="529" t="str">
        <f>$G$10</f>
        <v>2010 BILL</v>
      </c>
      <c r="H239" s="530"/>
      <c r="I239" s="531"/>
      <c r="J239" s="529" t="str">
        <f>$J$10</f>
        <v>2011 BILL</v>
      </c>
      <c r="K239" s="530"/>
      <c r="L239" s="531"/>
      <c r="M239" s="529" t="s">
        <v>72</v>
      </c>
      <c r="N239" s="530"/>
      <c r="O239" s="531"/>
      <c r="P239" s="128"/>
    </row>
    <row r="240" spans="2:16" ht="26.25" thickBot="1">
      <c r="B240" s="133"/>
      <c r="C240" s="31"/>
      <c r="D240" s="31"/>
      <c r="E240" s="33"/>
      <c r="F240" s="38"/>
      <c r="G240" s="348" t="s">
        <v>66</v>
      </c>
      <c r="H240" s="339" t="s">
        <v>67</v>
      </c>
      <c r="I240" s="340" t="s">
        <v>68</v>
      </c>
      <c r="J240" s="349" t="s">
        <v>66</v>
      </c>
      <c r="K240" s="339" t="s">
        <v>67</v>
      </c>
      <c r="L240" s="340" t="s">
        <v>68</v>
      </c>
      <c r="M240" s="350" t="s">
        <v>79</v>
      </c>
      <c r="N240" s="351" t="s">
        <v>80</v>
      </c>
      <c r="O240" s="352" t="s">
        <v>75</v>
      </c>
      <c r="P240" s="128"/>
    </row>
    <row r="241" spans="2:16" ht="18" customHeight="1" thickBot="1">
      <c r="B241" s="133"/>
      <c r="C241" s="532" t="s">
        <v>69</v>
      </c>
      <c r="D241" s="533"/>
      <c r="E241" s="31"/>
      <c r="F241" s="155" t="s">
        <v>70</v>
      </c>
      <c r="G241" s="165"/>
      <c r="H241" s="166"/>
      <c r="I241" s="167">
        <f>'2010 Existing Rates'!$C$9</f>
        <v>25.77</v>
      </c>
      <c r="J241" s="165"/>
      <c r="K241" s="166"/>
      <c r="L241" s="170">
        <f>'Rate Schedule (Part 1)'!$E$21</f>
        <v>39.79</v>
      </c>
      <c r="M241" s="175">
        <f aca="true" t="shared" si="37" ref="M241:M247">+L241-I241</f>
        <v>14.02</v>
      </c>
      <c r="N241" s="176">
        <f aca="true" t="shared" si="38" ref="N241:N252">+M241/I241</f>
        <v>0.5440434613892122</v>
      </c>
      <c r="O241" s="177">
        <f>L241/L259</f>
        <v>0.032915842320114436</v>
      </c>
      <c r="P241" s="128"/>
    </row>
    <row r="242" spans="2:16" ht="18" customHeight="1" thickBot="1">
      <c r="B242" s="133"/>
      <c r="C242" s="346">
        <v>10000</v>
      </c>
      <c r="D242" s="347" t="s">
        <v>16</v>
      </c>
      <c r="E242" s="31"/>
      <c r="F242" s="156" t="s">
        <v>71</v>
      </c>
      <c r="G242" s="159">
        <f>+C242</f>
        <v>10000</v>
      </c>
      <c r="H242" s="153">
        <f>'2010 Existing Rates'!$E$9</f>
        <v>0.004</v>
      </c>
      <c r="I242" s="168">
        <f>+G242*H242</f>
        <v>40</v>
      </c>
      <c r="J242" s="159">
        <f>+C242</f>
        <v>10000</v>
      </c>
      <c r="K242" s="152">
        <f>'Rate Schedule (Part 1)'!$E$22</f>
        <v>0.0062</v>
      </c>
      <c r="L242" s="171">
        <f>+J242*K242</f>
        <v>62</v>
      </c>
      <c r="M242" s="178">
        <f t="shared" si="37"/>
        <v>22</v>
      </c>
      <c r="N242" s="172">
        <f t="shared" si="38"/>
        <v>0.55</v>
      </c>
      <c r="O242" s="179">
        <f>L242/L259</f>
        <v>0.05128882191121124</v>
      </c>
      <c r="P242" s="128"/>
    </row>
    <row r="243" spans="2:16" ht="18" customHeight="1" hidden="1">
      <c r="B243" s="133"/>
      <c r="C243" s="63"/>
      <c r="D243" s="64"/>
      <c r="E243" s="31"/>
      <c r="P243" s="128"/>
    </row>
    <row r="244" spans="2:16" ht="18" customHeight="1">
      <c r="B244" s="133"/>
      <c r="C244" s="63"/>
      <c r="D244" s="64"/>
      <c r="E244" s="31"/>
      <c r="F244" s="156" t="s">
        <v>277</v>
      </c>
      <c r="G244" s="174"/>
      <c r="H244" s="153">
        <v>1</v>
      </c>
      <c r="I244" s="168">
        <v>1</v>
      </c>
      <c r="J244" s="174"/>
      <c r="K244" s="152">
        <f>'[9]8. Smart Meter Rate  Adder'!$C$20</f>
        <v>0.0898917624704141</v>
      </c>
      <c r="L244" s="171">
        <f>K244</f>
        <v>0.0898917624704141</v>
      </c>
      <c r="M244" s="178">
        <f t="shared" si="37"/>
        <v>-0.9101082375295859</v>
      </c>
      <c r="N244" s="172">
        <f>+M244/I244</f>
        <v>-0.9101082375295859</v>
      </c>
      <c r="O244" s="179">
        <f>L244/L259</f>
        <v>7.436197736499952E-05</v>
      </c>
      <c r="P244" s="128"/>
    </row>
    <row r="245" spans="2:16" ht="18" customHeight="1">
      <c r="B245" s="133"/>
      <c r="C245" s="63"/>
      <c r="D245" s="64"/>
      <c r="E245" s="31"/>
      <c r="F245" s="156" t="s">
        <v>169</v>
      </c>
      <c r="G245" s="174"/>
      <c r="H245" s="173"/>
      <c r="I245" s="168">
        <v>0</v>
      </c>
      <c r="J245" s="174"/>
      <c r="K245" s="173"/>
      <c r="L245" s="171">
        <f>'[7]Recovery of Smart Meter Costs'!$C$21</f>
        <v>2.0941673818332727</v>
      </c>
      <c r="M245" s="178">
        <f t="shared" si="37"/>
        <v>2.0941673818332727</v>
      </c>
      <c r="N245" s="172">
        <v>1</v>
      </c>
      <c r="O245" s="179">
        <f>L245/L259</f>
        <v>0.001732377062888939</v>
      </c>
      <c r="P245" s="128"/>
    </row>
    <row r="246" spans="1:16" ht="18" customHeight="1" hidden="1">
      <c r="A246" s="128"/>
      <c r="B246" s="25"/>
      <c r="C246" s="31"/>
      <c r="D246" s="31"/>
      <c r="E246" s="31"/>
      <c r="P246" s="128"/>
    </row>
    <row r="247" spans="1:16" ht="18" customHeight="1" thickBot="1">
      <c r="A247" s="128"/>
      <c r="B247" s="25"/>
      <c r="C247" s="31"/>
      <c r="D247" s="31"/>
      <c r="E247" s="31"/>
      <c r="F247" s="157" t="s">
        <v>240</v>
      </c>
      <c r="G247" s="180">
        <f>+C242</f>
        <v>10000</v>
      </c>
      <c r="H247" s="181">
        <f>'2010 Existing Rates'!$B$20</f>
        <v>0</v>
      </c>
      <c r="I247" s="164">
        <f>+G247*H247</f>
        <v>0</v>
      </c>
      <c r="J247" s="180">
        <f>+C242</f>
        <v>10000</v>
      </c>
      <c r="K247" s="181">
        <f>'Rate Schedule (Part 1)'!$E$27</f>
        <v>-0.0015721359195805518</v>
      </c>
      <c r="L247" s="182">
        <f>+J247*K247</f>
        <v>-15.721359195805517</v>
      </c>
      <c r="M247" s="178">
        <f t="shared" si="37"/>
        <v>-15.721359195805517</v>
      </c>
      <c r="N247" s="172">
        <v>-1</v>
      </c>
      <c r="O247" s="179">
        <f>L247/L259</f>
        <v>-0.013005322451546003</v>
      </c>
      <c r="P247" s="308"/>
    </row>
    <row r="248" spans="1:16" ht="18" customHeight="1" thickBot="1">
      <c r="A248" s="128"/>
      <c r="F248" s="189" t="s">
        <v>242</v>
      </c>
      <c r="G248" s="534"/>
      <c r="H248" s="535"/>
      <c r="I248" s="191">
        <f>SUM(I241:I247)</f>
        <v>66.77</v>
      </c>
      <c r="J248" s="534"/>
      <c r="K248" s="535"/>
      <c r="L248" s="191">
        <f>SUM(L241:L247)</f>
        <v>88.25269994849816</v>
      </c>
      <c r="M248" s="193">
        <f>SUM(M241:M247)</f>
        <v>21.482699948498166</v>
      </c>
      <c r="N248" s="194">
        <f t="shared" si="38"/>
        <v>0.3217417994383431</v>
      </c>
      <c r="O248" s="196">
        <f>L248/L259</f>
        <v>0.0730060808200336</v>
      </c>
      <c r="P248" s="308"/>
    </row>
    <row r="249" spans="1:16" ht="18" customHeight="1" thickBot="1">
      <c r="A249" s="128"/>
      <c r="F249" s="156" t="s">
        <v>243</v>
      </c>
      <c r="G249" s="295">
        <f>C242*'Other Electriciy Rates'!$L$11</f>
        <v>10430</v>
      </c>
      <c r="H249" s="296">
        <f>'Other Electriciy Rates'!$B$11</f>
        <v>0.0066</v>
      </c>
      <c r="I249" s="168">
        <f>+G249*H249</f>
        <v>68.838</v>
      </c>
      <c r="J249" s="295">
        <f>'BILL IMPACTS'!C242*'Other Electriciy Rates'!$L$25</f>
        <v>10430</v>
      </c>
      <c r="K249" s="296">
        <f>'Other Electriciy Rates'!$B$25</f>
        <v>0.006087494307772416</v>
      </c>
      <c r="L249" s="168">
        <f>+J249*K249</f>
        <v>63.492565630066295</v>
      </c>
      <c r="M249" s="297">
        <f>+L249-I249</f>
        <v>-5.345434369933699</v>
      </c>
      <c r="N249" s="176">
        <f t="shared" si="38"/>
        <v>-0.07765237761023998</v>
      </c>
      <c r="O249" s="177">
        <f>L249/L259</f>
        <v>0.052523530504618735</v>
      </c>
      <c r="P249" s="308"/>
    </row>
    <row r="250" spans="1:16" ht="18" customHeight="1" thickBot="1">
      <c r="A250" s="128"/>
      <c r="F250" s="189" t="s">
        <v>244</v>
      </c>
      <c r="G250" s="534"/>
      <c r="H250" s="535"/>
      <c r="I250" s="191">
        <f>I248+I249</f>
        <v>135.608</v>
      </c>
      <c r="J250" s="534"/>
      <c r="K250" s="535"/>
      <c r="L250" s="191">
        <f>L248+L249</f>
        <v>151.74526557856444</v>
      </c>
      <c r="M250" s="193">
        <f>M248+M249</f>
        <v>16.137265578564467</v>
      </c>
      <c r="N250" s="194">
        <f t="shared" si="38"/>
        <v>0.1189993627113774</v>
      </c>
      <c r="O250" s="298">
        <f>L250/L259</f>
        <v>0.12552961132465232</v>
      </c>
      <c r="P250" s="308"/>
    </row>
    <row r="251" spans="1:16" ht="18" customHeight="1">
      <c r="A251" s="128"/>
      <c r="F251" s="158" t="s">
        <v>284</v>
      </c>
      <c r="G251" s="160">
        <f>+'Other Electriciy Rates'!$L$10*C242</f>
        <v>10430</v>
      </c>
      <c r="H251" s="161">
        <f>'Other Electriciy Rates'!$C$11</f>
        <v>0.0065</v>
      </c>
      <c r="I251" s="162">
        <f aca="true" t="shared" si="39" ref="I251:I256">+G251*H251</f>
        <v>67.795</v>
      </c>
      <c r="J251" s="160">
        <f>J249</f>
        <v>10430</v>
      </c>
      <c r="K251" s="161">
        <f>'Other Electriciy Rates'!$C$25</f>
        <v>0.0065</v>
      </c>
      <c r="L251" s="185">
        <f>+J251*K251</f>
        <v>67.795</v>
      </c>
      <c r="M251" s="186">
        <f aca="true" t="shared" si="40" ref="M251:M256">+L251-I251</f>
        <v>0</v>
      </c>
      <c r="N251" s="187">
        <f t="shared" si="38"/>
        <v>0</v>
      </c>
      <c r="O251" s="177">
        <f>L251/L259</f>
        <v>0.05608267228178332</v>
      </c>
      <c r="P251" s="308"/>
    </row>
    <row r="252" spans="1:16" ht="18" customHeight="1">
      <c r="A252" s="128"/>
      <c r="F252" s="158" t="s">
        <v>285</v>
      </c>
      <c r="G252" s="160">
        <v>10000</v>
      </c>
      <c r="H252" s="161">
        <f>+'Other Electriciy Rates'!$D$10</f>
        <v>0.007</v>
      </c>
      <c r="I252" s="162">
        <f t="shared" si="39"/>
        <v>70</v>
      </c>
      <c r="J252" s="160">
        <v>10000</v>
      </c>
      <c r="K252" s="161">
        <f>+'Other Electriciy Rates'!$D$10</f>
        <v>0.007</v>
      </c>
      <c r="L252" s="162">
        <f>+J252*K252</f>
        <v>70</v>
      </c>
      <c r="M252" s="186">
        <f t="shared" si="40"/>
        <v>0</v>
      </c>
      <c r="N252" s="187">
        <f t="shared" si="38"/>
        <v>0</v>
      </c>
      <c r="O252" s="465">
        <f>L252/L259</f>
        <v>0.05790673441588365</v>
      </c>
      <c r="P252" s="308"/>
    </row>
    <row r="253" spans="1:16" ht="18" customHeight="1">
      <c r="A253" s="128"/>
      <c r="F253" s="156" t="s">
        <v>267</v>
      </c>
      <c r="G253" s="159">
        <f>G242</f>
        <v>10000</v>
      </c>
      <c r="H253" s="153">
        <f>'2010 Existing Rates'!$B$31</f>
        <v>0</v>
      </c>
      <c r="I253" s="168">
        <f t="shared" si="39"/>
        <v>0</v>
      </c>
      <c r="J253" s="174"/>
      <c r="K253" s="152">
        <v>0.25</v>
      </c>
      <c r="L253" s="171">
        <v>0.25</v>
      </c>
      <c r="M253" s="178">
        <f t="shared" si="40"/>
        <v>0.25</v>
      </c>
      <c r="N253" s="172">
        <v>1</v>
      </c>
      <c r="O253" s="179">
        <f>L253/L259</f>
        <v>0.00020680976577101303</v>
      </c>
      <c r="P253" s="308"/>
    </row>
    <row r="254" spans="1:16" ht="18" customHeight="1">
      <c r="A254" s="128"/>
      <c r="F254" s="156" t="s">
        <v>275</v>
      </c>
      <c r="G254" s="159">
        <f>C242</f>
        <v>10000</v>
      </c>
      <c r="H254" s="153">
        <v>0.000373</v>
      </c>
      <c r="I254" s="168">
        <f t="shared" si="39"/>
        <v>3.73</v>
      </c>
      <c r="J254" s="159">
        <f>C242</f>
        <v>10000</v>
      </c>
      <c r="K254" s="153">
        <v>0.000373</v>
      </c>
      <c r="L254" s="171">
        <f>J254*K254</f>
        <v>3.73</v>
      </c>
      <c r="M254" s="178">
        <f t="shared" si="40"/>
        <v>0</v>
      </c>
      <c r="N254" s="172">
        <f aca="true" t="shared" si="41" ref="N254:N259">+M254/I254</f>
        <v>0</v>
      </c>
      <c r="O254" s="179">
        <f>L254/L259</f>
        <v>0.0030856017053035147</v>
      </c>
      <c r="P254" s="308"/>
    </row>
    <row r="255" spans="1:16" ht="18" customHeight="1">
      <c r="A255" s="128"/>
      <c r="B255" s="25"/>
      <c r="C255" s="31"/>
      <c r="D255" s="31"/>
      <c r="E255" s="31"/>
      <c r="F255" s="154" t="s">
        <v>77</v>
      </c>
      <c r="G255" s="160">
        <v>600</v>
      </c>
      <c r="H255" s="161">
        <f>'Other Electriciy Rates'!$J$11</f>
        <v>0.065</v>
      </c>
      <c r="I255" s="162">
        <f t="shared" si="39"/>
        <v>39</v>
      </c>
      <c r="J255" s="160">
        <v>600</v>
      </c>
      <c r="K255" s="161">
        <f>'Other Electriciy Rates'!$J$25</f>
        <v>0.065</v>
      </c>
      <c r="L255" s="185">
        <f>+J255*K255</f>
        <v>39</v>
      </c>
      <c r="M255" s="186">
        <f t="shared" si="40"/>
        <v>0</v>
      </c>
      <c r="N255" s="187">
        <f t="shared" si="41"/>
        <v>0</v>
      </c>
      <c r="O255" s="188">
        <f>L255/L259</f>
        <v>0.03226232346027803</v>
      </c>
      <c r="P255" s="308"/>
    </row>
    <row r="256" spans="2:16" ht="18" customHeight="1" thickBot="1">
      <c r="B256" s="133"/>
      <c r="C256" s="31"/>
      <c r="D256" s="31"/>
      <c r="E256" s="31"/>
      <c r="F256" s="154" t="s">
        <v>77</v>
      </c>
      <c r="G256" s="160">
        <f>G251-G255</f>
        <v>9830</v>
      </c>
      <c r="H256" s="161">
        <f>'Other Electriciy Rates'!$K$11</f>
        <v>0.075</v>
      </c>
      <c r="I256" s="162">
        <f t="shared" si="39"/>
        <v>737.25</v>
      </c>
      <c r="J256" s="160">
        <f>J251-J255</f>
        <v>9830</v>
      </c>
      <c r="K256" s="161">
        <f>'Other Electriciy Rates'!$K$25</f>
        <v>0.075</v>
      </c>
      <c r="L256" s="185">
        <f>+J256*K256</f>
        <v>737.25</v>
      </c>
      <c r="M256" s="186">
        <f t="shared" si="40"/>
        <v>0</v>
      </c>
      <c r="N256" s="187">
        <f t="shared" si="41"/>
        <v>0</v>
      </c>
      <c r="O256" s="188">
        <f>L256/L259</f>
        <v>0.6098819992587174</v>
      </c>
      <c r="P256" s="128"/>
    </row>
    <row r="257" spans="2:16" ht="18" customHeight="1" thickBot="1">
      <c r="B257" s="133"/>
      <c r="C257" s="31"/>
      <c r="D257" s="31"/>
      <c r="E257" s="31"/>
      <c r="F257" s="189" t="s">
        <v>194</v>
      </c>
      <c r="G257" s="534"/>
      <c r="H257" s="535"/>
      <c r="I257" s="191">
        <f>SUM(I250:I256)</f>
        <v>1053.383</v>
      </c>
      <c r="J257" s="534"/>
      <c r="K257" s="535"/>
      <c r="L257" s="191">
        <f>SUM(L250:L256)</f>
        <v>1069.7702655785645</v>
      </c>
      <c r="M257" s="191">
        <f>SUM(M250:M256)</f>
        <v>16.387265578564467</v>
      </c>
      <c r="N257" s="194">
        <f t="shared" si="41"/>
        <v>0.015556797080040655</v>
      </c>
      <c r="O257" s="196">
        <f>L257/L259</f>
        <v>0.8849557522123893</v>
      </c>
      <c r="P257" s="128"/>
    </row>
    <row r="258" spans="2:16" ht="18" customHeight="1" thickBot="1">
      <c r="B258" s="133"/>
      <c r="C258" s="31"/>
      <c r="D258" s="31"/>
      <c r="E258" s="31"/>
      <c r="F258" s="240" t="s">
        <v>274</v>
      </c>
      <c r="G258" s="241"/>
      <c r="H258" s="244">
        <v>0.13</v>
      </c>
      <c r="I258" s="242">
        <f>I257*H258</f>
        <v>136.93979000000002</v>
      </c>
      <c r="J258" s="241"/>
      <c r="K258" s="244">
        <v>0.13</v>
      </c>
      <c r="L258" s="243">
        <f>L257*K258</f>
        <v>139.07013452521338</v>
      </c>
      <c r="M258" s="183">
        <f>+L258-I258</f>
        <v>2.13034452521336</v>
      </c>
      <c r="N258" s="184">
        <f t="shared" si="41"/>
        <v>0.015556797080040503</v>
      </c>
      <c r="O258" s="469">
        <f>L258/L259</f>
        <v>0.1150442477876106</v>
      </c>
      <c r="P258" s="128"/>
    </row>
    <row r="259" spans="2:16" ht="18" customHeight="1" thickBot="1">
      <c r="B259" s="133"/>
      <c r="C259" s="31"/>
      <c r="D259" s="31"/>
      <c r="E259" s="35"/>
      <c r="F259" s="190" t="s">
        <v>78</v>
      </c>
      <c r="G259" s="547"/>
      <c r="H259" s="548"/>
      <c r="I259" s="192">
        <f>I257+I258</f>
        <v>1190.3227900000002</v>
      </c>
      <c r="J259" s="547"/>
      <c r="K259" s="548"/>
      <c r="L259" s="192">
        <f>L257+L258</f>
        <v>1208.840400103778</v>
      </c>
      <c r="M259" s="309">
        <f>M257+M258</f>
        <v>18.517610103777827</v>
      </c>
      <c r="N259" s="194">
        <f t="shared" si="41"/>
        <v>0.015556797080040636</v>
      </c>
      <c r="O259" s="196">
        <f>SUM(O257:O258)</f>
        <v>0.9999999999999999</v>
      </c>
      <c r="P259" s="128"/>
    </row>
    <row r="260" spans="2:16" ht="18" customHeight="1" thickBot="1">
      <c r="B260" s="129"/>
      <c r="C260" s="139"/>
      <c r="D260" s="139"/>
      <c r="E260" s="139"/>
      <c r="F260" s="140"/>
      <c r="G260" s="141"/>
      <c r="H260" s="142"/>
      <c r="I260" s="143"/>
      <c r="J260" s="141"/>
      <c r="K260" s="144"/>
      <c r="L260" s="143"/>
      <c r="M260" s="148"/>
      <c r="N260" s="146"/>
      <c r="O260" s="147"/>
      <c r="P260" s="130"/>
    </row>
    <row r="261" spans="2:16" ht="18" customHeight="1" thickBot="1">
      <c r="B261" s="25"/>
      <c r="C261" s="31"/>
      <c r="D261" s="31"/>
      <c r="E261" s="31"/>
      <c r="F261" s="49"/>
      <c r="G261" s="50"/>
      <c r="H261" s="51"/>
      <c r="I261" s="52"/>
      <c r="J261" s="50"/>
      <c r="K261" s="53"/>
      <c r="L261" s="52"/>
      <c r="M261" s="138"/>
      <c r="N261" s="136"/>
      <c r="O261" s="137"/>
      <c r="P261" s="25"/>
    </row>
    <row r="262" spans="2:16" ht="18" customHeight="1">
      <c r="B262" s="135"/>
      <c r="C262" s="536"/>
      <c r="D262" s="536"/>
      <c r="E262" s="536"/>
      <c r="F262" s="536"/>
      <c r="G262" s="536"/>
      <c r="H262" s="536"/>
      <c r="I262" s="536"/>
      <c r="J262" s="536"/>
      <c r="K262" s="536"/>
      <c r="L262" s="536"/>
      <c r="M262" s="536"/>
      <c r="N262" s="536"/>
      <c r="O262" s="536"/>
      <c r="P262" s="127"/>
    </row>
    <row r="263" spans="2:16" ht="23.25">
      <c r="B263" s="133"/>
      <c r="C263" s="538" t="s">
        <v>136</v>
      </c>
      <c r="D263" s="538"/>
      <c r="E263" s="538"/>
      <c r="F263" s="538"/>
      <c r="G263" s="538"/>
      <c r="H263" s="538"/>
      <c r="I263" s="538"/>
      <c r="J263" s="538"/>
      <c r="K263" s="538"/>
      <c r="L263" s="538"/>
      <c r="M263" s="538"/>
      <c r="N263" s="538"/>
      <c r="O263" s="538"/>
      <c r="P263" s="128"/>
    </row>
    <row r="264" spans="2:16" ht="18" customHeight="1" thickBot="1">
      <c r="B264" s="133"/>
      <c r="C264" s="541"/>
      <c r="D264" s="541"/>
      <c r="E264" s="541"/>
      <c r="F264" s="541"/>
      <c r="G264" s="541"/>
      <c r="H264" s="541"/>
      <c r="I264" s="541"/>
      <c r="J264" s="541"/>
      <c r="K264" s="541"/>
      <c r="L264" s="541"/>
      <c r="M264" s="541"/>
      <c r="N264" s="541"/>
      <c r="O264" s="541"/>
      <c r="P264" s="128"/>
    </row>
    <row r="265" spans="2:16" ht="18" customHeight="1" thickBot="1">
      <c r="B265" s="133"/>
      <c r="C265" s="134"/>
      <c r="D265" s="134"/>
      <c r="E265" s="31"/>
      <c r="F265" s="37"/>
      <c r="G265" s="529" t="str">
        <f>$G$10</f>
        <v>2010 BILL</v>
      </c>
      <c r="H265" s="530"/>
      <c r="I265" s="531"/>
      <c r="J265" s="529" t="str">
        <f>$J$10</f>
        <v>2011 BILL</v>
      </c>
      <c r="K265" s="530"/>
      <c r="L265" s="531"/>
      <c r="M265" s="529" t="s">
        <v>72</v>
      </c>
      <c r="N265" s="530"/>
      <c r="O265" s="531"/>
      <c r="P265" s="128"/>
    </row>
    <row r="266" spans="2:16" ht="26.25" thickBot="1">
      <c r="B266" s="133"/>
      <c r="C266" s="31"/>
      <c r="D266" s="31"/>
      <c r="E266" s="33"/>
      <c r="F266" s="38"/>
      <c r="G266" s="348" t="s">
        <v>66</v>
      </c>
      <c r="H266" s="339" t="s">
        <v>67</v>
      </c>
      <c r="I266" s="340" t="s">
        <v>68</v>
      </c>
      <c r="J266" s="349" t="s">
        <v>66</v>
      </c>
      <c r="K266" s="339" t="s">
        <v>67</v>
      </c>
      <c r="L266" s="340" t="s">
        <v>68</v>
      </c>
      <c r="M266" s="350" t="s">
        <v>79</v>
      </c>
      <c r="N266" s="351" t="s">
        <v>80</v>
      </c>
      <c r="O266" s="352" t="s">
        <v>75</v>
      </c>
      <c r="P266" s="128"/>
    </row>
    <row r="267" spans="2:16" ht="18" customHeight="1" thickBot="1">
      <c r="B267" s="133"/>
      <c r="C267" s="532" t="s">
        <v>69</v>
      </c>
      <c r="D267" s="533"/>
      <c r="E267" s="31"/>
      <c r="F267" s="155" t="s">
        <v>70</v>
      </c>
      <c r="G267" s="165"/>
      <c r="H267" s="166"/>
      <c r="I267" s="167">
        <f>'2010 Existing Rates'!$C$9</f>
        <v>25.77</v>
      </c>
      <c r="J267" s="165"/>
      <c r="K267" s="166"/>
      <c r="L267" s="170">
        <f>'Rate Schedule (Part 1)'!$E$21</f>
        <v>39.79</v>
      </c>
      <c r="M267" s="175">
        <f aca="true" t="shared" si="42" ref="M267:M273">+L267-I267</f>
        <v>14.02</v>
      </c>
      <c r="N267" s="176">
        <f aca="true" t="shared" si="43" ref="N267:N278">+M267/I267</f>
        <v>0.5440434613892122</v>
      </c>
      <c r="O267" s="177">
        <f>L267/L285</f>
        <v>0.026512222747240362</v>
      </c>
      <c r="P267" s="128"/>
    </row>
    <row r="268" spans="2:16" ht="18" customHeight="1" thickBot="1">
      <c r="B268" s="133"/>
      <c r="C268" s="346">
        <v>12500</v>
      </c>
      <c r="D268" s="347" t="s">
        <v>16</v>
      </c>
      <c r="E268" s="31"/>
      <c r="F268" s="156" t="s">
        <v>71</v>
      </c>
      <c r="G268" s="159">
        <f>+C268</f>
        <v>12500</v>
      </c>
      <c r="H268" s="153">
        <f>'2010 Existing Rates'!$E$9</f>
        <v>0.004</v>
      </c>
      <c r="I268" s="168">
        <f>+G268*H268</f>
        <v>50</v>
      </c>
      <c r="J268" s="159">
        <f>+C268</f>
        <v>12500</v>
      </c>
      <c r="K268" s="152">
        <f>'Rate Schedule (Part 1)'!$E$22</f>
        <v>0.0062</v>
      </c>
      <c r="L268" s="171">
        <f>+J268*K268</f>
        <v>77.5</v>
      </c>
      <c r="M268" s="178">
        <f t="shared" si="42"/>
        <v>27.5</v>
      </c>
      <c r="N268" s="172">
        <f t="shared" si="43"/>
        <v>0.55</v>
      </c>
      <c r="O268" s="179">
        <f>L268/L285</f>
        <v>0.05163853387562523</v>
      </c>
      <c r="P268" s="128"/>
    </row>
    <row r="269" spans="2:16" ht="18" customHeight="1" hidden="1">
      <c r="B269" s="133"/>
      <c r="C269" s="63"/>
      <c r="D269" s="64"/>
      <c r="E269" s="31"/>
      <c r="P269" s="128"/>
    </row>
    <row r="270" spans="2:16" ht="18" customHeight="1">
      <c r="B270" s="133"/>
      <c r="C270" s="63"/>
      <c r="D270" s="64"/>
      <c r="E270" s="31"/>
      <c r="F270" s="156" t="s">
        <v>277</v>
      </c>
      <c r="G270" s="174"/>
      <c r="H270" s="153">
        <v>1</v>
      </c>
      <c r="I270" s="168">
        <v>1</v>
      </c>
      <c r="J270" s="174"/>
      <c r="K270" s="152">
        <f>'[9]8. Smart Meter Rate  Adder'!$C$20</f>
        <v>0.0898917624704141</v>
      </c>
      <c r="L270" s="171">
        <f>K270</f>
        <v>0.0898917624704141</v>
      </c>
      <c r="M270" s="178">
        <f t="shared" si="42"/>
        <v>-0.9101082375295859</v>
      </c>
      <c r="N270" s="172">
        <f>+M270/I270</f>
        <v>-0.9101082375295859</v>
      </c>
      <c r="O270" s="179">
        <f>L270/L285</f>
        <v>5.989521059958884E-05</v>
      </c>
      <c r="P270" s="128"/>
    </row>
    <row r="271" spans="2:16" ht="18" customHeight="1">
      <c r="B271" s="133"/>
      <c r="C271" s="63"/>
      <c r="D271" s="64"/>
      <c r="E271" s="31"/>
      <c r="F271" s="156" t="s">
        <v>169</v>
      </c>
      <c r="G271" s="174"/>
      <c r="H271" s="173"/>
      <c r="I271" s="168">
        <v>0</v>
      </c>
      <c r="J271" s="174"/>
      <c r="K271" s="173"/>
      <c r="L271" s="171">
        <f>'[7]Recovery of Smart Meter Costs'!$C$21</f>
        <v>2.0941673818332727</v>
      </c>
      <c r="M271" s="178">
        <f t="shared" si="42"/>
        <v>2.0941673818332727</v>
      </c>
      <c r="N271" s="172">
        <v>1</v>
      </c>
      <c r="O271" s="179">
        <f>L271/L285</f>
        <v>0.0013953513972648627</v>
      </c>
      <c r="P271" s="128"/>
    </row>
    <row r="272" spans="1:16" ht="18" customHeight="1" hidden="1">
      <c r="A272" s="128"/>
      <c r="B272" s="25"/>
      <c r="C272" s="31"/>
      <c r="D272" s="31"/>
      <c r="E272" s="31"/>
      <c r="P272" s="128"/>
    </row>
    <row r="273" spans="1:16" ht="18" customHeight="1" thickBot="1">
      <c r="A273" s="128"/>
      <c r="B273" s="25"/>
      <c r="C273" s="31"/>
      <c r="D273" s="31"/>
      <c r="E273" s="31"/>
      <c r="F273" s="157" t="s">
        <v>240</v>
      </c>
      <c r="G273" s="180">
        <f>+C268</f>
        <v>12500</v>
      </c>
      <c r="H273" s="181">
        <f>'2010 Existing Rates'!$B$20</f>
        <v>0</v>
      </c>
      <c r="I273" s="164">
        <f>+G273*H273</f>
        <v>0</v>
      </c>
      <c r="J273" s="180">
        <f>+C268</f>
        <v>12500</v>
      </c>
      <c r="K273" s="181">
        <f>'Rate Schedule (Part 1)'!$E$27</f>
        <v>-0.0015721359195805518</v>
      </c>
      <c r="L273" s="182">
        <f>+J273*K273</f>
        <v>-19.6516989947569</v>
      </c>
      <c r="M273" s="178">
        <f t="shared" si="42"/>
        <v>-19.6516989947569</v>
      </c>
      <c r="N273" s="172">
        <v>-1</v>
      </c>
      <c r="O273" s="179">
        <f>L273/L285</f>
        <v>-0.013093999022636704</v>
      </c>
      <c r="P273" s="308"/>
    </row>
    <row r="274" spans="1:16" ht="18" customHeight="1" thickBot="1">
      <c r="A274" s="128"/>
      <c r="F274" s="189" t="s">
        <v>242</v>
      </c>
      <c r="G274" s="534"/>
      <c r="H274" s="535"/>
      <c r="I274" s="191">
        <f>SUM(I267:I273)</f>
        <v>76.77</v>
      </c>
      <c r="J274" s="534"/>
      <c r="K274" s="535"/>
      <c r="L274" s="191">
        <f>SUM(L267:L273)</f>
        <v>99.82236014954678</v>
      </c>
      <c r="M274" s="193">
        <f>SUM(M267:M273)</f>
        <v>23.052360149546786</v>
      </c>
      <c r="N274" s="194">
        <f t="shared" si="43"/>
        <v>0.3002782356330179</v>
      </c>
      <c r="O274" s="196">
        <f>L274/L285</f>
        <v>0.06651200420809335</v>
      </c>
      <c r="P274" s="308"/>
    </row>
    <row r="275" spans="1:16" ht="18" customHeight="1" thickBot="1">
      <c r="A275" s="128"/>
      <c r="F275" s="156" t="s">
        <v>243</v>
      </c>
      <c r="G275" s="295">
        <f>C268*'Other Electriciy Rates'!$L$11</f>
        <v>13037.499999999998</v>
      </c>
      <c r="H275" s="296">
        <f>'Other Electriciy Rates'!$B$11</f>
        <v>0.0066</v>
      </c>
      <c r="I275" s="168">
        <f>+G275*H275</f>
        <v>86.04749999999999</v>
      </c>
      <c r="J275" s="295">
        <f>'BILL IMPACTS'!C268*'Other Electriciy Rates'!$L$25</f>
        <v>13037.499999999998</v>
      </c>
      <c r="K275" s="296">
        <f>'Other Electriciy Rates'!$B$25</f>
        <v>0.006087494307772416</v>
      </c>
      <c r="L275" s="168">
        <f>+J275*K275</f>
        <v>79.36570703758287</v>
      </c>
      <c r="M275" s="297">
        <f>+L275-I275</f>
        <v>-6.68179296241712</v>
      </c>
      <c r="N275" s="176">
        <f t="shared" si="43"/>
        <v>-0.07765237761023994</v>
      </c>
      <c r="O275" s="177">
        <f>L275/L285</f>
        <v>0.05288166130868608</v>
      </c>
      <c r="P275" s="308"/>
    </row>
    <row r="276" spans="1:16" ht="18" customHeight="1" thickBot="1">
      <c r="A276" s="128"/>
      <c r="F276" s="189" t="s">
        <v>244</v>
      </c>
      <c r="G276" s="534"/>
      <c r="H276" s="535"/>
      <c r="I276" s="191">
        <f>I274+I275</f>
        <v>162.8175</v>
      </c>
      <c r="J276" s="534"/>
      <c r="K276" s="535"/>
      <c r="L276" s="191">
        <f>L274+L275</f>
        <v>179.18806718712966</v>
      </c>
      <c r="M276" s="193">
        <f>M274+M275</f>
        <v>16.370567187129666</v>
      </c>
      <c r="N276" s="194">
        <f t="shared" si="43"/>
        <v>0.1005455014794458</v>
      </c>
      <c r="O276" s="298">
        <f>L276/L285</f>
        <v>0.11939366551677943</v>
      </c>
      <c r="P276" s="308"/>
    </row>
    <row r="277" spans="1:16" ht="18" customHeight="1">
      <c r="A277" s="128"/>
      <c r="F277" s="158" t="s">
        <v>284</v>
      </c>
      <c r="G277" s="160">
        <f>+'Other Electriciy Rates'!$L$10*C268</f>
        <v>13037.499999999998</v>
      </c>
      <c r="H277" s="161">
        <f>'Other Electriciy Rates'!$C$11</f>
        <v>0.0065</v>
      </c>
      <c r="I277" s="162">
        <f aca="true" t="shared" si="44" ref="I277:I282">+G277*H277</f>
        <v>84.74374999999998</v>
      </c>
      <c r="J277" s="160">
        <f>J275</f>
        <v>13037.499999999998</v>
      </c>
      <c r="K277" s="161">
        <f>'Other Electriciy Rates'!$C$25</f>
        <v>0.0065</v>
      </c>
      <c r="L277" s="185">
        <f>+J277*K277</f>
        <v>84.74374999999998</v>
      </c>
      <c r="M277" s="186">
        <f aca="true" t="shared" si="45" ref="M277:M282">+L277-I277</f>
        <v>0</v>
      </c>
      <c r="N277" s="187">
        <f t="shared" si="43"/>
        <v>0</v>
      </c>
      <c r="O277" s="177">
        <f>L277/L285</f>
        <v>0.0564650710338389</v>
      </c>
      <c r="P277" s="308"/>
    </row>
    <row r="278" spans="1:16" ht="18" customHeight="1">
      <c r="A278" s="128"/>
      <c r="F278" s="158" t="s">
        <v>285</v>
      </c>
      <c r="G278" s="160">
        <v>12500</v>
      </c>
      <c r="H278" s="161">
        <f>+'Other Electriciy Rates'!$D$10</f>
        <v>0.007</v>
      </c>
      <c r="I278" s="162">
        <f t="shared" si="44"/>
        <v>87.5</v>
      </c>
      <c r="J278" s="160">
        <v>12500</v>
      </c>
      <c r="K278" s="161">
        <f>+'Other Electriciy Rates'!$D$10</f>
        <v>0.007</v>
      </c>
      <c r="L278" s="162">
        <f>+J278*K278</f>
        <v>87.5</v>
      </c>
      <c r="M278" s="186">
        <f t="shared" si="45"/>
        <v>0</v>
      </c>
      <c r="N278" s="187">
        <f t="shared" si="43"/>
        <v>0</v>
      </c>
      <c r="O278" s="465">
        <f>L278/L285</f>
        <v>0.05830157050473817</v>
      </c>
      <c r="P278" s="308"/>
    </row>
    <row r="279" spans="1:16" ht="18" customHeight="1">
      <c r="A279" s="128"/>
      <c r="F279" s="156" t="s">
        <v>267</v>
      </c>
      <c r="G279" s="159">
        <f>G268</f>
        <v>12500</v>
      </c>
      <c r="H279" s="153">
        <f>'2010 Existing Rates'!$B$31</f>
        <v>0</v>
      </c>
      <c r="I279" s="168">
        <f t="shared" si="44"/>
        <v>0</v>
      </c>
      <c r="J279" s="174"/>
      <c r="K279" s="152">
        <v>0.25</v>
      </c>
      <c r="L279" s="171">
        <v>0.25</v>
      </c>
      <c r="M279" s="178">
        <f t="shared" si="45"/>
        <v>0.25</v>
      </c>
      <c r="N279" s="172">
        <v>1</v>
      </c>
      <c r="O279" s="179">
        <f>L279/L285</f>
        <v>0.00016657591572782335</v>
      </c>
      <c r="P279" s="308"/>
    </row>
    <row r="280" spans="1:16" ht="18" customHeight="1">
      <c r="A280" s="128"/>
      <c r="F280" s="156" t="s">
        <v>275</v>
      </c>
      <c r="G280" s="159">
        <f>C268</f>
        <v>12500</v>
      </c>
      <c r="H280" s="153">
        <v>0.000373</v>
      </c>
      <c r="I280" s="168">
        <f t="shared" si="44"/>
        <v>4.6625000000000005</v>
      </c>
      <c r="J280" s="159">
        <f>C268</f>
        <v>12500</v>
      </c>
      <c r="K280" s="153">
        <v>0.000373</v>
      </c>
      <c r="L280" s="171">
        <f>J280*K280</f>
        <v>4.6625000000000005</v>
      </c>
      <c r="M280" s="178">
        <f t="shared" si="45"/>
        <v>0</v>
      </c>
      <c r="N280" s="172">
        <f aca="true" t="shared" si="46" ref="N280:N285">+M280/I280</f>
        <v>0</v>
      </c>
      <c r="O280" s="179">
        <f>L280/L285</f>
        <v>0.0031066408283239055</v>
      </c>
      <c r="P280" s="308"/>
    </row>
    <row r="281" spans="1:16" ht="18" customHeight="1">
      <c r="A281" s="128"/>
      <c r="B281" s="25"/>
      <c r="C281" s="31"/>
      <c r="D281" s="31"/>
      <c r="E281" s="31"/>
      <c r="F281" s="154" t="s">
        <v>77</v>
      </c>
      <c r="G281" s="160">
        <v>600</v>
      </c>
      <c r="H281" s="161">
        <f>'Other Electriciy Rates'!$J$11</f>
        <v>0.065</v>
      </c>
      <c r="I281" s="162">
        <f t="shared" si="44"/>
        <v>39</v>
      </c>
      <c r="J281" s="160">
        <v>600</v>
      </c>
      <c r="K281" s="161">
        <f>'Other Electriciy Rates'!$J$25</f>
        <v>0.065</v>
      </c>
      <c r="L281" s="185">
        <f>+J281*K281</f>
        <v>39</v>
      </c>
      <c r="M281" s="186">
        <f t="shared" si="45"/>
        <v>0</v>
      </c>
      <c r="N281" s="187">
        <f t="shared" si="46"/>
        <v>0</v>
      </c>
      <c r="O281" s="188">
        <f>L281/L285</f>
        <v>0.025985842853540442</v>
      </c>
      <c r="P281" s="308"/>
    </row>
    <row r="282" spans="1:16" ht="18" customHeight="1" thickBot="1">
      <c r="A282" s="128"/>
      <c r="B282" s="25"/>
      <c r="C282" s="31"/>
      <c r="D282" s="31"/>
      <c r="E282" s="31"/>
      <c r="F282" s="154" t="s">
        <v>77</v>
      </c>
      <c r="G282" s="160">
        <f>G277-G281</f>
        <v>12437.499999999998</v>
      </c>
      <c r="H282" s="161">
        <f>'Other Electriciy Rates'!$K$11</f>
        <v>0.075</v>
      </c>
      <c r="I282" s="162">
        <f t="shared" si="44"/>
        <v>932.8124999999998</v>
      </c>
      <c r="J282" s="160">
        <f>J277-J281</f>
        <v>12437.499999999998</v>
      </c>
      <c r="K282" s="161">
        <f>'Other Electriciy Rates'!$K$25</f>
        <v>0.075</v>
      </c>
      <c r="L282" s="185">
        <f>+J282*K282</f>
        <v>932.8124999999998</v>
      </c>
      <c r="M282" s="186">
        <f t="shared" si="45"/>
        <v>0</v>
      </c>
      <c r="N282" s="187">
        <f t="shared" si="46"/>
        <v>0</v>
      </c>
      <c r="O282" s="188">
        <f>L282/L285</f>
        <v>0.6215363855594407</v>
      </c>
      <c r="P282" s="128"/>
    </row>
    <row r="283" spans="2:16" ht="18" customHeight="1" thickBot="1">
      <c r="B283" s="133"/>
      <c r="C283" s="31"/>
      <c r="D283" s="31"/>
      <c r="E283" s="31"/>
      <c r="F283" s="189" t="s">
        <v>194</v>
      </c>
      <c r="G283" s="534"/>
      <c r="H283" s="535"/>
      <c r="I283" s="191">
        <f>SUM(I276:I282)</f>
        <v>1311.5362499999997</v>
      </c>
      <c r="J283" s="534"/>
      <c r="K283" s="535"/>
      <c r="L283" s="191">
        <f>SUM(L276:L282)</f>
        <v>1328.1568171871295</v>
      </c>
      <c r="M283" s="191">
        <f>SUM(M276:M282)</f>
        <v>16.620567187129666</v>
      </c>
      <c r="N283" s="194">
        <f t="shared" si="46"/>
        <v>0.012672594590602944</v>
      </c>
      <c r="O283" s="196">
        <f>L283/L285</f>
        <v>0.8849557522123894</v>
      </c>
      <c r="P283" s="128"/>
    </row>
    <row r="284" spans="2:16" ht="18" customHeight="1" thickBot="1">
      <c r="B284" s="133"/>
      <c r="C284" s="31"/>
      <c r="D284" s="31"/>
      <c r="E284" s="31"/>
      <c r="F284" s="240" t="s">
        <v>274</v>
      </c>
      <c r="G284" s="241"/>
      <c r="H284" s="244">
        <v>0.13</v>
      </c>
      <c r="I284" s="242">
        <f>I283*H284</f>
        <v>170.49971249999996</v>
      </c>
      <c r="J284" s="241"/>
      <c r="K284" s="244">
        <v>0.13</v>
      </c>
      <c r="L284" s="243">
        <f>L283*K284</f>
        <v>172.66038623432684</v>
      </c>
      <c r="M284" s="183">
        <f>+L284-I284</f>
        <v>2.1606737343268776</v>
      </c>
      <c r="N284" s="184">
        <f t="shared" si="46"/>
        <v>0.012672594590603067</v>
      </c>
      <c r="O284" s="469">
        <f>L284/L285</f>
        <v>0.11504424778761063</v>
      </c>
      <c r="P284" s="128"/>
    </row>
    <row r="285" spans="2:16" ht="18" customHeight="1" thickBot="1">
      <c r="B285" s="133"/>
      <c r="C285" s="31"/>
      <c r="D285" s="31"/>
      <c r="E285" s="35"/>
      <c r="F285" s="190" t="s">
        <v>78</v>
      </c>
      <c r="G285" s="547"/>
      <c r="H285" s="548"/>
      <c r="I285" s="192">
        <f>I283+I284</f>
        <v>1482.0359624999996</v>
      </c>
      <c r="J285" s="547"/>
      <c r="K285" s="548"/>
      <c r="L285" s="192">
        <f>L283+L284</f>
        <v>1500.8172034214563</v>
      </c>
      <c r="M285" s="309">
        <f>M283+M284</f>
        <v>18.781240921456543</v>
      </c>
      <c r="N285" s="194">
        <f t="shared" si="46"/>
        <v>0.012672594590602958</v>
      </c>
      <c r="O285" s="196">
        <f>SUM(O283:O284)</f>
        <v>1</v>
      </c>
      <c r="P285" s="128"/>
    </row>
    <row r="286" spans="2:16" ht="18" customHeight="1" thickBot="1">
      <c r="B286" s="129"/>
      <c r="C286" s="139"/>
      <c r="D286" s="139"/>
      <c r="E286" s="139"/>
      <c r="F286" s="140"/>
      <c r="G286" s="141"/>
      <c r="H286" s="142"/>
      <c r="I286" s="143"/>
      <c r="J286" s="141"/>
      <c r="K286" s="144"/>
      <c r="L286" s="143"/>
      <c r="M286" s="148"/>
      <c r="N286" s="146"/>
      <c r="O286" s="147"/>
      <c r="P286" s="130"/>
    </row>
    <row r="287" ht="18" customHeight="1" thickBot="1"/>
    <row r="288" spans="2:16" ht="18" customHeight="1">
      <c r="B288" s="135"/>
      <c r="C288" s="536"/>
      <c r="D288" s="536"/>
      <c r="E288" s="536"/>
      <c r="F288" s="536"/>
      <c r="G288" s="536"/>
      <c r="H288" s="536"/>
      <c r="I288" s="536"/>
      <c r="J288" s="536"/>
      <c r="K288" s="536"/>
      <c r="L288" s="536"/>
      <c r="M288" s="536"/>
      <c r="N288" s="536"/>
      <c r="O288" s="536"/>
      <c r="P288" s="127"/>
    </row>
    <row r="289" spans="2:16" ht="23.25">
      <c r="B289" s="133"/>
      <c r="C289" s="538" t="s">
        <v>136</v>
      </c>
      <c r="D289" s="538"/>
      <c r="E289" s="538"/>
      <c r="F289" s="538"/>
      <c r="G289" s="538"/>
      <c r="H289" s="538"/>
      <c r="I289" s="538"/>
      <c r="J289" s="538"/>
      <c r="K289" s="538"/>
      <c r="L289" s="538"/>
      <c r="M289" s="538"/>
      <c r="N289" s="538"/>
      <c r="O289" s="538"/>
      <c r="P289" s="128"/>
    </row>
    <row r="290" spans="2:16" ht="18" customHeight="1" thickBot="1">
      <c r="B290" s="133"/>
      <c r="C290" s="541"/>
      <c r="D290" s="541"/>
      <c r="E290" s="541"/>
      <c r="F290" s="541"/>
      <c r="G290" s="541"/>
      <c r="H290" s="541"/>
      <c r="I290" s="541"/>
      <c r="J290" s="541"/>
      <c r="K290" s="541"/>
      <c r="L290" s="541"/>
      <c r="M290" s="541"/>
      <c r="N290" s="541"/>
      <c r="O290" s="541"/>
      <c r="P290" s="128"/>
    </row>
    <row r="291" spans="2:16" ht="18" customHeight="1" thickBot="1">
      <c r="B291" s="133"/>
      <c r="C291" s="134"/>
      <c r="D291" s="134"/>
      <c r="E291" s="31"/>
      <c r="F291" s="37"/>
      <c r="G291" s="529" t="str">
        <f>$G$10</f>
        <v>2010 BILL</v>
      </c>
      <c r="H291" s="530"/>
      <c r="I291" s="531"/>
      <c r="J291" s="529" t="str">
        <f>$J$10</f>
        <v>2011 BILL</v>
      </c>
      <c r="K291" s="530"/>
      <c r="L291" s="531"/>
      <c r="M291" s="529" t="s">
        <v>72</v>
      </c>
      <c r="N291" s="530"/>
      <c r="O291" s="531"/>
      <c r="P291" s="128"/>
    </row>
    <row r="292" spans="2:16" ht="26.25" thickBot="1">
      <c r="B292" s="133"/>
      <c r="C292" s="31"/>
      <c r="D292" s="31"/>
      <c r="E292" s="33"/>
      <c r="F292" s="38"/>
      <c r="G292" s="348" t="s">
        <v>66</v>
      </c>
      <c r="H292" s="339" t="s">
        <v>67</v>
      </c>
      <c r="I292" s="340" t="s">
        <v>68</v>
      </c>
      <c r="J292" s="349" t="s">
        <v>66</v>
      </c>
      <c r="K292" s="339" t="s">
        <v>67</v>
      </c>
      <c r="L292" s="340" t="s">
        <v>68</v>
      </c>
      <c r="M292" s="350" t="s">
        <v>79</v>
      </c>
      <c r="N292" s="351" t="s">
        <v>80</v>
      </c>
      <c r="O292" s="352" t="s">
        <v>75</v>
      </c>
      <c r="P292" s="128"/>
    </row>
    <row r="293" spans="2:16" ht="18" customHeight="1" thickBot="1">
      <c r="B293" s="133"/>
      <c r="C293" s="532" t="s">
        <v>69</v>
      </c>
      <c r="D293" s="533"/>
      <c r="E293" s="31"/>
      <c r="F293" s="155" t="s">
        <v>70</v>
      </c>
      <c r="G293" s="165"/>
      <c r="H293" s="166"/>
      <c r="I293" s="167">
        <f>'2010 Existing Rates'!$C$9</f>
        <v>25.77</v>
      </c>
      <c r="J293" s="165"/>
      <c r="K293" s="166"/>
      <c r="L293" s="170">
        <f>'Rate Schedule (Part 1)'!$E$21</f>
        <v>39.79</v>
      </c>
      <c r="M293" s="175">
        <f aca="true" t="shared" si="47" ref="M293:M299">+L293-I293</f>
        <v>14.02</v>
      </c>
      <c r="N293" s="176">
        <f aca="true" t="shared" si="48" ref="N293:N304">+M293/I293</f>
        <v>0.5440434613892122</v>
      </c>
      <c r="O293" s="177">
        <f>L293/L311</f>
        <v>0.022194407082146022</v>
      </c>
      <c r="P293" s="128"/>
    </row>
    <row r="294" spans="2:16" ht="18" customHeight="1" thickBot="1">
      <c r="B294" s="133"/>
      <c r="C294" s="346">
        <v>15000</v>
      </c>
      <c r="D294" s="347" t="s">
        <v>16</v>
      </c>
      <c r="E294" s="31"/>
      <c r="F294" s="156" t="s">
        <v>71</v>
      </c>
      <c r="G294" s="159">
        <f>+C294</f>
        <v>15000</v>
      </c>
      <c r="H294" s="153">
        <f>'2010 Existing Rates'!$E$9</f>
        <v>0.004</v>
      </c>
      <c r="I294" s="168">
        <f>+G294*H294</f>
        <v>60</v>
      </c>
      <c r="J294" s="159">
        <f>+C294</f>
        <v>15000</v>
      </c>
      <c r="K294" s="152">
        <f>'Rate Schedule (Part 1)'!$E$22</f>
        <v>0.0062</v>
      </c>
      <c r="L294" s="171">
        <f>+J294*K294</f>
        <v>93</v>
      </c>
      <c r="M294" s="178">
        <f t="shared" si="47"/>
        <v>33</v>
      </c>
      <c r="N294" s="172">
        <f t="shared" si="48"/>
        <v>0.55</v>
      </c>
      <c r="O294" s="179">
        <f>L294/L311</f>
        <v>0.05187433673384217</v>
      </c>
      <c r="P294" s="128"/>
    </row>
    <row r="295" spans="2:16" ht="18" customHeight="1" hidden="1">
      <c r="B295" s="133"/>
      <c r="C295" s="63"/>
      <c r="D295" s="64"/>
      <c r="E295" s="31"/>
      <c r="P295" s="128"/>
    </row>
    <row r="296" spans="2:16" ht="18" customHeight="1">
      <c r="B296" s="25"/>
      <c r="C296" s="63"/>
      <c r="D296" s="64"/>
      <c r="E296" s="31"/>
      <c r="F296" s="156" t="s">
        <v>277</v>
      </c>
      <c r="G296" s="174"/>
      <c r="H296" s="153">
        <v>1</v>
      </c>
      <c r="I296" s="168">
        <v>1</v>
      </c>
      <c r="J296" s="174"/>
      <c r="K296" s="152">
        <f>'[9]8. Smart Meter Rate  Adder'!$C$20</f>
        <v>0.0898917624704141</v>
      </c>
      <c r="L296" s="171">
        <f>K296</f>
        <v>0.0898917624704141</v>
      </c>
      <c r="M296" s="178">
        <f t="shared" si="47"/>
        <v>-0.9101082375295859</v>
      </c>
      <c r="N296" s="172">
        <f>+M296/I296</f>
        <v>-0.9101082375295859</v>
      </c>
      <c r="O296" s="179">
        <f>L296/L311</f>
        <v>5.0140597376223837E-05</v>
      </c>
      <c r="P296" s="128"/>
    </row>
    <row r="297" spans="1:16" ht="18" customHeight="1">
      <c r="A297" s="128"/>
      <c r="B297" s="25"/>
      <c r="C297" s="63"/>
      <c r="D297" s="64"/>
      <c r="E297" s="31"/>
      <c r="F297" s="156" t="s">
        <v>169</v>
      </c>
      <c r="G297" s="174"/>
      <c r="H297" s="173"/>
      <c r="I297" s="168">
        <v>0</v>
      </c>
      <c r="J297" s="174"/>
      <c r="K297" s="173"/>
      <c r="L297" s="171">
        <f>'[7]Recovery of Smart Meter Costs'!$C$21</f>
        <v>2.0941673818332727</v>
      </c>
      <c r="M297" s="178">
        <f t="shared" si="47"/>
        <v>2.0941673818332727</v>
      </c>
      <c r="N297" s="172">
        <v>1</v>
      </c>
      <c r="O297" s="179">
        <f>L297/L311</f>
        <v>0.0011681026230349228</v>
      </c>
      <c r="P297" s="128"/>
    </row>
    <row r="298" spans="1:16" ht="18" customHeight="1" hidden="1">
      <c r="A298" s="128"/>
      <c r="B298" s="25"/>
      <c r="C298" s="31"/>
      <c r="D298" s="31"/>
      <c r="E298" s="31"/>
      <c r="P298" s="128"/>
    </row>
    <row r="299" spans="1:16" ht="18" customHeight="1" thickBot="1">
      <c r="A299" s="128"/>
      <c r="B299" s="25"/>
      <c r="C299" s="31"/>
      <c r="D299" s="31"/>
      <c r="E299" s="31"/>
      <c r="F299" s="157" t="s">
        <v>240</v>
      </c>
      <c r="G299" s="180">
        <f>+C294</f>
        <v>15000</v>
      </c>
      <c r="H299" s="181">
        <f>'2010 Existing Rates'!$B$20</f>
        <v>0</v>
      </c>
      <c r="I299" s="164">
        <f>+G299*H299</f>
        <v>0</v>
      </c>
      <c r="J299" s="180">
        <f>+C294</f>
        <v>15000</v>
      </c>
      <c r="K299" s="181">
        <f>'Rate Schedule (Part 1)'!$E$27</f>
        <v>-0.0015721359195805518</v>
      </c>
      <c r="L299" s="182">
        <f>+J299*K299</f>
        <v>-23.58203879370828</v>
      </c>
      <c r="M299" s="178">
        <f t="shared" si="47"/>
        <v>-23.58203879370828</v>
      </c>
      <c r="N299" s="172">
        <v>-1</v>
      </c>
      <c r="O299" s="179">
        <f>L299/L311</f>
        <v>-0.013153791626401639</v>
      </c>
      <c r="P299" s="308"/>
    </row>
    <row r="300" spans="1:16" ht="18" customHeight="1" thickBot="1">
      <c r="A300" s="128"/>
      <c r="F300" s="189" t="s">
        <v>242</v>
      </c>
      <c r="G300" s="534"/>
      <c r="H300" s="535"/>
      <c r="I300" s="191">
        <f>SUM(I293:I299)</f>
        <v>86.77</v>
      </c>
      <c r="J300" s="534"/>
      <c r="K300" s="535"/>
      <c r="L300" s="191">
        <f>SUM(L293:L299)</f>
        <v>111.3920203505954</v>
      </c>
      <c r="M300" s="193">
        <f>SUM(M293:M299)</f>
        <v>24.622020350595406</v>
      </c>
      <c r="N300" s="194">
        <f t="shared" si="48"/>
        <v>0.28376190331445666</v>
      </c>
      <c r="O300" s="196">
        <f>L300/L311</f>
        <v>0.0621331954099977</v>
      </c>
      <c r="P300" s="308"/>
    </row>
    <row r="301" spans="1:16" ht="18" customHeight="1" thickBot="1">
      <c r="A301" s="128"/>
      <c r="F301" s="156" t="s">
        <v>243</v>
      </c>
      <c r="G301" s="295">
        <f>C294*'Other Electriciy Rates'!$L$11</f>
        <v>15644.999999999998</v>
      </c>
      <c r="H301" s="296">
        <f>'Other Electriciy Rates'!$B$11</f>
        <v>0.0066</v>
      </c>
      <c r="I301" s="168">
        <f>+G301*H301</f>
        <v>103.25699999999999</v>
      </c>
      <c r="J301" s="295">
        <f>'BILL IMPACTS'!C294*'Other Electriciy Rates'!$L$25</f>
        <v>15644.999999999998</v>
      </c>
      <c r="K301" s="296">
        <f>'Other Electriciy Rates'!$B$25</f>
        <v>0.006087494307772416</v>
      </c>
      <c r="L301" s="168">
        <f>+J301*K301</f>
        <v>95.23884844509944</v>
      </c>
      <c r="M301" s="297">
        <f>+L301-I301</f>
        <v>-8.018151554900555</v>
      </c>
      <c r="N301" s="176">
        <f t="shared" si="48"/>
        <v>-0.07765237761024005</v>
      </c>
      <c r="O301" s="177">
        <f>L301/L311</f>
        <v>0.05312314079983278</v>
      </c>
      <c r="P301" s="308"/>
    </row>
    <row r="302" spans="1:16" ht="18" customHeight="1" thickBot="1">
      <c r="A302" s="128"/>
      <c r="F302" s="189" t="s">
        <v>244</v>
      </c>
      <c r="G302" s="534"/>
      <c r="H302" s="535"/>
      <c r="I302" s="191">
        <f>I300+I301</f>
        <v>190.027</v>
      </c>
      <c r="J302" s="534"/>
      <c r="K302" s="535"/>
      <c r="L302" s="191">
        <f>L300+L301</f>
        <v>206.63086879569482</v>
      </c>
      <c r="M302" s="193">
        <f>M300+M301</f>
        <v>16.60386879569485</v>
      </c>
      <c r="N302" s="194">
        <f t="shared" si="48"/>
        <v>0.0873763664936817</v>
      </c>
      <c r="O302" s="298">
        <f>L302/L311</f>
        <v>0.11525633620983047</v>
      </c>
      <c r="P302" s="308"/>
    </row>
    <row r="303" spans="1:16" ht="18" customHeight="1">
      <c r="A303" s="128"/>
      <c r="F303" s="158" t="s">
        <v>284</v>
      </c>
      <c r="G303" s="160">
        <f>+'Other Electriciy Rates'!$L$10*C294</f>
        <v>15644.999999999998</v>
      </c>
      <c r="H303" s="161">
        <f>'Other Electriciy Rates'!$C$11</f>
        <v>0.0065</v>
      </c>
      <c r="I303" s="162">
        <f aca="true" t="shared" si="49" ref="I303:I308">+G303*H303</f>
        <v>101.69249999999998</v>
      </c>
      <c r="J303" s="160">
        <f>J301</f>
        <v>15644.999999999998</v>
      </c>
      <c r="K303" s="161">
        <f>'Other Electriciy Rates'!$C$25</f>
        <v>0.0065</v>
      </c>
      <c r="L303" s="185">
        <f>+J303*K303</f>
        <v>101.69249999999998</v>
      </c>
      <c r="M303" s="186">
        <f aca="true" t="shared" si="50" ref="M303:M308">+L303-I303</f>
        <v>0</v>
      </c>
      <c r="N303" s="187">
        <f t="shared" si="48"/>
        <v>0</v>
      </c>
      <c r="O303" s="177">
        <f>L303/L311</f>
        <v>0.05672291385275531</v>
      </c>
      <c r="P303" s="308"/>
    </row>
    <row r="304" spans="1:16" ht="18" customHeight="1">
      <c r="A304" s="128"/>
      <c r="F304" s="158" t="s">
        <v>285</v>
      </c>
      <c r="G304" s="160">
        <v>15000</v>
      </c>
      <c r="H304" s="161">
        <f>+'Other Electriciy Rates'!$D$10</f>
        <v>0.007</v>
      </c>
      <c r="I304" s="162">
        <f t="shared" si="49"/>
        <v>105</v>
      </c>
      <c r="J304" s="160">
        <v>15000</v>
      </c>
      <c r="K304" s="161">
        <f>+'Other Electriciy Rates'!$D$10</f>
        <v>0.007</v>
      </c>
      <c r="L304" s="162">
        <f>+J304*K304</f>
        <v>105</v>
      </c>
      <c r="M304" s="186">
        <f t="shared" si="50"/>
        <v>0</v>
      </c>
      <c r="N304" s="187">
        <f t="shared" si="48"/>
        <v>0</v>
      </c>
      <c r="O304" s="465">
        <f>L304/L311</f>
        <v>0.0585677995382089</v>
      </c>
      <c r="P304" s="308"/>
    </row>
    <row r="305" spans="1:16" ht="18" customHeight="1">
      <c r="A305" s="128"/>
      <c r="F305" s="156" t="s">
        <v>267</v>
      </c>
      <c r="G305" s="159">
        <f>G294</f>
        <v>15000</v>
      </c>
      <c r="H305" s="153">
        <f>'2010 Existing Rates'!$B$31</f>
        <v>0</v>
      </c>
      <c r="I305" s="168">
        <f t="shared" si="49"/>
        <v>0</v>
      </c>
      <c r="J305" s="174"/>
      <c r="K305" s="152">
        <v>0.25</v>
      </c>
      <c r="L305" s="171">
        <v>0.25</v>
      </c>
      <c r="M305" s="178">
        <f t="shared" si="50"/>
        <v>0.25</v>
      </c>
      <c r="N305" s="172">
        <v>1</v>
      </c>
      <c r="O305" s="179">
        <f>L305/L311</f>
        <v>0.00013944714175764025</v>
      </c>
      <c r="P305" s="308"/>
    </row>
    <row r="306" spans="1:16" ht="18" customHeight="1">
      <c r="A306" s="128"/>
      <c r="F306" s="156" t="s">
        <v>275</v>
      </c>
      <c r="G306" s="159">
        <f>C294</f>
        <v>15000</v>
      </c>
      <c r="H306" s="153">
        <v>0.000373</v>
      </c>
      <c r="I306" s="168">
        <f t="shared" si="49"/>
        <v>5.595000000000001</v>
      </c>
      <c r="J306" s="159">
        <f>C294</f>
        <v>15000</v>
      </c>
      <c r="K306" s="153">
        <v>0.000373</v>
      </c>
      <c r="L306" s="171">
        <f>J306*K306</f>
        <v>5.595000000000001</v>
      </c>
      <c r="M306" s="178">
        <f t="shared" si="50"/>
        <v>0</v>
      </c>
      <c r="N306" s="172">
        <f aca="true" t="shared" si="51" ref="N306:N311">+M306/I306</f>
        <v>0</v>
      </c>
      <c r="O306" s="179">
        <f>L306/L311</f>
        <v>0.003120827032535989</v>
      </c>
      <c r="P306" s="308"/>
    </row>
    <row r="307" spans="1:16" ht="18" customHeight="1">
      <c r="A307" s="128"/>
      <c r="B307" s="25"/>
      <c r="C307" s="31"/>
      <c r="D307" s="31"/>
      <c r="E307" s="31"/>
      <c r="F307" s="154" t="s">
        <v>77</v>
      </c>
      <c r="G307" s="160">
        <v>600</v>
      </c>
      <c r="H307" s="161">
        <f>'Other Electriciy Rates'!$J$11</f>
        <v>0.065</v>
      </c>
      <c r="I307" s="162">
        <f t="shared" si="49"/>
        <v>39</v>
      </c>
      <c r="J307" s="160">
        <v>600</v>
      </c>
      <c r="K307" s="161">
        <f>'Other Electriciy Rates'!$J$25</f>
        <v>0.065</v>
      </c>
      <c r="L307" s="185">
        <f>+J307*K307</f>
        <v>39</v>
      </c>
      <c r="M307" s="186">
        <f t="shared" si="50"/>
        <v>0</v>
      </c>
      <c r="N307" s="187">
        <f t="shared" si="51"/>
        <v>0</v>
      </c>
      <c r="O307" s="188">
        <f>L307/L311</f>
        <v>0.02175375411419188</v>
      </c>
      <c r="P307" s="308"/>
    </row>
    <row r="308" spans="2:16" ht="18" customHeight="1" thickBot="1">
      <c r="B308" s="133"/>
      <c r="C308" s="31"/>
      <c r="D308" s="31"/>
      <c r="E308" s="31"/>
      <c r="F308" s="154" t="s">
        <v>77</v>
      </c>
      <c r="G308" s="160">
        <f>G303-G307</f>
        <v>15044.999999999998</v>
      </c>
      <c r="H308" s="161">
        <f>'Other Electriciy Rates'!$K$11</f>
        <v>0.075</v>
      </c>
      <c r="I308" s="162">
        <f t="shared" si="49"/>
        <v>1128.3749999999998</v>
      </c>
      <c r="J308" s="160">
        <f>J303-J307</f>
        <v>15044.999999999998</v>
      </c>
      <c r="K308" s="161">
        <f>'Other Electriciy Rates'!$K$25</f>
        <v>0.075</v>
      </c>
      <c r="L308" s="185">
        <f>+J308*K308</f>
        <v>1128.3749999999998</v>
      </c>
      <c r="M308" s="186">
        <f t="shared" si="50"/>
        <v>0</v>
      </c>
      <c r="N308" s="187">
        <f t="shared" si="51"/>
        <v>0</v>
      </c>
      <c r="O308" s="188">
        <f>L308/L311</f>
        <v>0.6293946743231091</v>
      </c>
      <c r="P308" s="128"/>
    </row>
    <row r="309" spans="2:16" ht="18" customHeight="1" thickBot="1">
      <c r="B309" s="133"/>
      <c r="C309" s="31"/>
      <c r="D309" s="31"/>
      <c r="E309" s="31"/>
      <c r="F309" s="189" t="s">
        <v>194</v>
      </c>
      <c r="G309" s="534"/>
      <c r="H309" s="535"/>
      <c r="I309" s="191">
        <f>SUM(I302:I308)</f>
        <v>1569.6894999999997</v>
      </c>
      <c r="J309" s="534"/>
      <c r="K309" s="535"/>
      <c r="L309" s="191">
        <f>SUM(L302:L308)</f>
        <v>1586.5433687956947</v>
      </c>
      <c r="M309" s="191">
        <f>SUM(M302:M308)</f>
        <v>16.85386879569485</v>
      </c>
      <c r="N309" s="194">
        <f t="shared" si="51"/>
        <v>0.010737071755716563</v>
      </c>
      <c r="O309" s="196">
        <f>L309/L311</f>
        <v>0.8849557522123894</v>
      </c>
      <c r="P309" s="128"/>
    </row>
    <row r="310" spans="2:16" ht="18" customHeight="1" thickBot="1">
      <c r="B310" s="133"/>
      <c r="C310" s="31"/>
      <c r="D310" s="31"/>
      <c r="E310" s="31"/>
      <c r="F310" s="240" t="s">
        <v>274</v>
      </c>
      <c r="G310" s="241"/>
      <c r="H310" s="244">
        <v>0.13</v>
      </c>
      <c r="I310" s="242">
        <f>I309*H310</f>
        <v>204.05963499999996</v>
      </c>
      <c r="J310" s="241"/>
      <c r="K310" s="244">
        <v>0.13</v>
      </c>
      <c r="L310" s="243">
        <f>L309*K310</f>
        <v>206.25063794344032</v>
      </c>
      <c r="M310" s="183">
        <f>+L310-I310</f>
        <v>2.191002943440367</v>
      </c>
      <c r="N310" s="184">
        <f t="shared" si="51"/>
        <v>0.01073707175571674</v>
      </c>
      <c r="O310" s="469">
        <f>L310/L311</f>
        <v>0.11504424778761062</v>
      </c>
      <c r="P310" s="128"/>
    </row>
    <row r="311" spans="2:16" ht="18" customHeight="1" thickBot="1">
      <c r="B311" s="133"/>
      <c r="C311" s="31"/>
      <c r="D311" s="31"/>
      <c r="E311" s="35"/>
      <c r="F311" s="190" t="s">
        <v>78</v>
      </c>
      <c r="G311" s="547"/>
      <c r="H311" s="548"/>
      <c r="I311" s="192">
        <f>I309+I310</f>
        <v>1773.7491349999996</v>
      </c>
      <c r="J311" s="547"/>
      <c r="K311" s="548"/>
      <c r="L311" s="192">
        <f>L309+L310</f>
        <v>1792.794006739135</v>
      </c>
      <c r="M311" s="309">
        <f>M309+M310</f>
        <v>19.044871739135218</v>
      </c>
      <c r="N311" s="194">
        <f t="shared" si="51"/>
        <v>0.010737071755716584</v>
      </c>
      <c r="O311" s="196">
        <f>SUM(O309:O310)</f>
        <v>1</v>
      </c>
      <c r="P311" s="128"/>
    </row>
    <row r="312" spans="2:16" ht="18" customHeight="1" thickBot="1">
      <c r="B312" s="129"/>
      <c r="C312" s="139"/>
      <c r="D312" s="139"/>
      <c r="E312" s="139"/>
      <c r="F312" s="140"/>
      <c r="G312" s="141"/>
      <c r="H312" s="142"/>
      <c r="I312" s="143"/>
      <c r="J312" s="141"/>
      <c r="K312" s="144"/>
      <c r="L312" s="143"/>
      <c r="M312" s="148"/>
      <c r="N312" s="146"/>
      <c r="O312" s="147"/>
      <c r="P312" s="130"/>
    </row>
    <row r="313" ht="18" customHeight="1"/>
    <row r="314" ht="6.75" customHeight="1"/>
    <row r="315" ht="6.75" customHeight="1" thickBot="1"/>
    <row r="316" spans="2:16" ht="17.25" customHeight="1">
      <c r="B316" s="135"/>
      <c r="C316" s="536"/>
      <c r="D316" s="536"/>
      <c r="E316" s="536"/>
      <c r="F316" s="536"/>
      <c r="G316" s="536"/>
      <c r="H316" s="536"/>
      <c r="I316" s="536"/>
      <c r="J316" s="536"/>
      <c r="K316" s="536"/>
      <c r="L316" s="536"/>
      <c r="M316" s="536"/>
      <c r="N316" s="536"/>
      <c r="O316" s="536"/>
      <c r="P316" s="127"/>
    </row>
    <row r="317" spans="2:16" ht="23.25">
      <c r="B317" s="133"/>
      <c r="C317" s="538" t="s">
        <v>90</v>
      </c>
      <c r="D317" s="538"/>
      <c r="E317" s="538"/>
      <c r="F317" s="538"/>
      <c r="G317" s="538"/>
      <c r="H317" s="538"/>
      <c r="I317" s="538"/>
      <c r="J317" s="538"/>
      <c r="K317" s="538"/>
      <c r="L317" s="538"/>
      <c r="M317" s="538"/>
      <c r="N317" s="538"/>
      <c r="O317" s="538"/>
      <c r="P317" s="128"/>
    </row>
    <row r="318" spans="2:16" ht="17.25" customHeight="1" thickBot="1">
      <c r="B318" s="133"/>
      <c r="C318" s="541"/>
      <c r="D318" s="541"/>
      <c r="E318" s="541"/>
      <c r="F318" s="541"/>
      <c r="G318" s="541"/>
      <c r="H318" s="541"/>
      <c r="I318" s="541"/>
      <c r="J318" s="541"/>
      <c r="K318" s="541"/>
      <c r="L318" s="541"/>
      <c r="M318" s="541"/>
      <c r="N318" s="541"/>
      <c r="O318" s="541"/>
      <c r="P318" s="128"/>
    </row>
    <row r="319" spans="2:16" ht="17.25" customHeight="1" thickBot="1">
      <c r="B319" s="133"/>
      <c r="C319" s="134"/>
      <c r="D319" s="134"/>
      <c r="E319" s="31"/>
      <c r="F319" s="32"/>
      <c r="G319" s="529" t="str">
        <f>$G$10</f>
        <v>2010 BILL</v>
      </c>
      <c r="H319" s="530"/>
      <c r="I319" s="531"/>
      <c r="J319" s="529" t="str">
        <f>$J$10</f>
        <v>2011 BILL</v>
      </c>
      <c r="K319" s="530"/>
      <c r="L319" s="531"/>
      <c r="M319" s="529" t="s">
        <v>72</v>
      </c>
      <c r="N319" s="530"/>
      <c r="O319" s="531"/>
      <c r="P319" s="128"/>
    </row>
    <row r="320" spans="2:16" ht="25.5" customHeight="1" thickBot="1">
      <c r="B320" s="133"/>
      <c r="C320" s="31"/>
      <c r="D320" s="31"/>
      <c r="E320" s="33"/>
      <c r="F320" s="34"/>
      <c r="G320" s="353" t="s">
        <v>66</v>
      </c>
      <c r="H320" s="354" t="s">
        <v>67</v>
      </c>
      <c r="I320" s="355" t="s">
        <v>68</v>
      </c>
      <c r="J320" s="356" t="s">
        <v>66</v>
      </c>
      <c r="K320" s="354" t="s">
        <v>67</v>
      </c>
      <c r="L320" s="355" t="s">
        <v>68</v>
      </c>
      <c r="M320" s="350" t="s">
        <v>73</v>
      </c>
      <c r="N320" s="351" t="s">
        <v>74</v>
      </c>
      <c r="O320" s="352" t="s">
        <v>75</v>
      </c>
      <c r="P320" s="128"/>
    </row>
    <row r="321" spans="2:17" ht="17.25" customHeight="1" thickBot="1">
      <c r="B321" s="133"/>
      <c r="C321" s="532" t="s">
        <v>69</v>
      </c>
      <c r="D321" s="533"/>
      <c r="E321" s="31"/>
      <c r="F321" s="319" t="s">
        <v>70</v>
      </c>
      <c r="G321" s="174"/>
      <c r="H321" s="174"/>
      <c r="I321" s="162">
        <f>+'2010 Existing Rates'!$C$10</f>
        <v>372.26</v>
      </c>
      <c r="J321" s="174"/>
      <c r="K321" s="174"/>
      <c r="L321" s="185">
        <f>+'Distribution Rate Schedule'!$C$33</f>
        <v>528.38</v>
      </c>
      <c r="M321" s="186">
        <f aca="true" t="shared" si="52" ref="M321:M327">+L321-I321</f>
        <v>156.12</v>
      </c>
      <c r="N321" s="187">
        <f aca="true" t="shared" si="53" ref="N321:N332">+M321/I321</f>
        <v>0.419384301294794</v>
      </c>
      <c r="O321" s="179">
        <f>L321/L338</f>
        <v>0.1397480197122369</v>
      </c>
      <c r="P321" s="308"/>
      <c r="Q321" s="25"/>
    </row>
    <row r="322" spans="2:16" ht="17.25" customHeight="1" thickBot="1">
      <c r="B322" s="133"/>
      <c r="C322" s="346">
        <v>30000</v>
      </c>
      <c r="D322" s="347" t="s">
        <v>16</v>
      </c>
      <c r="E322" s="31"/>
      <c r="F322" s="320" t="s">
        <v>81</v>
      </c>
      <c r="G322" s="318">
        <f>+C323</f>
        <v>100</v>
      </c>
      <c r="H322" s="153">
        <f>'2010 Existing Rates'!$D$55</f>
        <v>1.2372</v>
      </c>
      <c r="I322" s="168">
        <f>+G322*H322</f>
        <v>123.72000000000001</v>
      </c>
      <c r="J322" s="159">
        <f>G322</f>
        <v>100</v>
      </c>
      <c r="K322" s="152">
        <f>'Rate Schedule (Part 1)'!$E$31</f>
        <v>1.6794</v>
      </c>
      <c r="L322" s="171">
        <f>+J322*K322</f>
        <v>167.94</v>
      </c>
      <c r="M322" s="186">
        <f t="shared" si="52"/>
        <v>44.219999999999985</v>
      </c>
      <c r="N322" s="187">
        <f t="shared" si="53"/>
        <v>0.35741998060135777</v>
      </c>
      <c r="O322" s="179">
        <f>L322/L338</f>
        <v>0.04441743145174508</v>
      </c>
      <c r="P322" s="128"/>
    </row>
    <row r="323" spans="2:16" ht="17.25" customHeight="1" thickBot="1">
      <c r="B323" s="133"/>
      <c r="C323" s="346">
        <v>100</v>
      </c>
      <c r="D323" s="347" t="s">
        <v>17</v>
      </c>
      <c r="E323" s="31"/>
      <c r="F323" s="173"/>
      <c r="G323" s="173"/>
      <c r="H323" s="173"/>
      <c r="I323" s="173"/>
      <c r="J323" s="173"/>
      <c r="K323" s="173"/>
      <c r="L323" s="173"/>
      <c r="M323" s="173"/>
      <c r="N323" s="173"/>
      <c r="O323" s="173"/>
      <c r="P323" s="128"/>
    </row>
    <row r="324" spans="2:16" ht="17.25" customHeight="1">
      <c r="B324" s="133"/>
      <c r="C324" s="459"/>
      <c r="D324" s="460"/>
      <c r="E324" s="31"/>
      <c r="F324" s="156" t="s">
        <v>277</v>
      </c>
      <c r="G324" s="174"/>
      <c r="H324" s="153">
        <v>1</v>
      </c>
      <c r="I324" s="168">
        <v>1</v>
      </c>
      <c r="J324" s="174"/>
      <c r="K324" s="152">
        <f>'[9]8. Smart Meter Rate  Adder'!$C$20</f>
        <v>0.0898917624704141</v>
      </c>
      <c r="L324" s="171">
        <f>K324</f>
        <v>0.0898917624704141</v>
      </c>
      <c r="M324" s="178">
        <f t="shared" si="52"/>
        <v>-0.9101082375295859</v>
      </c>
      <c r="N324" s="172">
        <f>+M324/I324</f>
        <v>-0.9101082375295859</v>
      </c>
      <c r="O324" s="179">
        <f>L324/L338</f>
        <v>2.37749267453029E-05</v>
      </c>
      <c r="P324" s="128"/>
    </row>
    <row r="325" spans="2:16" ht="17.25" customHeight="1">
      <c r="B325" s="133"/>
      <c r="C325" s="63"/>
      <c r="D325" s="64"/>
      <c r="E325" s="31"/>
      <c r="F325" s="156" t="s">
        <v>169</v>
      </c>
      <c r="G325" s="174"/>
      <c r="H325" s="173"/>
      <c r="I325" s="168">
        <v>0</v>
      </c>
      <c r="J325" s="174"/>
      <c r="K325" s="173"/>
      <c r="L325" s="171">
        <f>'[7]Recovery of Smart Meter Costs'!$C$21</f>
        <v>2.0941673818332727</v>
      </c>
      <c r="M325" s="186">
        <f t="shared" si="52"/>
        <v>2.0941673818332727</v>
      </c>
      <c r="N325" s="172">
        <v>1</v>
      </c>
      <c r="O325" s="179">
        <f>L325/L338</f>
        <v>0.0005538736223118962</v>
      </c>
      <c r="P325" s="128"/>
    </row>
    <row r="326" spans="2:16" ht="17.25" customHeight="1" hidden="1">
      <c r="B326" s="133"/>
      <c r="C326" s="63"/>
      <c r="D326" s="64"/>
      <c r="E326" s="31"/>
      <c r="P326" s="128"/>
    </row>
    <row r="327" spans="2:16" ht="17.25" customHeight="1" thickBot="1">
      <c r="B327" s="133"/>
      <c r="C327" s="31"/>
      <c r="D327" s="31"/>
      <c r="E327" s="31"/>
      <c r="F327" s="157" t="s">
        <v>247</v>
      </c>
      <c r="G327" s="159">
        <f>+C323</f>
        <v>100</v>
      </c>
      <c r="H327" s="153">
        <f>'2010 Existing Rates'!$D$21</f>
        <v>0</v>
      </c>
      <c r="I327" s="168">
        <f>+G327*H327</f>
        <v>0</v>
      </c>
      <c r="J327" s="159">
        <f>+C323</f>
        <v>100</v>
      </c>
      <c r="K327" s="152">
        <f>'Rate Schedule (Part 1)'!$E$36</f>
        <v>-0.6117197240049442</v>
      </c>
      <c r="L327" s="171">
        <f>+J327*K327</f>
        <v>-61.171972400494425</v>
      </c>
      <c r="M327" s="186">
        <f t="shared" si="52"/>
        <v>-61.171972400494425</v>
      </c>
      <c r="N327" s="172">
        <v>-1</v>
      </c>
      <c r="O327" s="179">
        <f>L327/L338</f>
        <v>-0.01617900375650234</v>
      </c>
      <c r="P327" s="128"/>
    </row>
    <row r="328" spans="2:16" ht="17.25" customHeight="1" thickBot="1">
      <c r="B328" s="133"/>
      <c r="C328" s="31"/>
      <c r="D328" s="31"/>
      <c r="E328" s="31"/>
      <c r="F328" s="189" t="s">
        <v>242</v>
      </c>
      <c r="G328" s="534"/>
      <c r="H328" s="535"/>
      <c r="I328" s="191">
        <f>SUM(I321:I327)</f>
        <v>496.98</v>
      </c>
      <c r="J328" s="534"/>
      <c r="K328" s="535"/>
      <c r="L328" s="191">
        <f>SUM(L321:L327)</f>
        <v>637.3320867438092</v>
      </c>
      <c r="M328" s="193">
        <f>SUM(M321:M327)</f>
        <v>140.35208674380925</v>
      </c>
      <c r="N328" s="194">
        <f t="shared" si="53"/>
        <v>0.28240992946156634</v>
      </c>
      <c r="O328" s="196">
        <f>SUM(O321:O327)</f>
        <v>0.16856409595653685</v>
      </c>
      <c r="P328" s="128"/>
    </row>
    <row r="329" spans="2:16" ht="17.25" customHeight="1" thickBot="1">
      <c r="B329" s="133"/>
      <c r="C329" s="31"/>
      <c r="D329" s="31"/>
      <c r="E329" s="31"/>
      <c r="F329" s="156" t="s">
        <v>248</v>
      </c>
      <c r="G329" s="295">
        <f>C323</f>
        <v>100</v>
      </c>
      <c r="H329" s="296">
        <f>'Other Electriciy Rates'!$F$12</f>
        <v>2.7103</v>
      </c>
      <c r="I329" s="168">
        <f>+G329*H329</f>
        <v>271.03000000000003</v>
      </c>
      <c r="J329" s="295">
        <f>C323</f>
        <v>100</v>
      </c>
      <c r="K329" s="296">
        <f>'Other Electriciy Rates'!$F$26</f>
        <v>2.4996462231388983</v>
      </c>
      <c r="L329" s="168">
        <f>+J329*K329</f>
        <v>249.96462231388983</v>
      </c>
      <c r="M329" s="297">
        <f>+L329-I329</f>
        <v>-21.065377686110196</v>
      </c>
      <c r="N329" s="176">
        <f t="shared" si="53"/>
        <v>-0.07772341691366341</v>
      </c>
      <c r="O329" s="179">
        <f>L329/L338</f>
        <v>0.0661116260389934</v>
      </c>
      <c r="P329" s="128"/>
    </row>
    <row r="330" spans="2:16" ht="17.25" customHeight="1" thickBot="1">
      <c r="B330" s="133"/>
      <c r="C330" s="31"/>
      <c r="D330" s="31"/>
      <c r="E330" s="31"/>
      <c r="F330" s="189" t="s">
        <v>244</v>
      </c>
      <c r="G330" s="534"/>
      <c r="H330" s="535"/>
      <c r="I330" s="191">
        <f>I328+I329</f>
        <v>768.01</v>
      </c>
      <c r="J330" s="534"/>
      <c r="K330" s="535"/>
      <c r="L330" s="191">
        <f>L328+L329</f>
        <v>887.296709057699</v>
      </c>
      <c r="M330" s="193">
        <f>M328+M329</f>
        <v>119.28670905769906</v>
      </c>
      <c r="N330" s="194">
        <f t="shared" si="53"/>
        <v>0.1553192133666216</v>
      </c>
      <c r="O330" s="298">
        <f>L330/L338</f>
        <v>0.2346757219955302</v>
      </c>
      <c r="P330" s="128"/>
    </row>
    <row r="331" spans="2:16" ht="17.25" customHeight="1">
      <c r="B331" s="133"/>
      <c r="C331" s="31"/>
      <c r="D331" s="31"/>
      <c r="E331" s="31"/>
      <c r="F331" s="158" t="s">
        <v>284</v>
      </c>
      <c r="G331" s="160">
        <f>C322*'Other Electriciy Rates'!$L$12</f>
        <v>31289.999999999996</v>
      </c>
      <c r="H331" s="161">
        <f>'Other Electriciy Rates'!$C$12</f>
        <v>0.0065</v>
      </c>
      <c r="I331" s="162">
        <f>+G331*H331</f>
        <v>203.38499999999996</v>
      </c>
      <c r="J331" s="160">
        <f>C322*'Other Electriciy Rates'!$L$26</f>
        <v>31289.999999999996</v>
      </c>
      <c r="K331" s="161">
        <f>'Other Electriciy Rates'!$C$26</f>
        <v>0.0065</v>
      </c>
      <c r="L331" s="185">
        <f>+J331*K331</f>
        <v>203.38499999999996</v>
      </c>
      <c r="M331" s="186">
        <f>+L331-I331</f>
        <v>0</v>
      </c>
      <c r="N331" s="187">
        <f t="shared" si="53"/>
        <v>0</v>
      </c>
      <c r="O331" s="177">
        <f>L331/L338</f>
        <v>0.05379206440284132</v>
      </c>
      <c r="P331" s="128"/>
    </row>
    <row r="332" spans="2:16" ht="17.25" customHeight="1">
      <c r="B332" s="133"/>
      <c r="C332" s="31"/>
      <c r="D332" s="31"/>
      <c r="E332" s="31"/>
      <c r="F332" s="158" t="s">
        <v>285</v>
      </c>
      <c r="G332" s="160">
        <v>30000</v>
      </c>
      <c r="H332" s="161">
        <f>+'Other Electriciy Rates'!$D$10</f>
        <v>0.007</v>
      </c>
      <c r="I332" s="162">
        <f>+G332*H332</f>
        <v>210</v>
      </c>
      <c r="J332" s="160">
        <v>30000</v>
      </c>
      <c r="K332" s="161">
        <f>+'Other Electriciy Rates'!$D$10</f>
        <v>0.007</v>
      </c>
      <c r="L332" s="162">
        <f>+J332*K332</f>
        <v>210</v>
      </c>
      <c r="M332" s="186">
        <f>+L332-I332</f>
        <v>0</v>
      </c>
      <c r="N332" s="187">
        <f t="shared" si="53"/>
        <v>0</v>
      </c>
      <c r="O332" s="465">
        <f>L332/L338</f>
        <v>0.0555416256095419</v>
      </c>
      <c r="P332" s="128"/>
    </row>
    <row r="333" spans="2:16" ht="17.25" customHeight="1">
      <c r="B333" s="133"/>
      <c r="C333" s="31"/>
      <c r="D333" s="31"/>
      <c r="E333" s="31"/>
      <c r="F333" s="156" t="s">
        <v>267</v>
      </c>
      <c r="G333" s="468">
        <v>0</v>
      </c>
      <c r="H333" s="467">
        <f>'2010 Existing Rates'!$D$32</f>
        <v>0</v>
      </c>
      <c r="I333" s="466">
        <v>0</v>
      </c>
      <c r="J333" s="174"/>
      <c r="K333" s="152">
        <v>0.25</v>
      </c>
      <c r="L333" s="171">
        <v>0.25</v>
      </c>
      <c r="M333" s="186">
        <f>+L333-I333</f>
        <v>0.25</v>
      </c>
      <c r="N333" s="172">
        <v>1</v>
      </c>
      <c r="O333" s="179">
        <f>L333/L338</f>
        <v>6.612098286850227E-05</v>
      </c>
      <c r="P333" s="128"/>
    </row>
    <row r="334" spans="2:16" ht="17.25" customHeight="1">
      <c r="B334" s="133"/>
      <c r="C334" s="31"/>
      <c r="D334" s="31"/>
      <c r="E334" s="31"/>
      <c r="F334" s="156" t="s">
        <v>275</v>
      </c>
      <c r="G334" s="159">
        <v>30000</v>
      </c>
      <c r="H334" s="153">
        <v>0.000373</v>
      </c>
      <c r="I334" s="168">
        <f>+G334*H334</f>
        <v>11.190000000000001</v>
      </c>
      <c r="J334" s="159">
        <f>G334</f>
        <v>30000</v>
      </c>
      <c r="K334" s="153">
        <v>0.000373</v>
      </c>
      <c r="L334" s="171">
        <f>+J334*K334</f>
        <v>11.190000000000001</v>
      </c>
      <c r="M334" s="186">
        <f>+L334-I334</f>
        <v>0</v>
      </c>
      <c r="N334" s="187">
        <f>+M334/I334</f>
        <v>0</v>
      </c>
      <c r="O334" s="179">
        <f>L334/L338</f>
        <v>0.0029595751931941615</v>
      </c>
      <c r="P334" s="128"/>
    </row>
    <row r="335" spans="2:16" ht="17.25" customHeight="1" thickBot="1">
      <c r="B335" s="133"/>
      <c r="C335" s="31"/>
      <c r="D335" s="31"/>
      <c r="E335" s="31"/>
      <c r="F335" s="154" t="s">
        <v>77</v>
      </c>
      <c r="G335" s="160">
        <f>G331</f>
        <v>31289.999999999996</v>
      </c>
      <c r="H335" s="161">
        <f>+'Other Electriciy Rates'!$J$12</f>
        <v>0.065</v>
      </c>
      <c r="I335" s="162">
        <f>+G335*H335</f>
        <v>2033.85</v>
      </c>
      <c r="J335" s="160">
        <f>J331</f>
        <v>31289.999999999996</v>
      </c>
      <c r="K335" s="161">
        <f>'Other Electriciy Rates'!$J$26</f>
        <v>0.065</v>
      </c>
      <c r="L335" s="185">
        <f>+J335*K335</f>
        <v>2033.85</v>
      </c>
      <c r="M335" s="186">
        <f>+L335-I335</f>
        <v>0</v>
      </c>
      <c r="N335" s="187">
        <f>+M335/I335</f>
        <v>0</v>
      </c>
      <c r="O335" s="179">
        <f>L335/L338</f>
        <v>0.5379206440284133</v>
      </c>
      <c r="P335" s="128"/>
    </row>
    <row r="336" spans="2:16" ht="17.25" customHeight="1" thickBot="1">
      <c r="B336" s="133"/>
      <c r="C336" s="31"/>
      <c r="D336" s="31"/>
      <c r="E336" s="31"/>
      <c r="F336" s="189" t="s">
        <v>194</v>
      </c>
      <c r="G336" s="534"/>
      <c r="H336" s="535"/>
      <c r="I336" s="191">
        <f>SUM(I330:I335)</f>
        <v>3226.435</v>
      </c>
      <c r="J336" s="534"/>
      <c r="K336" s="535"/>
      <c r="L336" s="191">
        <f>SUM(L330:L335)</f>
        <v>3345.9717090576987</v>
      </c>
      <c r="M336" s="191">
        <f>SUM(M329:M335)</f>
        <v>98.47133137158886</v>
      </c>
      <c r="N336" s="194">
        <f>+M336/I336</f>
        <v>0.03052016587087261</v>
      </c>
      <c r="O336" s="196">
        <f>L336/L338</f>
        <v>0.8849557522123893</v>
      </c>
      <c r="P336" s="128"/>
    </row>
    <row r="337" spans="2:16" ht="17.25" customHeight="1" thickBot="1">
      <c r="B337" s="133"/>
      <c r="C337" s="31"/>
      <c r="D337" s="31"/>
      <c r="E337" s="31"/>
      <c r="F337" s="240" t="s">
        <v>274</v>
      </c>
      <c r="G337" s="241"/>
      <c r="H337" s="244">
        <v>0.13</v>
      </c>
      <c r="I337" s="242">
        <f>I336*H337</f>
        <v>419.43655</v>
      </c>
      <c r="J337" s="241"/>
      <c r="K337" s="244">
        <v>0.13</v>
      </c>
      <c r="L337" s="243">
        <f>L336*K337</f>
        <v>434.97632217750083</v>
      </c>
      <c r="M337" s="183">
        <f>+L337-I337</f>
        <v>15.539772177500822</v>
      </c>
      <c r="N337" s="184">
        <f>+M337/I337</f>
        <v>0.0370491607789088</v>
      </c>
      <c r="O337" s="469">
        <f>L337/L338</f>
        <v>0.11504424778761062</v>
      </c>
      <c r="P337" s="128"/>
    </row>
    <row r="338" spans="2:16" ht="17.25" customHeight="1" thickBot="1">
      <c r="B338" s="133"/>
      <c r="C338" s="31"/>
      <c r="D338" s="31"/>
      <c r="E338" s="35"/>
      <c r="F338" s="195" t="s">
        <v>78</v>
      </c>
      <c r="G338" s="534"/>
      <c r="H338" s="535"/>
      <c r="I338" s="191">
        <f>I336+I337</f>
        <v>3645.87155</v>
      </c>
      <c r="J338" s="534"/>
      <c r="K338" s="535"/>
      <c r="L338" s="191">
        <f>L336+L337</f>
        <v>3780.9480312352</v>
      </c>
      <c r="M338" s="191">
        <f>M336+M337</f>
        <v>114.01110354908968</v>
      </c>
      <c r="N338" s="194">
        <f>+M338/I338</f>
        <v>0.031271289178876775</v>
      </c>
      <c r="O338" s="196">
        <f>O336+O337</f>
        <v>0.9999999999999999</v>
      </c>
      <c r="P338" s="128"/>
    </row>
    <row r="339" spans="2:16" ht="17.25" customHeight="1" thickBot="1">
      <c r="B339" s="129"/>
      <c r="C339" s="139"/>
      <c r="D339" s="139"/>
      <c r="E339" s="139"/>
      <c r="F339" s="140"/>
      <c r="G339" s="141"/>
      <c r="H339" s="142"/>
      <c r="I339" s="143"/>
      <c r="J339" s="141"/>
      <c r="K339" s="144"/>
      <c r="L339" s="143"/>
      <c r="M339" s="145"/>
      <c r="N339" s="146"/>
      <c r="O339" s="147"/>
      <c r="P339" s="130"/>
    </row>
    <row r="340" spans="2:16" ht="17.25" customHeight="1" thickBot="1">
      <c r="B340" s="25"/>
      <c r="C340" s="31"/>
      <c r="D340" s="31"/>
      <c r="E340" s="31"/>
      <c r="F340" s="49"/>
      <c r="G340" s="50"/>
      <c r="H340" s="51"/>
      <c r="I340" s="52"/>
      <c r="J340" s="50"/>
      <c r="K340" s="53"/>
      <c r="L340" s="52"/>
      <c r="M340" s="54"/>
      <c r="N340" s="136"/>
      <c r="O340" s="137"/>
      <c r="P340" s="25"/>
    </row>
    <row r="341" spans="2:16" ht="17.25" customHeight="1">
      <c r="B341" s="135"/>
      <c r="C341" s="536"/>
      <c r="D341" s="536"/>
      <c r="E341" s="536"/>
      <c r="F341" s="536"/>
      <c r="G341" s="536"/>
      <c r="H341" s="536"/>
      <c r="I341" s="536"/>
      <c r="J341" s="536"/>
      <c r="K341" s="536"/>
      <c r="L341" s="536"/>
      <c r="M341" s="536"/>
      <c r="N341" s="536"/>
      <c r="O341" s="536"/>
      <c r="P341" s="127"/>
    </row>
    <row r="342" spans="2:16" ht="23.25">
      <c r="B342" s="133"/>
      <c r="C342" s="538" t="s">
        <v>90</v>
      </c>
      <c r="D342" s="538"/>
      <c r="E342" s="538"/>
      <c r="F342" s="538"/>
      <c r="G342" s="538"/>
      <c r="H342" s="538"/>
      <c r="I342" s="538"/>
      <c r="J342" s="538"/>
      <c r="K342" s="538"/>
      <c r="L342" s="538"/>
      <c r="M342" s="538"/>
      <c r="N342" s="538"/>
      <c r="O342" s="538"/>
      <c r="P342" s="128"/>
    </row>
    <row r="343" spans="2:17" ht="17.25" customHeight="1" thickBot="1">
      <c r="B343" s="133"/>
      <c r="C343" s="541"/>
      <c r="D343" s="541"/>
      <c r="E343" s="541"/>
      <c r="F343" s="541"/>
      <c r="G343" s="541"/>
      <c r="H343" s="541"/>
      <c r="I343" s="541"/>
      <c r="J343" s="541"/>
      <c r="K343" s="541"/>
      <c r="L343" s="541"/>
      <c r="M343" s="541"/>
      <c r="N343" s="541"/>
      <c r="O343" s="541"/>
      <c r="P343" s="128"/>
      <c r="Q343" s="25"/>
    </row>
    <row r="344" spans="2:17" ht="17.25" customHeight="1" thickBot="1">
      <c r="B344" s="133"/>
      <c r="C344" s="134"/>
      <c r="D344" s="134"/>
      <c r="E344" s="31"/>
      <c r="F344" s="32"/>
      <c r="G344" s="529" t="str">
        <f>$G$10</f>
        <v>2010 BILL</v>
      </c>
      <c r="H344" s="530"/>
      <c r="I344" s="531"/>
      <c r="J344" s="529" t="str">
        <f>$J$10</f>
        <v>2011 BILL</v>
      </c>
      <c r="K344" s="530"/>
      <c r="L344" s="531"/>
      <c r="M344" s="529" t="s">
        <v>72</v>
      </c>
      <c r="N344" s="530"/>
      <c r="O344" s="531"/>
      <c r="P344" s="128"/>
      <c r="Q344" s="25"/>
    </row>
    <row r="345" spans="2:17" ht="26.25" thickBot="1">
      <c r="B345" s="133"/>
      <c r="C345" s="31"/>
      <c r="D345" s="31"/>
      <c r="E345" s="33"/>
      <c r="F345" s="34"/>
      <c r="G345" s="353" t="s">
        <v>66</v>
      </c>
      <c r="H345" s="354" t="s">
        <v>67</v>
      </c>
      <c r="I345" s="355" t="s">
        <v>68</v>
      </c>
      <c r="J345" s="356" t="s">
        <v>66</v>
      </c>
      <c r="K345" s="354" t="s">
        <v>67</v>
      </c>
      <c r="L345" s="355" t="s">
        <v>68</v>
      </c>
      <c r="M345" s="350" t="s">
        <v>73</v>
      </c>
      <c r="N345" s="351" t="s">
        <v>74</v>
      </c>
      <c r="O345" s="352" t="s">
        <v>75</v>
      </c>
      <c r="P345" s="128"/>
      <c r="Q345" s="25"/>
    </row>
    <row r="346" spans="2:17" ht="17.25" customHeight="1" thickBot="1">
      <c r="B346" s="133"/>
      <c r="C346" s="532" t="s">
        <v>69</v>
      </c>
      <c r="D346" s="533"/>
      <c r="E346" s="31"/>
      <c r="F346" s="319" t="s">
        <v>70</v>
      </c>
      <c r="G346" s="174"/>
      <c r="H346" s="174"/>
      <c r="I346" s="162">
        <f>+'2010 Existing Rates'!$C$10</f>
        <v>372.26</v>
      </c>
      <c r="J346" s="174"/>
      <c r="K346" s="174"/>
      <c r="L346" s="185">
        <f>+'Distribution Rate Schedule'!$C$33</f>
        <v>528.38</v>
      </c>
      <c r="M346" s="186">
        <f aca="true" t="shared" si="54" ref="M346:M352">+L346-I346</f>
        <v>156.12</v>
      </c>
      <c r="N346" s="187">
        <f aca="true" t="shared" si="55" ref="N346:N363">+M346/I346</f>
        <v>0.419384301294794</v>
      </c>
      <c r="O346" s="179">
        <f>L346/L363</f>
        <v>0.06177975276506489</v>
      </c>
      <c r="P346" s="128"/>
      <c r="Q346" s="25"/>
    </row>
    <row r="347" spans="2:17" ht="17.25" customHeight="1" thickBot="1">
      <c r="B347" s="133"/>
      <c r="C347" s="346">
        <v>75000</v>
      </c>
      <c r="D347" s="347" t="s">
        <v>16</v>
      </c>
      <c r="E347" s="31"/>
      <c r="F347" s="320" t="s">
        <v>81</v>
      </c>
      <c r="G347" s="318">
        <f>+C348</f>
        <v>250</v>
      </c>
      <c r="H347" s="153">
        <f>'2010 Existing Rates'!$D$55</f>
        <v>1.2372</v>
      </c>
      <c r="I347" s="168">
        <f>+G347*H347</f>
        <v>309.3</v>
      </c>
      <c r="J347" s="159">
        <f>G347</f>
        <v>250</v>
      </c>
      <c r="K347" s="152">
        <f>'Rate Schedule (Part 1)'!$E$31</f>
        <v>1.6794</v>
      </c>
      <c r="L347" s="171">
        <f>+J347*K347</f>
        <v>419.85</v>
      </c>
      <c r="M347" s="186">
        <f t="shared" si="54"/>
        <v>110.55000000000001</v>
      </c>
      <c r="N347" s="187">
        <f t="shared" si="55"/>
        <v>0.35741998060135793</v>
      </c>
      <c r="O347" s="179">
        <f>L347/L363</f>
        <v>0.04909010408874767</v>
      </c>
      <c r="P347" s="128"/>
      <c r="Q347" s="25"/>
    </row>
    <row r="348" spans="2:16" ht="17.25" customHeight="1" thickBot="1">
      <c r="B348" s="133"/>
      <c r="C348" s="346">
        <v>250</v>
      </c>
      <c r="D348" s="347" t="s">
        <v>17</v>
      </c>
      <c r="E348" s="31"/>
      <c r="F348" s="173"/>
      <c r="G348" s="173"/>
      <c r="H348" s="173"/>
      <c r="I348" s="173"/>
      <c r="J348" s="173"/>
      <c r="K348" s="173"/>
      <c r="L348" s="173"/>
      <c r="M348" s="173"/>
      <c r="N348" s="173"/>
      <c r="O348" s="173"/>
      <c r="P348" s="128"/>
    </row>
    <row r="349" spans="2:16" ht="17.25" customHeight="1">
      <c r="B349" s="133"/>
      <c r="C349" s="459"/>
      <c r="D349" s="460"/>
      <c r="E349" s="31"/>
      <c r="F349" s="156" t="s">
        <v>277</v>
      </c>
      <c r="G349" s="174"/>
      <c r="H349" s="153">
        <v>1</v>
      </c>
      <c r="I349" s="168">
        <v>1</v>
      </c>
      <c r="J349" s="174"/>
      <c r="K349" s="152">
        <f>'[9]8. Smart Meter Rate  Adder'!$C$20</f>
        <v>0.0898917624704141</v>
      </c>
      <c r="L349" s="171">
        <f>K349</f>
        <v>0.0898917624704141</v>
      </c>
      <c r="M349" s="178">
        <f t="shared" si="54"/>
        <v>-0.9101082375295859</v>
      </c>
      <c r="N349" s="172">
        <f>+M349/I349</f>
        <v>-0.9101082375295859</v>
      </c>
      <c r="O349" s="179">
        <f>L349/L363</f>
        <v>1.051041080479602E-05</v>
      </c>
      <c r="P349" s="128"/>
    </row>
    <row r="350" spans="2:16" ht="17.25" customHeight="1">
      <c r="B350" s="133"/>
      <c r="C350" s="63"/>
      <c r="D350" s="64"/>
      <c r="E350" s="31"/>
      <c r="F350" s="156" t="s">
        <v>169</v>
      </c>
      <c r="G350" s="174"/>
      <c r="H350" s="173"/>
      <c r="I350" s="168">
        <v>0</v>
      </c>
      <c r="J350" s="174"/>
      <c r="K350" s="173"/>
      <c r="L350" s="171">
        <f>'[7]Recovery of Smart Meter Costs'!$C$21</f>
        <v>2.0941673818332727</v>
      </c>
      <c r="M350" s="186">
        <f t="shared" si="54"/>
        <v>2.0941673818332727</v>
      </c>
      <c r="N350" s="172">
        <v>1</v>
      </c>
      <c r="O350" s="179">
        <f>L350/L363</f>
        <v>0.00024485624569121244</v>
      </c>
      <c r="P350" s="128"/>
    </row>
    <row r="351" spans="2:16" ht="17.25" customHeight="1" hidden="1">
      <c r="B351" s="133"/>
      <c r="C351" s="63"/>
      <c r="D351" s="64"/>
      <c r="E351" s="31"/>
      <c r="P351" s="128"/>
    </row>
    <row r="352" spans="2:16" ht="17.25" customHeight="1" thickBot="1">
      <c r="B352" s="133"/>
      <c r="C352" s="31"/>
      <c r="D352" s="31"/>
      <c r="E352" s="31"/>
      <c r="F352" s="157" t="s">
        <v>247</v>
      </c>
      <c r="G352" s="159">
        <f>+C348</f>
        <v>250</v>
      </c>
      <c r="H352" s="153">
        <f>'2010 Existing Rates'!$D$21</f>
        <v>0</v>
      </c>
      <c r="I352" s="168">
        <f>+G352*H352</f>
        <v>0</v>
      </c>
      <c r="J352" s="159">
        <f>+C348</f>
        <v>250</v>
      </c>
      <c r="K352" s="152">
        <f>'Rate Schedule (Part 1)'!$E$36</f>
        <v>-0.6117197240049442</v>
      </c>
      <c r="L352" s="171">
        <f>+J352*K352</f>
        <v>-152.92993100123607</v>
      </c>
      <c r="M352" s="186">
        <f t="shared" si="54"/>
        <v>-152.92993100123607</v>
      </c>
      <c r="N352" s="172">
        <v>-1</v>
      </c>
      <c r="O352" s="179">
        <f>L352/L363</f>
        <v>-0.01788101996221431</v>
      </c>
      <c r="P352" s="128"/>
    </row>
    <row r="353" spans="2:16" ht="17.25" customHeight="1" thickBot="1">
      <c r="B353" s="133"/>
      <c r="C353" s="31"/>
      <c r="D353" s="31"/>
      <c r="E353" s="31"/>
      <c r="F353" s="189" t="s">
        <v>242</v>
      </c>
      <c r="G353" s="534"/>
      <c r="H353" s="535"/>
      <c r="I353" s="191">
        <f>SUM(I346:I352)</f>
        <v>682.56</v>
      </c>
      <c r="J353" s="534"/>
      <c r="K353" s="535"/>
      <c r="L353" s="191">
        <f>SUM(L346:L352)</f>
        <v>797.4841281430677</v>
      </c>
      <c r="M353" s="193">
        <f>SUM(M346:M352)</f>
        <v>114.9241281430676</v>
      </c>
      <c r="N353" s="194">
        <f t="shared" si="55"/>
        <v>0.168372198990664</v>
      </c>
      <c r="O353" s="196">
        <f>SUM(O346:O352)</f>
        <v>0.09324420354809428</v>
      </c>
      <c r="P353" s="128"/>
    </row>
    <row r="354" spans="2:16" ht="17.25" customHeight="1" thickBot="1">
      <c r="B354" s="133"/>
      <c r="C354" s="31"/>
      <c r="D354" s="31"/>
      <c r="E354" s="31"/>
      <c r="F354" s="156" t="s">
        <v>248</v>
      </c>
      <c r="G354" s="295">
        <f>C348</f>
        <v>250</v>
      </c>
      <c r="H354" s="296">
        <f>'Other Electriciy Rates'!$F$12</f>
        <v>2.7103</v>
      </c>
      <c r="I354" s="168">
        <f>+G354*H354</f>
        <v>677.575</v>
      </c>
      <c r="J354" s="295">
        <f>C348</f>
        <v>250</v>
      </c>
      <c r="K354" s="296">
        <f>'Other Electriciy Rates'!$F$26</f>
        <v>2.4996462231388983</v>
      </c>
      <c r="L354" s="168">
        <f>+J354*K354</f>
        <v>624.9115557847246</v>
      </c>
      <c r="M354" s="297">
        <f>+L354-I354</f>
        <v>-52.66344421527549</v>
      </c>
      <c r="N354" s="176">
        <f t="shared" si="55"/>
        <v>-0.07772341691366341</v>
      </c>
      <c r="O354" s="179">
        <f>L354/L363</f>
        <v>0.07306650784740591</v>
      </c>
      <c r="P354" s="128"/>
    </row>
    <row r="355" spans="2:16" ht="17.25" customHeight="1" thickBot="1">
      <c r="B355" s="133"/>
      <c r="C355" s="31"/>
      <c r="D355" s="31"/>
      <c r="E355" s="31"/>
      <c r="F355" s="189" t="s">
        <v>244</v>
      </c>
      <c r="G355" s="534"/>
      <c r="H355" s="535"/>
      <c r="I355" s="191">
        <f>I353+I354</f>
        <v>1360.135</v>
      </c>
      <c r="J355" s="534"/>
      <c r="K355" s="535"/>
      <c r="L355" s="191">
        <f>L353+L354</f>
        <v>1422.395683927792</v>
      </c>
      <c r="M355" s="193">
        <f>M353+M354</f>
        <v>62.260683927792115</v>
      </c>
      <c r="N355" s="194">
        <f t="shared" si="55"/>
        <v>0.045775370774071775</v>
      </c>
      <c r="O355" s="298">
        <f>L355/L363</f>
        <v>0.16631071139550016</v>
      </c>
      <c r="P355" s="128"/>
    </row>
    <row r="356" spans="2:16" ht="17.25" customHeight="1">
      <c r="B356" s="133"/>
      <c r="C356" s="31"/>
      <c r="D356" s="31"/>
      <c r="E356" s="31"/>
      <c r="F356" s="158" t="s">
        <v>284</v>
      </c>
      <c r="G356" s="160">
        <f>C347*'Other Electriciy Rates'!$L$12</f>
        <v>78225</v>
      </c>
      <c r="H356" s="161">
        <f>'Other Electriciy Rates'!$C$12</f>
        <v>0.0065</v>
      </c>
      <c r="I356" s="162">
        <f>+G356*H356</f>
        <v>508.4625</v>
      </c>
      <c r="J356" s="160">
        <f>C347*'Other Electriciy Rates'!$L$26</f>
        <v>78225</v>
      </c>
      <c r="K356" s="161">
        <f>'Other Electriciy Rates'!$C$26</f>
        <v>0.0065</v>
      </c>
      <c r="L356" s="185">
        <f>+J356*K356</f>
        <v>508.4625</v>
      </c>
      <c r="M356" s="186">
        <f>+L356-I356</f>
        <v>0</v>
      </c>
      <c r="N356" s="187">
        <f t="shared" si="55"/>
        <v>0</v>
      </c>
      <c r="O356" s="177">
        <f>L356/L363</f>
        <v>0.05945093974091904</v>
      </c>
      <c r="P356" s="128"/>
    </row>
    <row r="357" spans="2:16" ht="17.25" customHeight="1">
      <c r="B357" s="133"/>
      <c r="C357" s="31"/>
      <c r="D357" s="31"/>
      <c r="E357" s="31"/>
      <c r="F357" s="158" t="s">
        <v>285</v>
      </c>
      <c r="G357" s="160">
        <v>75000</v>
      </c>
      <c r="H357" s="161">
        <f>+'Other Electriciy Rates'!$D$10</f>
        <v>0.007</v>
      </c>
      <c r="I357" s="162">
        <f>+G357*H357</f>
        <v>525</v>
      </c>
      <c r="J357" s="160">
        <v>75000</v>
      </c>
      <c r="K357" s="161">
        <f>+'Other Electriciy Rates'!$D$10</f>
        <v>0.007</v>
      </c>
      <c r="L357" s="162">
        <f>+J357*K357</f>
        <v>525</v>
      </c>
      <c r="M357" s="186">
        <f>+L357-I357</f>
        <v>0</v>
      </c>
      <c r="N357" s="187">
        <f t="shared" si="55"/>
        <v>0</v>
      </c>
      <c r="O357" s="465">
        <f>L357/L363</f>
        <v>0.061384553165636596</v>
      </c>
      <c r="P357" s="128"/>
    </row>
    <row r="358" spans="2:16" ht="17.25" customHeight="1">
      <c r="B358" s="133"/>
      <c r="C358" s="31"/>
      <c r="D358" s="31"/>
      <c r="E358" s="31"/>
      <c r="F358" s="156" t="s">
        <v>267</v>
      </c>
      <c r="G358" s="468">
        <f>G347</f>
        <v>250</v>
      </c>
      <c r="H358" s="467">
        <f>'2010 Existing Rates'!$D$32</f>
        <v>0</v>
      </c>
      <c r="I358" s="466">
        <v>0</v>
      </c>
      <c r="J358" s="174"/>
      <c r="K358" s="152">
        <v>0.25</v>
      </c>
      <c r="L358" s="171">
        <v>0.25</v>
      </c>
      <c r="M358" s="186">
        <f>+L358-I358</f>
        <v>0.25</v>
      </c>
      <c r="N358" s="172">
        <v>1</v>
      </c>
      <c r="O358" s="179">
        <f>L358/L363</f>
        <v>2.9230739602684092E-05</v>
      </c>
      <c r="P358" s="128"/>
    </row>
    <row r="359" spans="2:16" ht="17.25" customHeight="1">
      <c r="B359" s="133"/>
      <c r="C359" s="31"/>
      <c r="D359" s="31"/>
      <c r="E359" s="31"/>
      <c r="F359" s="156" t="s">
        <v>275</v>
      </c>
      <c r="G359" s="159">
        <v>75000</v>
      </c>
      <c r="H359" s="153">
        <v>0.000373</v>
      </c>
      <c r="I359" s="168">
        <f>+G359*H359</f>
        <v>27.975</v>
      </c>
      <c r="J359" s="159">
        <f>G359</f>
        <v>75000</v>
      </c>
      <c r="K359" s="153">
        <v>0.000373</v>
      </c>
      <c r="L359" s="171">
        <f>+J359*K359</f>
        <v>27.975</v>
      </c>
      <c r="M359" s="186">
        <f>+L359-I359</f>
        <v>0</v>
      </c>
      <c r="N359" s="187">
        <f>+M359/I359</f>
        <v>0</v>
      </c>
      <c r="O359" s="179">
        <f>L359/L363</f>
        <v>0.00327091976154035</v>
      </c>
      <c r="P359" s="128"/>
    </row>
    <row r="360" spans="2:16" ht="17.25" customHeight="1" thickBot="1">
      <c r="B360" s="133"/>
      <c r="C360" s="31"/>
      <c r="D360" s="31"/>
      <c r="E360" s="31"/>
      <c r="F360" s="154" t="s">
        <v>77</v>
      </c>
      <c r="G360" s="160">
        <f>G356</f>
        <v>78225</v>
      </c>
      <c r="H360" s="161">
        <f>+'Other Electriciy Rates'!$J$12</f>
        <v>0.065</v>
      </c>
      <c r="I360" s="162">
        <f>+G360*H360</f>
        <v>5084.625</v>
      </c>
      <c r="J360" s="160">
        <f>J356</f>
        <v>78225</v>
      </c>
      <c r="K360" s="161">
        <f>'Other Electriciy Rates'!$J$26</f>
        <v>0.065</v>
      </c>
      <c r="L360" s="185">
        <f>+J360*K360</f>
        <v>5084.625</v>
      </c>
      <c r="M360" s="186">
        <f>+L360-I360</f>
        <v>0</v>
      </c>
      <c r="N360" s="187">
        <f t="shared" si="55"/>
        <v>0</v>
      </c>
      <c r="O360" s="179">
        <f>L360/L363</f>
        <v>0.5945093974091904</v>
      </c>
      <c r="P360" s="128"/>
    </row>
    <row r="361" spans="2:16" ht="17.25" customHeight="1" thickBot="1">
      <c r="B361" s="133"/>
      <c r="C361" s="31"/>
      <c r="D361" s="31"/>
      <c r="E361" s="31"/>
      <c r="F361" s="189" t="s">
        <v>194</v>
      </c>
      <c r="G361" s="534"/>
      <c r="H361" s="535"/>
      <c r="I361" s="191">
        <f>SUM(I355:I360)</f>
        <v>7506.1975</v>
      </c>
      <c r="J361" s="534"/>
      <c r="K361" s="535"/>
      <c r="L361" s="191">
        <f>SUM(L355:L360)</f>
        <v>7568.708183927793</v>
      </c>
      <c r="M361" s="191">
        <f>SUM(M354:M360)</f>
        <v>9.847239712516625</v>
      </c>
      <c r="N361" s="194">
        <f t="shared" si="55"/>
        <v>0.0013118812438010891</v>
      </c>
      <c r="O361" s="196">
        <f>L361/L363</f>
        <v>0.8849557522123893</v>
      </c>
      <c r="P361" s="128"/>
    </row>
    <row r="362" spans="2:16" ht="17.25" customHeight="1" thickBot="1">
      <c r="B362" s="133"/>
      <c r="C362" s="31"/>
      <c r="D362" s="31"/>
      <c r="E362" s="31"/>
      <c r="F362" s="240" t="s">
        <v>274</v>
      </c>
      <c r="G362" s="241"/>
      <c r="H362" s="244">
        <v>0.13</v>
      </c>
      <c r="I362" s="242">
        <f>I361*H362</f>
        <v>975.8056750000001</v>
      </c>
      <c r="J362" s="241"/>
      <c r="K362" s="244">
        <v>0.13</v>
      </c>
      <c r="L362" s="243">
        <f>L361*K362</f>
        <v>983.932063910613</v>
      </c>
      <c r="M362" s="183">
        <f>+L362-I362</f>
        <v>8.126388910612945</v>
      </c>
      <c r="N362" s="184">
        <f t="shared" si="55"/>
        <v>0.008327876255293293</v>
      </c>
      <c r="O362" s="469">
        <f>L362/L363</f>
        <v>0.1150442477876106</v>
      </c>
      <c r="P362" s="128"/>
    </row>
    <row r="363" spans="2:16" ht="17.25" customHeight="1" thickBot="1">
      <c r="B363" s="133"/>
      <c r="C363" s="31"/>
      <c r="D363" s="31"/>
      <c r="E363" s="35"/>
      <c r="F363" s="195" t="s">
        <v>78</v>
      </c>
      <c r="G363" s="534"/>
      <c r="H363" s="535"/>
      <c r="I363" s="191">
        <f>I361+I362</f>
        <v>8482.003175</v>
      </c>
      <c r="J363" s="534"/>
      <c r="K363" s="535"/>
      <c r="L363" s="191">
        <f>L361+L362</f>
        <v>8552.640247838406</v>
      </c>
      <c r="M363" s="191">
        <f>M361+M362</f>
        <v>17.97362862312957</v>
      </c>
      <c r="N363" s="194">
        <f t="shared" si="55"/>
        <v>0.0021190311123798385</v>
      </c>
      <c r="O363" s="196">
        <f>O361+O362</f>
        <v>0.9999999999999999</v>
      </c>
      <c r="P363" s="128"/>
    </row>
    <row r="364" spans="2:16" ht="17.25" customHeight="1" thickBot="1">
      <c r="B364" s="129"/>
      <c r="C364" s="139"/>
      <c r="D364" s="139"/>
      <c r="E364" s="139"/>
      <c r="F364" s="140"/>
      <c r="G364" s="141"/>
      <c r="H364" s="142"/>
      <c r="I364" s="143"/>
      <c r="J364" s="141"/>
      <c r="K364" s="144"/>
      <c r="L364" s="143"/>
      <c r="M364" s="145"/>
      <c r="N364" s="146"/>
      <c r="O364" s="147"/>
      <c r="P364" s="130"/>
    </row>
    <row r="365" spans="2:16" ht="17.25" customHeight="1" thickBot="1">
      <c r="B365" s="25"/>
      <c r="C365" s="31"/>
      <c r="D365" s="31"/>
      <c r="E365" s="31"/>
      <c r="F365" s="49"/>
      <c r="G365" s="50"/>
      <c r="H365" s="51"/>
      <c r="I365" s="52"/>
      <c r="J365" s="50"/>
      <c r="K365" s="53"/>
      <c r="L365" s="52"/>
      <c r="M365" s="54"/>
      <c r="N365" s="136"/>
      <c r="O365" s="137"/>
      <c r="P365" s="25"/>
    </row>
    <row r="366" spans="2:16" ht="17.25" customHeight="1">
      <c r="B366" s="135"/>
      <c r="C366" s="536"/>
      <c r="D366" s="536"/>
      <c r="E366" s="536"/>
      <c r="F366" s="536"/>
      <c r="G366" s="536"/>
      <c r="H366" s="536"/>
      <c r="I366" s="536"/>
      <c r="J366" s="536"/>
      <c r="K366" s="536"/>
      <c r="L366" s="536"/>
      <c r="M366" s="536"/>
      <c r="N366" s="536"/>
      <c r="O366" s="536"/>
      <c r="P366" s="127"/>
    </row>
    <row r="367" spans="2:16" ht="23.25">
      <c r="B367" s="133"/>
      <c r="C367" s="538" t="s">
        <v>90</v>
      </c>
      <c r="D367" s="538"/>
      <c r="E367" s="538"/>
      <c r="F367" s="538"/>
      <c r="G367" s="538"/>
      <c r="H367" s="538"/>
      <c r="I367" s="538"/>
      <c r="J367" s="538"/>
      <c r="K367" s="538"/>
      <c r="L367" s="538"/>
      <c r="M367" s="538"/>
      <c r="N367" s="538"/>
      <c r="O367" s="538"/>
      <c r="P367" s="128"/>
    </row>
    <row r="368" spans="2:17" ht="17.25" customHeight="1" thickBot="1">
      <c r="B368" s="133"/>
      <c r="C368" s="541"/>
      <c r="D368" s="541"/>
      <c r="E368" s="541"/>
      <c r="F368" s="541"/>
      <c r="G368" s="541"/>
      <c r="H368" s="541"/>
      <c r="I368" s="541"/>
      <c r="J368" s="541"/>
      <c r="K368" s="541"/>
      <c r="L368" s="541"/>
      <c r="M368" s="541"/>
      <c r="N368" s="541"/>
      <c r="O368" s="541"/>
      <c r="P368" s="128"/>
      <c r="Q368" s="25"/>
    </row>
    <row r="369" spans="2:17" ht="17.25" customHeight="1" thickBot="1">
      <c r="B369" s="133"/>
      <c r="C369" s="134"/>
      <c r="D369" s="134"/>
      <c r="E369" s="31"/>
      <c r="F369" s="32"/>
      <c r="G369" s="529" t="str">
        <f>$G$10</f>
        <v>2010 BILL</v>
      </c>
      <c r="H369" s="530"/>
      <c r="I369" s="531"/>
      <c r="J369" s="529" t="str">
        <f>$J$10</f>
        <v>2011 BILL</v>
      </c>
      <c r="K369" s="530"/>
      <c r="L369" s="531"/>
      <c r="M369" s="529" t="s">
        <v>72</v>
      </c>
      <c r="N369" s="530"/>
      <c r="O369" s="531"/>
      <c r="P369" s="128"/>
      <c r="Q369" s="25"/>
    </row>
    <row r="370" spans="2:17" ht="26.25" thickBot="1">
      <c r="B370" s="133"/>
      <c r="C370" s="31"/>
      <c r="D370" s="31"/>
      <c r="E370" s="33"/>
      <c r="F370" s="34"/>
      <c r="G370" s="353" t="s">
        <v>66</v>
      </c>
      <c r="H370" s="354" t="s">
        <v>67</v>
      </c>
      <c r="I370" s="355" t="s">
        <v>68</v>
      </c>
      <c r="J370" s="356" t="s">
        <v>66</v>
      </c>
      <c r="K370" s="354" t="s">
        <v>67</v>
      </c>
      <c r="L370" s="355" t="s">
        <v>68</v>
      </c>
      <c r="M370" s="350" t="s">
        <v>73</v>
      </c>
      <c r="N370" s="351" t="s">
        <v>74</v>
      </c>
      <c r="O370" s="352" t="s">
        <v>75</v>
      </c>
      <c r="P370" s="128"/>
      <c r="Q370" s="25"/>
    </row>
    <row r="371" spans="2:17" ht="17.25" customHeight="1" thickBot="1">
      <c r="B371" s="133"/>
      <c r="C371" s="532" t="s">
        <v>69</v>
      </c>
      <c r="D371" s="533"/>
      <c r="E371" s="31"/>
      <c r="F371" s="319" t="s">
        <v>70</v>
      </c>
      <c r="G371" s="174"/>
      <c r="H371" s="174"/>
      <c r="I371" s="162">
        <f>+'2010 Existing Rates'!$C$10</f>
        <v>372.26</v>
      </c>
      <c r="J371" s="174"/>
      <c r="K371" s="174"/>
      <c r="L371" s="185">
        <f>+'Distribution Rate Schedule'!$C$33</f>
        <v>528.38</v>
      </c>
      <c r="M371" s="186">
        <f aca="true" t="shared" si="56" ref="M371:M377">+L371-I371</f>
        <v>156.12</v>
      </c>
      <c r="N371" s="187">
        <f aca="true" t="shared" si="57" ref="N371:N388">+M371/I371</f>
        <v>0.419384301294794</v>
      </c>
      <c r="O371" s="179">
        <f>L371/L388</f>
        <v>0.024999651819306017</v>
      </c>
      <c r="P371" s="128"/>
      <c r="Q371" s="25"/>
    </row>
    <row r="372" spans="2:17" ht="17.25" customHeight="1" thickBot="1">
      <c r="B372" s="133"/>
      <c r="C372" s="346">
        <v>200000</v>
      </c>
      <c r="D372" s="347" t="s">
        <v>16</v>
      </c>
      <c r="E372" s="31"/>
      <c r="F372" s="320" t="s">
        <v>81</v>
      </c>
      <c r="G372" s="318">
        <f>+C373</f>
        <v>500</v>
      </c>
      <c r="H372" s="153">
        <f>'2010 Existing Rates'!$D$55</f>
        <v>1.2372</v>
      </c>
      <c r="I372" s="168">
        <f>+G372*H372</f>
        <v>618.6</v>
      </c>
      <c r="J372" s="159">
        <f>G372</f>
        <v>500</v>
      </c>
      <c r="K372" s="152">
        <f>'Rate Schedule (Part 1)'!$E$31</f>
        <v>1.6794</v>
      </c>
      <c r="L372" s="171">
        <f>+J372*K372</f>
        <v>839.7</v>
      </c>
      <c r="M372" s="186">
        <f t="shared" si="56"/>
        <v>221.10000000000002</v>
      </c>
      <c r="N372" s="187">
        <f t="shared" si="57"/>
        <v>0.35741998060135793</v>
      </c>
      <c r="O372" s="179">
        <f>L372/L388</f>
        <v>0.039729375889835467</v>
      </c>
      <c r="P372" s="128"/>
      <c r="Q372" s="25"/>
    </row>
    <row r="373" spans="2:16" ht="17.25" customHeight="1" thickBot="1">
      <c r="B373" s="133"/>
      <c r="C373" s="346">
        <v>500</v>
      </c>
      <c r="D373" s="347" t="s">
        <v>17</v>
      </c>
      <c r="E373" s="31"/>
      <c r="F373" s="173"/>
      <c r="G373" s="173"/>
      <c r="H373" s="173"/>
      <c r="I373" s="173"/>
      <c r="J373" s="173"/>
      <c r="K373" s="173"/>
      <c r="L373" s="173"/>
      <c r="M373" s="173"/>
      <c r="N373" s="173"/>
      <c r="O373" s="173"/>
      <c r="P373" s="128"/>
    </row>
    <row r="374" spans="2:16" ht="17.25" customHeight="1">
      <c r="B374" s="133"/>
      <c r="C374" s="459"/>
      <c r="D374" s="460"/>
      <c r="E374" s="31"/>
      <c r="F374" s="156" t="s">
        <v>277</v>
      </c>
      <c r="G374" s="174"/>
      <c r="H374" s="153">
        <v>1</v>
      </c>
      <c r="I374" s="168">
        <v>1</v>
      </c>
      <c r="J374" s="174"/>
      <c r="K374" s="152">
        <f>'[9]8. Smart Meter Rate  Adder'!$C$20</f>
        <v>0.0898917624704141</v>
      </c>
      <c r="L374" s="171">
        <f>K374</f>
        <v>0.0898917624704141</v>
      </c>
      <c r="M374" s="178">
        <f t="shared" si="56"/>
        <v>-0.9101082375295859</v>
      </c>
      <c r="N374" s="172">
        <f>+M374/I374</f>
        <v>-0.9101082375295859</v>
      </c>
      <c r="O374" s="179">
        <f>L374/L388</f>
        <v>4.253118519217442E-06</v>
      </c>
      <c r="P374" s="128"/>
    </row>
    <row r="375" spans="2:16" ht="17.25" customHeight="1">
      <c r="B375" s="133"/>
      <c r="C375" s="63"/>
      <c r="D375" s="64"/>
      <c r="E375" s="31"/>
      <c r="F375" s="156" t="s">
        <v>169</v>
      </c>
      <c r="G375" s="174"/>
      <c r="H375" s="173"/>
      <c r="I375" s="168">
        <v>0</v>
      </c>
      <c r="J375" s="174"/>
      <c r="K375" s="173"/>
      <c r="L375" s="171">
        <f>'[7]Recovery of Smart Meter Costs'!$C$21</f>
        <v>2.0941673818332727</v>
      </c>
      <c r="M375" s="186">
        <f t="shared" si="56"/>
        <v>2.0941673818332727</v>
      </c>
      <c r="N375" s="172">
        <v>1</v>
      </c>
      <c r="O375" s="179">
        <f>L375/L388</f>
        <v>9.908296187815491E-05</v>
      </c>
      <c r="P375" s="128"/>
    </row>
    <row r="376" spans="2:16" ht="17.25" customHeight="1" hidden="1">
      <c r="B376" s="133"/>
      <c r="C376" s="63"/>
      <c r="D376" s="64"/>
      <c r="E376" s="31"/>
      <c r="P376" s="128"/>
    </row>
    <row r="377" spans="2:16" ht="17.25" customHeight="1" thickBot="1">
      <c r="B377" s="133"/>
      <c r="C377" s="31"/>
      <c r="D377" s="31"/>
      <c r="E377" s="31"/>
      <c r="F377" s="157" t="s">
        <v>247</v>
      </c>
      <c r="G377" s="159">
        <f>+C373</f>
        <v>500</v>
      </c>
      <c r="H377" s="153">
        <f>'2010 Existing Rates'!$D$21</f>
        <v>0</v>
      </c>
      <c r="I377" s="168">
        <f>+G377*H377</f>
        <v>0</v>
      </c>
      <c r="J377" s="159">
        <f>+C373</f>
        <v>500</v>
      </c>
      <c r="K377" s="152">
        <f>'Rate Schedule (Part 1)'!$E$36</f>
        <v>-0.6117197240049442</v>
      </c>
      <c r="L377" s="171">
        <f>+J377*K377</f>
        <v>-305.85986200247214</v>
      </c>
      <c r="M377" s="186">
        <f t="shared" si="56"/>
        <v>-305.85986200247214</v>
      </c>
      <c r="N377" s="172">
        <v>-1</v>
      </c>
      <c r="O377" s="179">
        <f>L377/L388</f>
        <v>-0.014471384336202714</v>
      </c>
      <c r="P377" s="128"/>
    </row>
    <row r="378" spans="2:16" ht="17.25" customHeight="1" thickBot="1">
      <c r="B378" s="133"/>
      <c r="C378" s="31"/>
      <c r="D378" s="31"/>
      <c r="E378" s="31"/>
      <c r="F378" s="189" t="s">
        <v>242</v>
      </c>
      <c r="G378" s="534"/>
      <c r="H378" s="535"/>
      <c r="I378" s="191">
        <f>SUM(I371:I377)</f>
        <v>991.86</v>
      </c>
      <c r="J378" s="534"/>
      <c r="K378" s="535"/>
      <c r="L378" s="191">
        <f>SUM(L371:L377)</f>
        <v>1064.4041971418314</v>
      </c>
      <c r="M378" s="193">
        <f>SUM(M371:M377)</f>
        <v>72.54419714183155</v>
      </c>
      <c r="N378" s="194">
        <f t="shared" si="57"/>
        <v>0.0731395531040989</v>
      </c>
      <c r="O378" s="196">
        <f>SUM(O371:O377)</f>
        <v>0.050360979453336153</v>
      </c>
      <c r="P378" s="128"/>
    </row>
    <row r="379" spans="2:16" ht="17.25" customHeight="1" thickBot="1">
      <c r="B379" s="133"/>
      <c r="C379" s="31"/>
      <c r="D379" s="31"/>
      <c r="E379" s="31"/>
      <c r="F379" s="156" t="s">
        <v>248</v>
      </c>
      <c r="G379" s="295">
        <f>C373</f>
        <v>500</v>
      </c>
      <c r="H379" s="296">
        <f>'Other Electriciy Rates'!$F$12</f>
        <v>2.7103</v>
      </c>
      <c r="I379" s="168">
        <f>+G379*H379</f>
        <v>1355.15</v>
      </c>
      <c r="J379" s="295">
        <f>C373</f>
        <v>500</v>
      </c>
      <c r="K379" s="296">
        <f>'Other Electriciy Rates'!$F$26</f>
        <v>2.4996462231388983</v>
      </c>
      <c r="L379" s="168">
        <f>+J379*K379</f>
        <v>1249.823111569449</v>
      </c>
      <c r="M379" s="297">
        <f>+L379-I379</f>
        <v>-105.32688843055098</v>
      </c>
      <c r="N379" s="176">
        <f t="shared" si="57"/>
        <v>-0.07772341691366341</v>
      </c>
      <c r="O379" s="179">
        <f>L379/L388</f>
        <v>0.05913384803542505</v>
      </c>
      <c r="P379" s="128"/>
    </row>
    <row r="380" spans="2:16" ht="17.25" customHeight="1" thickBot="1">
      <c r="B380" s="133"/>
      <c r="C380" s="31"/>
      <c r="D380" s="31"/>
      <c r="E380" s="31"/>
      <c r="F380" s="189" t="s">
        <v>244</v>
      </c>
      <c r="G380" s="534"/>
      <c r="H380" s="535"/>
      <c r="I380" s="191">
        <f>I378+I379</f>
        <v>2347.01</v>
      </c>
      <c r="J380" s="534"/>
      <c r="K380" s="535"/>
      <c r="L380" s="191">
        <f>L378+L379</f>
        <v>2314.227308711281</v>
      </c>
      <c r="M380" s="193">
        <f>M378+M379</f>
        <v>-32.782691288719434</v>
      </c>
      <c r="N380" s="194">
        <f t="shared" si="57"/>
        <v>-0.013967853263820534</v>
      </c>
      <c r="O380" s="298">
        <f>L380/L388</f>
        <v>0.10949482748876119</v>
      </c>
      <c r="P380" s="128"/>
    </row>
    <row r="381" spans="2:16" ht="17.25" customHeight="1">
      <c r="B381" s="133"/>
      <c r="C381" s="31"/>
      <c r="D381" s="31"/>
      <c r="E381" s="31"/>
      <c r="F381" s="158" t="s">
        <v>284</v>
      </c>
      <c r="G381" s="160">
        <f>C372*'Other Electriciy Rates'!$L$12</f>
        <v>208599.99999999997</v>
      </c>
      <c r="H381" s="161">
        <f>'Other Electriciy Rates'!$C$12</f>
        <v>0.0065</v>
      </c>
      <c r="I381" s="162">
        <f>+G381*H381</f>
        <v>1355.8999999999996</v>
      </c>
      <c r="J381" s="160">
        <f>C372*'Other Electriciy Rates'!$L$26</f>
        <v>208599.99999999997</v>
      </c>
      <c r="K381" s="161">
        <f>'Other Electriciy Rates'!$C$26</f>
        <v>0.0065</v>
      </c>
      <c r="L381" s="185">
        <f>+J381*K381</f>
        <v>1355.8999999999996</v>
      </c>
      <c r="M381" s="186">
        <f>+L381-I381</f>
        <v>0</v>
      </c>
      <c r="N381" s="187">
        <f t="shared" si="57"/>
        <v>0</v>
      </c>
      <c r="O381" s="177">
        <f>L381/L388</f>
        <v>0.06415274594382267</v>
      </c>
      <c r="P381" s="128"/>
    </row>
    <row r="382" spans="2:16" ht="17.25" customHeight="1">
      <c r="B382" s="133"/>
      <c r="C382" s="31"/>
      <c r="D382" s="31"/>
      <c r="E382" s="31"/>
      <c r="F382" s="158" t="s">
        <v>285</v>
      </c>
      <c r="G382" s="160">
        <v>200000</v>
      </c>
      <c r="H382" s="161">
        <f>+'Other Electriciy Rates'!$D$10</f>
        <v>0.007</v>
      </c>
      <c r="I382" s="162">
        <f>+G382*H382</f>
        <v>1400</v>
      </c>
      <c r="J382" s="160">
        <v>200000</v>
      </c>
      <c r="K382" s="161">
        <f>+'Other Electriciy Rates'!$D$10</f>
        <v>0.007</v>
      </c>
      <c r="L382" s="162">
        <f>+J382*K382</f>
        <v>1400</v>
      </c>
      <c r="M382" s="186">
        <f>+L382-I382</f>
        <v>0</v>
      </c>
      <c r="N382" s="187">
        <f t="shared" si="57"/>
        <v>0</v>
      </c>
      <c r="O382" s="465">
        <f>L382/L388</f>
        <v>0.06623928336997695</v>
      </c>
      <c r="P382" s="128"/>
    </row>
    <row r="383" spans="2:16" ht="17.25" customHeight="1">
      <c r="B383" s="133"/>
      <c r="C383" s="31"/>
      <c r="D383" s="31"/>
      <c r="E383" s="31"/>
      <c r="F383" s="156" t="s">
        <v>267</v>
      </c>
      <c r="G383" s="468">
        <f>G372</f>
        <v>500</v>
      </c>
      <c r="H383" s="467">
        <f>'2010 Existing Rates'!$D$32</f>
        <v>0</v>
      </c>
      <c r="I383" s="466">
        <v>0</v>
      </c>
      <c r="J383" s="174"/>
      <c r="K383" s="152">
        <v>0.25</v>
      </c>
      <c r="L383" s="171">
        <v>0.25</v>
      </c>
      <c r="M383" s="186">
        <f>+L383-I383</f>
        <v>0.25</v>
      </c>
      <c r="N383" s="172">
        <v>1</v>
      </c>
      <c r="O383" s="179">
        <f>L383/L388</f>
        <v>1.1828443458924456E-05</v>
      </c>
      <c r="P383" s="128"/>
    </row>
    <row r="384" spans="2:16" ht="17.25" customHeight="1">
      <c r="B384" s="133"/>
      <c r="C384" s="31"/>
      <c r="D384" s="31"/>
      <c r="E384" s="31"/>
      <c r="F384" s="156" t="s">
        <v>275</v>
      </c>
      <c r="G384" s="159">
        <v>200000</v>
      </c>
      <c r="H384" s="153">
        <v>0.000373</v>
      </c>
      <c r="I384" s="168">
        <f>+G384*H384</f>
        <v>74.60000000000001</v>
      </c>
      <c r="J384" s="159">
        <f>G384</f>
        <v>200000</v>
      </c>
      <c r="K384" s="153">
        <v>0.000373</v>
      </c>
      <c r="L384" s="171">
        <f>+J384*K384</f>
        <v>74.60000000000001</v>
      </c>
      <c r="M384" s="186">
        <f>+L384-I384</f>
        <v>0</v>
      </c>
      <c r="N384" s="187">
        <f>+M384/I384</f>
        <v>0</v>
      </c>
      <c r="O384" s="179">
        <f>L384/L388</f>
        <v>0.003529607528143058</v>
      </c>
      <c r="P384" s="128"/>
    </row>
    <row r="385" spans="2:16" ht="17.25" customHeight="1" thickBot="1">
      <c r="B385" s="133"/>
      <c r="C385" s="31"/>
      <c r="D385" s="31"/>
      <c r="E385" s="31"/>
      <c r="F385" s="154" t="s">
        <v>77</v>
      </c>
      <c r="G385" s="160">
        <f>G381</f>
        <v>208599.99999999997</v>
      </c>
      <c r="H385" s="161">
        <f>+'Other Electriciy Rates'!$J$12</f>
        <v>0.065</v>
      </c>
      <c r="I385" s="162">
        <f>+G385*H385</f>
        <v>13558.999999999998</v>
      </c>
      <c r="J385" s="160">
        <f>J381</f>
        <v>208599.99999999997</v>
      </c>
      <c r="K385" s="161">
        <f>'Other Electriciy Rates'!$J$26</f>
        <v>0.065</v>
      </c>
      <c r="L385" s="185">
        <f>+J385*K385</f>
        <v>13558.999999999998</v>
      </c>
      <c r="M385" s="186">
        <f>+L385-I385</f>
        <v>0</v>
      </c>
      <c r="N385" s="187">
        <f t="shared" si="57"/>
        <v>0</v>
      </c>
      <c r="O385" s="179">
        <f>L385/L388</f>
        <v>0.6415274594382268</v>
      </c>
      <c r="P385" s="128"/>
    </row>
    <row r="386" spans="2:16" ht="17.25" customHeight="1" thickBot="1">
      <c r="B386" s="133"/>
      <c r="C386" s="31"/>
      <c r="D386" s="31"/>
      <c r="E386" s="31"/>
      <c r="F386" s="189" t="s">
        <v>194</v>
      </c>
      <c r="G386" s="534"/>
      <c r="H386" s="535"/>
      <c r="I386" s="191">
        <f>SUM(I380:I385)</f>
        <v>18736.51</v>
      </c>
      <c r="J386" s="534"/>
      <c r="K386" s="535"/>
      <c r="L386" s="191">
        <f>SUM(L380:L385)</f>
        <v>18703.977308711277</v>
      </c>
      <c r="M386" s="191">
        <f>SUM(M379:M385)</f>
        <v>-137.8595797192704</v>
      </c>
      <c r="N386" s="194">
        <f t="shared" si="57"/>
        <v>-0.007357804613520364</v>
      </c>
      <c r="O386" s="196">
        <f>L386/L388</f>
        <v>0.8849557522123894</v>
      </c>
      <c r="P386" s="128"/>
    </row>
    <row r="387" spans="2:16" ht="17.25" customHeight="1" thickBot="1">
      <c r="B387" s="133"/>
      <c r="C387" s="31"/>
      <c r="D387" s="31"/>
      <c r="E387" s="31"/>
      <c r="F387" s="240" t="s">
        <v>274</v>
      </c>
      <c r="G387" s="241"/>
      <c r="H387" s="244">
        <v>0.13</v>
      </c>
      <c r="I387" s="242">
        <f>I386*H387</f>
        <v>2435.7463</v>
      </c>
      <c r="J387" s="241"/>
      <c r="K387" s="244">
        <v>0.13</v>
      </c>
      <c r="L387" s="243">
        <f>L386*K387</f>
        <v>2431.517050132466</v>
      </c>
      <c r="M387" s="183">
        <f>+L387-I387</f>
        <v>-4.229249867533781</v>
      </c>
      <c r="N387" s="184">
        <f t="shared" si="57"/>
        <v>-0.001736326097481409</v>
      </c>
      <c r="O387" s="469">
        <f>L387/L388</f>
        <v>0.11504424778761063</v>
      </c>
      <c r="P387" s="128"/>
    </row>
    <row r="388" spans="2:16" ht="17.25" customHeight="1" thickBot="1">
      <c r="B388" s="133"/>
      <c r="C388" s="31"/>
      <c r="D388" s="31"/>
      <c r="E388" s="35"/>
      <c r="F388" s="195" t="s">
        <v>78</v>
      </c>
      <c r="G388" s="534"/>
      <c r="H388" s="535"/>
      <c r="I388" s="191">
        <f>I386+I387</f>
        <v>21172.256299999997</v>
      </c>
      <c r="J388" s="534"/>
      <c r="K388" s="535"/>
      <c r="L388" s="191">
        <f>L386+L387</f>
        <v>21135.49435884374</v>
      </c>
      <c r="M388" s="191">
        <f>M386+M387</f>
        <v>-142.0888295868042</v>
      </c>
      <c r="N388" s="194">
        <f t="shared" si="57"/>
        <v>-0.006711085846188449</v>
      </c>
      <c r="O388" s="196">
        <f>O386+O387</f>
        <v>1</v>
      </c>
      <c r="P388" s="128"/>
    </row>
    <row r="389" spans="2:16" ht="17.25" customHeight="1" thickBot="1">
      <c r="B389" s="129"/>
      <c r="C389" s="139"/>
      <c r="D389" s="139"/>
      <c r="E389" s="139"/>
      <c r="F389" s="140"/>
      <c r="G389" s="141"/>
      <c r="H389" s="142"/>
      <c r="I389" s="143"/>
      <c r="J389" s="141"/>
      <c r="K389" s="144"/>
      <c r="L389" s="143"/>
      <c r="M389" s="145"/>
      <c r="N389" s="146"/>
      <c r="O389" s="147"/>
      <c r="P389" s="130"/>
    </row>
    <row r="390" spans="2:16" ht="17.25" customHeight="1" thickBot="1">
      <c r="B390" s="25"/>
      <c r="C390" s="31"/>
      <c r="D390" s="31"/>
      <c r="E390" s="31"/>
      <c r="F390" s="49"/>
      <c r="G390" s="50"/>
      <c r="H390" s="51"/>
      <c r="I390" s="52"/>
      <c r="J390" s="50"/>
      <c r="K390" s="53"/>
      <c r="L390" s="52"/>
      <c r="M390" s="54"/>
      <c r="N390" s="136"/>
      <c r="O390" s="137"/>
      <c r="P390" s="25"/>
    </row>
    <row r="391" spans="2:16" ht="17.25" customHeight="1">
      <c r="B391" s="135"/>
      <c r="C391" s="536"/>
      <c r="D391" s="536"/>
      <c r="E391" s="536"/>
      <c r="F391" s="536"/>
      <c r="G391" s="536"/>
      <c r="H391" s="536"/>
      <c r="I391" s="536"/>
      <c r="J391" s="536"/>
      <c r="K391" s="536"/>
      <c r="L391" s="536"/>
      <c r="M391" s="536"/>
      <c r="N391" s="536"/>
      <c r="O391" s="536"/>
      <c r="P391" s="127"/>
    </row>
    <row r="392" spans="2:16" ht="23.25">
      <c r="B392" s="133"/>
      <c r="C392" s="538" t="s">
        <v>90</v>
      </c>
      <c r="D392" s="538"/>
      <c r="E392" s="538"/>
      <c r="F392" s="538"/>
      <c r="G392" s="538"/>
      <c r="H392" s="538"/>
      <c r="I392" s="538"/>
      <c r="J392" s="538"/>
      <c r="K392" s="538"/>
      <c r="L392" s="538"/>
      <c r="M392" s="538"/>
      <c r="N392" s="538"/>
      <c r="O392" s="538"/>
      <c r="P392" s="128"/>
    </row>
    <row r="393" spans="2:17" ht="17.25" customHeight="1" thickBot="1">
      <c r="B393" s="133"/>
      <c r="C393" s="541"/>
      <c r="D393" s="541"/>
      <c r="E393" s="541"/>
      <c r="F393" s="541"/>
      <c r="G393" s="541"/>
      <c r="H393" s="541"/>
      <c r="I393" s="541"/>
      <c r="J393" s="541"/>
      <c r="K393" s="541"/>
      <c r="L393" s="541"/>
      <c r="M393" s="541"/>
      <c r="N393" s="541"/>
      <c r="O393" s="541"/>
      <c r="P393" s="128"/>
      <c r="Q393" s="25"/>
    </row>
    <row r="394" spans="2:17" ht="17.25" customHeight="1" thickBot="1">
      <c r="B394" s="133"/>
      <c r="C394" s="134"/>
      <c r="D394" s="134"/>
      <c r="E394" s="31"/>
      <c r="F394" s="32"/>
      <c r="G394" s="529" t="str">
        <f>$G$10</f>
        <v>2010 BILL</v>
      </c>
      <c r="H394" s="530"/>
      <c r="I394" s="531"/>
      <c r="J394" s="529" t="str">
        <f>$J$10</f>
        <v>2011 BILL</v>
      </c>
      <c r="K394" s="530"/>
      <c r="L394" s="531"/>
      <c r="M394" s="529" t="s">
        <v>72</v>
      </c>
      <c r="N394" s="530"/>
      <c r="O394" s="531"/>
      <c r="P394" s="128"/>
      <c r="Q394" s="25"/>
    </row>
    <row r="395" spans="2:17" ht="26.25" thickBot="1">
      <c r="B395" s="133"/>
      <c r="C395" s="31"/>
      <c r="D395" s="31"/>
      <c r="E395" s="33"/>
      <c r="F395" s="34"/>
      <c r="G395" s="353" t="s">
        <v>66</v>
      </c>
      <c r="H395" s="354" t="s">
        <v>67</v>
      </c>
      <c r="I395" s="355" t="s">
        <v>68</v>
      </c>
      <c r="J395" s="356" t="s">
        <v>66</v>
      </c>
      <c r="K395" s="354" t="s">
        <v>67</v>
      </c>
      <c r="L395" s="355" t="s">
        <v>68</v>
      </c>
      <c r="M395" s="350" t="s">
        <v>73</v>
      </c>
      <c r="N395" s="351" t="s">
        <v>74</v>
      </c>
      <c r="O395" s="352" t="s">
        <v>75</v>
      </c>
      <c r="P395" s="128"/>
      <c r="Q395" s="25"/>
    </row>
    <row r="396" spans="2:17" ht="17.25" customHeight="1" thickBot="1">
      <c r="B396" s="133"/>
      <c r="C396" s="532" t="s">
        <v>69</v>
      </c>
      <c r="D396" s="533"/>
      <c r="E396" s="31"/>
      <c r="F396" s="319" t="s">
        <v>70</v>
      </c>
      <c r="G396" s="174"/>
      <c r="H396" s="174"/>
      <c r="I396" s="162">
        <f>+'2010 Existing Rates'!$C$10</f>
        <v>372.26</v>
      </c>
      <c r="J396" s="174"/>
      <c r="K396" s="174"/>
      <c r="L396" s="185">
        <f>+'Distribution Rate Schedule'!$C$33</f>
        <v>528.38</v>
      </c>
      <c r="M396" s="186">
        <f aca="true" t="shared" si="58" ref="M396:M402">+L396-I396</f>
        <v>156.12</v>
      </c>
      <c r="N396" s="187">
        <f aca="true" t="shared" si="59" ref="N396:N413">+M396/I396</f>
        <v>0.419384301294794</v>
      </c>
      <c r="O396" s="179">
        <f>L396/L413</f>
        <v>0.006385834202406143</v>
      </c>
      <c r="P396" s="128"/>
      <c r="Q396" s="25"/>
    </row>
    <row r="397" spans="2:17" ht="17.25" customHeight="1" thickBot="1">
      <c r="B397" s="133"/>
      <c r="C397" s="346">
        <v>800000</v>
      </c>
      <c r="D397" s="347" t="s">
        <v>16</v>
      </c>
      <c r="E397" s="31"/>
      <c r="F397" s="320" t="s">
        <v>81</v>
      </c>
      <c r="G397" s="318">
        <f>+C398</f>
        <v>2000</v>
      </c>
      <c r="H397" s="153">
        <f>'2010 Existing Rates'!$D$55</f>
        <v>1.2372</v>
      </c>
      <c r="I397" s="168">
        <f>+G397*H397</f>
        <v>2474.4</v>
      </c>
      <c r="J397" s="159">
        <f>G397</f>
        <v>2000</v>
      </c>
      <c r="K397" s="152">
        <f>'Rate Schedule (Part 1)'!$E$31</f>
        <v>1.6794</v>
      </c>
      <c r="L397" s="171">
        <f>+J397*K397</f>
        <v>3358.8</v>
      </c>
      <c r="M397" s="186">
        <f t="shared" si="58"/>
        <v>884.4000000000001</v>
      </c>
      <c r="N397" s="187">
        <f t="shared" si="59"/>
        <v>0.35741998060135793</v>
      </c>
      <c r="O397" s="179">
        <f>L397/L413</f>
        <v>0.04059339853711676</v>
      </c>
      <c r="P397" s="128"/>
      <c r="Q397" s="25"/>
    </row>
    <row r="398" spans="2:16" ht="17.25" customHeight="1" thickBot="1">
      <c r="B398" s="133"/>
      <c r="C398" s="346">
        <v>2000</v>
      </c>
      <c r="D398" s="347" t="s">
        <v>17</v>
      </c>
      <c r="E398" s="31"/>
      <c r="F398" s="173"/>
      <c r="G398" s="173"/>
      <c r="H398" s="173"/>
      <c r="I398" s="173"/>
      <c r="J398" s="173"/>
      <c r="K398" s="173"/>
      <c r="L398" s="173"/>
      <c r="M398" s="173"/>
      <c r="N398" s="173"/>
      <c r="O398" s="173"/>
      <c r="P398" s="128"/>
    </row>
    <row r="399" spans="2:16" ht="17.25" customHeight="1">
      <c r="B399" s="133"/>
      <c r="C399" s="459"/>
      <c r="D399" s="460"/>
      <c r="E399" s="31"/>
      <c r="F399" s="156" t="s">
        <v>277</v>
      </c>
      <c r="G399" s="174"/>
      <c r="H399" s="153">
        <v>1</v>
      </c>
      <c r="I399" s="168">
        <v>1</v>
      </c>
      <c r="J399" s="174"/>
      <c r="K399" s="152">
        <f>'[9]8. Smart Meter Rate  Adder'!$C$20</f>
        <v>0.0898917624704141</v>
      </c>
      <c r="L399" s="171">
        <f>K399</f>
        <v>0.0898917624704141</v>
      </c>
      <c r="M399" s="178">
        <f t="shared" si="58"/>
        <v>-0.9101082375295859</v>
      </c>
      <c r="N399" s="172">
        <f>+M399/I399</f>
        <v>-0.9101082375295859</v>
      </c>
      <c r="O399" s="179">
        <f>L399/L413</f>
        <v>1.086403518865474E-06</v>
      </c>
      <c r="P399" s="128"/>
    </row>
    <row r="400" spans="2:16" ht="17.25" customHeight="1">
      <c r="B400" s="133"/>
      <c r="C400" s="63"/>
      <c r="D400" s="64"/>
      <c r="E400" s="31"/>
      <c r="F400" s="156" t="s">
        <v>169</v>
      </c>
      <c r="G400" s="174"/>
      <c r="H400" s="173"/>
      <c r="I400" s="168">
        <v>0</v>
      </c>
      <c r="J400" s="174"/>
      <c r="K400" s="173"/>
      <c r="L400" s="171">
        <f>'[7]Recovery of Smart Meter Costs'!$C$21</f>
        <v>2.0941673818332727</v>
      </c>
      <c r="M400" s="186">
        <f t="shared" si="58"/>
        <v>2.0941673818332727</v>
      </c>
      <c r="N400" s="172">
        <v>1</v>
      </c>
      <c r="O400" s="179">
        <f>L400/L413</f>
        <v>2.530944716392414E-05</v>
      </c>
      <c r="P400" s="128"/>
    </row>
    <row r="401" spans="2:16" ht="17.25" customHeight="1" hidden="1">
      <c r="B401" s="133"/>
      <c r="C401" s="63"/>
      <c r="D401" s="64"/>
      <c r="E401" s="31"/>
      <c r="P401" s="128"/>
    </row>
    <row r="402" spans="2:16" ht="17.25" customHeight="1" thickBot="1">
      <c r="B402" s="133"/>
      <c r="C402" s="31"/>
      <c r="D402" s="31"/>
      <c r="E402" s="31"/>
      <c r="F402" s="157" t="s">
        <v>247</v>
      </c>
      <c r="G402" s="159">
        <f>+C398</f>
        <v>2000</v>
      </c>
      <c r="H402" s="153">
        <f>'2010 Existing Rates'!$D$21</f>
        <v>0</v>
      </c>
      <c r="I402" s="168">
        <f>+G402*H402</f>
        <v>0</v>
      </c>
      <c r="J402" s="159">
        <f>+C398</f>
        <v>2000</v>
      </c>
      <c r="K402" s="152">
        <f>'Rate Schedule (Part 1)'!$E$36</f>
        <v>-0.6117197240049442</v>
      </c>
      <c r="L402" s="171">
        <f>+J402*K402</f>
        <v>-1223.4394480098886</v>
      </c>
      <c r="M402" s="186">
        <f t="shared" si="58"/>
        <v>-1223.4394480098886</v>
      </c>
      <c r="N402" s="172">
        <v>-1</v>
      </c>
      <c r="O402" s="179">
        <f>L402/L413</f>
        <v>-0.014786103697479916</v>
      </c>
      <c r="P402" s="128"/>
    </row>
    <row r="403" spans="2:16" ht="17.25" customHeight="1" thickBot="1">
      <c r="B403" s="133"/>
      <c r="C403" s="31"/>
      <c r="D403" s="31"/>
      <c r="E403" s="31"/>
      <c r="F403" s="189" t="s">
        <v>242</v>
      </c>
      <c r="G403" s="534"/>
      <c r="H403" s="535"/>
      <c r="I403" s="191">
        <f>SUM(I396:I402)</f>
        <v>2847.66</v>
      </c>
      <c r="J403" s="534"/>
      <c r="K403" s="535"/>
      <c r="L403" s="191">
        <f>SUM(L396:L402)</f>
        <v>2665.9246111344155</v>
      </c>
      <c r="M403" s="193">
        <f>SUM(M396:M402)</f>
        <v>-181.7353888655848</v>
      </c>
      <c r="N403" s="194">
        <f t="shared" si="59"/>
        <v>-0.06381920203450722</v>
      </c>
      <c r="O403" s="196">
        <f>SUM(O396:O402)</f>
        <v>0.032219524892725775</v>
      </c>
      <c r="P403" s="128"/>
    </row>
    <row r="404" spans="2:16" ht="17.25" customHeight="1" thickBot="1">
      <c r="B404" s="133"/>
      <c r="C404" s="31"/>
      <c r="D404" s="31"/>
      <c r="E404" s="31"/>
      <c r="F404" s="156" t="s">
        <v>248</v>
      </c>
      <c r="G404" s="295">
        <f>C398</f>
        <v>2000</v>
      </c>
      <c r="H404" s="296">
        <f>'Other Electriciy Rates'!$F$12</f>
        <v>2.7103</v>
      </c>
      <c r="I404" s="168">
        <f>+G404*H404</f>
        <v>5420.6</v>
      </c>
      <c r="J404" s="295">
        <f>C398</f>
        <v>2000</v>
      </c>
      <c r="K404" s="296">
        <f>'Other Electriciy Rates'!$F$26</f>
        <v>2.4996462231388983</v>
      </c>
      <c r="L404" s="168">
        <f>+J404*K404</f>
        <v>4999.292446277796</v>
      </c>
      <c r="M404" s="297">
        <f>+L404-I404</f>
        <v>-421.3075537222039</v>
      </c>
      <c r="N404" s="176">
        <f t="shared" si="59"/>
        <v>-0.07772341691366341</v>
      </c>
      <c r="O404" s="179">
        <f>L404/L413</f>
        <v>0.060419873370058344</v>
      </c>
      <c r="P404" s="128"/>
    </row>
    <row r="405" spans="2:16" ht="17.25" customHeight="1" thickBot="1">
      <c r="B405" s="133"/>
      <c r="C405" s="31"/>
      <c r="D405" s="31"/>
      <c r="E405" s="31"/>
      <c r="F405" s="189" t="s">
        <v>244</v>
      </c>
      <c r="G405" s="534"/>
      <c r="H405" s="535"/>
      <c r="I405" s="191">
        <f>I403+I404</f>
        <v>8268.26</v>
      </c>
      <c r="J405" s="534"/>
      <c r="K405" s="535"/>
      <c r="L405" s="191">
        <f>L403+L404</f>
        <v>7665.217057412212</v>
      </c>
      <c r="M405" s="193">
        <f>M403+M404</f>
        <v>-603.0429425877887</v>
      </c>
      <c r="N405" s="194">
        <f t="shared" si="59"/>
        <v>-0.07293468548253063</v>
      </c>
      <c r="O405" s="298">
        <f>L405/L413</f>
        <v>0.09263939826278413</v>
      </c>
      <c r="P405" s="128"/>
    </row>
    <row r="406" spans="2:16" ht="17.25" customHeight="1">
      <c r="B406" s="133"/>
      <c r="C406" s="31"/>
      <c r="D406" s="31"/>
      <c r="E406" s="31"/>
      <c r="F406" s="158" t="s">
        <v>284</v>
      </c>
      <c r="G406" s="160">
        <f>C397*'Other Electriciy Rates'!$L$12</f>
        <v>834399.9999999999</v>
      </c>
      <c r="H406" s="161">
        <f>'Other Electriciy Rates'!$C$12</f>
        <v>0.0065</v>
      </c>
      <c r="I406" s="162">
        <f>+G406*H406</f>
        <v>5423.5999999999985</v>
      </c>
      <c r="J406" s="160">
        <f>C397*'Other Electriciy Rates'!$L$26</f>
        <v>834399.9999999999</v>
      </c>
      <c r="K406" s="161">
        <f>'Other Electriciy Rates'!$C$26</f>
        <v>0.0065</v>
      </c>
      <c r="L406" s="185">
        <f>+J406*K406</f>
        <v>5423.5999999999985</v>
      </c>
      <c r="M406" s="186">
        <f>+L406-I406</f>
        <v>0</v>
      </c>
      <c r="N406" s="187">
        <f t="shared" si="59"/>
        <v>0</v>
      </c>
      <c r="O406" s="177">
        <f>L406/L413</f>
        <v>0.06554792077703536</v>
      </c>
      <c r="P406" s="128"/>
    </row>
    <row r="407" spans="2:16" ht="17.25" customHeight="1">
      <c r="B407" s="133"/>
      <c r="C407" s="31"/>
      <c r="D407" s="31"/>
      <c r="E407" s="31"/>
      <c r="F407" s="158" t="s">
        <v>285</v>
      </c>
      <c r="G407" s="160">
        <v>800000</v>
      </c>
      <c r="H407" s="161">
        <f>+'Other Electriciy Rates'!$D$10</f>
        <v>0.007</v>
      </c>
      <c r="I407" s="162">
        <f>+G407*H407</f>
        <v>5600</v>
      </c>
      <c r="J407" s="160">
        <v>800000</v>
      </c>
      <c r="K407" s="161">
        <f>+'Other Electriciy Rates'!$D$10</f>
        <v>0.007</v>
      </c>
      <c r="L407" s="162">
        <f>+J407*K407</f>
        <v>5600</v>
      </c>
      <c r="M407" s="186">
        <f>+L407-I407</f>
        <v>0</v>
      </c>
      <c r="N407" s="187">
        <f t="shared" si="59"/>
        <v>0</v>
      </c>
      <c r="O407" s="465">
        <f>L407/L413</f>
        <v>0.06767983559838449</v>
      </c>
      <c r="P407" s="128"/>
    </row>
    <row r="408" spans="2:16" ht="17.25" customHeight="1">
      <c r="B408" s="133"/>
      <c r="C408" s="31"/>
      <c r="D408" s="31"/>
      <c r="E408" s="31"/>
      <c r="F408" s="156" t="s">
        <v>267</v>
      </c>
      <c r="G408" s="468">
        <f>G397</f>
        <v>2000</v>
      </c>
      <c r="H408" s="467">
        <f>'2010 Existing Rates'!$D$32</f>
        <v>0</v>
      </c>
      <c r="I408" s="466">
        <v>0</v>
      </c>
      <c r="J408" s="174"/>
      <c r="K408" s="152">
        <v>0.25</v>
      </c>
      <c r="L408" s="171">
        <v>0.25</v>
      </c>
      <c r="M408" s="186">
        <f>+L408-I408</f>
        <v>0.25</v>
      </c>
      <c r="N408" s="172">
        <v>1</v>
      </c>
      <c r="O408" s="179">
        <f>L408/L413</f>
        <v>3.0214212320707365E-06</v>
      </c>
      <c r="P408" s="128"/>
    </row>
    <row r="409" spans="2:16" ht="17.25" customHeight="1">
      <c r="B409" s="133"/>
      <c r="C409" s="31"/>
      <c r="D409" s="31"/>
      <c r="E409" s="31"/>
      <c r="F409" s="156" t="s">
        <v>275</v>
      </c>
      <c r="G409" s="159">
        <v>800000</v>
      </c>
      <c r="H409" s="153">
        <v>0.000373</v>
      </c>
      <c r="I409" s="168">
        <f>+G409*H409</f>
        <v>298.40000000000003</v>
      </c>
      <c r="J409" s="159">
        <f>G409</f>
        <v>800000</v>
      </c>
      <c r="K409" s="153">
        <v>0.000373</v>
      </c>
      <c r="L409" s="171">
        <f>+J409*K409</f>
        <v>298.40000000000003</v>
      </c>
      <c r="M409" s="186">
        <f>+L409-I409</f>
        <v>0</v>
      </c>
      <c r="N409" s="187">
        <f>+M409/I409</f>
        <v>0</v>
      </c>
      <c r="O409" s="179">
        <f>L409/L413</f>
        <v>0.0036063683825996312</v>
      </c>
      <c r="P409" s="128"/>
    </row>
    <row r="410" spans="2:16" ht="17.25" customHeight="1" thickBot="1">
      <c r="B410" s="133"/>
      <c r="C410" s="31"/>
      <c r="D410" s="31"/>
      <c r="E410" s="31"/>
      <c r="F410" s="154" t="s">
        <v>77</v>
      </c>
      <c r="G410" s="160">
        <f>G406</f>
        <v>834399.9999999999</v>
      </c>
      <c r="H410" s="161">
        <f>+'Other Electriciy Rates'!$J$12</f>
        <v>0.065</v>
      </c>
      <c r="I410" s="162">
        <f>+G410*H410</f>
        <v>54235.99999999999</v>
      </c>
      <c r="J410" s="160">
        <f>J406</f>
        <v>834399.9999999999</v>
      </c>
      <c r="K410" s="161">
        <f>'Other Electriciy Rates'!$J$26</f>
        <v>0.065</v>
      </c>
      <c r="L410" s="185">
        <f>+J410*K410</f>
        <v>54235.99999999999</v>
      </c>
      <c r="M410" s="186">
        <f>+L410-I410</f>
        <v>0</v>
      </c>
      <c r="N410" s="187">
        <f t="shared" si="59"/>
        <v>0</v>
      </c>
      <c r="O410" s="179">
        <f>L410/L413</f>
        <v>0.6554792077703537</v>
      </c>
      <c r="P410" s="128"/>
    </row>
    <row r="411" spans="2:16" ht="17.25" customHeight="1" thickBot="1">
      <c r="B411" s="133"/>
      <c r="C411" s="31"/>
      <c r="D411" s="31"/>
      <c r="E411" s="31"/>
      <c r="F411" s="189" t="s">
        <v>194</v>
      </c>
      <c r="G411" s="534"/>
      <c r="H411" s="535"/>
      <c r="I411" s="191">
        <f>SUM(I405:I410)</f>
        <v>73826.26</v>
      </c>
      <c r="J411" s="534"/>
      <c r="K411" s="535"/>
      <c r="L411" s="191">
        <f>SUM(L405:L410)</f>
        <v>73223.4670574122</v>
      </c>
      <c r="M411" s="191">
        <f>SUM(M404:M410)</f>
        <v>-1024.1004963099926</v>
      </c>
      <c r="N411" s="194">
        <f t="shared" si="59"/>
        <v>-0.013871764549768507</v>
      </c>
      <c r="O411" s="196">
        <f>L411/L413</f>
        <v>0.8849557522123894</v>
      </c>
      <c r="P411" s="128"/>
    </row>
    <row r="412" spans="2:16" ht="17.25" customHeight="1" thickBot="1">
      <c r="B412" s="133"/>
      <c r="C412" s="31"/>
      <c r="D412" s="31"/>
      <c r="E412" s="31"/>
      <c r="F412" s="240" t="s">
        <v>274</v>
      </c>
      <c r="G412" s="241"/>
      <c r="H412" s="244">
        <v>0.13</v>
      </c>
      <c r="I412" s="242">
        <f>I411*H412</f>
        <v>9597.4138</v>
      </c>
      <c r="J412" s="241"/>
      <c r="K412" s="244">
        <v>0.13</v>
      </c>
      <c r="L412" s="243">
        <f>L411*K412</f>
        <v>9519.050717463586</v>
      </c>
      <c r="M412" s="183">
        <f>+L412-I412</f>
        <v>-78.36308253641437</v>
      </c>
      <c r="N412" s="184">
        <f t="shared" si="59"/>
        <v>-0.008165020720104239</v>
      </c>
      <c r="O412" s="469">
        <f>L412/L413</f>
        <v>0.11504424778761062</v>
      </c>
      <c r="P412" s="128"/>
    </row>
    <row r="413" spans="2:16" ht="17.25" customHeight="1" thickBot="1">
      <c r="B413" s="133"/>
      <c r="C413" s="31"/>
      <c r="D413" s="31"/>
      <c r="E413" s="35"/>
      <c r="F413" s="195" t="s">
        <v>78</v>
      </c>
      <c r="G413" s="534"/>
      <c r="H413" s="535"/>
      <c r="I413" s="191">
        <f>I411+I412</f>
        <v>83423.67379999999</v>
      </c>
      <c r="J413" s="534"/>
      <c r="K413" s="535"/>
      <c r="L413" s="191">
        <f>L411+L412</f>
        <v>82742.51777487579</v>
      </c>
      <c r="M413" s="191">
        <f>M411+M412</f>
        <v>-1102.463578846407</v>
      </c>
      <c r="N413" s="194">
        <f t="shared" si="59"/>
        <v>-0.013215236498568194</v>
      </c>
      <c r="O413" s="196">
        <f>O411+O412</f>
        <v>1</v>
      </c>
      <c r="P413" s="128"/>
    </row>
    <row r="414" spans="2:16" ht="17.25" customHeight="1" thickBot="1">
      <c r="B414" s="129"/>
      <c r="C414" s="139"/>
      <c r="D414" s="139"/>
      <c r="E414" s="139"/>
      <c r="F414" s="140"/>
      <c r="G414" s="141"/>
      <c r="H414" s="142"/>
      <c r="I414" s="143"/>
      <c r="J414" s="141"/>
      <c r="K414" s="144"/>
      <c r="L414" s="143"/>
      <c r="M414" s="145"/>
      <c r="N414" s="146"/>
      <c r="O414" s="147"/>
      <c r="P414" s="130"/>
    </row>
    <row r="415" spans="2:16" ht="17.25" customHeight="1">
      <c r="B415" s="25"/>
      <c r="C415" s="31"/>
      <c r="D415" s="31"/>
      <c r="E415" s="31"/>
      <c r="F415" s="49"/>
      <c r="G415" s="50"/>
      <c r="H415" s="51"/>
      <c r="I415" s="52"/>
      <c r="J415" s="50"/>
      <c r="K415" s="53"/>
      <c r="L415" s="52"/>
      <c r="M415" s="54"/>
      <c r="N415" s="136"/>
      <c r="O415" s="137"/>
      <c r="P415" s="25"/>
    </row>
    <row r="416" spans="2:16" ht="17.25" customHeight="1" hidden="1">
      <c r="B416" s="135"/>
      <c r="C416" s="536"/>
      <c r="D416" s="536"/>
      <c r="E416" s="536"/>
      <c r="F416" s="536"/>
      <c r="G416" s="536"/>
      <c r="H416" s="536"/>
      <c r="I416" s="536"/>
      <c r="J416" s="536"/>
      <c r="K416" s="536"/>
      <c r="L416" s="536"/>
      <c r="M416" s="536"/>
      <c r="N416" s="536"/>
      <c r="O416" s="536"/>
      <c r="P416" s="127"/>
    </row>
    <row r="417" spans="2:16" ht="23.25" hidden="1">
      <c r="B417" s="133"/>
      <c r="C417" s="538" t="s">
        <v>90</v>
      </c>
      <c r="D417" s="538"/>
      <c r="E417" s="538"/>
      <c r="F417" s="538"/>
      <c r="G417" s="538"/>
      <c r="H417" s="538"/>
      <c r="I417" s="538"/>
      <c r="J417" s="538"/>
      <c r="K417" s="538"/>
      <c r="L417" s="538"/>
      <c r="M417" s="538"/>
      <c r="N417" s="538"/>
      <c r="O417" s="538"/>
      <c r="P417" s="128"/>
    </row>
    <row r="418" spans="2:17" ht="17.25" customHeight="1" hidden="1" thickBot="1">
      <c r="B418" s="133"/>
      <c r="C418" s="541"/>
      <c r="D418" s="541"/>
      <c r="E418" s="541"/>
      <c r="F418" s="541"/>
      <c r="G418" s="541"/>
      <c r="H418" s="541"/>
      <c r="I418" s="541"/>
      <c r="J418" s="541"/>
      <c r="K418" s="541"/>
      <c r="L418" s="541"/>
      <c r="M418" s="541"/>
      <c r="N418" s="541"/>
      <c r="O418" s="541"/>
      <c r="P418" s="128"/>
      <c r="Q418" s="25"/>
    </row>
    <row r="419" spans="2:17" ht="17.25" customHeight="1" hidden="1" thickBot="1">
      <c r="B419" s="133"/>
      <c r="C419" s="134"/>
      <c r="D419" s="134"/>
      <c r="E419" s="31"/>
      <c r="F419" s="32"/>
      <c r="G419" s="529" t="str">
        <f>$G$10</f>
        <v>2010 BILL</v>
      </c>
      <c r="H419" s="530"/>
      <c r="I419" s="531"/>
      <c r="J419" s="529" t="str">
        <f>$J$10</f>
        <v>2011 BILL</v>
      </c>
      <c r="K419" s="530"/>
      <c r="L419" s="531"/>
      <c r="M419" s="529" t="s">
        <v>72</v>
      </c>
      <c r="N419" s="530"/>
      <c r="O419" s="531"/>
      <c r="P419" s="128"/>
      <c r="Q419" s="25"/>
    </row>
    <row r="420" spans="2:17" ht="26.25" hidden="1" thickBot="1">
      <c r="B420" s="133"/>
      <c r="C420" s="31"/>
      <c r="D420" s="31"/>
      <c r="E420" s="33"/>
      <c r="F420" s="34"/>
      <c r="G420" s="353" t="s">
        <v>66</v>
      </c>
      <c r="H420" s="354" t="s">
        <v>67</v>
      </c>
      <c r="I420" s="355" t="s">
        <v>68</v>
      </c>
      <c r="J420" s="356" t="s">
        <v>66</v>
      </c>
      <c r="K420" s="354" t="s">
        <v>67</v>
      </c>
      <c r="L420" s="355" t="s">
        <v>68</v>
      </c>
      <c r="M420" s="350" t="s">
        <v>73</v>
      </c>
      <c r="N420" s="351" t="s">
        <v>74</v>
      </c>
      <c r="O420" s="352" t="s">
        <v>75</v>
      </c>
      <c r="P420" s="128"/>
      <c r="Q420" s="25"/>
    </row>
    <row r="421" spans="2:17" ht="17.25" customHeight="1" hidden="1" thickBot="1">
      <c r="B421" s="133"/>
      <c r="C421" s="532" t="s">
        <v>69</v>
      </c>
      <c r="D421" s="533"/>
      <c r="E421" s="31"/>
      <c r="F421" s="319" t="s">
        <v>70</v>
      </c>
      <c r="G421" s="317"/>
      <c r="H421" s="311"/>
      <c r="I421" s="162">
        <f>+'2010 Existing Rates'!$C$10</f>
        <v>372.26</v>
      </c>
      <c r="J421" s="160"/>
      <c r="K421" s="312"/>
      <c r="L421" s="185">
        <f>+'Distribution Rate Schedule'!$C$33</f>
        <v>528.38</v>
      </c>
      <c r="M421" s="186">
        <f aca="true" t="shared" si="60" ref="M421:M427">+L421-I421</f>
        <v>156.12</v>
      </c>
      <c r="N421" s="187">
        <f aca="true" t="shared" si="61" ref="N421:N435">+M421/I421</f>
        <v>0.419384301294794</v>
      </c>
      <c r="O421" s="179">
        <f>L421/L435</f>
        <v>0.0032070114275468743</v>
      </c>
      <c r="P421" s="128"/>
      <c r="Q421" s="25"/>
    </row>
    <row r="422" spans="2:17" ht="17.25" customHeight="1" hidden="1" thickBot="1">
      <c r="B422" s="133"/>
      <c r="C422" s="346">
        <v>1600000</v>
      </c>
      <c r="D422" s="347" t="s">
        <v>16</v>
      </c>
      <c r="E422" s="31"/>
      <c r="F422" s="320" t="s">
        <v>81</v>
      </c>
      <c r="G422" s="318">
        <f>+C423</f>
        <v>4000</v>
      </c>
      <c r="H422" s="153">
        <f>'2010 Existing Rates'!$D$55</f>
        <v>1.2372</v>
      </c>
      <c r="I422" s="168">
        <f>+G422*H422</f>
        <v>4948.8</v>
      </c>
      <c r="J422" s="159">
        <f>G422</f>
        <v>4000</v>
      </c>
      <c r="K422" s="152">
        <f>'Rate Schedule (Part 1)'!$E$31</f>
        <v>1.6794</v>
      </c>
      <c r="L422" s="171">
        <f>+J422*K422</f>
        <v>6717.6</v>
      </c>
      <c r="M422" s="186">
        <f t="shared" si="60"/>
        <v>1768.8000000000002</v>
      </c>
      <c r="N422" s="187">
        <f t="shared" si="61"/>
        <v>0.35741998060135793</v>
      </c>
      <c r="O422" s="179">
        <f>L422/L435</f>
        <v>0.04077258784527969</v>
      </c>
      <c r="P422" s="128"/>
      <c r="Q422" s="25"/>
    </row>
    <row r="423" spans="2:16" ht="17.25" customHeight="1" hidden="1" thickBot="1">
      <c r="B423" s="133"/>
      <c r="C423" s="346">
        <v>4000</v>
      </c>
      <c r="D423" s="347" t="s">
        <v>17</v>
      </c>
      <c r="E423" s="31"/>
      <c r="F423" s="156" t="s">
        <v>267</v>
      </c>
      <c r="G423" s="266">
        <f>G422</f>
        <v>4000</v>
      </c>
      <c r="H423" s="321">
        <f>'2010 Existing Rates'!$D$32</f>
        <v>0</v>
      </c>
      <c r="J423" s="174"/>
      <c r="K423" s="152">
        <v>0.25</v>
      </c>
      <c r="L423" s="171">
        <v>0.25</v>
      </c>
      <c r="M423" s="186">
        <f t="shared" si="60"/>
        <v>0.25</v>
      </c>
      <c r="N423" s="187" t="e">
        <f t="shared" si="61"/>
        <v>#DIV/0!</v>
      </c>
      <c r="O423" s="179">
        <f>L423/L435</f>
        <v>1.5173792666011554E-06</v>
      </c>
      <c r="P423" s="128"/>
    </row>
    <row r="424" spans="2:16" ht="17.25" customHeight="1" hidden="1">
      <c r="B424" s="133"/>
      <c r="C424" s="459"/>
      <c r="D424" s="460"/>
      <c r="E424" s="31"/>
      <c r="F424" s="156" t="s">
        <v>277</v>
      </c>
      <c r="G424" s="159"/>
      <c r="H424" s="153">
        <v>1</v>
      </c>
      <c r="I424" s="168">
        <v>1</v>
      </c>
      <c r="J424" s="174"/>
      <c r="K424" s="152">
        <v>1</v>
      </c>
      <c r="L424" s="171">
        <v>1</v>
      </c>
      <c r="M424" s="178">
        <f t="shared" si="60"/>
        <v>0</v>
      </c>
      <c r="N424" s="172">
        <f>+M424/I424</f>
        <v>0</v>
      </c>
      <c r="O424" s="179" t="e">
        <f>L424/L436</f>
        <v>#DIV/0!</v>
      </c>
      <c r="P424" s="128"/>
    </row>
    <row r="425" spans="2:16" ht="17.25" customHeight="1" hidden="1">
      <c r="B425" s="133"/>
      <c r="C425" s="63"/>
      <c r="D425" s="64"/>
      <c r="E425" s="31"/>
      <c r="F425" s="156" t="s">
        <v>169</v>
      </c>
      <c r="G425" s="174"/>
      <c r="H425" s="173"/>
      <c r="I425" s="168">
        <v>0</v>
      </c>
      <c r="J425" s="174"/>
      <c r="K425" s="173"/>
      <c r="L425" s="168">
        <f>'Rate Schedule (Part 1)'!$E$34</f>
        <v>2.0941673818332727</v>
      </c>
      <c r="M425" s="186">
        <f t="shared" si="60"/>
        <v>2.0941673818332727</v>
      </c>
      <c r="N425" s="187" t="e">
        <f t="shared" si="61"/>
        <v>#DIV/0!</v>
      </c>
      <c r="O425" s="179">
        <f>L425/L435</f>
        <v>1.2710584663944934E-05</v>
      </c>
      <c r="P425" s="128"/>
    </row>
    <row r="426" spans="2:16" ht="17.25" customHeight="1" hidden="1">
      <c r="B426" s="133"/>
      <c r="C426" s="63"/>
      <c r="D426" s="64"/>
      <c r="E426" s="31"/>
      <c r="F426" s="156" t="s">
        <v>275</v>
      </c>
      <c r="G426" s="159">
        <f>G423</f>
        <v>4000</v>
      </c>
      <c r="H426" s="153">
        <v>0.000373</v>
      </c>
      <c r="I426" s="168">
        <f>+G426*H426</f>
        <v>1.492</v>
      </c>
      <c r="J426" s="159">
        <f>G426</f>
        <v>4000</v>
      </c>
      <c r="K426" s="153">
        <v>0.000373</v>
      </c>
      <c r="L426" s="171">
        <f>+J426*K426</f>
        <v>1.492</v>
      </c>
      <c r="M426" s="186">
        <f t="shared" si="60"/>
        <v>0</v>
      </c>
      <c r="N426" s="187">
        <f t="shared" si="61"/>
        <v>0</v>
      </c>
      <c r="O426" s="179">
        <f>L426/L435</f>
        <v>9.055719463075696E-06</v>
      </c>
      <c r="P426" s="128"/>
    </row>
    <row r="427" spans="2:16" ht="17.25" customHeight="1" hidden="1" thickBot="1">
      <c r="B427" s="133"/>
      <c r="C427" s="31"/>
      <c r="D427" s="31"/>
      <c r="E427" s="31"/>
      <c r="F427" s="157" t="s">
        <v>247</v>
      </c>
      <c r="G427" s="159">
        <f>+C423</f>
        <v>4000</v>
      </c>
      <c r="H427" s="153">
        <f>'2010 Existing Rates'!$D$21</f>
        <v>0</v>
      </c>
      <c r="I427" s="168">
        <f>+G427*H427</f>
        <v>0</v>
      </c>
      <c r="J427" s="159">
        <f>+C423</f>
        <v>4000</v>
      </c>
      <c r="K427" s="152">
        <f>'Rate Schedule (Part 1)'!$E$36</f>
        <v>-0.6117197240049442</v>
      </c>
      <c r="L427" s="171">
        <f>+J427*K427</f>
        <v>-2446.878896019777</v>
      </c>
      <c r="M427" s="186">
        <f t="shared" si="60"/>
        <v>-2446.878896019777</v>
      </c>
      <c r="N427" s="187" t="e">
        <f t="shared" si="61"/>
        <v>#DIV/0!</v>
      </c>
      <c r="O427" s="179">
        <f>L427/L435</f>
        <v>-0.014851373218817337</v>
      </c>
      <c r="P427" s="128"/>
    </row>
    <row r="428" spans="2:16" ht="17.25" customHeight="1" hidden="1" thickBot="1">
      <c r="B428" s="133"/>
      <c r="C428" s="31"/>
      <c r="D428" s="31"/>
      <c r="E428" s="31"/>
      <c r="F428" s="189" t="s">
        <v>242</v>
      </c>
      <c r="G428" s="534"/>
      <c r="H428" s="535"/>
      <c r="I428" s="191">
        <f>SUM(I421:I427)</f>
        <v>5323.552000000001</v>
      </c>
      <c r="J428" s="534"/>
      <c r="K428" s="535"/>
      <c r="L428" s="191">
        <f>SUM(L421:L427)</f>
        <v>4803.937271362057</v>
      </c>
      <c r="M428" s="193">
        <f>SUM(M421:M427)</f>
        <v>-519.6147286379437</v>
      </c>
      <c r="N428" s="194">
        <f t="shared" si="61"/>
        <v>-0.09760677244026988</v>
      </c>
      <c r="O428" s="196" t="e">
        <f>SUM(O421:O427)</f>
        <v>#DIV/0!</v>
      </c>
      <c r="P428" s="128"/>
    </row>
    <row r="429" spans="2:16" ht="17.25" customHeight="1" hidden="1" thickBot="1">
      <c r="B429" s="133"/>
      <c r="C429" s="31"/>
      <c r="D429" s="31"/>
      <c r="E429" s="31"/>
      <c r="F429" s="156" t="s">
        <v>248</v>
      </c>
      <c r="G429" s="295">
        <f>C423</f>
        <v>4000</v>
      </c>
      <c r="H429" s="296">
        <f>'Other Electriciy Rates'!$F$12</f>
        <v>2.7103</v>
      </c>
      <c r="I429" s="168">
        <f>+G429*H429</f>
        <v>10841.2</v>
      </c>
      <c r="J429" s="295">
        <f>C423</f>
        <v>4000</v>
      </c>
      <c r="K429" s="296">
        <f>'Other Electriciy Rates'!$F$26</f>
        <v>2.4996462231388983</v>
      </c>
      <c r="L429" s="168">
        <f>+J429*K429</f>
        <v>9998.584892555593</v>
      </c>
      <c r="M429" s="297">
        <f>+L429-I429</f>
        <v>-842.6151074444078</v>
      </c>
      <c r="N429" s="176">
        <f t="shared" si="61"/>
        <v>-0.07772341691366341</v>
      </c>
      <c r="O429" s="179">
        <f>L429/L435</f>
        <v>0.0606865816452616</v>
      </c>
      <c r="P429" s="128"/>
    </row>
    <row r="430" spans="2:16" ht="17.25" customHeight="1" hidden="1" thickBot="1">
      <c r="B430" s="133"/>
      <c r="C430" s="31"/>
      <c r="D430" s="31"/>
      <c r="E430" s="31"/>
      <c r="F430" s="189" t="s">
        <v>244</v>
      </c>
      <c r="G430" s="534"/>
      <c r="H430" s="535"/>
      <c r="I430" s="191">
        <f>I428+I429</f>
        <v>16164.752</v>
      </c>
      <c r="J430" s="534"/>
      <c r="K430" s="535"/>
      <c r="L430" s="191">
        <f>L428+L429</f>
        <v>14802.522163917649</v>
      </c>
      <c r="M430" s="193">
        <f>M428+M429</f>
        <v>-1362.2298360823515</v>
      </c>
      <c r="N430" s="194">
        <f t="shared" si="61"/>
        <v>-0.08427161988518918</v>
      </c>
      <c r="O430" s="298">
        <f>L430/L435</f>
        <v>0.08984416089973084</v>
      </c>
      <c r="P430" s="128"/>
    </row>
    <row r="431" spans="2:16" ht="17.25" customHeight="1" hidden="1">
      <c r="B431" s="133"/>
      <c r="C431" s="31"/>
      <c r="D431" s="31"/>
      <c r="E431" s="31"/>
      <c r="F431" s="154" t="s">
        <v>76</v>
      </c>
      <c r="G431" s="160">
        <f>C422*'Other Electriciy Rates'!$L$12</f>
        <v>1668799.9999999998</v>
      </c>
      <c r="H431" s="161">
        <f>'Other Electriciy Rates'!$C$12+'Other Electriciy Rates'!$D$12</f>
        <v>0.0135</v>
      </c>
      <c r="I431" s="162">
        <f>+G431*H431</f>
        <v>22528.799999999996</v>
      </c>
      <c r="J431" s="160">
        <f>C422*'Other Electriciy Rates'!$L$26</f>
        <v>1668799.9999999998</v>
      </c>
      <c r="K431" s="161">
        <f>'Other Electriciy Rates'!$C$26+'Other Electriciy Rates'!$D$26</f>
        <v>0.0135</v>
      </c>
      <c r="L431" s="185">
        <f>+J431*K431</f>
        <v>22528.799999999996</v>
      </c>
      <c r="M431" s="186">
        <f>+L431-I431</f>
        <v>0</v>
      </c>
      <c r="N431" s="187">
        <f t="shared" si="61"/>
        <v>0</v>
      </c>
      <c r="O431" s="179">
        <f>L431/L435</f>
        <v>0.1367389360856164</v>
      </c>
      <c r="P431" s="128"/>
    </row>
    <row r="432" spans="2:16" ht="17.25" customHeight="1" hidden="1" thickBot="1">
      <c r="B432" s="133"/>
      <c r="C432" s="31"/>
      <c r="D432" s="31"/>
      <c r="E432" s="31"/>
      <c r="F432" s="154" t="s">
        <v>77</v>
      </c>
      <c r="G432" s="160">
        <f>G431</f>
        <v>1668799.9999999998</v>
      </c>
      <c r="H432" s="161">
        <f>+'Other Electriciy Rates'!$J$12</f>
        <v>0.065</v>
      </c>
      <c r="I432" s="162">
        <f>+G432*H432</f>
        <v>108471.99999999999</v>
      </c>
      <c r="J432" s="160">
        <f>J431</f>
        <v>1668799.9999999998</v>
      </c>
      <c r="K432" s="161">
        <f>'Other Electriciy Rates'!$J$26</f>
        <v>0.065</v>
      </c>
      <c r="L432" s="185">
        <f>+J432*K432</f>
        <v>108471.99999999999</v>
      </c>
      <c r="M432" s="186">
        <f>+L432-I432</f>
        <v>0</v>
      </c>
      <c r="N432" s="187">
        <f t="shared" si="61"/>
        <v>0</v>
      </c>
      <c r="O432" s="179">
        <f>L432/L435</f>
        <v>0.658372655227042</v>
      </c>
      <c r="P432" s="128"/>
    </row>
    <row r="433" spans="2:16" ht="17.25" customHeight="1" hidden="1" thickBot="1">
      <c r="B433" s="133"/>
      <c r="C433" s="31"/>
      <c r="D433" s="31"/>
      <c r="E433" s="31"/>
      <c r="F433" s="189" t="s">
        <v>194</v>
      </c>
      <c r="G433" s="534"/>
      <c r="H433" s="535"/>
      <c r="I433" s="191">
        <f>I430+I431+I432</f>
        <v>147165.55199999997</v>
      </c>
      <c r="J433" s="534"/>
      <c r="K433" s="535"/>
      <c r="L433" s="191">
        <f>L430+L431+L432</f>
        <v>145803.32216391765</v>
      </c>
      <c r="M433" s="191">
        <f>M430+M431+M432</f>
        <v>-1362.2298360823515</v>
      </c>
      <c r="N433" s="194">
        <f t="shared" si="61"/>
        <v>-0.009256444987087413</v>
      </c>
      <c r="O433" s="298">
        <f>L433/L435</f>
        <v>0.8849557522123894</v>
      </c>
      <c r="P433" s="128"/>
    </row>
    <row r="434" spans="2:16" ht="17.25" customHeight="1" hidden="1" thickBot="1">
      <c r="B434" s="133"/>
      <c r="C434" s="31"/>
      <c r="D434" s="31"/>
      <c r="E434" s="31"/>
      <c r="F434" s="240" t="s">
        <v>274</v>
      </c>
      <c r="G434" s="241"/>
      <c r="H434" s="244">
        <v>0.13</v>
      </c>
      <c r="I434" s="242">
        <f>I433*H434</f>
        <v>19131.521759999996</v>
      </c>
      <c r="J434" s="241"/>
      <c r="K434" s="244">
        <v>0.13</v>
      </c>
      <c r="L434" s="243">
        <f>L433*K434</f>
        <v>18954.431881309294</v>
      </c>
      <c r="M434" s="183">
        <f>+L434-I434</f>
        <v>-177.08987869070188</v>
      </c>
      <c r="N434" s="184">
        <f t="shared" si="61"/>
        <v>-0.009256444987087211</v>
      </c>
      <c r="O434" s="197">
        <f>L434/L435</f>
        <v>0.11504424778761063</v>
      </c>
      <c r="P434" s="128"/>
    </row>
    <row r="435" spans="2:16" ht="17.25" customHeight="1" hidden="1" thickBot="1">
      <c r="B435" s="133"/>
      <c r="C435" s="31"/>
      <c r="D435" s="31"/>
      <c r="E435" s="35"/>
      <c r="F435" s="195" t="s">
        <v>78</v>
      </c>
      <c r="G435" s="534"/>
      <c r="H435" s="535"/>
      <c r="I435" s="191">
        <f>I433+I434</f>
        <v>166297.07375999997</v>
      </c>
      <c r="J435" s="534"/>
      <c r="K435" s="535"/>
      <c r="L435" s="191">
        <f>L433+L434</f>
        <v>164757.75404522693</v>
      </c>
      <c r="M435" s="191">
        <f>M433+M434</f>
        <v>-1539.3197147730534</v>
      </c>
      <c r="N435" s="194">
        <f t="shared" si="61"/>
        <v>-0.009256444987087388</v>
      </c>
      <c r="O435" s="196">
        <f>O433+O434</f>
        <v>1</v>
      </c>
      <c r="P435" s="128"/>
    </row>
    <row r="436" spans="2:16" ht="17.25" customHeight="1" hidden="1" thickBot="1">
      <c r="B436" s="129"/>
      <c r="C436" s="139"/>
      <c r="D436" s="139"/>
      <c r="E436" s="139"/>
      <c r="F436" s="140"/>
      <c r="G436" s="141"/>
      <c r="H436" s="142"/>
      <c r="I436" s="143"/>
      <c r="J436" s="141"/>
      <c r="K436" s="144"/>
      <c r="L436" s="143"/>
      <c r="M436" s="145"/>
      <c r="N436" s="146"/>
      <c r="O436" s="147"/>
      <c r="P436" s="130"/>
    </row>
    <row r="437" spans="2:16" ht="18" customHeight="1" hidden="1" thickBot="1">
      <c r="B437" s="25"/>
      <c r="C437" s="31"/>
      <c r="D437" s="31"/>
      <c r="E437" s="31"/>
      <c r="F437" s="49"/>
      <c r="G437" s="50"/>
      <c r="H437" s="51"/>
      <c r="I437" s="52"/>
      <c r="J437" s="50"/>
      <c r="K437" s="53"/>
      <c r="L437" s="52"/>
      <c r="M437" s="54"/>
      <c r="N437" s="136"/>
      <c r="O437" s="137"/>
      <c r="P437" s="25"/>
    </row>
    <row r="438" spans="2:16" ht="17.25" customHeight="1" hidden="1">
      <c r="B438" s="135"/>
      <c r="C438" s="536"/>
      <c r="D438" s="536"/>
      <c r="E438" s="536"/>
      <c r="F438" s="536"/>
      <c r="G438" s="536"/>
      <c r="H438" s="536"/>
      <c r="I438" s="536"/>
      <c r="J438" s="536"/>
      <c r="K438" s="536"/>
      <c r="L438" s="536"/>
      <c r="M438" s="536"/>
      <c r="N438" s="536"/>
      <c r="O438" s="536"/>
      <c r="P438" s="127"/>
    </row>
    <row r="439" spans="2:16" ht="23.25" hidden="1">
      <c r="B439" s="133"/>
      <c r="C439" s="538" t="s">
        <v>90</v>
      </c>
      <c r="D439" s="538"/>
      <c r="E439" s="538"/>
      <c r="F439" s="538"/>
      <c r="G439" s="538"/>
      <c r="H439" s="538"/>
      <c r="I439" s="538"/>
      <c r="J439" s="538"/>
      <c r="K439" s="538"/>
      <c r="L439" s="538"/>
      <c r="M439" s="538"/>
      <c r="N439" s="538"/>
      <c r="O439" s="538"/>
      <c r="P439" s="128"/>
    </row>
    <row r="440" spans="2:17" ht="17.25" customHeight="1" hidden="1" thickBot="1">
      <c r="B440" s="133"/>
      <c r="C440" s="541"/>
      <c r="D440" s="541"/>
      <c r="E440" s="541"/>
      <c r="F440" s="541"/>
      <c r="G440" s="541"/>
      <c r="H440" s="541"/>
      <c r="I440" s="541"/>
      <c r="J440" s="541"/>
      <c r="K440" s="541"/>
      <c r="L440" s="541"/>
      <c r="M440" s="541"/>
      <c r="N440" s="541"/>
      <c r="O440" s="541"/>
      <c r="P440" s="128"/>
      <c r="Q440" s="25"/>
    </row>
    <row r="441" spans="2:17" ht="17.25" customHeight="1" hidden="1" thickBot="1">
      <c r="B441" s="133"/>
      <c r="C441" s="134"/>
      <c r="D441" s="134"/>
      <c r="E441" s="31"/>
      <c r="F441" s="32"/>
      <c r="G441" s="529" t="str">
        <f>$G$10</f>
        <v>2010 BILL</v>
      </c>
      <c r="H441" s="530"/>
      <c r="I441" s="531"/>
      <c r="J441" s="529" t="str">
        <f>$J$10</f>
        <v>2011 BILL</v>
      </c>
      <c r="K441" s="530"/>
      <c r="L441" s="531"/>
      <c r="M441" s="529" t="s">
        <v>72</v>
      </c>
      <c r="N441" s="530"/>
      <c r="O441" s="531"/>
      <c r="P441" s="128"/>
      <c r="Q441" s="25"/>
    </row>
    <row r="442" spans="2:17" ht="26.25" hidden="1" thickBot="1">
      <c r="B442" s="133"/>
      <c r="C442" s="31"/>
      <c r="D442" s="31"/>
      <c r="E442" s="33"/>
      <c r="F442" s="34"/>
      <c r="G442" s="353" t="s">
        <v>66</v>
      </c>
      <c r="H442" s="354" t="s">
        <v>67</v>
      </c>
      <c r="I442" s="355" t="s">
        <v>68</v>
      </c>
      <c r="J442" s="356" t="s">
        <v>66</v>
      </c>
      <c r="K442" s="354" t="s">
        <v>67</v>
      </c>
      <c r="L442" s="355" t="s">
        <v>68</v>
      </c>
      <c r="M442" s="350" t="s">
        <v>73</v>
      </c>
      <c r="N442" s="351" t="s">
        <v>74</v>
      </c>
      <c r="O442" s="352" t="s">
        <v>75</v>
      </c>
      <c r="P442" s="128"/>
      <c r="Q442" s="25"/>
    </row>
    <row r="443" spans="2:17" ht="17.25" customHeight="1" hidden="1" thickBot="1">
      <c r="B443" s="133"/>
      <c r="C443" s="532" t="s">
        <v>69</v>
      </c>
      <c r="D443" s="533"/>
      <c r="E443" s="31"/>
      <c r="F443" s="319" t="s">
        <v>70</v>
      </c>
      <c r="G443" s="317"/>
      <c r="H443" s="311"/>
      <c r="I443" s="162">
        <f>+'2010 Existing Rates'!$C$10</f>
        <v>372.26</v>
      </c>
      <c r="J443" s="160"/>
      <c r="K443" s="312"/>
      <c r="L443" s="185">
        <f>+'Distribution Rate Schedule'!$C$33</f>
        <v>528.38</v>
      </c>
      <c r="M443" s="186">
        <f aca="true" t="shared" si="62" ref="M443:M449">+L443-I443</f>
        <v>156.12</v>
      </c>
      <c r="N443" s="187">
        <f aca="true" t="shared" si="63" ref="N443:N457">+M443/I443</f>
        <v>0.419384301294794</v>
      </c>
      <c r="O443" s="179">
        <f>L443/L457</f>
        <v>0.002161794544076423</v>
      </c>
      <c r="P443" s="128"/>
      <c r="Q443" s="25"/>
    </row>
    <row r="444" spans="2:17" ht="17.25" customHeight="1" hidden="1" thickBot="1">
      <c r="B444" s="133"/>
      <c r="C444" s="346">
        <v>2400000</v>
      </c>
      <c r="D444" s="347" t="s">
        <v>16</v>
      </c>
      <c r="E444" s="31"/>
      <c r="F444" s="320" t="s">
        <v>81</v>
      </c>
      <c r="G444" s="318">
        <f>+C445</f>
        <v>5400</v>
      </c>
      <c r="H444" s="153">
        <f>'2010 Existing Rates'!$D$55</f>
        <v>1.2372</v>
      </c>
      <c r="I444" s="168">
        <f>+G444*H444</f>
        <v>6680.88</v>
      </c>
      <c r="J444" s="159">
        <f>G444</f>
        <v>5400</v>
      </c>
      <c r="K444" s="152">
        <f>'Rate Schedule (Part 1)'!$E$31</f>
        <v>1.6794</v>
      </c>
      <c r="L444" s="171">
        <f>+J444*K444</f>
        <v>9068.76</v>
      </c>
      <c r="M444" s="186">
        <f t="shared" si="62"/>
        <v>2387.88</v>
      </c>
      <c r="N444" s="187">
        <f t="shared" si="63"/>
        <v>0.35741998060135793</v>
      </c>
      <c r="O444" s="179">
        <f>L444/L457</f>
        <v>0.03710359190268084</v>
      </c>
      <c r="P444" s="128"/>
      <c r="Q444" s="25"/>
    </row>
    <row r="445" spans="2:16" ht="17.25" customHeight="1" hidden="1" thickBot="1">
      <c r="B445" s="133"/>
      <c r="C445" s="346">
        <v>5400</v>
      </c>
      <c r="D445" s="347" t="s">
        <v>17</v>
      </c>
      <c r="E445" s="31"/>
      <c r="F445" s="156" t="s">
        <v>267</v>
      </c>
      <c r="G445" s="266">
        <f>G444</f>
        <v>5400</v>
      </c>
      <c r="H445" s="321">
        <f>'2010 Existing Rates'!$D$32</f>
        <v>0</v>
      </c>
      <c r="J445" s="174"/>
      <c r="K445" s="152">
        <v>0.25</v>
      </c>
      <c r="L445" s="171">
        <v>0.25</v>
      </c>
      <c r="M445" s="186">
        <f t="shared" si="62"/>
        <v>0.25</v>
      </c>
      <c r="N445" s="187" t="e">
        <f t="shared" si="63"/>
        <v>#DIV/0!</v>
      </c>
      <c r="O445" s="179">
        <f>L445/L457</f>
        <v>1.022840826713929E-06</v>
      </c>
      <c r="P445" s="128"/>
    </row>
    <row r="446" spans="2:16" ht="17.25" customHeight="1" hidden="1">
      <c r="B446" s="133"/>
      <c r="C446" s="459"/>
      <c r="D446" s="460"/>
      <c r="E446" s="31"/>
      <c r="F446" s="156" t="s">
        <v>277</v>
      </c>
      <c r="G446" s="159"/>
      <c r="H446" s="153">
        <v>1</v>
      </c>
      <c r="I446" s="168">
        <v>1</v>
      </c>
      <c r="J446" s="174"/>
      <c r="K446" s="152">
        <v>1</v>
      </c>
      <c r="L446" s="171">
        <v>1</v>
      </c>
      <c r="M446" s="178">
        <f t="shared" si="62"/>
        <v>0</v>
      </c>
      <c r="N446" s="172">
        <f>+M446/I446</f>
        <v>0</v>
      </c>
      <c r="O446" s="179" t="e">
        <f>L446/L458</f>
        <v>#DIV/0!</v>
      </c>
      <c r="P446" s="128"/>
    </row>
    <row r="447" spans="2:16" ht="17.25" customHeight="1" hidden="1">
      <c r="B447" s="133"/>
      <c r="C447" s="63"/>
      <c r="D447" s="64"/>
      <c r="E447" s="31"/>
      <c r="F447" s="156" t="s">
        <v>169</v>
      </c>
      <c r="G447" s="174"/>
      <c r="H447" s="173"/>
      <c r="I447" s="168">
        <v>0</v>
      </c>
      <c r="J447" s="174"/>
      <c r="K447" s="173"/>
      <c r="L447" s="168">
        <f>'Rate Schedule (Part 1)'!$E$34</f>
        <v>2.0941673818332727</v>
      </c>
      <c r="M447" s="186">
        <f t="shared" si="62"/>
        <v>2.0941673818332727</v>
      </c>
      <c r="N447" s="187" t="e">
        <f t="shared" si="63"/>
        <v>#DIV/0!</v>
      </c>
      <c r="O447" s="179">
        <f>L447/L457</f>
        <v>8.567999584446754E-06</v>
      </c>
      <c r="P447" s="128"/>
    </row>
    <row r="448" spans="2:16" ht="17.25" customHeight="1" hidden="1">
      <c r="B448" s="133"/>
      <c r="C448" s="63"/>
      <c r="D448" s="64"/>
      <c r="E448" s="31"/>
      <c r="F448" s="156" t="s">
        <v>275</v>
      </c>
      <c r="G448" s="159">
        <f>G445</f>
        <v>5400</v>
      </c>
      <c r="H448" s="153">
        <v>0.000373</v>
      </c>
      <c r="I448" s="168">
        <f>+G448*H448</f>
        <v>2.0142</v>
      </c>
      <c r="J448" s="159">
        <f>G448</f>
        <v>5400</v>
      </c>
      <c r="K448" s="153">
        <v>0.000373</v>
      </c>
      <c r="L448" s="171">
        <f>+J448*K448</f>
        <v>2.0142</v>
      </c>
      <c r="M448" s="186">
        <f t="shared" si="62"/>
        <v>0</v>
      </c>
      <c r="N448" s="187">
        <f t="shared" si="63"/>
        <v>0</v>
      </c>
      <c r="O448" s="179">
        <f>L448/L457</f>
        <v>8.240823972668783E-06</v>
      </c>
      <c r="P448" s="128"/>
    </row>
    <row r="449" spans="2:16" ht="17.25" customHeight="1" hidden="1" thickBot="1">
      <c r="B449" s="133"/>
      <c r="C449" s="31"/>
      <c r="D449" s="31"/>
      <c r="E449" s="31"/>
      <c r="F449" s="157" t="s">
        <v>247</v>
      </c>
      <c r="G449" s="159">
        <f>+C445</f>
        <v>5400</v>
      </c>
      <c r="H449" s="153">
        <f>'2010 Existing Rates'!$D$21</f>
        <v>0</v>
      </c>
      <c r="I449" s="168">
        <f>+G449*H449</f>
        <v>0</v>
      </c>
      <c r="J449" s="159">
        <f>+C445</f>
        <v>5400</v>
      </c>
      <c r="K449" s="152">
        <f>'Rate Schedule (Part 1)'!$E$36</f>
        <v>-0.6117197240049442</v>
      </c>
      <c r="L449" s="171">
        <f>+J449*K449</f>
        <v>-3303.2865096266987</v>
      </c>
      <c r="M449" s="186">
        <f t="shared" si="62"/>
        <v>-3303.2865096266987</v>
      </c>
      <c r="N449" s="187" t="e">
        <f t="shared" si="63"/>
        <v>#DIV/0!</v>
      </c>
      <c r="O449" s="179">
        <f>L449/L457</f>
        <v>-0.013514945217518165</v>
      </c>
      <c r="P449" s="128"/>
    </row>
    <row r="450" spans="2:16" ht="17.25" customHeight="1" hidden="1" thickBot="1">
      <c r="B450" s="133"/>
      <c r="C450" s="31"/>
      <c r="D450" s="31"/>
      <c r="E450" s="31"/>
      <c r="F450" s="189" t="s">
        <v>242</v>
      </c>
      <c r="G450" s="534"/>
      <c r="H450" s="535"/>
      <c r="I450" s="191">
        <f>SUM(I443:I449)</f>
        <v>7056.1542</v>
      </c>
      <c r="J450" s="534"/>
      <c r="K450" s="535"/>
      <c r="L450" s="191">
        <f>SUM(L443:L449)</f>
        <v>6299.211857755133</v>
      </c>
      <c r="M450" s="193">
        <f>SUM(M443:M449)</f>
        <v>-756.9423422448654</v>
      </c>
      <c r="N450" s="194">
        <f t="shared" si="63"/>
        <v>-0.10727406470862916</v>
      </c>
      <c r="O450" s="196" t="e">
        <f>SUM(O443:O449)</f>
        <v>#DIV/0!</v>
      </c>
      <c r="P450" s="128"/>
    </row>
    <row r="451" spans="2:16" ht="17.25" customHeight="1" hidden="1" thickBot="1">
      <c r="B451" s="133"/>
      <c r="C451" s="31"/>
      <c r="D451" s="31"/>
      <c r="E451" s="31"/>
      <c r="F451" s="156" t="s">
        <v>248</v>
      </c>
      <c r="G451" s="295">
        <f>C445</f>
        <v>5400</v>
      </c>
      <c r="H451" s="296">
        <f>'Other Electriciy Rates'!$F$12</f>
        <v>2.7103</v>
      </c>
      <c r="I451" s="168">
        <f>+G451*H451</f>
        <v>14635.62</v>
      </c>
      <c r="J451" s="295">
        <f>C445</f>
        <v>5400</v>
      </c>
      <c r="K451" s="296">
        <f>'Other Electriciy Rates'!$F$26</f>
        <v>2.4996462231388983</v>
      </c>
      <c r="L451" s="168">
        <f>+J451*K451</f>
        <v>13498.089604950052</v>
      </c>
      <c r="M451" s="297">
        <f>+L451-I451</f>
        <v>-1137.5303950499492</v>
      </c>
      <c r="N451" s="176">
        <f t="shared" si="63"/>
        <v>-0.07772341691366332</v>
      </c>
      <c r="O451" s="179">
        <f>L451/L457</f>
        <v>0.0552255885223432</v>
      </c>
      <c r="P451" s="128"/>
    </row>
    <row r="452" spans="2:16" ht="17.25" customHeight="1" hidden="1" thickBot="1">
      <c r="B452" s="133"/>
      <c r="C452" s="31"/>
      <c r="D452" s="31"/>
      <c r="E452" s="31"/>
      <c r="F452" s="189" t="s">
        <v>244</v>
      </c>
      <c r="G452" s="534"/>
      <c r="H452" s="535"/>
      <c r="I452" s="191">
        <f>I450+I451</f>
        <v>21691.7742</v>
      </c>
      <c r="J452" s="534"/>
      <c r="K452" s="535"/>
      <c r="L452" s="191">
        <f>L450+L451</f>
        <v>19797.301462705185</v>
      </c>
      <c r="M452" s="193">
        <f>M450+M451</f>
        <v>-1894.4727372948146</v>
      </c>
      <c r="N452" s="194">
        <f t="shared" si="63"/>
        <v>-0.0873359974996796</v>
      </c>
      <c r="O452" s="298">
        <f>L452/L457</f>
        <v>0.08099795277927298</v>
      </c>
      <c r="P452" s="128"/>
    </row>
    <row r="453" spans="2:16" ht="17.25" customHeight="1" hidden="1">
      <c r="B453" s="133"/>
      <c r="C453" s="31"/>
      <c r="D453" s="31"/>
      <c r="E453" s="31"/>
      <c r="F453" s="154" t="s">
        <v>76</v>
      </c>
      <c r="G453" s="160">
        <f>C444*'Other Electriciy Rates'!$L$12</f>
        <v>2503200</v>
      </c>
      <c r="H453" s="161">
        <f>'Other Electriciy Rates'!$C$12+'Other Electriciy Rates'!$D$12</f>
        <v>0.0135</v>
      </c>
      <c r="I453" s="162">
        <f>+G453*H453</f>
        <v>33793.2</v>
      </c>
      <c r="J453" s="160">
        <f>C444*'Other Electriciy Rates'!$L$26</f>
        <v>2503200</v>
      </c>
      <c r="K453" s="161">
        <f>'Other Electriciy Rates'!$C$26+'Other Electriciy Rates'!$D$26</f>
        <v>0.0135</v>
      </c>
      <c r="L453" s="185">
        <f>+J453*K453</f>
        <v>33793.2</v>
      </c>
      <c r="M453" s="186">
        <f>+L453-I453</f>
        <v>0</v>
      </c>
      <c r="N453" s="187">
        <f t="shared" si="63"/>
        <v>0</v>
      </c>
      <c r="O453" s="179">
        <f>L453/L457</f>
        <v>0.13826025850123655</v>
      </c>
      <c r="P453" s="128"/>
    </row>
    <row r="454" spans="2:16" ht="17.25" customHeight="1" hidden="1" thickBot="1">
      <c r="B454" s="133"/>
      <c r="C454" s="31"/>
      <c r="D454" s="31"/>
      <c r="E454" s="31"/>
      <c r="F454" s="154" t="s">
        <v>77</v>
      </c>
      <c r="G454" s="160">
        <f>G453</f>
        <v>2503200</v>
      </c>
      <c r="H454" s="161">
        <f>+'Other Electriciy Rates'!$J$12</f>
        <v>0.065</v>
      </c>
      <c r="I454" s="162">
        <f>+G454*H454</f>
        <v>162708</v>
      </c>
      <c r="J454" s="160">
        <f>J453</f>
        <v>2503200</v>
      </c>
      <c r="K454" s="161">
        <f>'Other Electriciy Rates'!$J$26</f>
        <v>0.065</v>
      </c>
      <c r="L454" s="185">
        <f>+J454*K454</f>
        <v>162708</v>
      </c>
      <c r="M454" s="186">
        <f>+L454-I454</f>
        <v>0</v>
      </c>
      <c r="N454" s="187">
        <f t="shared" si="63"/>
        <v>0</v>
      </c>
      <c r="O454" s="179">
        <f>L454/L457</f>
        <v>0.6656975409318798</v>
      </c>
      <c r="P454" s="128"/>
    </row>
    <row r="455" spans="2:16" ht="17.25" customHeight="1" hidden="1" thickBot="1">
      <c r="B455" s="133"/>
      <c r="C455" s="31"/>
      <c r="D455" s="31"/>
      <c r="E455" s="31"/>
      <c r="F455" s="189" t="s">
        <v>194</v>
      </c>
      <c r="G455" s="534"/>
      <c r="H455" s="535"/>
      <c r="I455" s="191">
        <f>I452+I453+I454</f>
        <v>218192.9742</v>
      </c>
      <c r="J455" s="534"/>
      <c r="K455" s="535"/>
      <c r="L455" s="191">
        <f>L452+L453+L454</f>
        <v>216298.5014627052</v>
      </c>
      <c r="M455" s="191">
        <f>M452+M453+M454</f>
        <v>-1894.4727372948146</v>
      </c>
      <c r="N455" s="194">
        <f t="shared" si="63"/>
        <v>-0.008682556091647128</v>
      </c>
      <c r="O455" s="298">
        <f>L455/L457</f>
        <v>0.8849557522123894</v>
      </c>
      <c r="P455" s="128"/>
    </row>
    <row r="456" spans="2:16" ht="17.25" customHeight="1" hidden="1" thickBot="1">
      <c r="B456" s="133"/>
      <c r="C456" s="31"/>
      <c r="D456" s="31"/>
      <c r="E456" s="31"/>
      <c r="F456" s="240" t="s">
        <v>274</v>
      </c>
      <c r="G456" s="241"/>
      <c r="H456" s="244">
        <v>0.13</v>
      </c>
      <c r="I456" s="242">
        <f>I455*H456</f>
        <v>28365.086646</v>
      </c>
      <c r="J456" s="241"/>
      <c r="K456" s="244">
        <v>0.13</v>
      </c>
      <c r="L456" s="243">
        <f>L455*K456</f>
        <v>28118.805190151677</v>
      </c>
      <c r="M456" s="183">
        <f>+L456-I456</f>
        <v>-246.28145584832237</v>
      </c>
      <c r="N456" s="184">
        <f t="shared" si="63"/>
        <v>-0.008682556091647003</v>
      </c>
      <c r="O456" s="197">
        <f>L456/L457</f>
        <v>0.11504424778761063</v>
      </c>
      <c r="P456" s="128"/>
    </row>
    <row r="457" spans="2:16" ht="17.25" customHeight="1" hidden="1" thickBot="1">
      <c r="B457" s="133"/>
      <c r="C457" s="31"/>
      <c r="D457" s="31"/>
      <c r="E457" s="35"/>
      <c r="F457" s="195" t="s">
        <v>78</v>
      </c>
      <c r="G457" s="534"/>
      <c r="H457" s="535"/>
      <c r="I457" s="191">
        <f>I455+I456</f>
        <v>246558.060846</v>
      </c>
      <c r="J457" s="534"/>
      <c r="K457" s="535"/>
      <c r="L457" s="191">
        <f>L455+L456</f>
        <v>244417.30665285687</v>
      </c>
      <c r="M457" s="191">
        <f>M455+M456</f>
        <v>-2140.754193143137</v>
      </c>
      <c r="N457" s="194">
        <f t="shared" si="63"/>
        <v>-0.008682556091647113</v>
      </c>
      <c r="O457" s="196">
        <f>O455+O456</f>
        <v>1</v>
      </c>
      <c r="P457" s="128"/>
    </row>
    <row r="458" spans="2:16" ht="17.25" customHeight="1" hidden="1" thickBot="1">
      <c r="B458" s="129"/>
      <c r="C458" s="139"/>
      <c r="D458" s="139"/>
      <c r="E458" s="139"/>
      <c r="F458" s="140"/>
      <c r="G458" s="141"/>
      <c r="H458" s="142"/>
      <c r="I458" s="143"/>
      <c r="J458" s="141"/>
      <c r="K458" s="144"/>
      <c r="L458" s="143"/>
      <c r="M458" s="145"/>
      <c r="N458" s="146"/>
      <c r="O458" s="147"/>
      <c r="P458" s="130"/>
    </row>
    <row r="459" spans="2:16" ht="17.25" customHeight="1" hidden="1">
      <c r="B459" s="25"/>
      <c r="C459" s="31"/>
      <c r="D459" s="31"/>
      <c r="E459" s="31"/>
      <c r="F459" s="49"/>
      <c r="G459" s="50"/>
      <c r="H459" s="51"/>
      <c r="I459" s="52"/>
      <c r="J459" s="50"/>
      <c r="K459" s="53"/>
      <c r="L459" s="52"/>
      <c r="M459" s="54"/>
      <c r="N459" s="136"/>
      <c r="O459" s="137"/>
      <c r="P459" s="25"/>
    </row>
    <row r="460" spans="2:16" ht="17.25" customHeight="1" hidden="1">
      <c r="B460" s="135"/>
      <c r="C460" s="536"/>
      <c r="D460" s="536"/>
      <c r="E460" s="536"/>
      <c r="F460" s="536"/>
      <c r="G460" s="536"/>
      <c r="H460" s="536"/>
      <c r="I460" s="536"/>
      <c r="J460" s="536"/>
      <c r="K460" s="536"/>
      <c r="L460" s="536"/>
      <c r="M460" s="536"/>
      <c r="N460" s="536"/>
      <c r="O460" s="536"/>
      <c r="P460" s="127"/>
    </row>
    <row r="461" spans="2:16" ht="23.25" hidden="1">
      <c r="B461" s="133"/>
      <c r="C461" s="538" t="s">
        <v>83</v>
      </c>
      <c r="D461" s="538"/>
      <c r="E461" s="538"/>
      <c r="F461" s="538"/>
      <c r="G461" s="538"/>
      <c r="H461" s="538"/>
      <c r="I461" s="538"/>
      <c r="J461" s="538"/>
      <c r="K461" s="538"/>
      <c r="L461" s="538"/>
      <c r="M461" s="538"/>
      <c r="N461" s="538"/>
      <c r="O461" s="538"/>
      <c r="P461" s="128"/>
    </row>
    <row r="462" spans="2:17" ht="17.25" customHeight="1" hidden="1" thickBot="1">
      <c r="B462" s="133"/>
      <c r="C462" s="541"/>
      <c r="D462" s="541"/>
      <c r="E462" s="541"/>
      <c r="F462" s="541"/>
      <c r="G462" s="541"/>
      <c r="H462" s="541"/>
      <c r="I462" s="541"/>
      <c r="J462" s="541"/>
      <c r="K462" s="541"/>
      <c r="L462" s="541"/>
      <c r="M462" s="541"/>
      <c r="N462" s="541"/>
      <c r="O462" s="541"/>
      <c r="P462" s="128"/>
      <c r="Q462" s="25"/>
    </row>
    <row r="463" spans="2:17" ht="17.25" customHeight="1" hidden="1" thickBot="1">
      <c r="B463" s="133"/>
      <c r="C463" s="134"/>
      <c r="D463" s="134"/>
      <c r="E463" s="31"/>
      <c r="F463" s="32"/>
      <c r="G463" s="544" t="str">
        <f>$G$10</f>
        <v>2010 BILL</v>
      </c>
      <c r="H463" s="545"/>
      <c r="I463" s="546"/>
      <c r="J463" s="544" t="str">
        <f>$J$10</f>
        <v>2011 BILL</v>
      </c>
      <c r="K463" s="545"/>
      <c r="L463" s="546"/>
      <c r="M463" s="544" t="s">
        <v>72</v>
      </c>
      <c r="N463" s="545"/>
      <c r="O463" s="546"/>
      <c r="P463" s="128"/>
      <c r="Q463" s="25"/>
    </row>
    <row r="464" spans="2:17" ht="26.25" hidden="1" thickBot="1">
      <c r="B464" s="133"/>
      <c r="C464" s="31"/>
      <c r="D464" s="31"/>
      <c r="E464" s="33"/>
      <c r="F464" s="34"/>
      <c r="G464" s="313" t="s">
        <v>66</v>
      </c>
      <c r="H464" s="314" t="s">
        <v>67</v>
      </c>
      <c r="I464" s="315" t="s">
        <v>68</v>
      </c>
      <c r="J464" s="316" t="s">
        <v>66</v>
      </c>
      <c r="K464" s="314" t="s">
        <v>67</v>
      </c>
      <c r="L464" s="315" t="s">
        <v>68</v>
      </c>
      <c r="M464" s="149" t="s">
        <v>73</v>
      </c>
      <c r="N464" s="150" t="s">
        <v>74</v>
      </c>
      <c r="O464" s="151" t="s">
        <v>75</v>
      </c>
      <c r="P464" s="128"/>
      <c r="Q464" s="25"/>
    </row>
    <row r="465" spans="2:17" ht="17.25" customHeight="1" hidden="1" thickBot="1">
      <c r="B465" s="133"/>
      <c r="C465" s="542" t="s">
        <v>69</v>
      </c>
      <c r="D465" s="543"/>
      <c r="E465" s="31"/>
      <c r="F465" s="319" t="s">
        <v>70</v>
      </c>
      <c r="G465" s="317"/>
      <c r="H465" s="311"/>
      <c r="I465" s="162">
        <f>+'2010 Existing Rates'!$C$11</f>
        <v>0</v>
      </c>
      <c r="J465" s="160"/>
      <c r="K465" s="312"/>
      <c r="L465" s="185">
        <f>'Rate Schedule (Part 1)'!$E$39</f>
        <v>0</v>
      </c>
      <c r="M465" s="186">
        <f aca="true" t="shared" si="64" ref="M465:M470">+L465-I465</f>
        <v>0</v>
      </c>
      <c r="N465" s="187" t="e">
        <f aca="true" t="shared" si="65" ref="N465:N478">+M465/I465</f>
        <v>#DIV/0!</v>
      </c>
      <c r="O465" s="179" t="e">
        <f>L465/L478</f>
        <v>#DIV/0!</v>
      </c>
      <c r="P465" s="128"/>
      <c r="Q465" s="25"/>
    </row>
    <row r="466" spans="2:17" ht="17.25" customHeight="1" hidden="1" thickBot="1">
      <c r="B466" s="133"/>
      <c r="C466" s="131">
        <v>2400000</v>
      </c>
      <c r="D466" s="132" t="s">
        <v>16</v>
      </c>
      <c r="E466" s="31"/>
      <c r="F466" s="320" t="s">
        <v>81</v>
      </c>
      <c r="G466" s="318">
        <f>+C467</f>
        <v>5400</v>
      </c>
      <c r="H466" s="153">
        <f>'2010 Existing Rates'!$D$56</f>
        <v>0</v>
      </c>
      <c r="I466" s="168">
        <f>+G466*H466</f>
        <v>0</v>
      </c>
      <c r="J466" s="159">
        <f>G466</f>
        <v>5400</v>
      </c>
      <c r="K466" s="152">
        <f>'Rate Schedule (Part 1)'!$E$40</f>
        <v>0</v>
      </c>
      <c r="L466" s="171">
        <f>+J466*K466</f>
        <v>0</v>
      </c>
      <c r="M466" s="186">
        <f t="shared" si="64"/>
        <v>0</v>
      </c>
      <c r="N466" s="187" t="e">
        <f t="shared" si="65"/>
        <v>#DIV/0!</v>
      </c>
      <c r="O466" s="179" t="e">
        <f>L466/L478</f>
        <v>#DIV/0!</v>
      </c>
      <c r="P466" s="128"/>
      <c r="Q466" s="25"/>
    </row>
    <row r="467" spans="2:16" ht="17.25" customHeight="1" hidden="1" thickBot="1">
      <c r="B467" s="133"/>
      <c r="C467" s="131">
        <v>5400</v>
      </c>
      <c r="D467" s="132" t="s">
        <v>17</v>
      </c>
      <c r="E467" s="31"/>
      <c r="F467" s="320" t="s">
        <v>245</v>
      </c>
      <c r="G467" s="266">
        <f>G466</f>
        <v>5400</v>
      </c>
      <c r="H467" s="321">
        <f>'2010 Existing Rates'!$D$33</f>
        <v>0</v>
      </c>
      <c r="J467" s="159">
        <f>+C467</f>
        <v>5400</v>
      </c>
      <c r="K467" s="152" t="e">
        <f>'Rate Schedule (Part 1)'!$E$41</f>
        <v>#DIV/0!</v>
      </c>
      <c r="L467" s="171" t="e">
        <f>+J467*K467</f>
        <v>#DIV/0!</v>
      </c>
      <c r="M467" s="186" t="e">
        <f t="shared" si="64"/>
        <v>#DIV/0!</v>
      </c>
      <c r="N467" s="187" t="e">
        <f t="shared" si="65"/>
        <v>#DIV/0!</v>
      </c>
      <c r="O467" s="179" t="e">
        <f>L467/L478</f>
        <v>#DIV/0!</v>
      </c>
      <c r="P467" s="128"/>
    </row>
    <row r="468" spans="2:16" ht="17.25" customHeight="1" hidden="1">
      <c r="B468" s="133"/>
      <c r="C468" s="293"/>
      <c r="D468" s="310"/>
      <c r="E468" s="31"/>
      <c r="F468" s="156" t="s">
        <v>169</v>
      </c>
      <c r="G468" s="174"/>
      <c r="H468" s="173"/>
      <c r="I468" s="168">
        <f>'2010 Existing Rates'!$B$44</f>
        <v>0</v>
      </c>
      <c r="J468" s="174"/>
      <c r="K468" s="173"/>
      <c r="L468" s="168" t="e">
        <f>'Rate Schedule (Part 1)'!$E$42</f>
        <v>#DIV/0!</v>
      </c>
      <c r="M468" s="186" t="e">
        <f t="shared" si="64"/>
        <v>#DIV/0!</v>
      </c>
      <c r="N468" s="187" t="e">
        <f t="shared" si="65"/>
        <v>#DIV/0!</v>
      </c>
      <c r="O468" s="179" t="e">
        <f>L468/L478</f>
        <v>#DIV/0!</v>
      </c>
      <c r="P468" s="128"/>
    </row>
    <row r="469" spans="2:16" ht="17.25" customHeight="1" hidden="1">
      <c r="B469" s="133"/>
      <c r="C469" s="63"/>
      <c r="D469" s="64"/>
      <c r="E469" s="31"/>
      <c r="F469" s="156" t="s">
        <v>246</v>
      </c>
      <c r="G469" s="159">
        <f>G467</f>
        <v>5400</v>
      </c>
      <c r="H469" s="153"/>
      <c r="I469" s="168">
        <f>+G469*H469</f>
        <v>0</v>
      </c>
      <c r="J469" s="159">
        <f>G469</f>
        <v>5400</v>
      </c>
      <c r="K469" s="152" t="e">
        <f>'Rate Schedule (Part 1)'!$E$42</f>
        <v>#DIV/0!</v>
      </c>
      <c r="L469" s="171" t="e">
        <f>+J469*K469</f>
        <v>#DIV/0!</v>
      </c>
      <c r="M469" s="186" t="e">
        <f t="shared" si="64"/>
        <v>#DIV/0!</v>
      </c>
      <c r="N469" s="187" t="e">
        <f t="shared" si="65"/>
        <v>#DIV/0!</v>
      </c>
      <c r="O469" s="179" t="e">
        <f>L469/L478</f>
        <v>#DIV/0!</v>
      </c>
      <c r="P469" s="128"/>
    </row>
    <row r="470" spans="2:16" ht="17.25" customHeight="1" hidden="1" thickBot="1">
      <c r="B470" s="133"/>
      <c r="C470" s="31"/>
      <c r="D470" s="31"/>
      <c r="E470" s="31"/>
      <c r="F470" s="157" t="s">
        <v>247</v>
      </c>
      <c r="G470" s="159">
        <f>+C467</f>
        <v>5400</v>
      </c>
      <c r="H470" s="153">
        <f>'2010 Existing Rates'!$D$22</f>
        <v>0</v>
      </c>
      <c r="I470" s="168">
        <f>+G470*H470</f>
        <v>0</v>
      </c>
      <c r="J470" s="159">
        <f>+C467</f>
        <v>5400</v>
      </c>
      <c r="K470" s="152">
        <f>'Rate Schedule (Part 1)'!$E$36</f>
        <v>-0.6117197240049442</v>
      </c>
      <c r="L470" s="171">
        <f>+J470*K470</f>
        <v>-3303.2865096266987</v>
      </c>
      <c r="M470" s="186">
        <f t="shared" si="64"/>
        <v>-3303.2865096266987</v>
      </c>
      <c r="N470" s="187" t="e">
        <f t="shared" si="65"/>
        <v>#DIV/0!</v>
      </c>
      <c r="O470" s="179" t="e">
        <f>L470/L478</f>
        <v>#DIV/0!</v>
      </c>
      <c r="P470" s="128"/>
    </row>
    <row r="471" spans="2:16" ht="17.25" customHeight="1" hidden="1" thickBot="1">
      <c r="B471" s="133"/>
      <c r="C471" s="31"/>
      <c r="D471" s="31"/>
      <c r="E471" s="31"/>
      <c r="F471" s="189" t="s">
        <v>242</v>
      </c>
      <c r="G471" s="534"/>
      <c r="H471" s="535"/>
      <c r="I471" s="191">
        <f>SUM(I465:I470)</f>
        <v>0</v>
      </c>
      <c r="J471" s="534"/>
      <c r="K471" s="535"/>
      <c r="L471" s="191" t="e">
        <f>SUM(L465:L470)</f>
        <v>#DIV/0!</v>
      </c>
      <c r="M471" s="193" t="e">
        <f>SUM(M465:M470)</f>
        <v>#DIV/0!</v>
      </c>
      <c r="N471" s="194" t="e">
        <f t="shared" si="65"/>
        <v>#DIV/0!</v>
      </c>
      <c r="O471" s="196" t="e">
        <f>SUM(O465:O470)</f>
        <v>#DIV/0!</v>
      </c>
      <c r="P471" s="128"/>
    </row>
    <row r="472" spans="2:16" ht="17.25" customHeight="1" hidden="1" thickBot="1">
      <c r="B472" s="133"/>
      <c r="C472" s="31"/>
      <c r="D472" s="31"/>
      <c r="E472" s="31"/>
      <c r="F472" s="156" t="s">
        <v>248</v>
      </c>
      <c r="G472" s="295">
        <f>C467</f>
        <v>5400</v>
      </c>
      <c r="H472" s="296">
        <f>'Other Electriciy Rates'!$F$13</f>
        <v>0</v>
      </c>
      <c r="I472" s="168">
        <f>+G472*H472</f>
        <v>0</v>
      </c>
      <c r="J472" s="295">
        <f>C467</f>
        <v>5400</v>
      </c>
      <c r="K472" s="296">
        <f>'Other Electriciy Rates'!$F$27</f>
        <v>0</v>
      </c>
      <c r="L472" s="168">
        <f>+J472*K472</f>
        <v>0</v>
      </c>
      <c r="M472" s="297">
        <f>+L472-I472</f>
        <v>0</v>
      </c>
      <c r="N472" s="176" t="e">
        <f t="shared" si="65"/>
        <v>#DIV/0!</v>
      </c>
      <c r="O472" s="179" t="e">
        <f>L472/L478</f>
        <v>#DIV/0!</v>
      </c>
      <c r="P472" s="128"/>
    </row>
    <row r="473" spans="2:16" ht="17.25" customHeight="1" hidden="1" thickBot="1">
      <c r="B473" s="133"/>
      <c r="C473" s="31"/>
      <c r="D473" s="31"/>
      <c r="E473" s="31"/>
      <c r="F473" s="189" t="s">
        <v>244</v>
      </c>
      <c r="G473" s="534"/>
      <c r="H473" s="535"/>
      <c r="I473" s="191">
        <f>I471+I472</f>
        <v>0</v>
      </c>
      <c r="J473" s="534"/>
      <c r="K473" s="535"/>
      <c r="L473" s="191" t="e">
        <f>L471+L472</f>
        <v>#DIV/0!</v>
      </c>
      <c r="M473" s="193" t="e">
        <f>SUM(M467:M472)</f>
        <v>#DIV/0!</v>
      </c>
      <c r="N473" s="194" t="e">
        <f t="shared" si="65"/>
        <v>#DIV/0!</v>
      </c>
      <c r="O473" s="298" t="e">
        <f>L473/L478</f>
        <v>#DIV/0!</v>
      </c>
      <c r="P473" s="128"/>
    </row>
    <row r="474" spans="2:16" ht="17.25" customHeight="1" hidden="1">
      <c r="B474" s="133"/>
      <c r="C474" s="31"/>
      <c r="D474" s="31"/>
      <c r="E474" s="31"/>
      <c r="F474" s="154" t="s">
        <v>76</v>
      </c>
      <c r="G474" s="160">
        <f>C466*'Other Electriciy Rates'!$L$12</f>
        <v>2503200</v>
      </c>
      <c r="H474" s="161">
        <f>'Other Electriciy Rates'!$C$13+'Other Electriciy Rates'!$D$13</f>
        <v>0</v>
      </c>
      <c r="I474" s="162">
        <f>+G474*H474</f>
        <v>0</v>
      </c>
      <c r="J474" s="160">
        <f>C466*'Other Electriciy Rates'!$L$26</f>
        <v>2503200</v>
      </c>
      <c r="K474" s="161">
        <f>'Other Electriciy Rates'!$C$27+'Other Electriciy Rates'!$D$27</f>
        <v>0</v>
      </c>
      <c r="L474" s="185">
        <f>+J474*K474</f>
        <v>0</v>
      </c>
      <c r="M474" s="186">
        <f>+L474-I474</f>
        <v>0</v>
      </c>
      <c r="N474" s="187" t="e">
        <f t="shared" si="65"/>
        <v>#DIV/0!</v>
      </c>
      <c r="O474" s="179" t="e">
        <f>L474/L478</f>
        <v>#DIV/0!</v>
      </c>
      <c r="P474" s="128"/>
    </row>
    <row r="475" spans="2:16" ht="17.25" customHeight="1" hidden="1" thickBot="1">
      <c r="B475" s="133"/>
      <c r="C475" s="31"/>
      <c r="D475" s="31"/>
      <c r="E475" s="31"/>
      <c r="F475" s="154" t="s">
        <v>77</v>
      </c>
      <c r="G475" s="160">
        <f>G474</f>
        <v>2503200</v>
      </c>
      <c r="H475" s="161">
        <f>'Other Electriciy Rates'!$J$13</f>
        <v>0</v>
      </c>
      <c r="I475" s="162">
        <f>+G475*H475</f>
        <v>0</v>
      </c>
      <c r="J475" s="160">
        <f>J474</f>
        <v>2503200</v>
      </c>
      <c r="K475" s="161">
        <f>'Other Electriciy Rates'!$J$27</f>
        <v>0</v>
      </c>
      <c r="L475" s="185">
        <f>+J475*K475</f>
        <v>0</v>
      </c>
      <c r="M475" s="186">
        <f>+L475-I475</f>
        <v>0</v>
      </c>
      <c r="N475" s="187" t="e">
        <f t="shared" si="65"/>
        <v>#DIV/0!</v>
      </c>
      <c r="O475" s="179" t="e">
        <f>L475/L478</f>
        <v>#DIV/0!</v>
      </c>
      <c r="P475" s="128"/>
    </row>
    <row r="476" spans="2:16" ht="17.25" customHeight="1" hidden="1" thickBot="1">
      <c r="B476" s="133"/>
      <c r="C476" s="31"/>
      <c r="D476" s="31"/>
      <c r="E476" s="31"/>
      <c r="F476" s="189" t="s">
        <v>194</v>
      </c>
      <c r="G476" s="534"/>
      <c r="H476" s="535"/>
      <c r="I476" s="191">
        <f>SUM(I471:I475)</f>
        <v>0</v>
      </c>
      <c r="J476" s="534"/>
      <c r="K476" s="535"/>
      <c r="L476" s="191" t="e">
        <f>SUM(L471:L475)</f>
        <v>#DIV/0!</v>
      </c>
      <c r="M476" s="191" t="e">
        <f>SUM(M471:M475)</f>
        <v>#DIV/0!</v>
      </c>
      <c r="N476" s="194" t="e">
        <f t="shared" si="65"/>
        <v>#DIV/0!</v>
      </c>
      <c r="O476" s="298" t="e">
        <f>L476/L478</f>
        <v>#DIV/0!</v>
      </c>
      <c r="P476" s="128"/>
    </row>
    <row r="477" spans="2:16" ht="17.25" customHeight="1" hidden="1" thickBot="1">
      <c r="B477" s="133"/>
      <c r="C477" s="31"/>
      <c r="D477" s="31"/>
      <c r="E477" s="31"/>
      <c r="F477" s="240" t="s">
        <v>195</v>
      </c>
      <c r="G477" s="241"/>
      <c r="H477" s="244">
        <v>0.05</v>
      </c>
      <c r="I477" s="242">
        <f>I476*H477</f>
        <v>0</v>
      </c>
      <c r="J477" s="241"/>
      <c r="K477" s="244">
        <v>0.05</v>
      </c>
      <c r="L477" s="243" t="e">
        <f>L476*K477</f>
        <v>#DIV/0!</v>
      </c>
      <c r="M477" s="183" t="e">
        <f>+L477-I477</f>
        <v>#DIV/0!</v>
      </c>
      <c r="N477" s="184" t="e">
        <f t="shared" si="65"/>
        <v>#DIV/0!</v>
      </c>
      <c r="O477" s="197" t="e">
        <f>L477/L478</f>
        <v>#DIV/0!</v>
      </c>
      <c r="P477" s="128"/>
    </row>
    <row r="478" spans="2:16" ht="17.25" customHeight="1" hidden="1" thickBot="1">
      <c r="B478" s="133"/>
      <c r="C478" s="31"/>
      <c r="D478" s="31"/>
      <c r="E478" s="35"/>
      <c r="F478" s="195" t="s">
        <v>78</v>
      </c>
      <c r="G478" s="534"/>
      <c r="H478" s="535"/>
      <c r="I478" s="191">
        <f>I476+I477</f>
        <v>0</v>
      </c>
      <c r="J478" s="534"/>
      <c r="K478" s="535"/>
      <c r="L478" s="191" t="e">
        <f>L476+L477</f>
        <v>#DIV/0!</v>
      </c>
      <c r="M478" s="191" t="e">
        <f>M476+M477</f>
        <v>#DIV/0!</v>
      </c>
      <c r="N478" s="194" t="e">
        <f t="shared" si="65"/>
        <v>#DIV/0!</v>
      </c>
      <c r="O478" s="196" t="e">
        <f>O476+O477</f>
        <v>#DIV/0!</v>
      </c>
      <c r="P478" s="128"/>
    </row>
    <row r="479" spans="2:16" ht="17.25" customHeight="1" hidden="1" thickBot="1">
      <c r="B479" s="129"/>
      <c r="C479" s="139"/>
      <c r="D479" s="139"/>
      <c r="E479" s="139"/>
      <c r="F479" s="140"/>
      <c r="G479" s="141"/>
      <c r="H479" s="142"/>
      <c r="I479" s="143"/>
      <c r="J479" s="141"/>
      <c r="K479" s="144"/>
      <c r="L479" s="143"/>
      <c r="M479" s="145"/>
      <c r="N479" s="146"/>
      <c r="O479" s="147"/>
      <c r="P479" s="130"/>
    </row>
    <row r="480" spans="2:16" ht="17.25" customHeight="1" hidden="1" thickBot="1">
      <c r="B480" s="25"/>
      <c r="C480" s="31"/>
      <c r="D480" s="31"/>
      <c r="E480" s="31"/>
      <c r="F480" s="49"/>
      <c r="G480" s="50"/>
      <c r="H480" s="51"/>
      <c r="I480" s="52"/>
      <c r="J480" s="50"/>
      <c r="K480" s="53"/>
      <c r="L480" s="52"/>
      <c r="M480" s="54"/>
      <c r="N480" s="136"/>
      <c r="O480" s="137"/>
      <c r="P480" s="25"/>
    </row>
    <row r="481" spans="2:16" ht="17.25" customHeight="1" hidden="1">
      <c r="B481" s="135"/>
      <c r="C481" s="536"/>
      <c r="D481" s="536"/>
      <c r="E481" s="536"/>
      <c r="F481" s="536"/>
      <c r="G481" s="536"/>
      <c r="H481" s="536"/>
      <c r="I481" s="536"/>
      <c r="J481" s="536"/>
      <c r="K481" s="536"/>
      <c r="L481" s="536"/>
      <c r="M481" s="536"/>
      <c r="N481" s="536"/>
      <c r="O481" s="536"/>
      <c r="P481" s="127"/>
    </row>
    <row r="482" spans="2:16" ht="23.25" hidden="1">
      <c r="B482" s="133"/>
      <c r="C482" s="538" t="s">
        <v>83</v>
      </c>
      <c r="D482" s="538"/>
      <c r="E482" s="538"/>
      <c r="F482" s="538"/>
      <c r="G482" s="538"/>
      <c r="H482" s="538"/>
      <c r="I482" s="538"/>
      <c r="J482" s="538"/>
      <c r="K482" s="538"/>
      <c r="L482" s="538"/>
      <c r="M482" s="538"/>
      <c r="N482" s="538"/>
      <c r="O482" s="538"/>
      <c r="P482" s="128"/>
    </row>
    <row r="483" spans="2:17" ht="17.25" customHeight="1" hidden="1" thickBot="1">
      <c r="B483" s="133"/>
      <c r="C483" s="541"/>
      <c r="D483" s="541"/>
      <c r="E483" s="541"/>
      <c r="F483" s="541"/>
      <c r="G483" s="541"/>
      <c r="H483" s="541"/>
      <c r="I483" s="541"/>
      <c r="J483" s="541"/>
      <c r="K483" s="541"/>
      <c r="L483" s="541"/>
      <c r="M483" s="541"/>
      <c r="N483" s="541"/>
      <c r="O483" s="541"/>
      <c r="P483" s="128"/>
      <c r="Q483" s="25"/>
    </row>
    <row r="484" spans="2:17" ht="17.25" customHeight="1" hidden="1" thickBot="1">
      <c r="B484" s="133"/>
      <c r="C484" s="134"/>
      <c r="D484" s="134"/>
      <c r="E484" s="31"/>
      <c r="F484" s="32"/>
      <c r="G484" s="544" t="str">
        <f>$G$10</f>
        <v>2010 BILL</v>
      </c>
      <c r="H484" s="545"/>
      <c r="I484" s="546"/>
      <c r="J484" s="544" t="str">
        <f>$J$10</f>
        <v>2011 BILL</v>
      </c>
      <c r="K484" s="545"/>
      <c r="L484" s="546"/>
      <c r="M484" s="544" t="s">
        <v>72</v>
      </c>
      <c r="N484" s="545"/>
      <c r="O484" s="546"/>
      <c r="P484" s="128"/>
      <c r="Q484" s="25"/>
    </row>
    <row r="485" spans="2:17" ht="26.25" hidden="1" thickBot="1">
      <c r="B485" s="133"/>
      <c r="C485" s="31"/>
      <c r="D485" s="31"/>
      <c r="E485" s="33"/>
      <c r="F485" s="34"/>
      <c r="G485" s="313" t="s">
        <v>66</v>
      </c>
      <c r="H485" s="314" t="s">
        <v>67</v>
      </c>
      <c r="I485" s="315" t="s">
        <v>68</v>
      </c>
      <c r="J485" s="316" t="s">
        <v>66</v>
      </c>
      <c r="K485" s="314" t="s">
        <v>67</v>
      </c>
      <c r="L485" s="315" t="s">
        <v>68</v>
      </c>
      <c r="M485" s="149" t="s">
        <v>73</v>
      </c>
      <c r="N485" s="150" t="s">
        <v>74</v>
      </c>
      <c r="O485" s="151" t="s">
        <v>75</v>
      </c>
      <c r="P485" s="128"/>
      <c r="Q485" s="25"/>
    </row>
    <row r="486" spans="2:17" ht="17.25" customHeight="1" hidden="1" thickBot="1">
      <c r="B486" s="133"/>
      <c r="C486" s="542" t="s">
        <v>69</v>
      </c>
      <c r="D486" s="543"/>
      <c r="E486" s="31"/>
      <c r="F486" s="319" t="s">
        <v>70</v>
      </c>
      <c r="G486" s="317"/>
      <c r="H486" s="311"/>
      <c r="I486" s="162">
        <f>+'2010 Existing Rates'!$C$11</f>
        <v>0</v>
      </c>
      <c r="J486" s="160"/>
      <c r="K486" s="312"/>
      <c r="L486" s="185">
        <f>'Rate Schedule (Part 1)'!$E$39</f>
        <v>0</v>
      </c>
      <c r="M486" s="186">
        <f aca="true" t="shared" si="66" ref="M486:M491">+L486-I486</f>
        <v>0</v>
      </c>
      <c r="N486" s="187" t="e">
        <f aca="true" t="shared" si="67" ref="N486:N499">+M486/I486</f>
        <v>#DIV/0!</v>
      </c>
      <c r="O486" s="179" t="e">
        <f>L486/L499</f>
        <v>#DIV/0!</v>
      </c>
      <c r="P486" s="128"/>
      <c r="Q486" s="25"/>
    </row>
    <row r="487" spans="2:17" ht="17.25" customHeight="1" hidden="1" thickBot="1">
      <c r="B487" s="133"/>
      <c r="C487" s="131">
        <v>3100000</v>
      </c>
      <c r="D487" s="132" t="s">
        <v>16</v>
      </c>
      <c r="E487" s="31"/>
      <c r="F487" s="320" t="s">
        <v>81</v>
      </c>
      <c r="G487" s="318">
        <f>+C488</f>
        <v>7500</v>
      </c>
      <c r="H487" s="153">
        <f>'2010 Existing Rates'!$D$56</f>
        <v>0</v>
      </c>
      <c r="I487" s="168">
        <f>+G487*H487</f>
        <v>0</v>
      </c>
      <c r="J487" s="159">
        <f>G487</f>
        <v>7500</v>
      </c>
      <c r="K487" s="152">
        <f>'Rate Schedule (Part 1)'!$E$40</f>
        <v>0</v>
      </c>
      <c r="L487" s="171">
        <f>+J487*K487</f>
        <v>0</v>
      </c>
      <c r="M487" s="186">
        <f t="shared" si="66"/>
        <v>0</v>
      </c>
      <c r="N487" s="187" t="e">
        <f t="shared" si="67"/>
        <v>#DIV/0!</v>
      </c>
      <c r="O487" s="179" t="e">
        <f>L487/L499</f>
        <v>#DIV/0!</v>
      </c>
      <c r="P487" s="128"/>
      <c r="Q487" s="25"/>
    </row>
    <row r="488" spans="2:16" ht="17.25" customHeight="1" hidden="1" thickBot="1">
      <c r="B488" s="133"/>
      <c r="C488" s="131">
        <v>7500</v>
      </c>
      <c r="D488" s="132" t="s">
        <v>17</v>
      </c>
      <c r="E488" s="31"/>
      <c r="F488" s="320" t="s">
        <v>245</v>
      </c>
      <c r="G488" s="266">
        <f>G487</f>
        <v>7500</v>
      </c>
      <c r="H488" s="321">
        <f>'2010 Existing Rates'!$D$33</f>
        <v>0</v>
      </c>
      <c r="J488" s="159">
        <f>+C488</f>
        <v>7500</v>
      </c>
      <c r="K488" s="152" t="e">
        <f>'Rate Schedule (Part 1)'!$E$41</f>
        <v>#DIV/0!</v>
      </c>
      <c r="L488" s="171" t="e">
        <f>+J488*K488</f>
        <v>#DIV/0!</v>
      </c>
      <c r="M488" s="186" t="e">
        <f t="shared" si="66"/>
        <v>#DIV/0!</v>
      </c>
      <c r="N488" s="187" t="e">
        <f t="shared" si="67"/>
        <v>#DIV/0!</v>
      </c>
      <c r="O488" s="179" t="e">
        <f>L488/L499</f>
        <v>#DIV/0!</v>
      </c>
      <c r="P488" s="128"/>
    </row>
    <row r="489" spans="2:16" ht="17.25" customHeight="1" hidden="1">
      <c r="B489" s="133"/>
      <c r="C489" s="293"/>
      <c r="D489" s="310"/>
      <c r="E489" s="31"/>
      <c r="F489" s="156" t="s">
        <v>169</v>
      </c>
      <c r="G489" s="174"/>
      <c r="H489" s="173"/>
      <c r="I489" s="168">
        <f>'2010 Existing Rates'!$B$44</f>
        <v>0</v>
      </c>
      <c r="J489" s="174"/>
      <c r="K489" s="173"/>
      <c r="L489" s="168" t="e">
        <f>'Rate Schedule (Part 1)'!$E$42</f>
        <v>#DIV/0!</v>
      </c>
      <c r="M489" s="186" t="e">
        <f t="shared" si="66"/>
        <v>#DIV/0!</v>
      </c>
      <c r="N489" s="187" t="e">
        <f t="shared" si="67"/>
        <v>#DIV/0!</v>
      </c>
      <c r="O489" s="179" t="e">
        <f>L489/L499</f>
        <v>#DIV/0!</v>
      </c>
      <c r="P489" s="128"/>
    </row>
    <row r="490" spans="2:16" ht="17.25" customHeight="1" hidden="1">
      <c r="B490" s="133"/>
      <c r="C490" s="63"/>
      <c r="D490" s="64"/>
      <c r="E490" s="31"/>
      <c r="F490" s="156" t="s">
        <v>246</v>
      </c>
      <c r="G490" s="159">
        <f>G488</f>
        <v>7500</v>
      </c>
      <c r="H490" s="153"/>
      <c r="I490" s="168">
        <f>+G490*H490</f>
        <v>0</v>
      </c>
      <c r="J490" s="159">
        <f>G490</f>
        <v>7500</v>
      </c>
      <c r="K490" s="152" t="e">
        <f>'Rate Schedule (Part 1)'!$E$42</f>
        <v>#DIV/0!</v>
      </c>
      <c r="L490" s="171" t="e">
        <f>+J490*K490</f>
        <v>#DIV/0!</v>
      </c>
      <c r="M490" s="186" t="e">
        <f t="shared" si="66"/>
        <v>#DIV/0!</v>
      </c>
      <c r="N490" s="187" t="e">
        <f t="shared" si="67"/>
        <v>#DIV/0!</v>
      </c>
      <c r="O490" s="179" t="e">
        <f>L490/L499</f>
        <v>#DIV/0!</v>
      </c>
      <c r="P490" s="128"/>
    </row>
    <row r="491" spans="2:16" ht="17.25" customHeight="1" hidden="1" thickBot="1">
      <c r="B491" s="133"/>
      <c r="C491" s="31"/>
      <c r="D491" s="31"/>
      <c r="E491" s="31"/>
      <c r="F491" s="157" t="s">
        <v>247</v>
      </c>
      <c r="G491" s="159">
        <f>+C488</f>
        <v>7500</v>
      </c>
      <c r="H491" s="153">
        <f>'2010 Existing Rates'!$D$22</f>
        <v>0</v>
      </c>
      <c r="I491" s="168">
        <f>+G491*H491</f>
        <v>0</v>
      </c>
      <c r="J491" s="159">
        <f>+C488</f>
        <v>7500</v>
      </c>
      <c r="K491" s="152">
        <f>'Rate Schedule (Part 1)'!$E$36</f>
        <v>-0.6117197240049442</v>
      </c>
      <c r="L491" s="171">
        <f>+J491*K491</f>
        <v>-4587.897930037082</v>
      </c>
      <c r="M491" s="186">
        <f t="shared" si="66"/>
        <v>-4587.897930037082</v>
      </c>
      <c r="N491" s="187" t="e">
        <f t="shared" si="67"/>
        <v>#DIV/0!</v>
      </c>
      <c r="O491" s="179" t="e">
        <f>L491/L499</f>
        <v>#DIV/0!</v>
      </c>
      <c r="P491" s="128"/>
    </row>
    <row r="492" spans="2:16" ht="17.25" customHeight="1" hidden="1" thickBot="1">
      <c r="B492" s="133"/>
      <c r="C492" s="31"/>
      <c r="D492" s="31"/>
      <c r="E492" s="31"/>
      <c r="F492" s="189" t="s">
        <v>242</v>
      </c>
      <c r="G492" s="534"/>
      <c r="H492" s="535"/>
      <c r="I492" s="191">
        <f>SUM(I486:I491)</f>
        <v>0</v>
      </c>
      <c r="J492" s="534"/>
      <c r="K492" s="535"/>
      <c r="L492" s="191" t="e">
        <f>SUM(L486:L491)</f>
        <v>#DIV/0!</v>
      </c>
      <c r="M492" s="193" t="e">
        <f>SUM(M486:M491)</f>
        <v>#DIV/0!</v>
      </c>
      <c r="N492" s="194" t="e">
        <f t="shared" si="67"/>
        <v>#DIV/0!</v>
      </c>
      <c r="O492" s="196" t="e">
        <f>SUM(O486:O491)</f>
        <v>#DIV/0!</v>
      </c>
      <c r="P492" s="128"/>
    </row>
    <row r="493" spans="2:16" ht="17.25" customHeight="1" hidden="1" thickBot="1">
      <c r="B493" s="133"/>
      <c r="C493" s="31"/>
      <c r="D493" s="31"/>
      <c r="E493" s="31"/>
      <c r="F493" s="156" t="s">
        <v>248</v>
      </c>
      <c r="G493" s="295">
        <f>C488</f>
        <v>7500</v>
      </c>
      <c r="H493" s="296">
        <f>'Other Electriciy Rates'!$F$13</f>
        <v>0</v>
      </c>
      <c r="I493" s="168">
        <f>+G493*H493</f>
        <v>0</v>
      </c>
      <c r="J493" s="295">
        <f>C488</f>
        <v>7500</v>
      </c>
      <c r="K493" s="296">
        <f>'Other Electriciy Rates'!$F$27</f>
        <v>0</v>
      </c>
      <c r="L493" s="168">
        <f>+J493*K493</f>
        <v>0</v>
      </c>
      <c r="M493" s="297">
        <f>+L493-I493</f>
        <v>0</v>
      </c>
      <c r="N493" s="176" t="e">
        <f t="shared" si="67"/>
        <v>#DIV/0!</v>
      </c>
      <c r="O493" s="179" t="e">
        <f>L493/L499</f>
        <v>#DIV/0!</v>
      </c>
      <c r="P493" s="128"/>
    </row>
    <row r="494" spans="2:16" ht="17.25" customHeight="1" hidden="1" thickBot="1">
      <c r="B494" s="133"/>
      <c r="C494" s="31"/>
      <c r="D494" s="31"/>
      <c r="E494" s="31"/>
      <c r="F494" s="189" t="s">
        <v>244</v>
      </c>
      <c r="G494" s="534"/>
      <c r="H494" s="535"/>
      <c r="I494" s="191">
        <f>I492+I493</f>
        <v>0</v>
      </c>
      <c r="J494" s="534"/>
      <c r="K494" s="535"/>
      <c r="L494" s="191" t="e">
        <f>L492+L493</f>
        <v>#DIV/0!</v>
      </c>
      <c r="M494" s="193" t="e">
        <f>SUM(M488:M493)</f>
        <v>#DIV/0!</v>
      </c>
      <c r="N494" s="194" t="e">
        <f t="shared" si="67"/>
        <v>#DIV/0!</v>
      </c>
      <c r="O494" s="298" t="e">
        <f>L494/L499</f>
        <v>#DIV/0!</v>
      </c>
      <c r="P494" s="128"/>
    </row>
    <row r="495" spans="2:16" ht="17.25" customHeight="1" hidden="1">
      <c r="B495" s="133"/>
      <c r="C495" s="31"/>
      <c r="D495" s="31"/>
      <c r="E495" s="31"/>
      <c r="F495" s="154" t="s">
        <v>76</v>
      </c>
      <c r="G495" s="160">
        <f>C487*'Other Electriciy Rates'!$L$12</f>
        <v>3233300</v>
      </c>
      <c r="H495" s="161">
        <f>'Other Electriciy Rates'!$C$13+'Other Electriciy Rates'!$D$13</f>
        <v>0</v>
      </c>
      <c r="I495" s="162">
        <f>+G495*H495</f>
        <v>0</v>
      </c>
      <c r="J495" s="160">
        <f>C487*'Other Electriciy Rates'!$L$26</f>
        <v>3233300</v>
      </c>
      <c r="K495" s="161">
        <f>'Other Electriciy Rates'!$C$27+'Other Electriciy Rates'!$D$27</f>
        <v>0</v>
      </c>
      <c r="L495" s="185">
        <f>+J495*K495</f>
        <v>0</v>
      </c>
      <c r="M495" s="186">
        <f>+L495-I495</f>
        <v>0</v>
      </c>
      <c r="N495" s="187" t="e">
        <f t="shared" si="67"/>
        <v>#DIV/0!</v>
      </c>
      <c r="O495" s="179" t="e">
        <f>L495/L499</f>
        <v>#DIV/0!</v>
      </c>
      <c r="P495" s="128"/>
    </row>
    <row r="496" spans="2:16" ht="17.25" customHeight="1" hidden="1" thickBot="1">
      <c r="B496" s="133"/>
      <c r="C496" s="31"/>
      <c r="D496" s="31"/>
      <c r="E496" s="31"/>
      <c r="F496" s="154" t="s">
        <v>77</v>
      </c>
      <c r="G496" s="160">
        <f>G495</f>
        <v>3233300</v>
      </c>
      <c r="H496" s="161">
        <f>'Other Electriciy Rates'!$J$13</f>
        <v>0</v>
      </c>
      <c r="I496" s="162">
        <f>+G496*H496</f>
        <v>0</v>
      </c>
      <c r="J496" s="160">
        <f>J495</f>
        <v>3233300</v>
      </c>
      <c r="K496" s="161">
        <f>'Other Electriciy Rates'!$J$27</f>
        <v>0</v>
      </c>
      <c r="L496" s="185">
        <f>+J496*K496</f>
        <v>0</v>
      </c>
      <c r="M496" s="186">
        <f>+L496-I496</f>
        <v>0</v>
      </c>
      <c r="N496" s="187" t="e">
        <f t="shared" si="67"/>
        <v>#DIV/0!</v>
      </c>
      <c r="O496" s="179" t="e">
        <f>L496/L499</f>
        <v>#DIV/0!</v>
      </c>
      <c r="P496" s="128"/>
    </row>
    <row r="497" spans="2:16" ht="17.25" customHeight="1" hidden="1" thickBot="1">
      <c r="B497" s="133"/>
      <c r="C497" s="31"/>
      <c r="D497" s="31"/>
      <c r="E497" s="31"/>
      <c r="F497" s="189" t="s">
        <v>194</v>
      </c>
      <c r="G497" s="534"/>
      <c r="H497" s="535"/>
      <c r="I497" s="191">
        <f>SUM(I492:I496)</f>
        <v>0</v>
      </c>
      <c r="J497" s="534"/>
      <c r="K497" s="535"/>
      <c r="L497" s="191" t="e">
        <f>SUM(L492:L496)</f>
        <v>#DIV/0!</v>
      </c>
      <c r="M497" s="191" t="e">
        <f>SUM(M492:M496)</f>
        <v>#DIV/0!</v>
      </c>
      <c r="N497" s="194" t="e">
        <f t="shared" si="67"/>
        <v>#DIV/0!</v>
      </c>
      <c r="O497" s="298" t="e">
        <f>L497/L499</f>
        <v>#DIV/0!</v>
      </c>
      <c r="P497" s="128"/>
    </row>
    <row r="498" spans="2:16" ht="17.25" customHeight="1" hidden="1" thickBot="1">
      <c r="B498" s="133"/>
      <c r="C498" s="31"/>
      <c r="D498" s="31"/>
      <c r="E498" s="31"/>
      <c r="F498" s="240" t="s">
        <v>195</v>
      </c>
      <c r="G498" s="241"/>
      <c r="H498" s="244">
        <v>0.05</v>
      </c>
      <c r="I498" s="242">
        <f>I497*H498</f>
        <v>0</v>
      </c>
      <c r="J498" s="241"/>
      <c r="K498" s="244">
        <v>0.05</v>
      </c>
      <c r="L498" s="243" t="e">
        <f>L497*K498</f>
        <v>#DIV/0!</v>
      </c>
      <c r="M498" s="183" t="e">
        <f>+L498-I498</f>
        <v>#DIV/0!</v>
      </c>
      <c r="N498" s="184" t="e">
        <f t="shared" si="67"/>
        <v>#DIV/0!</v>
      </c>
      <c r="O498" s="197" t="e">
        <f>L498/L499</f>
        <v>#DIV/0!</v>
      </c>
      <c r="P498" s="128"/>
    </row>
    <row r="499" spans="2:16" ht="17.25" customHeight="1" hidden="1" thickBot="1">
      <c r="B499" s="133"/>
      <c r="C499" s="31"/>
      <c r="D499" s="31"/>
      <c r="E499" s="35"/>
      <c r="F499" s="195" t="s">
        <v>78</v>
      </c>
      <c r="G499" s="534"/>
      <c r="H499" s="535"/>
      <c r="I499" s="191">
        <f>I497+I498</f>
        <v>0</v>
      </c>
      <c r="J499" s="534"/>
      <c r="K499" s="535"/>
      <c r="L499" s="191" t="e">
        <f>L497+L498</f>
        <v>#DIV/0!</v>
      </c>
      <c r="M499" s="191" t="e">
        <f>M497+M498</f>
        <v>#DIV/0!</v>
      </c>
      <c r="N499" s="194" t="e">
        <f t="shared" si="67"/>
        <v>#DIV/0!</v>
      </c>
      <c r="O499" s="196" t="e">
        <f>O497+O498</f>
        <v>#DIV/0!</v>
      </c>
      <c r="P499" s="128"/>
    </row>
    <row r="500" spans="2:16" ht="17.25" customHeight="1" hidden="1" thickBot="1">
      <c r="B500" s="129"/>
      <c r="C500" s="139"/>
      <c r="D500" s="139"/>
      <c r="E500" s="139"/>
      <c r="F500" s="140"/>
      <c r="G500" s="141"/>
      <c r="H500" s="142"/>
      <c r="I500" s="143"/>
      <c r="J500" s="141"/>
      <c r="K500" s="144"/>
      <c r="L500" s="143"/>
      <c r="M500" s="145"/>
      <c r="N500" s="146"/>
      <c r="O500" s="147"/>
      <c r="P500" s="130"/>
    </row>
    <row r="501" spans="2:16" ht="17.25" customHeight="1" hidden="1" thickBot="1">
      <c r="B501" s="25"/>
      <c r="C501" s="31"/>
      <c r="D501" s="31"/>
      <c r="E501" s="31"/>
      <c r="F501" s="49"/>
      <c r="G501" s="50"/>
      <c r="H501" s="51"/>
      <c r="I501" s="52"/>
      <c r="J501" s="50"/>
      <c r="K501" s="53"/>
      <c r="L501" s="52"/>
      <c r="M501" s="54"/>
      <c r="N501" s="136"/>
      <c r="O501" s="137"/>
      <c r="P501" s="25"/>
    </row>
    <row r="502" spans="2:16" ht="17.25" customHeight="1" hidden="1">
      <c r="B502" s="135"/>
      <c r="C502" s="536"/>
      <c r="D502" s="536"/>
      <c r="E502" s="536"/>
      <c r="F502" s="536"/>
      <c r="G502" s="536"/>
      <c r="H502" s="536"/>
      <c r="I502" s="536"/>
      <c r="J502" s="536"/>
      <c r="K502" s="536"/>
      <c r="L502" s="536"/>
      <c r="M502" s="536"/>
      <c r="N502" s="536"/>
      <c r="O502" s="536"/>
      <c r="P502" s="127"/>
    </row>
    <row r="503" spans="2:16" ht="23.25" hidden="1">
      <c r="B503" s="133"/>
      <c r="C503" s="538" t="s">
        <v>83</v>
      </c>
      <c r="D503" s="538"/>
      <c r="E503" s="538"/>
      <c r="F503" s="538"/>
      <c r="G503" s="538"/>
      <c r="H503" s="538"/>
      <c r="I503" s="538"/>
      <c r="J503" s="538"/>
      <c r="K503" s="538"/>
      <c r="L503" s="538"/>
      <c r="M503" s="538"/>
      <c r="N503" s="538"/>
      <c r="O503" s="538"/>
      <c r="P503" s="128"/>
    </row>
    <row r="504" spans="2:17" ht="17.25" customHeight="1" hidden="1" thickBot="1">
      <c r="B504" s="133"/>
      <c r="C504" s="541"/>
      <c r="D504" s="541"/>
      <c r="E504" s="541"/>
      <c r="F504" s="541"/>
      <c r="G504" s="541"/>
      <c r="H504" s="541"/>
      <c r="I504" s="541"/>
      <c r="J504" s="541"/>
      <c r="K504" s="541"/>
      <c r="L504" s="541"/>
      <c r="M504" s="541"/>
      <c r="N504" s="541"/>
      <c r="O504" s="541"/>
      <c r="P504" s="128"/>
      <c r="Q504" s="25"/>
    </row>
    <row r="505" spans="2:17" ht="17.25" customHeight="1" hidden="1" thickBot="1">
      <c r="B505" s="133"/>
      <c r="C505" s="134"/>
      <c r="D505" s="134"/>
      <c r="E505" s="31"/>
      <c r="F505" s="32"/>
      <c r="G505" s="544" t="str">
        <f>$G$10</f>
        <v>2010 BILL</v>
      </c>
      <c r="H505" s="545"/>
      <c r="I505" s="546"/>
      <c r="J505" s="544" t="str">
        <f>$J$10</f>
        <v>2011 BILL</v>
      </c>
      <c r="K505" s="545"/>
      <c r="L505" s="546"/>
      <c r="M505" s="544" t="s">
        <v>72</v>
      </c>
      <c r="N505" s="545"/>
      <c r="O505" s="546"/>
      <c r="P505" s="128"/>
      <c r="Q505" s="25"/>
    </row>
    <row r="506" spans="2:17" ht="26.25" hidden="1" thickBot="1">
      <c r="B506" s="133"/>
      <c r="C506" s="31"/>
      <c r="D506" s="31"/>
      <c r="E506" s="33"/>
      <c r="F506" s="34"/>
      <c r="G506" s="313" t="s">
        <v>66</v>
      </c>
      <c r="H506" s="314" t="s">
        <v>67</v>
      </c>
      <c r="I506" s="315" t="s">
        <v>68</v>
      </c>
      <c r="J506" s="316" t="s">
        <v>66</v>
      </c>
      <c r="K506" s="314" t="s">
        <v>67</v>
      </c>
      <c r="L506" s="315" t="s">
        <v>68</v>
      </c>
      <c r="M506" s="149" t="s">
        <v>73</v>
      </c>
      <c r="N506" s="150" t="s">
        <v>74</v>
      </c>
      <c r="O506" s="151" t="s">
        <v>75</v>
      </c>
      <c r="P506" s="128"/>
      <c r="Q506" s="25"/>
    </row>
    <row r="507" spans="2:17" ht="17.25" customHeight="1" hidden="1" thickBot="1">
      <c r="B507" s="133"/>
      <c r="C507" s="542" t="s">
        <v>69</v>
      </c>
      <c r="D507" s="543"/>
      <c r="E507" s="31"/>
      <c r="F507" s="319" t="s">
        <v>70</v>
      </c>
      <c r="G507" s="317"/>
      <c r="H507" s="311"/>
      <c r="I507" s="162">
        <f>+'2010 Existing Rates'!$C$11</f>
        <v>0</v>
      </c>
      <c r="J507" s="160"/>
      <c r="K507" s="312"/>
      <c r="L507" s="185">
        <f>'Rate Schedule (Part 1)'!$E$39</f>
        <v>0</v>
      </c>
      <c r="M507" s="186">
        <f aca="true" t="shared" si="68" ref="M507:M512">+L507-I507</f>
        <v>0</v>
      </c>
      <c r="N507" s="187" t="e">
        <f aca="true" t="shared" si="69" ref="N507:N520">+M507/I507</f>
        <v>#DIV/0!</v>
      </c>
      <c r="O507" s="179" t="e">
        <f>L507/L520</f>
        <v>#DIV/0!</v>
      </c>
      <c r="P507" s="128"/>
      <c r="Q507" s="25"/>
    </row>
    <row r="508" spans="2:17" ht="17.25" customHeight="1" hidden="1" thickBot="1">
      <c r="B508" s="133"/>
      <c r="C508" s="131">
        <v>4200000</v>
      </c>
      <c r="D508" s="132" t="s">
        <v>16</v>
      </c>
      <c r="E508" s="31"/>
      <c r="F508" s="320" t="s">
        <v>81</v>
      </c>
      <c r="G508" s="318">
        <f>+C509</f>
        <v>10000</v>
      </c>
      <c r="H508" s="153">
        <f>'2010 Existing Rates'!$D$56</f>
        <v>0</v>
      </c>
      <c r="I508" s="168">
        <f>+G508*H508</f>
        <v>0</v>
      </c>
      <c r="J508" s="159">
        <f>G508</f>
        <v>10000</v>
      </c>
      <c r="K508" s="152">
        <f>'Rate Schedule (Part 1)'!$E$40</f>
        <v>0</v>
      </c>
      <c r="L508" s="171">
        <f>+J508*K508</f>
        <v>0</v>
      </c>
      <c r="M508" s="186">
        <f t="shared" si="68"/>
        <v>0</v>
      </c>
      <c r="N508" s="187" t="e">
        <f t="shared" si="69"/>
        <v>#DIV/0!</v>
      </c>
      <c r="O508" s="179" t="e">
        <f>L508/L520</f>
        <v>#DIV/0!</v>
      </c>
      <c r="P508" s="128"/>
      <c r="Q508" s="25"/>
    </row>
    <row r="509" spans="2:16" ht="17.25" customHeight="1" hidden="1" thickBot="1">
      <c r="B509" s="133"/>
      <c r="C509" s="131">
        <v>10000</v>
      </c>
      <c r="D509" s="132" t="s">
        <v>17</v>
      </c>
      <c r="E509" s="31"/>
      <c r="F509" s="320" t="s">
        <v>245</v>
      </c>
      <c r="G509" s="266">
        <f>G508</f>
        <v>10000</v>
      </c>
      <c r="H509" s="321">
        <f>'2010 Existing Rates'!$D$33</f>
        <v>0</v>
      </c>
      <c r="J509" s="159">
        <f>+C509</f>
        <v>10000</v>
      </c>
      <c r="K509" s="152" t="e">
        <f>'Rate Schedule (Part 1)'!$E$41</f>
        <v>#DIV/0!</v>
      </c>
      <c r="L509" s="171" t="e">
        <f>+J509*K509</f>
        <v>#DIV/0!</v>
      </c>
      <c r="M509" s="186" t="e">
        <f t="shared" si="68"/>
        <v>#DIV/0!</v>
      </c>
      <c r="N509" s="187" t="e">
        <f t="shared" si="69"/>
        <v>#DIV/0!</v>
      </c>
      <c r="O509" s="179" t="e">
        <f>L509/L520</f>
        <v>#DIV/0!</v>
      </c>
      <c r="P509" s="128"/>
    </row>
    <row r="510" spans="2:16" ht="17.25" customHeight="1" hidden="1">
      <c r="B510" s="133"/>
      <c r="C510" s="293"/>
      <c r="D510" s="310"/>
      <c r="E510" s="31"/>
      <c r="F510" s="156" t="s">
        <v>169</v>
      </c>
      <c r="G510" s="174"/>
      <c r="H510" s="173"/>
      <c r="I510" s="168">
        <f>'2010 Existing Rates'!$B$44</f>
        <v>0</v>
      </c>
      <c r="J510" s="174"/>
      <c r="K510" s="173"/>
      <c r="L510" s="168" t="e">
        <f>'Rate Schedule (Part 1)'!$E$42</f>
        <v>#DIV/0!</v>
      </c>
      <c r="M510" s="186" t="e">
        <f t="shared" si="68"/>
        <v>#DIV/0!</v>
      </c>
      <c r="N510" s="187" t="e">
        <f t="shared" si="69"/>
        <v>#DIV/0!</v>
      </c>
      <c r="O510" s="179" t="e">
        <f>L510/L520</f>
        <v>#DIV/0!</v>
      </c>
      <c r="P510" s="128"/>
    </row>
    <row r="511" spans="2:16" ht="17.25" customHeight="1" hidden="1">
      <c r="B511" s="133"/>
      <c r="C511" s="63"/>
      <c r="D511" s="64"/>
      <c r="E511" s="31"/>
      <c r="F511" s="156" t="s">
        <v>246</v>
      </c>
      <c r="G511" s="159">
        <f>G509</f>
        <v>10000</v>
      </c>
      <c r="H511" s="153"/>
      <c r="I511" s="168">
        <f>+G511*H511</f>
        <v>0</v>
      </c>
      <c r="J511" s="159">
        <f>G511</f>
        <v>10000</v>
      </c>
      <c r="K511" s="152" t="e">
        <f>'Rate Schedule (Part 1)'!$E$42</f>
        <v>#DIV/0!</v>
      </c>
      <c r="L511" s="171" t="e">
        <f>+J511*K511</f>
        <v>#DIV/0!</v>
      </c>
      <c r="M511" s="186" t="e">
        <f t="shared" si="68"/>
        <v>#DIV/0!</v>
      </c>
      <c r="N511" s="187" t="e">
        <f t="shared" si="69"/>
        <v>#DIV/0!</v>
      </c>
      <c r="O511" s="179" t="e">
        <f>L511/L520</f>
        <v>#DIV/0!</v>
      </c>
      <c r="P511" s="128"/>
    </row>
    <row r="512" spans="2:16" ht="17.25" customHeight="1" hidden="1" thickBot="1">
      <c r="B512" s="133"/>
      <c r="C512" s="31"/>
      <c r="D512" s="31"/>
      <c r="E512" s="31"/>
      <c r="F512" s="157" t="s">
        <v>247</v>
      </c>
      <c r="G512" s="159">
        <f>+C509</f>
        <v>10000</v>
      </c>
      <c r="H512" s="153">
        <f>'2010 Existing Rates'!$D$22</f>
        <v>0</v>
      </c>
      <c r="I512" s="168">
        <f>+G512*H512</f>
        <v>0</v>
      </c>
      <c r="J512" s="159">
        <f>+C509</f>
        <v>10000</v>
      </c>
      <c r="K512" s="152">
        <f>'Rate Schedule (Part 1)'!$E$36</f>
        <v>-0.6117197240049442</v>
      </c>
      <c r="L512" s="171">
        <f>+J512*K512</f>
        <v>-6117.197240049442</v>
      </c>
      <c r="M512" s="186">
        <f t="shared" si="68"/>
        <v>-6117.197240049442</v>
      </c>
      <c r="N512" s="187" t="e">
        <f t="shared" si="69"/>
        <v>#DIV/0!</v>
      </c>
      <c r="O512" s="179" t="e">
        <f>L512/L520</f>
        <v>#DIV/0!</v>
      </c>
      <c r="P512" s="128"/>
    </row>
    <row r="513" spans="2:16" ht="17.25" customHeight="1" hidden="1" thickBot="1">
      <c r="B513" s="133"/>
      <c r="C513" s="31"/>
      <c r="D513" s="31"/>
      <c r="E513" s="31"/>
      <c r="F513" s="189" t="s">
        <v>242</v>
      </c>
      <c r="G513" s="534"/>
      <c r="H513" s="535"/>
      <c r="I513" s="191">
        <f>SUM(I507:I512)</f>
        <v>0</v>
      </c>
      <c r="J513" s="534"/>
      <c r="K513" s="535"/>
      <c r="L513" s="191" t="e">
        <f>SUM(L507:L512)</f>
        <v>#DIV/0!</v>
      </c>
      <c r="M513" s="193" t="e">
        <f>SUM(M507:M512)</f>
        <v>#DIV/0!</v>
      </c>
      <c r="N513" s="194" t="e">
        <f t="shared" si="69"/>
        <v>#DIV/0!</v>
      </c>
      <c r="O513" s="196" t="e">
        <f>SUM(O507:O512)</f>
        <v>#DIV/0!</v>
      </c>
      <c r="P513" s="128"/>
    </row>
    <row r="514" spans="2:16" ht="17.25" customHeight="1" hidden="1" thickBot="1">
      <c r="B514" s="133"/>
      <c r="C514" s="31"/>
      <c r="D514" s="31"/>
      <c r="E514" s="31"/>
      <c r="F514" s="156" t="s">
        <v>248</v>
      </c>
      <c r="G514" s="295">
        <f>C509</f>
        <v>10000</v>
      </c>
      <c r="H514" s="296">
        <f>'Other Electriciy Rates'!$F$13</f>
        <v>0</v>
      </c>
      <c r="I514" s="168">
        <f>+G514*H514</f>
        <v>0</v>
      </c>
      <c r="J514" s="295">
        <f>C509</f>
        <v>10000</v>
      </c>
      <c r="K514" s="296">
        <f>'Other Electriciy Rates'!$F$27</f>
        <v>0</v>
      </c>
      <c r="L514" s="168">
        <f>+J514*K514</f>
        <v>0</v>
      </c>
      <c r="M514" s="297">
        <f>+L514-I514</f>
        <v>0</v>
      </c>
      <c r="N514" s="176" t="e">
        <f t="shared" si="69"/>
        <v>#DIV/0!</v>
      </c>
      <c r="O514" s="179" t="e">
        <f>L514/L520</f>
        <v>#DIV/0!</v>
      </c>
      <c r="P514" s="128"/>
    </row>
    <row r="515" spans="2:16" ht="17.25" customHeight="1" hidden="1" thickBot="1">
      <c r="B515" s="133"/>
      <c r="C515" s="31"/>
      <c r="D515" s="31"/>
      <c r="E515" s="31"/>
      <c r="F515" s="189" t="s">
        <v>244</v>
      </c>
      <c r="G515" s="534"/>
      <c r="H515" s="535"/>
      <c r="I515" s="191">
        <f>I513+I514</f>
        <v>0</v>
      </c>
      <c r="J515" s="534"/>
      <c r="K515" s="535"/>
      <c r="L515" s="191" t="e">
        <f>L513+L514</f>
        <v>#DIV/0!</v>
      </c>
      <c r="M515" s="193" t="e">
        <f>SUM(M509:M514)</f>
        <v>#DIV/0!</v>
      </c>
      <c r="N515" s="194" t="e">
        <f t="shared" si="69"/>
        <v>#DIV/0!</v>
      </c>
      <c r="O515" s="298" t="e">
        <f>L515/L520</f>
        <v>#DIV/0!</v>
      </c>
      <c r="P515" s="128"/>
    </row>
    <row r="516" spans="2:16" ht="17.25" customHeight="1" hidden="1">
      <c r="B516" s="133"/>
      <c r="C516" s="31"/>
      <c r="D516" s="31"/>
      <c r="E516" s="31"/>
      <c r="F516" s="154" t="s">
        <v>76</v>
      </c>
      <c r="G516" s="160">
        <f>C508*'Other Electriciy Rates'!$L$12</f>
        <v>4380600</v>
      </c>
      <c r="H516" s="161">
        <f>'Other Electriciy Rates'!$C$13+'Other Electriciy Rates'!$D$13</f>
        <v>0</v>
      </c>
      <c r="I516" s="162">
        <f>+G516*H516</f>
        <v>0</v>
      </c>
      <c r="J516" s="160">
        <f>C508*'Other Electriciy Rates'!$L$26</f>
        <v>4380600</v>
      </c>
      <c r="K516" s="161">
        <f>'Other Electriciy Rates'!$C$27+'Other Electriciy Rates'!$D$27</f>
        <v>0</v>
      </c>
      <c r="L516" s="185">
        <f>+J516*K516</f>
        <v>0</v>
      </c>
      <c r="M516" s="186">
        <f>+L516-I516</f>
        <v>0</v>
      </c>
      <c r="N516" s="187" t="e">
        <f t="shared" si="69"/>
        <v>#DIV/0!</v>
      </c>
      <c r="O516" s="179" t="e">
        <f>L516/L520</f>
        <v>#DIV/0!</v>
      </c>
      <c r="P516" s="128"/>
    </row>
    <row r="517" spans="2:16" ht="17.25" customHeight="1" hidden="1" thickBot="1">
      <c r="B517" s="133"/>
      <c r="C517" s="31"/>
      <c r="D517" s="31"/>
      <c r="E517" s="31"/>
      <c r="F517" s="154" t="s">
        <v>77</v>
      </c>
      <c r="G517" s="160">
        <f>G516</f>
        <v>4380600</v>
      </c>
      <c r="H517" s="161">
        <f>'Other Electriciy Rates'!$J$13</f>
        <v>0</v>
      </c>
      <c r="I517" s="162">
        <f>+G517*H517</f>
        <v>0</v>
      </c>
      <c r="J517" s="160">
        <f>J516</f>
        <v>4380600</v>
      </c>
      <c r="K517" s="161">
        <f>'Other Electriciy Rates'!$J$27</f>
        <v>0</v>
      </c>
      <c r="L517" s="185">
        <f>+J517*K517</f>
        <v>0</v>
      </c>
      <c r="M517" s="186">
        <f>+L517-I517</f>
        <v>0</v>
      </c>
      <c r="N517" s="187" t="e">
        <f t="shared" si="69"/>
        <v>#DIV/0!</v>
      </c>
      <c r="O517" s="179" t="e">
        <f>L517/L520</f>
        <v>#DIV/0!</v>
      </c>
      <c r="P517" s="128"/>
    </row>
    <row r="518" spans="2:16" ht="17.25" customHeight="1" hidden="1" thickBot="1">
      <c r="B518" s="133"/>
      <c r="C518" s="31"/>
      <c r="D518" s="31"/>
      <c r="E518" s="31"/>
      <c r="F518" s="189" t="s">
        <v>194</v>
      </c>
      <c r="G518" s="534"/>
      <c r="H518" s="535"/>
      <c r="I518" s="191">
        <f>SUM(I513:I517)</f>
        <v>0</v>
      </c>
      <c r="J518" s="534"/>
      <c r="K518" s="535"/>
      <c r="L518" s="191" t="e">
        <f>SUM(L513:L517)</f>
        <v>#DIV/0!</v>
      </c>
      <c r="M518" s="191" t="e">
        <f>SUM(M513:M517)</f>
        <v>#DIV/0!</v>
      </c>
      <c r="N518" s="194" t="e">
        <f t="shared" si="69"/>
        <v>#DIV/0!</v>
      </c>
      <c r="O518" s="298" t="e">
        <f>L518/L520</f>
        <v>#DIV/0!</v>
      </c>
      <c r="P518" s="128"/>
    </row>
    <row r="519" spans="2:16" ht="17.25" customHeight="1" hidden="1" thickBot="1">
      <c r="B519" s="133"/>
      <c r="C519" s="31"/>
      <c r="D519" s="31"/>
      <c r="E519" s="31"/>
      <c r="F519" s="240" t="s">
        <v>195</v>
      </c>
      <c r="G519" s="241"/>
      <c r="H519" s="244">
        <v>0.05</v>
      </c>
      <c r="I519" s="242">
        <f>I518*H519</f>
        <v>0</v>
      </c>
      <c r="J519" s="241"/>
      <c r="K519" s="244">
        <v>0.05</v>
      </c>
      <c r="L519" s="243" t="e">
        <f>L518*K519</f>
        <v>#DIV/0!</v>
      </c>
      <c r="M519" s="183" t="e">
        <f>+L519-I519</f>
        <v>#DIV/0!</v>
      </c>
      <c r="N519" s="184" t="e">
        <f t="shared" si="69"/>
        <v>#DIV/0!</v>
      </c>
      <c r="O519" s="197" t="e">
        <f>L519/L520</f>
        <v>#DIV/0!</v>
      </c>
      <c r="P519" s="128"/>
    </row>
    <row r="520" spans="2:16" ht="17.25" customHeight="1" hidden="1" thickBot="1">
      <c r="B520" s="133"/>
      <c r="C520" s="31"/>
      <c r="D520" s="31"/>
      <c r="E520" s="35"/>
      <c r="F520" s="195" t="s">
        <v>78</v>
      </c>
      <c r="G520" s="534"/>
      <c r="H520" s="535"/>
      <c r="I520" s="191">
        <f>I518+I519</f>
        <v>0</v>
      </c>
      <c r="J520" s="534"/>
      <c r="K520" s="535"/>
      <c r="L520" s="191" t="e">
        <f>L518+L519</f>
        <v>#DIV/0!</v>
      </c>
      <c r="M520" s="191" t="e">
        <f>M518+M519</f>
        <v>#DIV/0!</v>
      </c>
      <c r="N520" s="194" t="e">
        <f t="shared" si="69"/>
        <v>#DIV/0!</v>
      </c>
      <c r="O520" s="196" t="e">
        <f>O518+O519</f>
        <v>#DIV/0!</v>
      </c>
      <c r="P520" s="128"/>
    </row>
    <row r="521" spans="2:16" ht="17.25" customHeight="1" hidden="1" thickBot="1">
      <c r="B521" s="129"/>
      <c r="C521" s="139"/>
      <c r="D521" s="139"/>
      <c r="E521" s="139"/>
      <c r="F521" s="140"/>
      <c r="G521" s="141"/>
      <c r="H521" s="142"/>
      <c r="I521" s="143"/>
      <c r="J521" s="141"/>
      <c r="K521" s="144"/>
      <c r="L521" s="143"/>
      <c r="M521" s="145"/>
      <c r="N521" s="146"/>
      <c r="O521" s="147"/>
      <c r="P521" s="130"/>
    </row>
    <row r="522" spans="2:16" ht="17.25" customHeight="1" hidden="1" thickBot="1">
      <c r="B522" s="25"/>
      <c r="C522" s="31"/>
      <c r="D522" s="31"/>
      <c r="E522" s="31"/>
      <c r="F522" s="49"/>
      <c r="G522" s="50"/>
      <c r="H522" s="51"/>
      <c r="I522" s="52"/>
      <c r="J522" s="50"/>
      <c r="K522" s="53"/>
      <c r="L522" s="52"/>
      <c r="M522" s="54"/>
      <c r="N522" s="136"/>
      <c r="O522" s="137"/>
      <c r="P522" s="25"/>
    </row>
    <row r="523" spans="2:16" ht="17.25" customHeight="1" hidden="1">
      <c r="B523" s="135"/>
      <c r="C523" s="536"/>
      <c r="D523" s="536"/>
      <c r="E523" s="536"/>
      <c r="F523" s="536"/>
      <c r="G523" s="536"/>
      <c r="H523" s="536"/>
      <c r="I523" s="536"/>
      <c r="J523" s="536"/>
      <c r="K523" s="536"/>
      <c r="L523" s="536"/>
      <c r="M523" s="536"/>
      <c r="N523" s="536"/>
      <c r="O523" s="536"/>
      <c r="P523" s="127"/>
    </row>
    <row r="524" spans="2:16" ht="23.25" hidden="1">
      <c r="B524" s="133"/>
      <c r="C524" s="538" t="s">
        <v>83</v>
      </c>
      <c r="D524" s="538"/>
      <c r="E524" s="538"/>
      <c r="F524" s="538"/>
      <c r="G524" s="538"/>
      <c r="H524" s="538"/>
      <c r="I524" s="538"/>
      <c r="J524" s="538"/>
      <c r="K524" s="538"/>
      <c r="L524" s="538"/>
      <c r="M524" s="538"/>
      <c r="N524" s="538"/>
      <c r="O524" s="538"/>
      <c r="P524" s="128"/>
    </row>
    <row r="525" spans="2:17" ht="17.25" customHeight="1" hidden="1" thickBot="1">
      <c r="B525" s="133"/>
      <c r="C525" s="541"/>
      <c r="D525" s="541"/>
      <c r="E525" s="541"/>
      <c r="F525" s="541"/>
      <c r="G525" s="541"/>
      <c r="H525" s="541"/>
      <c r="I525" s="541"/>
      <c r="J525" s="541"/>
      <c r="K525" s="541"/>
      <c r="L525" s="541"/>
      <c r="M525" s="541"/>
      <c r="N525" s="541"/>
      <c r="O525" s="541"/>
      <c r="P525" s="128"/>
      <c r="Q525" s="25"/>
    </row>
    <row r="526" spans="2:17" ht="17.25" customHeight="1" hidden="1" thickBot="1">
      <c r="B526" s="133"/>
      <c r="C526" s="134"/>
      <c r="D526" s="134"/>
      <c r="E526" s="31"/>
      <c r="F526" s="32"/>
      <c r="G526" s="544" t="str">
        <f>$G$10</f>
        <v>2010 BILL</v>
      </c>
      <c r="H526" s="545"/>
      <c r="I526" s="546"/>
      <c r="J526" s="544" t="str">
        <f>$J$10</f>
        <v>2011 BILL</v>
      </c>
      <c r="K526" s="545"/>
      <c r="L526" s="546"/>
      <c r="M526" s="544" t="s">
        <v>72</v>
      </c>
      <c r="N526" s="545"/>
      <c r="O526" s="546"/>
      <c r="P526" s="128"/>
      <c r="Q526" s="25"/>
    </row>
    <row r="527" spans="2:17" ht="26.25" hidden="1" thickBot="1">
      <c r="B527" s="133"/>
      <c r="C527" s="31"/>
      <c r="D527" s="31"/>
      <c r="E527" s="33"/>
      <c r="F527" s="34"/>
      <c r="G527" s="313" t="s">
        <v>66</v>
      </c>
      <c r="H527" s="314" t="s">
        <v>67</v>
      </c>
      <c r="I527" s="315" t="s">
        <v>68</v>
      </c>
      <c r="J527" s="316" t="s">
        <v>66</v>
      </c>
      <c r="K527" s="314" t="s">
        <v>67</v>
      </c>
      <c r="L527" s="315" t="s">
        <v>68</v>
      </c>
      <c r="M527" s="149" t="s">
        <v>73</v>
      </c>
      <c r="N527" s="150" t="s">
        <v>74</v>
      </c>
      <c r="O527" s="151" t="s">
        <v>75</v>
      </c>
      <c r="P527" s="128"/>
      <c r="Q527" s="25"/>
    </row>
    <row r="528" spans="2:17" ht="17.25" customHeight="1" hidden="1" thickBot="1">
      <c r="B528" s="133"/>
      <c r="C528" s="542" t="s">
        <v>69</v>
      </c>
      <c r="D528" s="543"/>
      <c r="E528" s="31"/>
      <c r="F528" s="319" t="s">
        <v>70</v>
      </c>
      <c r="G528" s="317"/>
      <c r="H528" s="311"/>
      <c r="I528" s="162">
        <f>+'2010 Existing Rates'!$C$11</f>
        <v>0</v>
      </c>
      <c r="J528" s="160"/>
      <c r="K528" s="312"/>
      <c r="L528" s="185">
        <f>'Rate Schedule (Part 1)'!$E$39</f>
        <v>0</v>
      </c>
      <c r="M528" s="186">
        <f aca="true" t="shared" si="70" ref="M528:M533">+L528-I528</f>
        <v>0</v>
      </c>
      <c r="N528" s="187" t="e">
        <f aca="true" t="shared" si="71" ref="N528:N541">+M528/I528</f>
        <v>#DIV/0!</v>
      </c>
      <c r="O528" s="179" t="e">
        <f>L528/L541</f>
        <v>#DIV/0!</v>
      </c>
      <c r="P528" s="128"/>
      <c r="Q528" s="25"/>
    </row>
    <row r="529" spans="2:17" ht="17.25" customHeight="1" hidden="1" thickBot="1">
      <c r="B529" s="133"/>
      <c r="C529" s="131">
        <v>4700000</v>
      </c>
      <c r="D529" s="132" t="s">
        <v>16</v>
      </c>
      <c r="E529" s="31"/>
      <c r="F529" s="320" t="s">
        <v>81</v>
      </c>
      <c r="G529" s="318">
        <f>+C530</f>
        <v>13900</v>
      </c>
      <c r="H529" s="153">
        <f>'2010 Existing Rates'!$D$56</f>
        <v>0</v>
      </c>
      <c r="I529" s="168">
        <f>+G529*H529</f>
        <v>0</v>
      </c>
      <c r="J529" s="159">
        <f>G529</f>
        <v>13900</v>
      </c>
      <c r="K529" s="152">
        <f>'Rate Schedule (Part 1)'!$E$40</f>
        <v>0</v>
      </c>
      <c r="L529" s="171">
        <f>+J529*K529</f>
        <v>0</v>
      </c>
      <c r="M529" s="186">
        <f t="shared" si="70"/>
        <v>0</v>
      </c>
      <c r="N529" s="187" t="e">
        <f t="shared" si="71"/>
        <v>#DIV/0!</v>
      </c>
      <c r="O529" s="179" t="e">
        <f>L529/L541</f>
        <v>#DIV/0!</v>
      </c>
      <c r="P529" s="128"/>
      <c r="Q529" s="25"/>
    </row>
    <row r="530" spans="2:16" ht="17.25" customHeight="1" hidden="1" thickBot="1">
      <c r="B530" s="133"/>
      <c r="C530" s="131">
        <v>13900</v>
      </c>
      <c r="D530" s="132" t="s">
        <v>17</v>
      </c>
      <c r="E530" s="31"/>
      <c r="F530" s="320" t="s">
        <v>245</v>
      </c>
      <c r="G530" s="266">
        <f>G529</f>
        <v>13900</v>
      </c>
      <c r="H530" s="321">
        <f>'2010 Existing Rates'!$D$33</f>
        <v>0</v>
      </c>
      <c r="J530" s="159">
        <f>+C530</f>
        <v>13900</v>
      </c>
      <c r="K530" s="152" t="e">
        <f>'Rate Schedule (Part 1)'!$E$41</f>
        <v>#DIV/0!</v>
      </c>
      <c r="L530" s="171" t="e">
        <f>+J530*K530</f>
        <v>#DIV/0!</v>
      </c>
      <c r="M530" s="186" t="e">
        <f t="shared" si="70"/>
        <v>#DIV/0!</v>
      </c>
      <c r="N530" s="187" t="e">
        <f t="shared" si="71"/>
        <v>#DIV/0!</v>
      </c>
      <c r="O530" s="179" t="e">
        <f>L530/L541</f>
        <v>#DIV/0!</v>
      </c>
      <c r="P530" s="128"/>
    </row>
    <row r="531" spans="2:16" ht="17.25" customHeight="1" hidden="1">
      <c r="B531" s="133"/>
      <c r="C531" s="293"/>
      <c r="D531" s="310"/>
      <c r="E531" s="31"/>
      <c r="F531" s="156" t="s">
        <v>169</v>
      </c>
      <c r="G531" s="174"/>
      <c r="H531" s="173"/>
      <c r="I531" s="168">
        <f>'2010 Existing Rates'!$B$44</f>
        <v>0</v>
      </c>
      <c r="J531" s="174"/>
      <c r="K531" s="173"/>
      <c r="L531" s="168" t="e">
        <f>'Rate Schedule (Part 1)'!$E$42</f>
        <v>#DIV/0!</v>
      </c>
      <c r="M531" s="186" t="e">
        <f t="shared" si="70"/>
        <v>#DIV/0!</v>
      </c>
      <c r="N531" s="187" t="e">
        <f t="shared" si="71"/>
        <v>#DIV/0!</v>
      </c>
      <c r="O531" s="179" t="e">
        <f>L531/L541</f>
        <v>#DIV/0!</v>
      </c>
      <c r="P531" s="128"/>
    </row>
    <row r="532" spans="2:16" ht="17.25" customHeight="1" hidden="1">
      <c r="B532" s="133"/>
      <c r="C532" s="63"/>
      <c r="D532" s="64"/>
      <c r="E532" s="31"/>
      <c r="F532" s="156" t="s">
        <v>246</v>
      </c>
      <c r="G532" s="159">
        <f>G530</f>
        <v>13900</v>
      </c>
      <c r="H532" s="153"/>
      <c r="I532" s="168">
        <f>+G532*H532</f>
        <v>0</v>
      </c>
      <c r="J532" s="159">
        <f>G532</f>
        <v>13900</v>
      </c>
      <c r="K532" s="152" t="e">
        <f>'Rate Schedule (Part 1)'!$E$42</f>
        <v>#DIV/0!</v>
      </c>
      <c r="L532" s="171" t="e">
        <f>+J532*K532</f>
        <v>#DIV/0!</v>
      </c>
      <c r="M532" s="186" t="e">
        <f t="shared" si="70"/>
        <v>#DIV/0!</v>
      </c>
      <c r="N532" s="187" t="e">
        <f t="shared" si="71"/>
        <v>#DIV/0!</v>
      </c>
      <c r="O532" s="179" t="e">
        <f>L532/L541</f>
        <v>#DIV/0!</v>
      </c>
      <c r="P532" s="128"/>
    </row>
    <row r="533" spans="2:16" ht="17.25" customHeight="1" hidden="1" thickBot="1">
      <c r="B533" s="133"/>
      <c r="C533" s="31"/>
      <c r="D533" s="31"/>
      <c r="E533" s="31"/>
      <c r="F533" s="157" t="s">
        <v>247</v>
      </c>
      <c r="G533" s="159">
        <f>+C530</f>
        <v>13900</v>
      </c>
      <c r="H533" s="153">
        <f>'2010 Existing Rates'!$D$22</f>
        <v>0</v>
      </c>
      <c r="I533" s="168">
        <f>+G533*H533</f>
        <v>0</v>
      </c>
      <c r="J533" s="159">
        <f>+C530</f>
        <v>13900</v>
      </c>
      <c r="K533" s="152">
        <f>'Rate Schedule (Part 1)'!$E$36</f>
        <v>-0.6117197240049442</v>
      </c>
      <c r="L533" s="171">
        <f>+J533*K533</f>
        <v>-8502.904163668725</v>
      </c>
      <c r="M533" s="186">
        <f t="shared" si="70"/>
        <v>-8502.904163668725</v>
      </c>
      <c r="N533" s="187" t="e">
        <f t="shared" si="71"/>
        <v>#DIV/0!</v>
      </c>
      <c r="O533" s="179" t="e">
        <f>L533/L541</f>
        <v>#DIV/0!</v>
      </c>
      <c r="P533" s="128"/>
    </row>
    <row r="534" spans="2:16" ht="17.25" customHeight="1" hidden="1" thickBot="1">
      <c r="B534" s="133"/>
      <c r="C534" s="31"/>
      <c r="D534" s="31"/>
      <c r="E534" s="31"/>
      <c r="F534" s="189" t="s">
        <v>242</v>
      </c>
      <c r="G534" s="534"/>
      <c r="H534" s="535"/>
      <c r="I534" s="191">
        <f>SUM(I528:I533)</f>
        <v>0</v>
      </c>
      <c r="J534" s="534"/>
      <c r="K534" s="535"/>
      <c r="L534" s="191" t="e">
        <f>SUM(L528:L533)</f>
        <v>#DIV/0!</v>
      </c>
      <c r="M534" s="193" t="e">
        <f>SUM(M528:M533)</f>
        <v>#DIV/0!</v>
      </c>
      <c r="N534" s="194" t="e">
        <f t="shared" si="71"/>
        <v>#DIV/0!</v>
      </c>
      <c r="O534" s="196" t="e">
        <f>SUM(O528:O533)</f>
        <v>#DIV/0!</v>
      </c>
      <c r="P534" s="128"/>
    </row>
    <row r="535" spans="2:16" ht="17.25" customHeight="1" hidden="1" thickBot="1">
      <c r="B535" s="133"/>
      <c r="C535" s="31"/>
      <c r="D535" s="31"/>
      <c r="E535" s="31"/>
      <c r="F535" s="156" t="s">
        <v>248</v>
      </c>
      <c r="G535" s="295">
        <f>C530</f>
        <v>13900</v>
      </c>
      <c r="H535" s="296">
        <f>'Other Electriciy Rates'!$F$13</f>
        <v>0</v>
      </c>
      <c r="I535" s="168">
        <f>+G535*H535</f>
        <v>0</v>
      </c>
      <c r="J535" s="295">
        <f>C530</f>
        <v>13900</v>
      </c>
      <c r="K535" s="296">
        <f>'Other Electriciy Rates'!$F$27</f>
        <v>0</v>
      </c>
      <c r="L535" s="168">
        <f>+J535*K535</f>
        <v>0</v>
      </c>
      <c r="M535" s="297">
        <f>+L535-I535</f>
        <v>0</v>
      </c>
      <c r="N535" s="176" t="e">
        <f t="shared" si="71"/>
        <v>#DIV/0!</v>
      </c>
      <c r="O535" s="179" t="e">
        <f>L535/L541</f>
        <v>#DIV/0!</v>
      </c>
      <c r="P535" s="128"/>
    </row>
    <row r="536" spans="2:16" ht="17.25" customHeight="1" hidden="1" thickBot="1">
      <c r="B536" s="133"/>
      <c r="C536" s="31"/>
      <c r="D536" s="31"/>
      <c r="E536" s="31"/>
      <c r="F536" s="189" t="s">
        <v>244</v>
      </c>
      <c r="G536" s="534"/>
      <c r="H536" s="535"/>
      <c r="I536" s="191">
        <f>I534+I535</f>
        <v>0</v>
      </c>
      <c r="J536" s="534"/>
      <c r="K536" s="535"/>
      <c r="L536" s="191" t="e">
        <f>L534+L535</f>
        <v>#DIV/0!</v>
      </c>
      <c r="M536" s="193" t="e">
        <f>SUM(M530:M535)</f>
        <v>#DIV/0!</v>
      </c>
      <c r="N536" s="194" t="e">
        <f t="shared" si="71"/>
        <v>#DIV/0!</v>
      </c>
      <c r="O536" s="298" t="e">
        <f>L536/L541</f>
        <v>#DIV/0!</v>
      </c>
      <c r="P536" s="128"/>
    </row>
    <row r="537" spans="2:16" ht="17.25" customHeight="1" hidden="1">
      <c r="B537" s="133"/>
      <c r="C537" s="31"/>
      <c r="D537" s="31"/>
      <c r="E537" s="31"/>
      <c r="F537" s="154" t="s">
        <v>76</v>
      </c>
      <c r="G537" s="160">
        <f>C529*'Other Electriciy Rates'!$L$12</f>
        <v>4902100</v>
      </c>
      <c r="H537" s="161">
        <f>'Other Electriciy Rates'!$C$13+'Other Electriciy Rates'!$D$13</f>
        <v>0</v>
      </c>
      <c r="I537" s="162">
        <f>+G537*H537</f>
        <v>0</v>
      </c>
      <c r="J537" s="160">
        <f>C529*'Other Electriciy Rates'!$L$26</f>
        <v>4902100</v>
      </c>
      <c r="K537" s="161">
        <f>'Other Electriciy Rates'!$C$27+'Other Electriciy Rates'!$D$27</f>
        <v>0</v>
      </c>
      <c r="L537" s="185">
        <f>+J537*K537</f>
        <v>0</v>
      </c>
      <c r="M537" s="186">
        <f>+L537-I537</f>
        <v>0</v>
      </c>
      <c r="N537" s="187" t="e">
        <f t="shared" si="71"/>
        <v>#DIV/0!</v>
      </c>
      <c r="O537" s="179" t="e">
        <f>L537/L541</f>
        <v>#DIV/0!</v>
      </c>
      <c r="P537" s="128"/>
    </row>
    <row r="538" spans="2:16" ht="17.25" customHeight="1" hidden="1" thickBot="1">
      <c r="B538" s="133"/>
      <c r="C538" s="31"/>
      <c r="D538" s="31"/>
      <c r="E538" s="31"/>
      <c r="F538" s="154" t="s">
        <v>77</v>
      </c>
      <c r="G538" s="160">
        <f>G537</f>
        <v>4902100</v>
      </c>
      <c r="H538" s="161">
        <f>'Other Electriciy Rates'!$J$13</f>
        <v>0</v>
      </c>
      <c r="I538" s="162">
        <f>+G538*H538</f>
        <v>0</v>
      </c>
      <c r="J538" s="160">
        <f>J537</f>
        <v>4902100</v>
      </c>
      <c r="K538" s="161">
        <f>'Other Electriciy Rates'!$J$27</f>
        <v>0</v>
      </c>
      <c r="L538" s="185">
        <f>+J538*K538</f>
        <v>0</v>
      </c>
      <c r="M538" s="186">
        <f>+L538-I538</f>
        <v>0</v>
      </c>
      <c r="N538" s="187" t="e">
        <f t="shared" si="71"/>
        <v>#DIV/0!</v>
      </c>
      <c r="O538" s="179" t="e">
        <f>L538/L541</f>
        <v>#DIV/0!</v>
      </c>
      <c r="P538" s="128"/>
    </row>
    <row r="539" spans="2:16" ht="17.25" customHeight="1" hidden="1" thickBot="1">
      <c r="B539" s="133"/>
      <c r="C539" s="31"/>
      <c r="D539" s="31"/>
      <c r="E539" s="31"/>
      <c r="F539" s="189" t="s">
        <v>194</v>
      </c>
      <c r="G539" s="534"/>
      <c r="H539" s="535"/>
      <c r="I539" s="191">
        <f>SUM(I534:I538)</f>
        <v>0</v>
      </c>
      <c r="J539" s="534"/>
      <c r="K539" s="535"/>
      <c r="L539" s="191" t="e">
        <f>SUM(L534:L538)</f>
        <v>#DIV/0!</v>
      </c>
      <c r="M539" s="191" t="e">
        <f>SUM(M534:M538)</f>
        <v>#DIV/0!</v>
      </c>
      <c r="N539" s="194" t="e">
        <f t="shared" si="71"/>
        <v>#DIV/0!</v>
      </c>
      <c r="O539" s="298" t="e">
        <f>L539/L541</f>
        <v>#DIV/0!</v>
      </c>
      <c r="P539" s="128"/>
    </row>
    <row r="540" spans="2:16" ht="17.25" customHeight="1" hidden="1" thickBot="1">
      <c r="B540" s="133"/>
      <c r="C540" s="31"/>
      <c r="D540" s="31"/>
      <c r="E540" s="31"/>
      <c r="F540" s="240" t="s">
        <v>195</v>
      </c>
      <c r="G540" s="241"/>
      <c r="H540" s="244">
        <v>0.05</v>
      </c>
      <c r="I540" s="242">
        <f>I539*H540</f>
        <v>0</v>
      </c>
      <c r="J540" s="241"/>
      <c r="K540" s="244">
        <v>0.05</v>
      </c>
      <c r="L540" s="243" t="e">
        <f>L539*K540</f>
        <v>#DIV/0!</v>
      </c>
      <c r="M540" s="183" t="e">
        <f>+L540-I540</f>
        <v>#DIV/0!</v>
      </c>
      <c r="N540" s="184" t="e">
        <f t="shared" si="71"/>
        <v>#DIV/0!</v>
      </c>
      <c r="O540" s="197" t="e">
        <f>L540/L541</f>
        <v>#DIV/0!</v>
      </c>
      <c r="P540" s="128"/>
    </row>
    <row r="541" spans="2:16" ht="17.25" customHeight="1" hidden="1" thickBot="1">
      <c r="B541" s="133"/>
      <c r="C541" s="31"/>
      <c r="D541" s="31"/>
      <c r="E541" s="35"/>
      <c r="F541" s="322" t="s">
        <v>78</v>
      </c>
      <c r="G541" s="539"/>
      <c r="H541" s="540"/>
      <c r="I541" s="323">
        <f>I539+I540</f>
        <v>0</v>
      </c>
      <c r="J541" s="539"/>
      <c r="K541" s="540"/>
      <c r="L541" s="323" t="e">
        <f>L539+L540</f>
        <v>#DIV/0!</v>
      </c>
      <c r="M541" s="323" t="e">
        <f>M539+M540</f>
        <v>#DIV/0!</v>
      </c>
      <c r="N541" s="324" t="e">
        <f t="shared" si="71"/>
        <v>#DIV/0!</v>
      </c>
      <c r="O541" s="294" t="e">
        <f>O539+O540</f>
        <v>#DIV/0!</v>
      </c>
      <c r="P541" s="128"/>
    </row>
    <row r="542" spans="2:16" ht="17.25" customHeight="1" hidden="1" thickBot="1">
      <c r="B542" s="129"/>
      <c r="C542" s="139"/>
      <c r="D542" s="139"/>
      <c r="E542" s="139"/>
      <c r="F542" s="225"/>
      <c r="G542" s="226"/>
      <c r="H542" s="227"/>
      <c r="I542" s="228"/>
      <c r="J542" s="226"/>
      <c r="K542" s="229"/>
      <c r="L542" s="228"/>
      <c r="M542" s="325"/>
      <c r="N542" s="230"/>
      <c r="O542" s="231"/>
      <c r="P542" s="130"/>
    </row>
    <row r="543" spans="3:15" s="25" customFormat="1" ht="17.25" customHeight="1" thickBot="1">
      <c r="C543" s="31"/>
      <c r="D543" s="31"/>
      <c r="E543" s="31"/>
      <c r="F543" s="49"/>
      <c r="G543" s="50"/>
      <c r="H543" s="51"/>
      <c r="I543" s="52"/>
      <c r="J543" s="50"/>
      <c r="K543" s="53"/>
      <c r="L543" s="52"/>
      <c r="M543" s="54"/>
      <c r="N543" s="136"/>
      <c r="O543" s="137"/>
    </row>
    <row r="544" spans="2:16" ht="17.25" customHeight="1">
      <c r="B544" s="135"/>
      <c r="C544" s="536"/>
      <c r="D544" s="536"/>
      <c r="E544" s="536"/>
      <c r="F544" s="536"/>
      <c r="G544" s="536"/>
      <c r="H544" s="536"/>
      <c r="I544" s="536"/>
      <c r="J544" s="536"/>
      <c r="K544" s="536"/>
      <c r="L544" s="536"/>
      <c r="M544" s="536"/>
      <c r="N544" s="536"/>
      <c r="O544" s="536"/>
      <c r="P544" s="127"/>
    </row>
    <row r="545" spans="2:16" ht="23.25">
      <c r="B545" s="133"/>
      <c r="C545" s="537" t="s">
        <v>272</v>
      </c>
      <c r="D545" s="538"/>
      <c r="E545" s="538"/>
      <c r="F545" s="538"/>
      <c r="G545" s="538"/>
      <c r="H545" s="538"/>
      <c r="I545" s="538"/>
      <c r="J545" s="538"/>
      <c r="K545" s="538"/>
      <c r="L545" s="538"/>
      <c r="M545" s="538"/>
      <c r="N545" s="538"/>
      <c r="O545" s="538"/>
      <c r="P545" s="128"/>
    </row>
    <row r="546" spans="2:17" ht="17.25" customHeight="1" thickBot="1">
      <c r="B546" s="133"/>
      <c r="C546" s="541"/>
      <c r="D546" s="541"/>
      <c r="E546" s="541"/>
      <c r="F546" s="541"/>
      <c r="G546" s="541"/>
      <c r="H546" s="541"/>
      <c r="I546" s="541"/>
      <c r="J546" s="541"/>
      <c r="K546" s="541"/>
      <c r="L546" s="541"/>
      <c r="M546" s="541"/>
      <c r="N546" s="541"/>
      <c r="O546" s="541"/>
      <c r="P546" s="128"/>
      <c r="Q546" s="25"/>
    </row>
    <row r="547" spans="2:17" ht="17.25" customHeight="1" thickBot="1">
      <c r="B547" s="133"/>
      <c r="C547" s="134"/>
      <c r="D547" s="134"/>
      <c r="E547" s="31"/>
      <c r="F547" s="32"/>
      <c r="G547" s="529" t="str">
        <f>$G$10</f>
        <v>2010 BILL</v>
      </c>
      <c r="H547" s="530"/>
      <c r="I547" s="531"/>
      <c r="J547" s="529" t="str">
        <f>$J$10</f>
        <v>2011 BILL</v>
      </c>
      <c r="K547" s="530"/>
      <c r="L547" s="531"/>
      <c r="M547" s="529" t="s">
        <v>72</v>
      </c>
      <c r="N547" s="530"/>
      <c r="O547" s="531"/>
      <c r="P547" s="128"/>
      <c r="Q547" s="25"/>
    </row>
    <row r="548" spans="2:17" ht="26.25" thickBot="1">
      <c r="B548" s="133"/>
      <c r="C548" s="31"/>
      <c r="D548" s="31"/>
      <c r="E548" s="33"/>
      <c r="F548" s="34"/>
      <c r="G548" s="353" t="s">
        <v>66</v>
      </c>
      <c r="H548" s="354" t="s">
        <v>67</v>
      </c>
      <c r="I548" s="355" t="s">
        <v>68</v>
      </c>
      <c r="J548" s="356" t="s">
        <v>66</v>
      </c>
      <c r="K548" s="354" t="s">
        <v>67</v>
      </c>
      <c r="L548" s="355" t="s">
        <v>68</v>
      </c>
      <c r="M548" s="350" t="s">
        <v>73</v>
      </c>
      <c r="N548" s="351" t="s">
        <v>74</v>
      </c>
      <c r="O548" s="352" t="s">
        <v>75</v>
      </c>
      <c r="P548" s="128"/>
      <c r="Q548" s="25"/>
    </row>
    <row r="549" spans="2:17" ht="17.25" customHeight="1" thickBot="1">
      <c r="B549" s="133"/>
      <c r="C549" s="532" t="s">
        <v>138</v>
      </c>
      <c r="D549" s="533"/>
      <c r="E549" s="31"/>
      <c r="F549" s="319" t="s">
        <v>70</v>
      </c>
      <c r="G549" s="317">
        <v>550</v>
      </c>
      <c r="H549" s="311">
        <f>'2010 Existing Rates'!$B$13</f>
        <v>3.54</v>
      </c>
      <c r="I549" s="168">
        <f>+G549*H549</f>
        <v>1947</v>
      </c>
      <c r="J549" s="317">
        <f>G549</f>
        <v>550</v>
      </c>
      <c r="K549" s="311">
        <f>'Rate Schedule (Part 1)'!$E$54</f>
        <v>5.2033</v>
      </c>
      <c r="L549" s="168">
        <f>+J549*K549</f>
        <v>2861.8149999999996</v>
      </c>
      <c r="M549" s="186">
        <f>+L549-I549</f>
        <v>914.8149999999996</v>
      </c>
      <c r="N549" s="187">
        <f aca="true" t="shared" si="72" ref="N549:N562">+M549/I549</f>
        <v>0.4698587570621467</v>
      </c>
      <c r="O549" s="179">
        <f>L549/L562</f>
        <v>0.16297867637026284</v>
      </c>
      <c r="P549" s="128"/>
      <c r="Q549" s="25"/>
    </row>
    <row r="550" spans="2:17" ht="17.25" customHeight="1" thickBot="1">
      <c r="B550" s="133"/>
      <c r="C550" s="346">
        <v>550</v>
      </c>
      <c r="D550" s="347" t="s">
        <v>137</v>
      </c>
      <c r="E550" s="31"/>
      <c r="F550" s="320" t="s">
        <v>81</v>
      </c>
      <c r="G550" s="318">
        <f>C552</f>
        <v>430</v>
      </c>
      <c r="H550" s="153">
        <f>'2010 Existing Rates'!$D$58</f>
        <v>2.3277</v>
      </c>
      <c r="I550" s="168">
        <f>+G550*H550</f>
        <v>1000.9110000000001</v>
      </c>
      <c r="J550" s="159">
        <f>G550</f>
        <v>430</v>
      </c>
      <c r="K550" s="152">
        <f>'Rate Schedule (Part 1)'!$E$55</f>
        <v>3.4214</v>
      </c>
      <c r="L550" s="168">
        <f>+J550*K550</f>
        <v>1471.202</v>
      </c>
      <c r="M550" s="186">
        <f>+L550-I550</f>
        <v>470.29099999999994</v>
      </c>
      <c r="N550" s="187">
        <f t="shared" si="72"/>
        <v>0.4698629548481333</v>
      </c>
      <c r="O550" s="179">
        <f>L550/L562</f>
        <v>0.08378408619469933</v>
      </c>
      <c r="P550" s="128"/>
      <c r="Q550" s="25"/>
    </row>
    <row r="551" spans="2:16" ht="17.25" customHeight="1" thickBot="1">
      <c r="B551" s="133"/>
      <c r="C551" s="346">
        <v>130000</v>
      </c>
      <c r="D551" s="347" t="s">
        <v>16</v>
      </c>
      <c r="E551" s="31"/>
      <c r="F551" s="320" t="s">
        <v>245</v>
      </c>
      <c r="G551" s="266">
        <f>G550</f>
        <v>430</v>
      </c>
      <c r="H551" s="321">
        <f>'2010 Existing Rates'!$D$35</f>
        <v>0</v>
      </c>
      <c r="I551" s="440">
        <v>0</v>
      </c>
      <c r="J551" s="159">
        <f>G551</f>
        <v>430</v>
      </c>
      <c r="K551" s="152">
        <f>'Rate Schedule (Part 1)'!$E$56</f>
        <v>0</v>
      </c>
      <c r="L551" s="168">
        <f>+J551*K551</f>
        <v>0</v>
      </c>
      <c r="M551" s="186">
        <f>+L551-I551</f>
        <v>0</v>
      </c>
      <c r="N551" s="187">
        <v>0</v>
      </c>
      <c r="O551" s="179">
        <f>L551/L562</f>
        <v>0</v>
      </c>
      <c r="P551" s="128"/>
    </row>
    <row r="552" spans="2:16" ht="17.25" customHeight="1" thickBot="1">
      <c r="B552" s="133"/>
      <c r="C552" s="346">
        <v>430</v>
      </c>
      <c r="D552" s="347" t="s">
        <v>17</v>
      </c>
      <c r="E552" s="31"/>
      <c r="F552" s="156" t="s">
        <v>246</v>
      </c>
      <c r="G552" s="159">
        <f>G551</f>
        <v>430</v>
      </c>
      <c r="H552" s="153">
        <v>0</v>
      </c>
      <c r="I552" s="168">
        <f>+G552*H552</f>
        <v>0</v>
      </c>
      <c r="J552" s="159">
        <f>G552</f>
        <v>430</v>
      </c>
      <c r="K552" s="153">
        <v>0</v>
      </c>
      <c r="L552" s="171">
        <f>+J552*K552</f>
        <v>0</v>
      </c>
      <c r="M552" s="186">
        <f>+L552-I552</f>
        <v>0</v>
      </c>
      <c r="N552" s="187">
        <v>0</v>
      </c>
      <c r="O552" s="179">
        <f>L552/L562</f>
        <v>0</v>
      </c>
      <c r="P552" s="128"/>
    </row>
    <row r="553" spans="2:16" ht="17.25" customHeight="1" thickBot="1">
      <c r="B553" s="133"/>
      <c r="C553" s="63"/>
      <c r="D553" s="64"/>
      <c r="E553" s="31"/>
      <c r="F553" s="157" t="s">
        <v>247</v>
      </c>
      <c r="G553" s="159">
        <f>G552</f>
        <v>430</v>
      </c>
      <c r="H553" s="153">
        <f>'2010 Existing Rates'!$D$24</f>
        <v>0</v>
      </c>
      <c r="I553" s="168">
        <f>+G553*H553</f>
        <v>0</v>
      </c>
      <c r="J553" s="159">
        <f>J552</f>
        <v>430</v>
      </c>
      <c r="K553" s="152">
        <f>'Rate Schedule (Part 1)'!$E$58</f>
        <v>-0.4954498112435202</v>
      </c>
      <c r="L553" s="171">
        <f>+J553*K553</f>
        <v>-213.0434188347137</v>
      </c>
      <c r="M553" s="186">
        <f>+L553-I553</f>
        <v>-213.0434188347137</v>
      </c>
      <c r="N553" s="172">
        <v>-1</v>
      </c>
      <c r="O553" s="179">
        <f>L553/L562</f>
        <v>-0.012132697051024321</v>
      </c>
      <c r="P553" s="128"/>
    </row>
    <row r="554" spans="2:16" ht="17.25" customHeight="1" thickBot="1">
      <c r="B554" s="133"/>
      <c r="C554" s="31"/>
      <c r="D554" s="31"/>
      <c r="E554" s="31"/>
      <c r="F554" s="189" t="s">
        <v>242</v>
      </c>
      <c r="G554" s="534"/>
      <c r="H554" s="535"/>
      <c r="I554" s="191">
        <f>SUM(I549:I553)</f>
        <v>2947.911</v>
      </c>
      <c r="J554" s="534"/>
      <c r="K554" s="535"/>
      <c r="L554" s="191">
        <f>SUM(L549:L553)</f>
        <v>4119.973581165286</v>
      </c>
      <c r="M554" s="193">
        <f>SUM(M549:M553)</f>
        <v>1172.0625811652858</v>
      </c>
      <c r="N554" s="194">
        <f t="shared" si="72"/>
        <v>0.3975908978138369</v>
      </c>
      <c r="O554" s="196">
        <f>SUM(O549:O553)</f>
        <v>0.23463006551393784</v>
      </c>
      <c r="P554" s="128"/>
    </row>
    <row r="555" spans="2:16" ht="17.25" customHeight="1" thickBot="1">
      <c r="B555" s="133"/>
      <c r="C555" s="31"/>
      <c r="D555" s="31"/>
      <c r="E555" s="31"/>
      <c r="F555" s="156" t="s">
        <v>248</v>
      </c>
      <c r="G555" s="295">
        <f>G553</f>
        <v>430</v>
      </c>
      <c r="H555" s="296">
        <f>'Other Electriciy Rates'!$F$15</f>
        <v>2.0542</v>
      </c>
      <c r="I555" s="168">
        <f>+G555*H555</f>
        <v>883.3059999999999</v>
      </c>
      <c r="J555" s="295">
        <f>G555</f>
        <v>430</v>
      </c>
      <c r="K555" s="296">
        <f>'Other Electriciy Rates'!$F$29</f>
        <v>1.8945877048742916</v>
      </c>
      <c r="L555" s="168">
        <f>+J555*K555</f>
        <v>814.6727130959454</v>
      </c>
      <c r="M555" s="297">
        <f>+L555-I555</f>
        <v>-68.63328690405456</v>
      </c>
      <c r="N555" s="176">
        <f t="shared" si="72"/>
        <v>-0.07770046496237382</v>
      </c>
      <c r="O555" s="179">
        <f>L555/L562</f>
        <v>0.04639513052218543</v>
      </c>
      <c r="P555" s="128"/>
    </row>
    <row r="556" spans="2:16" ht="17.25" customHeight="1" thickBot="1">
      <c r="B556" s="133"/>
      <c r="C556" s="31"/>
      <c r="D556" s="31"/>
      <c r="E556" s="31"/>
      <c r="F556" s="189" t="s">
        <v>244</v>
      </c>
      <c r="G556" s="534"/>
      <c r="H556" s="535"/>
      <c r="I556" s="191">
        <f>I554+I555</f>
        <v>3831.217</v>
      </c>
      <c r="J556" s="534"/>
      <c r="K556" s="535"/>
      <c r="L556" s="191">
        <f>L554+L555</f>
        <v>4934.646294261232</v>
      </c>
      <c r="M556" s="193">
        <f>M554+M555</f>
        <v>1103.4292942612312</v>
      </c>
      <c r="N556" s="194">
        <f t="shared" si="72"/>
        <v>0.288010126876455</v>
      </c>
      <c r="O556" s="298">
        <f>L556/L562</f>
        <v>0.2810251960361233</v>
      </c>
      <c r="P556" s="128"/>
    </row>
    <row r="557" spans="2:16" ht="17.25" customHeight="1">
      <c r="B557" s="133"/>
      <c r="C557" s="31"/>
      <c r="D557" s="31"/>
      <c r="E557" s="31"/>
      <c r="F557" s="158" t="s">
        <v>284</v>
      </c>
      <c r="G557" s="160">
        <f>C551*'Other Electriciy Rates'!$L$15</f>
        <v>135590</v>
      </c>
      <c r="H557" s="161">
        <f>'Other Electriciy Rates'!$C$15</f>
        <v>0.0065</v>
      </c>
      <c r="I557" s="162">
        <f>+G557*H557</f>
        <v>881.3349999999999</v>
      </c>
      <c r="J557" s="160">
        <f>C551*'Other Electriciy Rates'!$L$29</f>
        <v>135590</v>
      </c>
      <c r="K557" s="161">
        <f>'Other Electriciy Rates'!$C$29</f>
        <v>0.0065</v>
      </c>
      <c r="L557" s="185">
        <f>+J557*K557</f>
        <v>881.3349999999999</v>
      </c>
      <c r="M557" s="186">
        <f>+L557-I557</f>
        <v>0</v>
      </c>
      <c r="N557" s="187">
        <f t="shared" si="72"/>
        <v>0</v>
      </c>
      <c r="O557" s="177">
        <f>L557/L562</f>
        <v>0.05019150844439127</v>
      </c>
      <c r="P557" s="128"/>
    </row>
    <row r="558" spans="2:16" ht="17.25" customHeight="1">
      <c r="B558" s="133"/>
      <c r="C558" s="31"/>
      <c r="D558" s="31"/>
      <c r="E558" s="31"/>
      <c r="F558" s="158" t="s">
        <v>285</v>
      </c>
      <c r="G558" s="160">
        <v>130000</v>
      </c>
      <c r="H558" s="161">
        <f>+'Other Electriciy Rates'!$D$10</f>
        <v>0.007</v>
      </c>
      <c r="I558" s="162">
        <f>+G558*H558</f>
        <v>910</v>
      </c>
      <c r="J558" s="160">
        <v>130000</v>
      </c>
      <c r="K558" s="161">
        <f>+'Other Electriciy Rates'!$D$10</f>
        <v>0.007</v>
      </c>
      <c r="L558" s="162">
        <f>+J558*K558</f>
        <v>910</v>
      </c>
      <c r="M558" s="186">
        <f>+L558-I558</f>
        <v>0</v>
      </c>
      <c r="N558" s="187">
        <f t="shared" si="72"/>
        <v>0</v>
      </c>
      <c r="O558" s="465">
        <f>L558/L562</f>
        <v>0.051823963287962085</v>
      </c>
      <c r="P558" s="128"/>
    </row>
    <row r="559" spans="2:16" ht="17.25" customHeight="1" thickBot="1">
      <c r="B559" s="133"/>
      <c r="C559" s="31"/>
      <c r="D559" s="31"/>
      <c r="E559" s="31"/>
      <c r="F559" s="154" t="s">
        <v>77</v>
      </c>
      <c r="G559" s="160">
        <f>G557</f>
        <v>135590</v>
      </c>
      <c r="H559" s="161">
        <f>'Other Electriciy Rates'!$J$15</f>
        <v>0.065</v>
      </c>
      <c r="I559" s="162">
        <f>+G559*H559</f>
        <v>8813.35</v>
      </c>
      <c r="J559" s="160">
        <f>J557</f>
        <v>135590</v>
      </c>
      <c r="K559" s="161">
        <f>'Other Electriciy Rates'!$J$29</f>
        <v>0.065</v>
      </c>
      <c r="L559" s="185">
        <f>+J559*K559</f>
        <v>8813.35</v>
      </c>
      <c r="M559" s="186">
        <f>+L559-I559</f>
        <v>0</v>
      </c>
      <c r="N559" s="187">
        <f t="shared" si="72"/>
        <v>0</v>
      </c>
      <c r="O559" s="179">
        <f>L559/L562</f>
        <v>0.5019150844439128</v>
      </c>
      <c r="P559" s="128"/>
    </row>
    <row r="560" spans="2:16" ht="17.25" customHeight="1" thickBot="1">
      <c r="B560" s="133"/>
      <c r="C560" s="31"/>
      <c r="D560" s="31"/>
      <c r="E560" s="31"/>
      <c r="F560" s="189" t="s">
        <v>194</v>
      </c>
      <c r="G560" s="534"/>
      <c r="H560" s="535"/>
      <c r="I560" s="191">
        <f>SUM(I556:I559)</f>
        <v>14435.902</v>
      </c>
      <c r="J560" s="534"/>
      <c r="K560" s="535"/>
      <c r="L560" s="191">
        <f>SUM(L556:L559)</f>
        <v>15539.331294261232</v>
      </c>
      <c r="M560" s="191">
        <f>SUM(M555:M559)</f>
        <v>1034.7960073571767</v>
      </c>
      <c r="N560" s="194">
        <f t="shared" si="72"/>
        <v>0.07168211638989906</v>
      </c>
      <c r="O560" s="196">
        <f>L560/L562</f>
        <v>0.8849557522123894</v>
      </c>
      <c r="P560" s="128"/>
    </row>
    <row r="561" spans="2:16" ht="17.25" customHeight="1" thickBot="1">
      <c r="B561" s="133"/>
      <c r="C561" s="31"/>
      <c r="D561" s="31"/>
      <c r="E561" s="31"/>
      <c r="F561" s="240" t="s">
        <v>274</v>
      </c>
      <c r="G561" s="241"/>
      <c r="H561" s="244">
        <v>0.13</v>
      </c>
      <c r="I561" s="242">
        <f>I560*H561</f>
        <v>1876.6672600000002</v>
      </c>
      <c r="J561" s="241"/>
      <c r="K561" s="244">
        <v>0.13</v>
      </c>
      <c r="L561" s="243">
        <f>L560*K561</f>
        <v>2020.1130682539601</v>
      </c>
      <c r="M561" s="183">
        <f>+L561-I561</f>
        <v>143.44580825395997</v>
      </c>
      <c r="N561" s="184">
        <f t="shared" si="72"/>
        <v>0.07643646335789966</v>
      </c>
      <c r="O561" s="469">
        <f>L561/L562</f>
        <v>0.11504424778761063</v>
      </c>
      <c r="P561" s="128"/>
    </row>
    <row r="562" spans="2:16" ht="17.25" customHeight="1" thickBot="1">
      <c r="B562" s="133"/>
      <c r="C562" s="31"/>
      <c r="D562" s="31"/>
      <c r="E562" s="35"/>
      <c r="F562" s="322" t="s">
        <v>78</v>
      </c>
      <c r="G562" s="539"/>
      <c r="H562" s="540"/>
      <c r="I562" s="323">
        <f>I560+I561</f>
        <v>16312.56926</v>
      </c>
      <c r="J562" s="539"/>
      <c r="K562" s="540"/>
      <c r="L562" s="323">
        <f>L560+L561</f>
        <v>17559.44436251519</v>
      </c>
      <c r="M562" s="323">
        <f>M560+M561</f>
        <v>1178.2418156111366</v>
      </c>
      <c r="N562" s="324">
        <f t="shared" si="72"/>
        <v>0.072229076660554</v>
      </c>
      <c r="O562" s="294">
        <f>O560+O561</f>
        <v>1</v>
      </c>
      <c r="P562" s="128"/>
    </row>
    <row r="563" spans="2:16" ht="17.25" customHeight="1" thickBot="1">
      <c r="B563" s="129"/>
      <c r="C563" s="139"/>
      <c r="D563" s="139"/>
      <c r="E563" s="139"/>
      <c r="F563" s="225"/>
      <c r="G563" s="226"/>
      <c r="H563" s="227"/>
      <c r="I563" s="228"/>
      <c r="J563" s="226"/>
      <c r="K563" s="229"/>
      <c r="L563" s="228"/>
      <c r="M563" s="325"/>
      <c r="N563" s="230"/>
      <c r="O563" s="231"/>
      <c r="P563" s="130"/>
    </row>
    <row r="564" spans="2:16" ht="17.25" customHeight="1" thickBot="1">
      <c r="B564" s="25"/>
      <c r="C564" s="31"/>
      <c r="D564" s="31"/>
      <c r="E564" s="31"/>
      <c r="F564" s="49"/>
      <c r="G564" s="50"/>
      <c r="H564" s="51"/>
      <c r="I564" s="52"/>
      <c r="J564" s="50"/>
      <c r="K564" s="53"/>
      <c r="L564" s="52"/>
      <c r="M564" s="54"/>
      <c r="N564" s="136"/>
      <c r="O564" s="137"/>
      <c r="P564" s="25"/>
    </row>
    <row r="565" spans="2:16" ht="17.25" customHeight="1">
      <c r="B565" s="135"/>
      <c r="C565" s="536"/>
      <c r="D565" s="536"/>
      <c r="E565" s="536"/>
      <c r="F565" s="536"/>
      <c r="G565" s="536"/>
      <c r="H565" s="536"/>
      <c r="I565" s="536"/>
      <c r="J565" s="536"/>
      <c r="K565" s="536"/>
      <c r="L565" s="536"/>
      <c r="M565" s="536"/>
      <c r="N565" s="536"/>
      <c r="O565" s="536"/>
      <c r="P565" s="127"/>
    </row>
    <row r="566" spans="2:16" ht="23.25">
      <c r="B566" s="133"/>
      <c r="C566" s="537" t="s">
        <v>272</v>
      </c>
      <c r="D566" s="538"/>
      <c r="E566" s="538"/>
      <c r="F566" s="538"/>
      <c r="G566" s="538"/>
      <c r="H566" s="538"/>
      <c r="I566" s="538"/>
      <c r="J566" s="538"/>
      <c r="K566" s="538"/>
      <c r="L566" s="538"/>
      <c r="M566" s="538"/>
      <c r="N566" s="538"/>
      <c r="O566" s="538"/>
      <c r="P566" s="128"/>
    </row>
    <row r="567" spans="2:17" ht="17.25" customHeight="1" thickBot="1">
      <c r="B567" s="133"/>
      <c r="C567" s="541"/>
      <c r="D567" s="541"/>
      <c r="E567" s="541"/>
      <c r="F567" s="541"/>
      <c r="G567" s="541"/>
      <c r="H567" s="541"/>
      <c r="I567" s="541"/>
      <c r="J567" s="541"/>
      <c r="K567" s="541"/>
      <c r="L567" s="541"/>
      <c r="M567" s="541"/>
      <c r="N567" s="541"/>
      <c r="O567" s="541"/>
      <c r="P567" s="128"/>
      <c r="Q567" s="25"/>
    </row>
    <row r="568" spans="2:17" ht="17.25" customHeight="1" thickBot="1">
      <c r="B568" s="133"/>
      <c r="C568" s="134"/>
      <c r="D568" s="134"/>
      <c r="E568" s="31"/>
      <c r="F568" s="32"/>
      <c r="G568" s="529" t="str">
        <f>$G$10</f>
        <v>2010 BILL</v>
      </c>
      <c r="H568" s="530"/>
      <c r="I568" s="531"/>
      <c r="J568" s="529" t="str">
        <f>$J$10</f>
        <v>2011 BILL</v>
      </c>
      <c r="K568" s="530"/>
      <c r="L568" s="531"/>
      <c r="M568" s="529" t="s">
        <v>72</v>
      </c>
      <c r="N568" s="530"/>
      <c r="O568" s="531"/>
      <c r="P568" s="128"/>
      <c r="Q568" s="25"/>
    </row>
    <row r="569" spans="2:17" ht="26.25" thickBot="1">
      <c r="B569" s="133"/>
      <c r="C569" s="31"/>
      <c r="D569" s="31"/>
      <c r="E569" s="33"/>
      <c r="F569" s="34"/>
      <c r="G569" s="353" t="s">
        <v>66</v>
      </c>
      <c r="H569" s="354" t="s">
        <v>67</v>
      </c>
      <c r="I569" s="355" t="s">
        <v>68</v>
      </c>
      <c r="J569" s="356" t="s">
        <v>66</v>
      </c>
      <c r="K569" s="354" t="s">
        <v>67</v>
      </c>
      <c r="L569" s="355" t="s">
        <v>68</v>
      </c>
      <c r="M569" s="350" t="s">
        <v>73</v>
      </c>
      <c r="N569" s="351" t="s">
        <v>74</v>
      </c>
      <c r="O569" s="352" t="s">
        <v>75</v>
      </c>
      <c r="P569" s="128"/>
      <c r="Q569" s="25"/>
    </row>
    <row r="570" spans="2:17" ht="17.25" customHeight="1" thickBot="1">
      <c r="B570" s="133"/>
      <c r="C570" s="532" t="s">
        <v>138</v>
      </c>
      <c r="D570" s="533"/>
      <c r="E570" s="31"/>
      <c r="F570" s="319" t="s">
        <v>70</v>
      </c>
      <c r="G570" s="317">
        <f>C571</f>
        <v>1</v>
      </c>
      <c r="H570" s="311">
        <f>'2010 Existing Rates'!$B$13</f>
        <v>3.54</v>
      </c>
      <c r="I570" s="168">
        <f>+G570*H570</f>
        <v>3.54</v>
      </c>
      <c r="J570" s="317">
        <f>G570</f>
        <v>1</v>
      </c>
      <c r="K570" s="311">
        <f>'Rate Schedule (Part 1)'!$E$54</f>
        <v>5.2033</v>
      </c>
      <c r="L570" s="168">
        <f>+J570*K570</f>
        <v>5.2033</v>
      </c>
      <c r="M570" s="186">
        <f>+L570-I570</f>
        <v>1.6632999999999996</v>
      </c>
      <c r="N570" s="187">
        <f aca="true" t="shared" si="73" ref="N570:N583">+M570/I570</f>
        <v>0.46985875706214675</v>
      </c>
      <c r="O570" s="179">
        <f>L570/L583</f>
        <v>0.4150718005886954</v>
      </c>
      <c r="P570" s="128"/>
      <c r="Q570" s="25"/>
    </row>
    <row r="571" spans="2:17" ht="17.25" customHeight="1" thickBot="1">
      <c r="B571" s="133"/>
      <c r="C571" s="346">
        <v>1</v>
      </c>
      <c r="D571" s="347" t="s">
        <v>137</v>
      </c>
      <c r="E571" s="31"/>
      <c r="F571" s="320" t="s">
        <v>81</v>
      </c>
      <c r="G571" s="318">
        <f>C573</f>
        <v>0.16549</v>
      </c>
      <c r="H571" s="153">
        <f>'2010 Existing Rates'!$D$58</f>
        <v>2.3277</v>
      </c>
      <c r="I571" s="168">
        <f>+G571*H571</f>
        <v>0.385211073</v>
      </c>
      <c r="J571" s="159">
        <f>G571</f>
        <v>0.16549</v>
      </c>
      <c r="K571" s="152">
        <f>'Rate Schedule (Part 1)'!$E$55</f>
        <v>3.4214</v>
      </c>
      <c r="L571" s="168">
        <f>+J571*K571</f>
        <v>0.566207486</v>
      </c>
      <c r="M571" s="186">
        <f>+L571-I571</f>
        <v>0.18099641300000002</v>
      </c>
      <c r="N571" s="187">
        <f t="shared" si="73"/>
        <v>0.4698629548481334</v>
      </c>
      <c r="O571" s="179">
        <f>L571/L583</f>
        <v>0.04516686731897423</v>
      </c>
      <c r="P571" s="128"/>
      <c r="Q571" s="25"/>
    </row>
    <row r="572" spans="2:16" ht="17.25" customHeight="1" thickBot="1">
      <c r="B572" s="133"/>
      <c r="C572" s="357">
        <v>62.47</v>
      </c>
      <c r="D572" s="347" t="s">
        <v>16</v>
      </c>
      <c r="E572" s="31"/>
      <c r="F572" s="320" t="s">
        <v>245</v>
      </c>
      <c r="G572" s="266">
        <f>G571</f>
        <v>0.16549</v>
      </c>
      <c r="H572" s="321">
        <f>'2010 Existing Rates'!$D$35</f>
        <v>0</v>
      </c>
      <c r="I572" s="440">
        <v>0</v>
      </c>
      <c r="J572" s="159">
        <f>G572</f>
        <v>0.16549</v>
      </c>
      <c r="K572" s="152">
        <f>'Rate Schedule (Part 1)'!$E$56</f>
        <v>0</v>
      </c>
      <c r="L572" s="168">
        <f>+J572*K572</f>
        <v>0</v>
      </c>
      <c r="M572" s="186">
        <f>+L572-I572</f>
        <v>0</v>
      </c>
      <c r="N572" s="187">
        <v>0</v>
      </c>
      <c r="O572" s="179">
        <f>L572/L583</f>
        <v>0</v>
      </c>
      <c r="P572" s="128"/>
    </row>
    <row r="573" spans="2:16" ht="17.25" customHeight="1" thickBot="1">
      <c r="B573" s="133"/>
      <c r="C573" s="357">
        <v>0.16549</v>
      </c>
      <c r="D573" s="347" t="s">
        <v>17</v>
      </c>
      <c r="E573" s="31"/>
      <c r="F573" s="156" t="s">
        <v>246</v>
      </c>
      <c r="G573" s="159">
        <f>G572</f>
        <v>0.16549</v>
      </c>
      <c r="H573" s="153">
        <v>0</v>
      </c>
      <c r="I573" s="168">
        <f>+G573*H573</f>
        <v>0</v>
      </c>
      <c r="J573" s="159">
        <f>G573</f>
        <v>0.16549</v>
      </c>
      <c r="K573" s="153">
        <v>0</v>
      </c>
      <c r="L573" s="171">
        <f>+J573*K573</f>
        <v>0</v>
      </c>
      <c r="M573" s="186">
        <f>+L573-I573</f>
        <v>0</v>
      </c>
      <c r="N573" s="187">
        <v>0</v>
      </c>
      <c r="O573" s="179">
        <f>L573/L583</f>
        <v>0</v>
      </c>
      <c r="P573" s="128"/>
    </row>
    <row r="574" spans="2:16" ht="17.25" customHeight="1" thickBot="1">
      <c r="B574" s="133"/>
      <c r="C574" s="63"/>
      <c r="D574" s="64"/>
      <c r="E574" s="31"/>
      <c r="F574" s="157" t="s">
        <v>247</v>
      </c>
      <c r="G574" s="159">
        <f>G573</f>
        <v>0.16549</v>
      </c>
      <c r="H574" s="153">
        <f>'2010 Existing Rates'!$D$24</f>
        <v>0</v>
      </c>
      <c r="I574" s="168">
        <f>+G574*H574</f>
        <v>0</v>
      </c>
      <c r="J574" s="159">
        <f>J573</f>
        <v>0.16549</v>
      </c>
      <c r="K574" s="152">
        <f>'Rate Schedule (Part 1)'!$E$58</f>
        <v>-0.4954498112435202</v>
      </c>
      <c r="L574" s="171">
        <f>+J574*K574</f>
        <v>-0.08199198926269016</v>
      </c>
      <c r="M574" s="186">
        <f>+L574-I574</f>
        <v>-0.08199198926269016</v>
      </c>
      <c r="N574" s="172">
        <v>-1</v>
      </c>
      <c r="O574" s="179">
        <f>L574/L583</f>
        <v>-0.006540572832070761</v>
      </c>
      <c r="P574" s="128"/>
    </row>
    <row r="575" spans="2:16" ht="17.25" customHeight="1" thickBot="1">
      <c r="B575" s="133"/>
      <c r="C575" s="31"/>
      <c r="D575" s="31"/>
      <c r="E575" s="31"/>
      <c r="F575" s="189" t="s">
        <v>242</v>
      </c>
      <c r="G575" s="534"/>
      <c r="H575" s="535"/>
      <c r="I575" s="191">
        <f>SUM(I570:I574)</f>
        <v>3.925211073</v>
      </c>
      <c r="J575" s="534"/>
      <c r="K575" s="535"/>
      <c r="L575" s="191">
        <f>SUM(L570:L574)</f>
        <v>5.687515496737309</v>
      </c>
      <c r="M575" s="193">
        <f>SUM(M570:M574)</f>
        <v>1.7623044237373093</v>
      </c>
      <c r="N575" s="194">
        <f t="shared" si="73"/>
        <v>0.4489706135447125</v>
      </c>
      <c r="O575" s="196">
        <f>SUM(O570:O574)</f>
        <v>0.4536980950755989</v>
      </c>
      <c r="P575" s="128"/>
    </row>
    <row r="576" spans="2:16" ht="17.25" customHeight="1" thickBot="1">
      <c r="B576" s="133"/>
      <c r="C576" s="31"/>
      <c r="D576" s="31"/>
      <c r="E576" s="31"/>
      <c r="F576" s="156" t="s">
        <v>248</v>
      </c>
      <c r="G576" s="295">
        <f>G574</f>
        <v>0.16549</v>
      </c>
      <c r="H576" s="296">
        <f>'Other Electriciy Rates'!$F$15</f>
        <v>2.0542</v>
      </c>
      <c r="I576" s="168">
        <f>+G576*H576</f>
        <v>0.339949558</v>
      </c>
      <c r="J576" s="295">
        <f>G576</f>
        <v>0.16549</v>
      </c>
      <c r="K576" s="296">
        <f>'Other Electriciy Rates'!$F$29</f>
        <v>1.8945877048742916</v>
      </c>
      <c r="L576" s="168">
        <f>+J576*K576</f>
        <v>0.3135353192796465</v>
      </c>
      <c r="M576" s="297">
        <f>+L576-I576</f>
        <v>-0.026414238720353478</v>
      </c>
      <c r="N576" s="176">
        <f t="shared" si="73"/>
        <v>-0.07770046496237386</v>
      </c>
      <c r="O576" s="179">
        <f>L576/L583</f>
        <v>0.025010987166135798</v>
      </c>
      <c r="P576" s="128"/>
    </row>
    <row r="577" spans="2:16" ht="17.25" customHeight="1" thickBot="1">
      <c r="B577" s="133"/>
      <c r="C577" s="31"/>
      <c r="D577" s="31"/>
      <c r="E577" s="31"/>
      <c r="F577" s="189" t="s">
        <v>244</v>
      </c>
      <c r="G577" s="534"/>
      <c r="H577" s="535"/>
      <c r="I577" s="191">
        <f>I575+I576</f>
        <v>4.265160631</v>
      </c>
      <c r="J577" s="534"/>
      <c r="K577" s="535"/>
      <c r="L577" s="191">
        <f>L575+L576</f>
        <v>6.001050816016956</v>
      </c>
      <c r="M577" s="191">
        <f>M575+M576</f>
        <v>1.735890185016956</v>
      </c>
      <c r="N577" s="194">
        <f t="shared" si="73"/>
        <v>0.406992921298245</v>
      </c>
      <c r="O577" s="298">
        <f>L577/L583</f>
        <v>0.4787090822417347</v>
      </c>
      <c r="P577" s="128"/>
    </row>
    <row r="578" spans="2:16" ht="17.25" customHeight="1">
      <c r="B578" s="133"/>
      <c r="C578" s="31"/>
      <c r="D578" s="31"/>
      <c r="E578" s="31"/>
      <c r="F578" s="158" t="s">
        <v>284</v>
      </c>
      <c r="G578" s="160">
        <f>C572*'Other Electriciy Rates'!$L$15</f>
        <v>65.15620999999999</v>
      </c>
      <c r="H578" s="161">
        <f>'Other Electriciy Rates'!$C$15</f>
        <v>0.0065</v>
      </c>
      <c r="I578" s="162">
        <f>+G578*H578</f>
        <v>0.4235153649999999</v>
      </c>
      <c r="J578" s="160">
        <f>C572*'Other Electriciy Rates'!$L$29</f>
        <v>65.15620999999999</v>
      </c>
      <c r="K578" s="161">
        <f>'Other Electriciy Rates'!$C$29</f>
        <v>0.0065</v>
      </c>
      <c r="L578" s="185">
        <f>+J578*K578</f>
        <v>0.4235153649999999</v>
      </c>
      <c r="M578" s="186">
        <f>+L578-I578</f>
        <v>0</v>
      </c>
      <c r="N578" s="187">
        <f t="shared" si="73"/>
        <v>0</v>
      </c>
      <c r="O578" s="177">
        <f>L578/L583</f>
        <v>0.03378419178742885</v>
      </c>
      <c r="P578" s="128"/>
    </row>
    <row r="579" spans="2:16" ht="17.25" customHeight="1">
      <c r="B579" s="133"/>
      <c r="C579" s="31"/>
      <c r="D579" s="31"/>
      <c r="E579" s="31"/>
      <c r="F579" s="158" t="s">
        <v>285</v>
      </c>
      <c r="G579" s="160">
        <v>62</v>
      </c>
      <c r="H579" s="161">
        <f>+'Other Electriciy Rates'!$D$10</f>
        <v>0.007</v>
      </c>
      <c r="I579" s="162">
        <f>+G579*H579</f>
        <v>0.434</v>
      </c>
      <c r="J579" s="160">
        <v>62</v>
      </c>
      <c r="K579" s="161">
        <f>+'Other Electriciy Rates'!$D$10</f>
        <v>0.007</v>
      </c>
      <c r="L579" s="162">
        <f>+J579*K579</f>
        <v>0.434</v>
      </c>
      <c r="M579" s="186">
        <f>+L579-I579</f>
        <v>0</v>
      </c>
      <c r="N579" s="187">
        <f t="shared" si="73"/>
        <v>0</v>
      </c>
      <c r="O579" s="465">
        <f>L579/L583</f>
        <v>0.03462056030893737</v>
      </c>
      <c r="P579" s="128"/>
    </row>
    <row r="580" spans="2:16" ht="17.25" customHeight="1" thickBot="1">
      <c r="B580" s="133"/>
      <c r="C580" s="31"/>
      <c r="D580" s="31"/>
      <c r="E580" s="31"/>
      <c r="F580" s="154" t="s">
        <v>77</v>
      </c>
      <c r="G580" s="160">
        <f>G578</f>
        <v>65.15620999999999</v>
      </c>
      <c r="H580" s="161">
        <f>'Other Electriciy Rates'!$J$15</f>
        <v>0.065</v>
      </c>
      <c r="I580" s="162">
        <f>+G580*H580</f>
        <v>4.235153649999999</v>
      </c>
      <c r="J580" s="160">
        <f>J578</f>
        <v>65.15620999999999</v>
      </c>
      <c r="K580" s="161">
        <f>'Other Electriciy Rates'!$J$29</f>
        <v>0.065</v>
      </c>
      <c r="L580" s="185">
        <f>+J580*K580</f>
        <v>4.235153649999999</v>
      </c>
      <c r="M580" s="186">
        <f>+L580-I580</f>
        <v>0</v>
      </c>
      <c r="N580" s="187">
        <f t="shared" si="73"/>
        <v>0</v>
      </c>
      <c r="O580" s="179">
        <f>L580/L583</f>
        <v>0.3378419178742885</v>
      </c>
      <c r="P580" s="128"/>
    </row>
    <row r="581" spans="2:16" ht="17.25" customHeight="1" thickBot="1">
      <c r="B581" s="133"/>
      <c r="C581" s="31"/>
      <c r="D581" s="31"/>
      <c r="E581" s="31"/>
      <c r="F581" s="189" t="s">
        <v>194</v>
      </c>
      <c r="G581" s="534"/>
      <c r="H581" s="535"/>
      <c r="I581" s="191">
        <f>SUM(I577:I580)</f>
        <v>9.357829645999999</v>
      </c>
      <c r="J581" s="534"/>
      <c r="K581" s="535"/>
      <c r="L581" s="191">
        <f>SUM(L577:L580)</f>
        <v>11.093719831016955</v>
      </c>
      <c r="M581" s="191">
        <f>SUM(M576:M580)</f>
        <v>1.7094759462966025</v>
      </c>
      <c r="N581" s="194">
        <f t="shared" si="73"/>
        <v>0.18267867774525232</v>
      </c>
      <c r="O581" s="196">
        <f>L581/L583</f>
        <v>0.8849557522123894</v>
      </c>
      <c r="P581" s="128"/>
    </row>
    <row r="582" spans="2:16" ht="17.25" customHeight="1" thickBot="1">
      <c r="B582" s="133"/>
      <c r="C582" s="31"/>
      <c r="D582" s="31"/>
      <c r="E582" s="31"/>
      <c r="F582" s="240" t="s">
        <v>274</v>
      </c>
      <c r="G582" s="241"/>
      <c r="H582" s="244">
        <v>0.13</v>
      </c>
      <c r="I582" s="242">
        <f>I581*H582</f>
        <v>1.21651785398</v>
      </c>
      <c r="J582" s="241"/>
      <c r="K582" s="244">
        <v>0.13</v>
      </c>
      <c r="L582" s="243">
        <f>L581*K582</f>
        <v>1.442183578032204</v>
      </c>
      <c r="M582" s="183">
        <f>+L582-I582</f>
        <v>0.2256657240522042</v>
      </c>
      <c r="N582" s="184">
        <f t="shared" si="73"/>
        <v>0.185501366308689</v>
      </c>
      <c r="O582" s="469">
        <f>L582/L583</f>
        <v>0.11504424778761062</v>
      </c>
      <c r="P582" s="128"/>
    </row>
    <row r="583" spans="2:16" ht="17.25" customHeight="1" thickBot="1">
      <c r="B583" s="133"/>
      <c r="C583" s="31"/>
      <c r="D583" s="31"/>
      <c r="E583" s="35"/>
      <c r="F583" s="322" t="s">
        <v>78</v>
      </c>
      <c r="G583" s="539"/>
      <c r="H583" s="540"/>
      <c r="I583" s="323">
        <f>I581+I582</f>
        <v>10.574347499979998</v>
      </c>
      <c r="J583" s="539"/>
      <c r="K583" s="540"/>
      <c r="L583" s="323">
        <f>L581+L582</f>
        <v>12.535903409049158</v>
      </c>
      <c r="M583" s="323">
        <f>M581+M582</f>
        <v>1.9351416703488067</v>
      </c>
      <c r="N583" s="324">
        <f t="shared" si="73"/>
        <v>0.1830034118277716</v>
      </c>
      <c r="O583" s="294">
        <f>O581+O582</f>
        <v>1</v>
      </c>
      <c r="P583" s="128"/>
    </row>
    <row r="584" spans="2:16" ht="17.25" customHeight="1" thickBot="1">
      <c r="B584" s="129"/>
      <c r="C584" s="139"/>
      <c r="D584" s="139"/>
      <c r="E584" s="139"/>
      <c r="F584" s="225"/>
      <c r="G584" s="226"/>
      <c r="H584" s="227"/>
      <c r="I584" s="228"/>
      <c r="J584" s="226"/>
      <c r="K584" s="229"/>
      <c r="L584" s="228"/>
      <c r="M584" s="325"/>
      <c r="N584" s="230"/>
      <c r="O584" s="231"/>
      <c r="P584" s="130"/>
    </row>
    <row r="585" ht="17.25" customHeight="1"/>
    <row r="586" spans="2:16" ht="17.25" customHeight="1" hidden="1">
      <c r="B586" s="135"/>
      <c r="C586" s="536"/>
      <c r="D586" s="536"/>
      <c r="E586" s="536"/>
      <c r="F586" s="536"/>
      <c r="G586" s="536"/>
      <c r="H586" s="536"/>
      <c r="I586" s="536"/>
      <c r="J586" s="536"/>
      <c r="K586" s="536"/>
      <c r="L586" s="536"/>
      <c r="M586" s="536"/>
      <c r="N586" s="536"/>
      <c r="O586" s="536"/>
      <c r="P586" s="127"/>
    </row>
    <row r="587" spans="2:16" ht="23.25" hidden="1">
      <c r="B587" s="133"/>
      <c r="C587" s="538" t="s">
        <v>82</v>
      </c>
      <c r="D587" s="538"/>
      <c r="E587" s="538"/>
      <c r="F587" s="538"/>
      <c r="G587" s="538"/>
      <c r="H587" s="538"/>
      <c r="I587" s="538"/>
      <c r="J587" s="538"/>
      <c r="K587" s="538"/>
      <c r="L587" s="538"/>
      <c r="M587" s="538"/>
      <c r="N587" s="538"/>
      <c r="O587" s="538"/>
      <c r="P587" s="128"/>
    </row>
    <row r="588" spans="2:17" ht="17.25" customHeight="1" hidden="1" thickBot="1">
      <c r="B588" s="133"/>
      <c r="C588" s="541"/>
      <c r="D588" s="541"/>
      <c r="E588" s="541"/>
      <c r="F588" s="541"/>
      <c r="G588" s="541"/>
      <c r="H588" s="541"/>
      <c r="I588" s="541"/>
      <c r="J588" s="541"/>
      <c r="K588" s="541"/>
      <c r="L588" s="541"/>
      <c r="M588" s="541"/>
      <c r="N588" s="541"/>
      <c r="O588" s="541"/>
      <c r="P588" s="128"/>
      <c r="Q588" s="25"/>
    </row>
    <row r="589" spans="2:17" ht="17.25" customHeight="1" hidden="1" thickBot="1">
      <c r="B589" s="133"/>
      <c r="C589" s="134"/>
      <c r="D589" s="134"/>
      <c r="E589" s="31"/>
      <c r="F589" s="32"/>
      <c r="G589" s="529" t="str">
        <f>$G$10</f>
        <v>2010 BILL</v>
      </c>
      <c r="H589" s="530"/>
      <c r="I589" s="531"/>
      <c r="J589" s="529" t="str">
        <f>$J$10</f>
        <v>2011 BILL</v>
      </c>
      <c r="K589" s="530"/>
      <c r="L589" s="531"/>
      <c r="M589" s="529" t="s">
        <v>72</v>
      </c>
      <c r="N589" s="530"/>
      <c r="O589" s="531"/>
      <c r="P589" s="128"/>
      <c r="Q589" s="25"/>
    </row>
    <row r="590" spans="2:17" ht="26.25" hidden="1" thickBot="1">
      <c r="B590" s="133"/>
      <c r="C590" s="31"/>
      <c r="D590" s="31"/>
      <c r="E590" s="33"/>
      <c r="F590" s="34"/>
      <c r="G590" s="353" t="s">
        <v>66</v>
      </c>
      <c r="H590" s="354" t="s">
        <v>67</v>
      </c>
      <c r="I590" s="355" t="s">
        <v>68</v>
      </c>
      <c r="J590" s="356" t="s">
        <v>66</v>
      </c>
      <c r="K590" s="354" t="s">
        <v>67</v>
      </c>
      <c r="L590" s="355" t="s">
        <v>68</v>
      </c>
      <c r="M590" s="350" t="s">
        <v>73</v>
      </c>
      <c r="N590" s="351" t="s">
        <v>74</v>
      </c>
      <c r="O590" s="352" t="s">
        <v>75</v>
      </c>
      <c r="P590" s="128"/>
      <c r="Q590" s="25"/>
    </row>
    <row r="591" spans="2:17" ht="17.25" customHeight="1" hidden="1" thickBot="1">
      <c r="B591" s="133"/>
      <c r="C591" s="532" t="s">
        <v>138</v>
      </c>
      <c r="D591" s="533"/>
      <c r="E591" s="31"/>
      <c r="F591" s="319" t="s">
        <v>70</v>
      </c>
      <c r="G591" s="317">
        <f>C592</f>
        <v>721</v>
      </c>
      <c r="H591" s="311">
        <f>'2010 Existing Rates'!$B$12</f>
        <v>0</v>
      </c>
      <c r="I591" s="168">
        <f>+G591*H591</f>
        <v>0</v>
      </c>
      <c r="J591" s="317">
        <f>G591</f>
        <v>721</v>
      </c>
      <c r="K591" s="311">
        <f>'Rate Schedule (Part 1)'!$E$47</f>
        <v>0</v>
      </c>
      <c r="L591" s="168">
        <f>+J591*K591</f>
        <v>0</v>
      </c>
      <c r="M591" s="186">
        <f>+L591-I591</f>
        <v>0</v>
      </c>
      <c r="N591" s="187" t="e">
        <f aca="true" t="shared" si="74" ref="N591:N603">+M591/I591</f>
        <v>#DIV/0!</v>
      </c>
      <c r="O591" s="179" t="e">
        <f>L591/L603</f>
        <v>#DIV/0!</v>
      </c>
      <c r="P591" s="128"/>
      <c r="Q591" s="25"/>
    </row>
    <row r="592" spans="2:17" ht="17.25" customHeight="1" hidden="1" thickBot="1">
      <c r="B592" s="133"/>
      <c r="C592" s="346">
        <v>721</v>
      </c>
      <c r="D592" s="347" t="s">
        <v>137</v>
      </c>
      <c r="E592" s="31"/>
      <c r="F592" s="320" t="s">
        <v>81</v>
      </c>
      <c r="G592" s="318">
        <f>C594</f>
        <v>216</v>
      </c>
      <c r="H592" s="153">
        <f>'2010 Existing Rates'!$D$57</f>
        <v>0</v>
      </c>
      <c r="I592" s="168">
        <f>+G592*H592</f>
        <v>0</v>
      </c>
      <c r="J592" s="159">
        <f>G592</f>
        <v>216</v>
      </c>
      <c r="K592" s="152" t="e">
        <f>'Rate Schedule (Part 1)'!$E$48</f>
        <v>#DIV/0!</v>
      </c>
      <c r="L592" s="168" t="e">
        <f>+J592*K592</f>
        <v>#DIV/0!</v>
      </c>
      <c r="M592" s="186" t="e">
        <f>+L592-I592</f>
        <v>#DIV/0!</v>
      </c>
      <c r="N592" s="187" t="e">
        <f t="shared" si="74"/>
        <v>#DIV/0!</v>
      </c>
      <c r="O592" s="179" t="e">
        <f>L592/L603</f>
        <v>#DIV/0!</v>
      </c>
      <c r="P592" s="128"/>
      <c r="Q592" s="25"/>
    </row>
    <row r="593" spans="2:16" ht="17.25" customHeight="1" hidden="1" thickBot="1">
      <c r="B593" s="133"/>
      <c r="C593" s="346">
        <v>97008</v>
      </c>
      <c r="D593" s="347" t="s">
        <v>16</v>
      </c>
      <c r="E593" s="31"/>
      <c r="F593" s="320" t="s">
        <v>245</v>
      </c>
      <c r="G593" s="266">
        <f>G592</f>
        <v>216</v>
      </c>
      <c r="H593" s="321">
        <f>'2010 Existing Rates'!$D$34</f>
        <v>0</v>
      </c>
      <c r="J593" s="159">
        <f>G593</f>
        <v>216</v>
      </c>
      <c r="K593" s="152" t="e">
        <f>'Rate Schedule (Part 1)'!$E$49</f>
        <v>#DIV/0!</v>
      </c>
      <c r="L593" s="168" t="e">
        <f>+J593*K593</f>
        <v>#DIV/0!</v>
      </c>
      <c r="M593" s="186" t="e">
        <f>+L593-I593</f>
        <v>#DIV/0!</v>
      </c>
      <c r="N593" s="187" t="e">
        <f t="shared" si="74"/>
        <v>#DIV/0!</v>
      </c>
      <c r="O593" s="179" t="e">
        <f>L593/L603</f>
        <v>#DIV/0!</v>
      </c>
      <c r="P593" s="128"/>
    </row>
    <row r="594" spans="2:16" ht="17.25" customHeight="1" hidden="1" thickBot="1">
      <c r="B594" s="133"/>
      <c r="C594" s="346">
        <v>216</v>
      </c>
      <c r="D594" s="347" t="s">
        <v>17</v>
      </c>
      <c r="E594" s="31"/>
      <c r="F594" s="156" t="s">
        <v>246</v>
      </c>
      <c r="G594" s="159">
        <f>G593</f>
        <v>216</v>
      </c>
      <c r="H594" s="153"/>
      <c r="I594" s="168">
        <f>+G594*H594</f>
        <v>0</v>
      </c>
      <c r="J594" s="159">
        <f>G594</f>
        <v>216</v>
      </c>
      <c r="K594" s="152" t="e">
        <f>'Rate Schedule (Part 1)'!$E$50</f>
        <v>#DIV/0!</v>
      </c>
      <c r="L594" s="171" t="e">
        <f>+J594*K594</f>
        <v>#DIV/0!</v>
      </c>
      <c r="M594" s="186" t="e">
        <f>+L594-I594</f>
        <v>#DIV/0!</v>
      </c>
      <c r="N594" s="187" t="e">
        <f t="shared" si="74"/>
        <v>#DIV/0!</v>
      </c>
      <c r="O594" s="179" t="e">
        <f>L594/L603</f>
        <v>#DIV/0!</v>
      </c>
      <c r="P594" s="128"/>
    </row>
    <row r="595" spans="2:16" ht="17.25" customHeight="1" hidden="1" thickBot="1">
      <c r="B595" s="133"/>
      <c r="C595" s="63"/>
      <c r="D595" s="64"/>
      <c r="E595" s="31"/>
      <c r="F595" s="157" t="s">
        <v>247</v>
      </c>
      <c r="G595" s="159">
        <f>G594</f>
        <v>216</v>
      </c>
      <c r="H595" s="153">
        <f>'2010 Existing Rates'!$D$23</f>
        <v>0</v>
      </c>
      <c r="I595" s="168">
        <f>+G595*H595</f>
        <v>0</v>
      </c>
      <c r="J595" s="159">
        <f>J594</f>
        <v>216</v>
      </c>
      <c r="K595" s="152">
        <f>'Rate Schedule (Part 1)'!$E$51</f>
        <v>0</v>
      </c>
      <c r="L595" s="171">
        <f>+J595*K595</f>
        <v>0</v>
      </c>
      <c r="M595" s="186">
        <f>+L595-I595</f>
        <v>0</v>
      </c>
      <c r="N595" s="187" t="e">
        <f t="shared" si="74"/>
        <v>#DIV/0!</v>
      </c>
      <c r="O595" s="179" t="e">
        <f>L595/L603</f>
        <v>#DIV/0!</v>
      </c>
      <c r="P595" s="128"/>
    </row>
    <row r="596" spans="2:16" ht="17.25" customHeight="1" hidden="1" thickBot="1">
      <c r="B596" s="133"/>
      <c r="C596" s="31"/>
      <c r="D596" s="31"/>
      <c r="E596" s="31"/>
      <c r="F596" s="189" t="s">
        <v>242</v>
      </c>
      <c r="G596" s="534"/>
      <c r="H596" s="535"/>
      <c r="I596" s="191">
        <f>SUM(I591:I595)</f>
        <v>0</v>
      </c>
      <c r="J596" s="534"/>
      <c r="K596" s="535"/>
      <c r="L596" s="191" t="e">
        <f>SUM(L591:L595)</f>
        <v>#DIV/0!</v>
      </c>
      <c r="M596" s="193" t="e">
        <f>SUM(M591:M595)</f>
        <v>#DIV/0!</v>
      </c>
      <c r="N596" s="194" t="e">
        <f t="shared" si="74"/>
        <v>#DIV/0!</v>
      </c>
      <c r="O596" s="196" t="e">
        <f>SUM(O591:O595)</f>
        <v>#DIV/0!</v>
      </c>
      <c r="P596" s="128"/>
    </row>
    <row r="597" spans="2:16" ht="17.25" customHeight="1" hidden="1" thickBot="1">
      <c r="B597" s="133"/>
      <c r="C597" s="31"/>
      <c r="D597" s="31"/>
      <c r="E597" s="31"/>
      <c r="F597" s="156" t="s">
        <v>248</v>
      </c>
      <c r="G597" s="295">
        <f>G595</f>
        <v>216</v>
      </c>
      <c r="H597" s="296">
        <f>'Other Electriciy Rates'!$F$14</f>
        <v>0</v>
      </c>
      <c r="I597" s="168">
        <f>+G597*H597</f>
        <v>0</v>
      </c>
      <c r="J597" s="295">
        <f>G597</f>
        <v>216</v>
      </c>
      <c r="K597" s="296">
        <f>'Other Electriciy Rates'!$F$28</f>
        <v>0</v>
      </c>
      <c r="L597" s="168">
        <f>+J597*K597</f>
        <v>0</v>
      </c>
      <c r="M597" s="297">
        <f>+L597-I597</f>
        <v>0</v>
      </c>
      <c r="N597" s="176" t="e">
        <f t="shared" si="74"/>
        <v>#DIV/0!</v>
      </c>
      <c r="O597" s="179" t="e">
        <f>L597/L603</f>
        <v>#DIV/0!</v>
      </c>
      <c r="P597" s="128"/>
    </row>
    <row r="598" spans="2:16" ht="17.25" customHeight="1" hidden="1" thickBot="1">
      <c r="B598" s="133"/>
      <c r="C598" s="31"/>
      <c r="D598" s="31"/>
      <c r="E598" s="31"/>
      <c r="F598" s="189" t="s">
        <v>244</v>
      </c>
      <c r="G598" s="534"/>
      <c r="H598" s="535"/>
      <c r="I598" s="191">
        <f>I596+I597</f>
        <v>0</v>
      </c>
      <c r="J598" s="534"/>
      <c r="K598" s="535"/>
      <c r="L598" s="191" t="e">
        <f>L596+L597</f>
        <v>#DIV/0!</v>
      </c>
      <c r="M598" s="193" t="e">
        <f>M596+M597</f>
        <v>#DIV/0!</v>
      </c>
      <c r="N598" s="194" t="e">
        <f t="shared" si="74"/>
        <v>#DIV/0!</v>
      </c>
      <c r="O598" s="298" t="e">
        <f>L598/L603</f>
        <v>#DIV/0!</v>
      </c>
      <c r="P598" s="128"/>
    </row>
    <row r="599" spans="2:16" ht="17.25" customHeight="1" hidden="1">
      <c r="B599" s="133"/>
      <c r="C599" s="31"/>
      <c r="D599" s="31"/>
      <c r="E599" s="31"/>
      <c r="F599" s="154" t="s">
        <v>76</v>
      </c>
      <c r="G599" s="160">
        <f>C593*'Other Electriciy Rates'!$L$14</f>
        <v>101179.344</v>
      </c>
      <c r="H599" s="161">
        <f>'Other Electriciy Rates'!$C$14+'Other Electriciy Rates'!$D$14</f>
        <v>0</v>
      </c>
      <c r="I599" s="162">
        <f>+G599*H599</f>
        <v>0</v>
      </c>
      <c r="J599" s="160">
        <f>C593*'Other Electriciy Rates'!$L$28</f>
        <v>101179.344</v>
      </c>
      <c r="K599" s="161">
        <f>'Other Electriciy Rates'!$C$28+'Other Electriciy Rates'!$D$28</f>
        <v>0</v>
      </c>
      <c r="L599" s="185">
        <f>+J599*K599</f>
        <v>0</v>
      </c>
      <c r="M599" s="186">
        <f>+L599-I599</f>
        <v>0</v>
      </c>
      <c r="N599" s="187" t="e">
        <f t="shared" si="74"/>
        <v>#DIV/0!</v>
      </c>
      <c r="O599" s="179" t="e">
        <f>L599/L603</f>
        <v>#DIV/0!</v>
      </c>
      <c r="P599" s="128"/>
    </row>
    <row r="600" spans="2:16" ht="17.25" customHeight="1" hidden="1" thickBot="1">
      <c r="B600" s="133"/>
      <c r="C600" s="31"/>
      <c r="D600" s="31"/>
      <c r="E600" s="31"/>
      <c r="F600" s="154" t="s">
        <v>77</v>
      </c>
      <c r="G600" s="160">
        <f>G599</f>
        <v>101179.344</v>
      </c>
      <c r="H600" s="161">
        <f>'Other Electriciy Rates'!$J$14</f>
        <v>0</v>
      </c>
      <c r="I600" s="162">
        <f>+G600*H600</f>
        <v>0</v>
      </c>
      <c r="J600" s="160">
        <f>J599</f>
        <v>101179.344</v>
      </c>
      <c r="K600" s="161">
        <f>'Other Electriciy Rates'!$J$28</f>
        <v>0</v>
      </c>
      <c r="L600" s="185">
        <f>+J600*K600</f>
        <v>0</v>
      </c>
      <c r="M600" s="186">
        <f>+L600-I600</f>
        <v>0</v>
      </c>
      <c r="N600" s="187" t="e">
        <f t="shared" si="74"/>
        <v>#DIV/0!</v>
      </c>
      <c r="O600" s="179" t="e">
        <f>L600/L603</f>
        <v>#DIV/0!</v>
      </c>
      <c r="P600" s="128"/>
    </row>
    <row r="601" spans="2:16" ht="17.25" customHeight="1" hidden="1" thickBot="1">
      <c r="B601" s="133"/>
      <c r="C601" s="31"/>
      <c r="D601" s="31"/>
      <c r="E601" s="31"/>
      <c r="F601" s="189" t="s">
        <v>194</v>
      </c>
      <c r="G601" s="534"/>
      <c r="H601" s="535"/>
      <c r="I601" s="191">
        <f>I598+I599+I600</f>
        <v>0</v>
      </c>
      <c r="J601" s="534"/>
      <c r="K601" s="535"/>
      <c r="L601" s="191" t="e">
        <f>L598+L599+L600</f>
        <v>#DIV/0!</v>
      </c>
      <c r="M601" s="191" t="e">
        <f>M598+M599+M600</f>
        <v>#DIV/0!</v>
      </c>
      <c r="N601" s="194" t="e">
        <f t="shared" si="74"/>
        <v>#DIV/0!</v>
      </c>
      <c r="O601" s="298" t="e">
        <f>L601/L603</f>
        <v>#DIV/0!</v>
      </c>
      <c r="P601" s="128"/>
    </row>
    <row r="602" spans="2:16" ht="17.25" customHeight="1" hidden="1" thickBot="1">
      <c r="B602" s="133"/>
      <c r="C602" s="31"/>
      <c r="D602" s="31"/>
      <c r="E602" s="31"/>
      <c r="F602" s="240" t="s">
        <v>195</v>
      </c>
      <c r="G602" s="241"/>
      <c r="H602" s="244">
        <v>0.05</v>
      </c>
      <c r="I602" s="242">
        <f>I601*H602</f>
        <v>0</v>
      </c>
      <c r="J602" s="241"/>
      <c r="K602" s="244">
        <v>0.05</v>
      </c>
      <c r="L602" s="243" t="e">
        <f>L601*K602</f>
        <v>#DIV/0!</v>
      </c>
      <c r="M602" s="183" t="e">
        <f>+L602-I602</f>
        <v>#DIV/0!</v>
      </c>
      <c r="N602" s="184" t="e">
        <f t="shared" si="74"/>
        <v>#DIV/0!</v>
      </c>
      <c r="O602" s="197" t="e">
        <f>L602/L603</f>
        <v>#DIV/0!</v>
      </c>
      <c r="P602" s="128"/>
    </row>
    <row r="603" spans="2:16" ht="17.25" customHeight="1" hidden="1" thickBot="1">
      <c r="B603" s="133"/>
      <c r="C603" s="31"/>
      <c r="D603" s="31"/>
      <c r="E603" s="35"/>
      <c r="F603" s="322" t="s">
        <v>78</v>
      </c>
      <c r="G603" s="539"/>
      <c r="H603" s="540"/>
      <c r="I603" s="323">
        <f>I601+I602</f>
        <v>0</v>
      </c>
      <c r="J603" s="539"/>
      <c r="K603" s="540"/>
      <c r="L603" s="323" t="e">
        <f>L601+L602</f>
        <v>#DIV/0!</v>
      </c>
      <c r="M603" s="323" t="e">
        <f>M601+M602</f>
        <v>#DIV/0!</v>
      </c>
      <c r="N603" s="324" t="e">
        <f t="shared" si="74"/>
        <v>#DIV/0!</v>
      </c>
      <c r="O603" s="294" t="e">
        <f>O601+O602</f>
        <v>#DIV/0!</v>
      </c>
      <c r="P603" s="128"/>
    </row>
    <row r="604" spans="2:16" ht="17.25" customHeight="1" hidden="1" thickBot="1">
      <c r="B604" s="129"/>
      <c r="C604" s="139"/>
      <c r="D604" s="139"/>
      <c r="E604" s="139"/>
      <c r="F604" s="225"/>
      <c r="G604" s="226"/>
      <c r="H604" s="227"/>
      <c r="I604" s="228"/>
      <c r="J604" s="226"/>
      <c r="K604" s="229"/>
      <c r="L604" s="228"/>
      <c r="M604" s="325"/>
      <c r="N604" s="230"/>
      <c r="O604" s="231"/>
      <c r="P604" s="130"/>
    </row>
    <row r="605" ht="17.25" customHeight="1"/>
    <row r="606" spans="2:16" ht="17.25" customHeight="1" hidden="1">
      <c r="B606" s="135"/>
      <c r="C606" s="536"/>
      <c r="D606" s="536"/>
      <c r="E606" s="536"/>
      <c r="F606" s="536"/>
      <c r="G606" s="536"/>
      <c r="H606" s="536"/>
      <c r="I606" s="536"/>
      <c r="J606" s="536"/>
      <c r="K606" s="536"/>
      <c r="L606" s="536"/>
      <c r="M606" s="536"/>
      <c r="N606" s="536"/>
      <c r="O606" s="536"/>
      <c r="P606" s="127"/>
    </row>
    <row r="607" spans="2:16" ht="23.25" hidden="1">
      <c r="B607" s="133"/>
      <c r="C607" s="538" t="s">
        <v>82</v>
      </c>
      <c r="D607" s="538"/>
      <c r="E607" s="538"/>
      <c r="F607" s="538"/>
      <c r="G607" s="538"/>
      <c r="H607" s="538"/>
      <c r="I607" s="538"/>
      <c r="J607" s="538"/>
      <c r="K607" s="538"/>
      <c r="L607" s="538"/>
      <c r="M607" s="538"/>
      <c r="N607" s="538"/>
      <c r="O607" s="538"/>
      <c r="P607" s="128"/>
    </row>
    <row r="608" spans="2:17" ht="17.25" customHeight="1" hidden="1" thickBot="1">
      <c r="B608" s="133"/>
      <c r="C608" s="541"/>
      <c r="D608" s="541"/>
      <c r="E608" s="541"/>
      <c r="F608" s="541"/>
      <c r="G608" s="541"/>
      <c r="H608" s="541"/>
      <c r="I608" s="541"/>
      <c r="J608" s="541"/>
      <c r="K608" s="541"/>
      <c r="L608" s="541"/>
      <c r="M608" s="541"/>
      <c r="N608" s="541"/>
      <c r="O608" s="541"/>
      <c r="P608" s="128"/>
      <c r="Q608" s="25"/>
    </row>
    <row r="609" spans="2:17" ht="17.25" customHeight="1" hidden="1" thickBot="1">
      <c r="B609" s="133"/>
      <c r="C609" s="134"/>
      <c r="D609" s="134"/>
      <c r="E609" s="31"/>
      <c r="F609" s="32"/>
      <c r="G609" s="529" t="str">
        <f>$G$10</f>
        <v>2010 BILL</v>
      </c>
      <c r="H609" s="530"/>
      <c r="I609" s="531"/>
      <c r="J609" s="529" t="str">
        <f>$J$10</f>
        <v>2011 BILL</v>
      </c>
      <c r="K609" s="530"/>
      <c r="L609" s="531"/>
      <c r="M609" s="529" t="s">
        <v>72</v>
      </c>
      <c r="N609" s="530"/>
      <c r="O609" s="531"/>
      <c r="P609" s="128"/>
      <c r="Q609" s="25"/>
    </row>
    <row r="610" spans="2:17" ht="26.25" hidden="1" thickBot="1">
      <c r="B610" s="133"/>
      <c r="C610" s="31"/>
      <c r="D610" s="31"/>
      <c r="E610" s="33"/>
      <c r="F610" s="34"/>
      <c r="G610" s="353" t="s">
        <v>66</v>
      </c>
      <c r="H610" s="354" t="s">
        <v>67</v>
      </c>
      <c r="I610" s="355" t="s">
        <v>68</v>
      </c>
      <c r="J610" s="356" t="s">
        <v>66</v>
      </c>
      <c r="K610" s="354" t="s">
        <v>67</v>
      </c>
      <c r="L610" s="355" t="s">
        <v>68</v>
      </c>
      <c r="M610" s="350" t="s">
        <v>73</v>
      </c>
      <c r="N610" s="351" t="s">
        <v>74</v>
      </c>
      <c r="O610" s="352" t="s">
        <v>75</v>
      </c>
      <c r="P610" s="128"/>
      <c r="Q610" s="25"/>
    </row>
    <row r="611" spans="2:17" ht="17.25" customHeight="1" hidden="1" thickBot="1">
      <c r="B611" s="133"/>
      <c r="C611" s="532" t="s">
        <v>138</v>
      </c>
      <c r="D611" s="533"/>
      <c r="E611" s="31"/>
      <c r="F611" s="319" t="s">
        <v>70</v>
      </c>
      <c r="G611" s="317">
        <f>C612</f>
        <v>1</v>
      </c>
      <c r="H611" s="311">
        <f>'2010 Existing Rates'!$B$12</f>
        <v>0</v>
      </c>
      <c r="I611" s="168">
        <f>+G611*H611</f>
        <v>0</v>
      </c>
      <c r="J611" s="317">
        <f>G611</f>
        <v>1</v>
      </c>
      <c r="K611" s="311">
        <f>'Rate Schedule (Part 1)'!$E$47</f>
        <v>0</v>
      </c>
      <c r="L611" s="168">
        <f>+J611*K611</f>
        <v>0</v>
      </c>
      <c r="M611" s="186">
        <f>+L611-I611</f>
        <v>0</v>
      </c>
      <c r="N611" s="187" t="e">
        <f aca="true" t="shared" si="75" ref="N611:N623">+M611/I611</f>
        <v>#DIV/0!</v>
      </c>
      <c r="O611" s="179" t="e">
        <f>L611/L623</f>
        <v>#DIV/0!</v>
      </c>
      <c r="P611" s="128"/>
      <c r="Q611" s="25"/>
    </row>
    <row r="612" spans="2:17" ht="17.25" customHeight="1" hidden="1" thickBot="1">
      <c r="B612" s="133"/>
      <c r="C612" s="346">
        <v>1</v>
      </c>
      <c r="D612" s="347" t="s">
        <v>137</v>
      </c>
      <c r="E612" s="31"/>
      <c r="F612" s="320" t="s">
        <v>81</v>
      </c>
      <c r="G612" s="318">
        <f>C614</f>
        <v>0.3</v>
      </c>
      <c r="H612" s="153">
        <f>'2010 Existing Rates'!$D$57</f>
        <v>0</v>
      </c>
      <c r="I612" s="168">
        <f>+G612*H612</f>
        <v>0</v>
      </c>
      <c r="J612" s="159">
        <f>G612</f>
        <v>0.3</v>
      </c>
      <c r="K612" s="152" t="e">
        <f>'Rate Schedule (Part 1)'!$E$48</f>
        <v>#DIV/0!</v>
      </c>
      <c r="L612" s="168" t="e">
        <f>+J612*K612</f>
        <v>#DIV/0!</v>
      </c>
      <c r="M612" s="186" t="e">
        <f>+L612-I612</f>
        <v>#DIV/0!</v>
      </c>
      <c r="N612" s="187" t="e">
        <f t="shared" si="75"/>
        <v>#DIV/0!</v>
      </c>
      <c r="O612" s="179" t="e">
        <f>L612/L623</f>
        <v>#DIV/0!</v>
      </c>
      <c r="P612" s="128"/>
      <c r="Q612" s="25"/>
    </row>
    <row r="613" spans="2:16" ht="17.25" customHeight="1" hidden="1" thickBot="1">
      <c r="B613" s="133"/>
      <c r="C613" s="357">
        <v>134.55</v>
      </c>
      <c r="D613" s="347" t="s">
        <v>16</v>
      </c>
      <c r="E613" s="31"/>
      <c r="F613" s="320" t="s">
        <v>245</v>
      </c>
      <c r="G613" s="266">
        <f>G612</f>
        <v>0.3</v>
      </c>
      <c r="H613" s="321">
        <f>'2010 Existing Rates'!$D$34</f>
        <v>0</v>
      </c>
      <c r="J613" s="159">
        <f>G613</f>
        <v>0.3</v>
      </c>
      <c r="K613" s="152" t="e">
        <f>'Rate Schedule (Part 1)'!$E$49</f>
        <v>#DIV/0!</v>
      </c>
      <c r="L613" s="168" t="e">
        <f>+J613*K613</f>
        <v>#DIV/0!</v>
      </c>
      <c r="M613" s="186" t="e">
        <f>+L613-I613</f>
        <v>#DIV/0!</v>
      </c>
      <c r="N613" s="187" t="e">
        <f t="shared" si="75"/>
        <v>#DIV/0!</v>
      </c>
      <c r="O613" s="179" t="e">
        <f>L613/L623</f>
        <v>#DIV/0!</v>
      </c>
      <c r="P613" s="128"/>
    </row>
    <row r="614" spans="2:16" ht="17.25" customHeight="1" hidden="1" thickBot="1">
      <c r="B614" s="133"/>
      <c r="C614" s="357">
        <v>0.3</v>
      </c>
      <c r="D614" s="347" t="s">
        <v>17</v>
      </c>
      <c r="E614" s="31"/>
      <c r="F614" s="156" t="s">
        <v>246</v>
      </c>
      <c r="G614" s="159">
        <f>G613</f>
        <v>0.3</v>
      </c>
      <c r="H614" s="153"/>
      <c r="I614" s="168">
        <f>+G614*H614</f>
        <v>0</v>
      </c>
      <c r="J614" s="159">
        <f>G614</f>
        <v>0.3</v>
      </c>
      <c r="K614" s="152" t="e">
        <f>'Rate Schedule (Part 1)'!$E$50</f>
        <v>#DIV/0!</v>
      </c>
      <c r="L614" s="171" t="e">
        <f>+J614*K614</f>
        <v>#DIV/0!</v>
      </c>
      <c r="M614" s="186" t="e">
        <f>+L614-I614</f>
        <v>#DIV/0!</v>
      </c>
      <c r="N614" s="187" t="e">
        <f t="shared" si="75"/>
        <v>#DIV/0!</v>
      </c>
      <c r="O614" s="179" t="e">
        <f>L614/L623</f>
        <v>#DIV/0!</v>
      </c>
      <c r="P614" s="128"/>
    </row>
    <row r="615" spans="2:16" ht="17.25" customHeight="1" hidden="1" thickBot="1">
      <c r="B615" s="133"/>
      <c r="C615" s="63"/>
      <c r="D615" s="64"/>
      <c r="E615" s="31"/>
      <c r="F615" s="157" t="s">
        <v>247</v>
      </c>
      <c r="G615" s="159">
        <f>G614</f>
        <v>0.3</v>
      </c>
      <c r="H615" s="153">
        <f>'2010 Existing Rates'!$D$23</f>
        <v>0</v>
      </c>
      <c r="I615" s="168">
        <f>+G615*H615</f>
        <v>0</v>
      </c>
      <c r="J615" s="159">
        <f>J614</f>
        <v>0.3</v>
      </c>
      <c r="K615" s="152">
        <f>'Rate Schedule (Part 1)'!$E$51</f>
        <v>0</v>
      </c>
      <c r="L615" s="171">
        <f>+J615*K615</f>
        <v>0</v>
      </c>
      <c r="M615" s="186">
        <f>+L615-I615</f>
        <v>0</v>
      </c>
      <c r="N615" s="187" t="e">
        <f t="shared" si="75"/>
        <v>#DIV/0!</v>
      </c>
      <c r="O615" s="179" t="e">
        <f>L615/L623</f>
        <v>#DIV/0!</v>
      </c>
      <c r="P615" s="128"/>
    </row>
    <row r="616" spans="2:16" ht="17.25" customHeight="1" hidden="1" thickBot="1">
      <c r="B616" s="133"/>
      <c r="C616" s="31"/>
      <c r="D616" s="31"/>
      <c r="E616" s="31"/>
      <c r="F616" s="189" t="s">
        <v>242</v>
      </c>
      <c r="G616" s="534"/>
      <c r="H616" s="535"/>
      <c r="I616" s="191">
        <f>SUM(I611:I615)</f>
        <v>0</v>
      </c>
      <c r="J616" s="534"/>
      <c r="K616" s="535"/>
      <c r="L616" s="191" t="e">
        <f>SUM(L611:L615)</f>
        <v>#DIV/0!</v>
      </c>
      <c r="M616" s="193" t="e">
        <f>SUM(M611:M615)</f>
        <v>#DIV/0!</v>
      </c>
      <c r="N616" s="194" t="e">
        <f t="shared" si="75"/>
        <v>#DIV/0!</v>
      </c>
      <c r="O616" s="196" t="e">
        <f>SUM(O611:O615)</f>
        <v>#DIV/0!</v>
      </c>
      <c r="P616" s="128"/>
    </row>
    <row r="617" spans="2:16" ht="17.25" customHeight="1" hidden="1" thickBot="1">
      <c r="B617" s="133"/>
      <c r="C617" s="31"/>
      <c r="D617" s="31"/>
      <c r="E617" s="31"/>
      <c r="F617" s="156" t="s">
        <v>248</v>
      </c>
      <c r="G617" s="295">
        <f>G615</f>
        <v>0.3</v>
      </c>
      <c r="H617" s="296">
        <f>'Other Electriciy Rates'!$F$14</f>
        <v>0</v>
      </c>
      <c r="I617" s="168">
        <f>+G617*H617</f>
        <v>0</v>
      </c>
      <c r="J617" s="295">
        <f>G617</f>
        <v>0.3</v>
      </c>
      <c r="K617" s="296">
        <f>'Other Electriciy Rates'!$F$28</f>
        <v>0</v>
      </c>
      <c r="L617" s="168">
        <f>+J617*K617</f>
        <v>0</v>
      </c>
      <c r="M617" s="297">
        <f>+L617-I617</f>
        <v>0</v>
      </c>
      <c r="N617" s="176" t="e">
        <f t="shared" si="75"/>
        <v>#DIV/0!</v>
      </c>
      <c r="O617" s="179" t="e">
        <f>L617/L623</f>
        <v>#DIV/0!</v>
      </c>
      <c r="P617" s="128"/>
    </row>
    <row r="618" spans="2:16" ht="17.25" customHeight="1" hidden="1" thickBot="1">
      <c r="B618" s="133"/>
      <c r="C618" s="31"/>
      <c r="D618" s="31"/>
      <c r="E618" s="31"/>
      <c r="F618" s="189" t="s">
        <v>244</v>
      </c>
      <c r="G618" s="534"/>
      <c r="H618" s="535"/>
      <c r="I618" s="191">
        <f>I616+I617</f>
        <v>0</v>
      </c>
      <c r="J618" s="534"/>
      <c r="K618" s="535"/>
      <c r="L618" s="191" t="e">
        <f>L616+L617</f>
        <v>#DIV/0!</v>
      </c>
      <c r="M618" s="193" t="e">
        <f>M616+M617</f>
        <v>#DIV/0!</v>
      </c>
      <c r="N618" s="194" t="e">
        <f t="shared" si="75"/>
        <v>#DIV/0!</v>
      </c>
      <c r="O618" s="298" t="e">
        <f>L618/L623</f>
        <v>#DIV/0!</v>
      </c>
      <c r="P618" s="128"/>
    </row>
    <row r="619" spans="2:16" ht="17.25" customHeight="1" hidden="1">
      <c r="B619" s="133"/>
      <c r="C619" s="31"/>
      <c r="D619" s="31"/>
      <c r="E619" s="31"/>
      <c r="F619" s="154" t="s">
        <v>76</v>
      </c>
      <c r="G619" s="160">
        <f>C613*'Other Electriciy Rates'!$L$14</f>
        <v>140.33565000000002</v>
      </c>
      <c r="H619" s="161">
        <f>'Other Electriciy Rates'!$C$14+'Other Electriciy Rates'!$D$14</f>
        <v>0</v>
      </c>
      <c r="I619" s="162">
        <f>+G619*H619</f>
        <v>0</v>
      </c>
      <c r="J619" s="160">
        <f>C613*'Other Electriciy Rates'!$L$28</f>
        <v>140.33565000000002</v>
      </c>
      <c r="K619" s="161">
        <f>'Other Electriciy Rates'!$C$28+'Other Electriciy Rates'!$D$28</f>
        <v>0</v>
      </c>
      <c r="L619" s="185">
        <f>+J619*K619</f>
        <v>0</v>
      </c>
      <c r="M619" s="186">
        <f>+L619-I619</f>
        <v>0</v>
      </c>
      <c r="N619" s="187" t="e">
        <f t="shared" si="75"/>
        <v>#DIV/0!</v>
      </c>
      <c r="O619" s="179" t="e">
        <f>L619/L623</f>
        <v>#DIV/0!</v>
      </c>
      <c r="P619" s="128"/>
    </row>
    <row r="620" spans="2:16" ht="17.25" customHeight="1" hidden="1" thickBot="1">
      <c r="B620" s="133"/>
      <c r="C620" s="31"/>
      <c r="D620" s="31"/>
      <c r="E620" s="31"/>
      <c r="F620" s="154" t="s">
        <v>77</v>
      </c>
      <c r="G620" s="160">
        <f>G619</f>
        <v>140.33565000000002</v>
      </c>
      <c r="H620" s="161">
        <f>'Other Electriciy Rates'!$J$14</f>
        <v>0</v>
      </c>
      <c r="I620" s="162">
        <f>+G620*H620</f>
        <v>0</v>
      </c>
      <c r="J620" s="160">
        <f>J619</f>
        <v>140.33565000000002</v>
      </c>
      <c r="K620" s="161">
        <f>'Other Electriciy Rates'!$J$28</f>
        <v>0</v>
      </c>
      <c r="L620" s="185">
        <f>+J620*K620</f>
        <v>0</v>
      </c>
      <c r="M620" s="186">
        <f>+L620-I620</f>
        <v>0</v>
      </c>
      <c r="N620" s="187" t="e">
        <f t="shared" si="75"/>
        <v>#DIV/0!</v>
      </c>
      <c r="O620" s="179" t="e">
        <f>L620/L623</f>
        <v>#DIV/0!</v>
      </c>
      <c r="P620" s="128"/>
    </row>
    <row r="621" spans="2:16" ht="17.25" customHeight="1" hidden="1" thickBot="1">
      <c r="B621" s="133"/>
      <c r="C621" s="31"/>
      <c r="D621" s="31"/>
      <c r="E621" s="31"/>
      <c r="F621" s="189" t="s">
        <v>194</v>
      </c>
      <c r="G621" s="534"/>
      <c r="H621" s="535"/>
      <c r="I621" s="191">
        <f>I618+I619+I620</f>
        <v>0</v>
      </c>
      <c r="J621" s="534"/>
      <c r="K621" s="535"/>
      <c r="L621" s="191" t="e">
        <f>L618+L619+L620</f>
        <v>#DIV/0!</v>
      </c>
      <c r="M621" s="191" t="e">
        <f>M618+M619+M620</f>
        <v>#DIV/0!</v>
      </c>
      <c r="N621" s="194" t="e">
        <f t="shared" si="75"/>
        <v>#DIV/0!</v>
      </c>
      <c r="O621" s="298" t="e">
        <f>L621/L623</f>
        <v>#DIV/0!</v>
      </c>
      <c r="P621" s="128"/>
    </row>
    <row r="622" spans="2:16" ht="17.25" customHeight="1" hidden="1" thickBot="1">
      <c r="B622" s="133"/>
      <c r="C622" s="31"/>
      <c r="D622" s="31"/>
      <c r="E622" s="31"/>
      <c r="F622" s="240" t="s">
        <v>195</v>
      </c>
      <c r="G622" s="241"/>
      <c r="H622" s="244">
        <v>0.05</v>
      </c>
      <c r="I622" s="242">
        <f>I621*H622</f>
        <v>0</v>
      </c>
      <c r="J622" s="241"/>
      <c r="K622" s="244">
        <v>0.05</v>
      </c>
      <c r="L622" s="243" t="e">
        <f>L621*K622</f>
        <v>#DIV/0!</v>
      </c>
      <c r="M622" s="183" t="e">
        <f>+L622-I622</f>
        <v>#DIV/0!</v>
      </c>
      <c r="N622" s="184" t="e">
        <f t="shared" si="75"/>
        <v>#DIV/0!</v>
      </c>
      <c r="O622" s="197" t="e">
        <f>L622/L623</f>
        <v>#DIV/0!</v>
      </c>
      <c r="P622" s="128"/>
    </row>
    <row r="623" spans="2:16" ht="17.25" customHeight="1" hidden="1" thickBot="1">
      <c r="B623" s="133"/>
      <c r="C623" s="31"/>
      <c r="D623" s="31"/>
      <c r="E623" s="35"/>
      <c r="F623" s="322" t="s">
        <v>78</v>
      </c>
      <c r="G623" s="539"/>
      <c r="H623" s="540"/>
      <c r="I623" s="323">
        <f>I621+I622</f>
        <v>0</v>
      </c>
      <c r="J623" s="539"/>
      <c r="K623" s="540"/>
      <c r="L623" s="323" t="e">
        <f>L621+L622</f>
        <v>#DIV/0!</v>
      </c>
      <c r="M623" s="323" t="e">
        <f>M621+M622</f>
        <v>#DIV/0!</v>
      </c>
      <c r="N623" s="324" t="e">
        <f t="shared" si="75"/>
        <v>#DIV/0!</v>
      </c>
      <c r="O623" s="294" t="e">
        <f>O621+O622</f>
        <v>#DIV/0!</v>
      </c>
      <c r="P623" s="128"/>
    </row>
    <row r="624" spans="2:16" ht="17.25" customHeight="1" hidden="1" thickBot="1">
      <c r="B624" s="129"/>
      <c r="C624" s="139"/>
      <c r="D624" s="139"/>
      <c r="E624" s="139"/>
      <c r="F624" s="225"/>
      <c r="G624" s="226"/>
      <c r="H624" s="227"/>
      <c r="I624" s="228"/>
      <c r="J624" s="226"/>
      <c r="K624" s="229"/>
      <c r="L624" s="228"/>
      <c r="M624" s="325"/>
      <c r="N624" s="230"/>
      <c r="O624" s="231"/>
      <c r="P624" s="130"/>
    </row>
    <row r="625" ht="18" customHeight="1" thickBot="1"/>
    <row r="626" spans="2:16" ht="21.75" customHeight="1">
      <c r="B626" s="135"/>
      <c r="C626" s="554" t="s">
        <v>271</v>
      </c>
      <c r="D626" s="549"/>
      <c r="E626" s="549"/>
      <c r="F626" s="549"/>
      <c r="G626" s="549"/>
      <c r="H626" s="549"/>
      <c r="I626" s="549"/>
      <c r="J626" s="549"/>
      <c r="K626" s="549"/>
      <c r="L626" s="549"/>
      <c r="M626" s="549"/>
      <c r="N626" s="549"/>
      <c r="O626" s="549"/>
      <c r="P626" s="127"/>
    </row>
    <row r="627" spans="2:16" ht="21.75" customHeight="1" thickBot="1">
      <c r="B627" s="133"/>
      <c r="C627" s="550"/>
      <c r="D627" s="550"/>
      <c r="E627" s="550"/>
      <c r="F627" s="550"/>
      <c r="G627" s="550"/>
      <c r="H627" s="550"/>
      <c r="I627" s="550"/>
      <c r="J627" s="550"/>
      <c r="K627" s="550"/>
      <c r="L627" s="550"/>
      <c r="M627" s="550"/>
      <c r="N627" s="550"/>
      <c r="O627" s="550"/>
      <c r="P627" s="128"/>
    </row>
    <row r="628" spans="2:16" ht="21.75" customHeight="1" thickBot="1">
      <c r="B628" s="133"/>
      <c r="C628" s="134"/>
      <c r="D628" s="134"/>
      <c r="E628" s="31"/>
      <c r="F628" s="37"/>
      <c r="G628" s="529" t="s">
        <v>198</v>
      </c>
      <c r="H628" s="530"/>
      <c r="I628" s="531"/>
      <c r="J628" s="529" t="s">
        <v>239</v>
      </c>
      <c r="K628" s="530"/>
      <c r="L628" s="531"/>
      <c r="M628" s="529" t="s">
        <v>72</v>
      </c>
      <c r="N628" s="530"/>
      <c r="O628" s="531"/>
      <c r="P628" s="128"/>
    </row>
    <row r="629" spans="2:16" ht="26.25" thickBot="1">
      <c r="B629" s="133"/>
      <c r="C629" s="31"/>
      <c r="D629" s="31"/>
      <c r="E629" s="33"/>
      <c r="F629" s="38"/>
      <c r="G629" s="338" t="s">
        <v>66</v>
      </c>
      <c r="H629" s="339" t="s">
        <v>67</v>
      </c>
      <c r="I629" s="340" t="s">
        <v>68</v>
      </c>
      <c r="J629" s="338" t="s">
        <v>66</v>
      </c>
      <c r="K629" s="339" t="s">
        <v>67</v>
      </c>
      <c r="L629" s="340" t="s">
        <v>68</v>
      </c>
      <c r="M629" s="341" t="s">
        <v>73</v>
      </c>
      <c r="N629" s="342" t="s">
        <v>74</v>
      </c>
      <c r="O629" s="343" t="s">
        <v>75</v>
      </c>
      <c r="P629" s="128"/>
    </row>
    <row r="630" spans="2:16" ht="21.75" customHeight="1" thickBot="1">
      <c r="B630" s="133"/>
      <c r="C630" s="532" t="s">
        <v>69</v>
      </c>
      <c r="D630" s="533"/>
      <c r="E630" s="31"/>
      <c r="F630" s="155" t="s">
        <v>70</v>
      </c>
      <c r="G630" s="165"/>
      <c r="H630" s="166"/>
      <c r="I630" s="167">
        <f>'2010 Existing Rates'!$B$14</f>
        <v>13</v>
      </c>
      <c r="J630" s="165"/>
      <c r="K630" s="166"/>
      <c r="L630" s="170">
        <f>'Rate Schedule (Part 1)'!$E$61</f>
        <v>16.6514</v>
      </c>
      <c r="M630" s="175">
        <f>+L630-I630</f>
        <v>3.651399999999999</v>
      </c>
      <c r="N630" s="176">
        <f aca="true" t="shared" si="76" ref="N630:N639">+M630/I630</f>
        <v>0.28087692307692297</v>
      </c>
      <c r="O630" s="177">
        <f>L630/L643</f>
        <v>0.37245122623241034</v>
      </c>
      <c r="P630" s="128"/>
    </row>
    <row r="631" spans="2:16" ht="21.75" customHeight="1" thickBot="1">
      <c r="B631" s="133"/>
      <c r="C631" s="344">
        <v>250</v>
      </c>
      <c r="D631" s="345" t="s">
        <v>16</v>
      </c>
      <c r="E631" s="31"/>
      <c r="F631" s="156" t="s">
        <v>71</v>
      </c>
      <c r="G631" s="159">
        <f>+C631</f>
        <v>250</v>
      </c>
      <c r="H631" s="153">
        <f>'2010 Existing Rates'!$B$59</f>
        <v>0.0041</v>
      </c>
      <c r="I631" s="168">
        <f>+G631*H631</f>
        <v>1.0250000000000001</v>
      </c>
      <c r="J631" s="159">
        <f>+C631</f>
        <v>250</v>
      </c>
      <c r="K631" s="152">
        <f>'Rate Schedule (Part 1)'!$E$62</f>
        <v>0.0053</v>
      </c>
      <c r="L631" s="171">
        <f>+J631*K631</f>
        <v>1.325</v>
      </c>
      <c r="M631" s="178">
        <f>+L631-I631</f>
        <v>0.2999999999999998</v>
      </c>
      <c r="N631" s="172">
        <f t="shared" si="76"/>
        <v>0.2926829268292681</v>
      </c>
      <c r="O631" s="179">
        <f>L631/L643</f>
        <v>0.029637019995792768</v>
      </c>
      <c r="P631" s="128"/>
    </row>
    <row r="632" spans="2:16" ht="21.75" customHeight="1" hidden="1">
      <c r="B632" s="133"/>
      <c r="C632" s="63"/>
      <c r="D632" s="358"/>
      <c r="E632" s="31"/>
      <c r="F632" s="156" t="s">
        <v>241</v>
      </c>
      <c r="G632" s="159">
        <f>G631</f>
        <v>250</v>
      </c>
      <c r="H632" s="153">
        <f>'2010 Existing Rates'!$B$36</f>
        <v>0</v>
      </c>
      <c r="I632" s="168">
        <f>+G632*H632</f>
        <v>0</v>
      </c>
      <c r="J632" s="159">
        <f>J631</f>
        <v>250</v>
      </c>
      <c r="K632" s="152">
        <f>'Rate Schedule (Part 1)'!$E$63</f>
        <v>0</v>
      </c>
      <c r="L632" s="171">
        <f>+J632*K632</f>
        <v>0</v>
      </c>
      <c r="M632" s="178">
        <f>+L632-I632</f>
        <v>0</v>
      </c>
      <c r="N632" s="172">
        <v>0</v>
      </c>
      <c r="O632" s="179">
        <f>L632/L643</f>
        <v>0</v>
      </c>
      <c r="P632" s="128"/>
    </row>
    <row r="633" spans="2:16" ht="21.75" customHeight="1" hidden="1">
      <c r="B633" s="133"/>
      <c r="C633" s="63"/>
      <c r="D633" s="64"/>
      <c r="E633" s="31"/>
      <c r="F633" s="156" t="s">
        <v>161</v>
      </c>
      <c r="G633" s="159">
        <f>C631</f>
        <v>250</v>
      </c>
      <c r="H633" s="153">
        <v>0</v>
      </c>
      <c r="I633" s="164">
        <f>+G633*H633</f>
        <v>0</v>
      </c>
      <c r="J633" s="159">
        <f>C631</f>
        <v>250</v>
      </c>
      <c r="K633" s="152">
        <f>'Rate Schedule (Part 1)'!$E$64</f>
        <v>0</v>
      </c>
      <c r="L633" s="171">
        <f>J633*K633</f>
        <v>0</v>
      </c>
      <c r="M633" s="178">
        <f>+L633-I633</f>
        <v>0</v>
      </c>
      <c r="N633" s="172">
        <v>0</v>
      </c>
      <c r="O633" s="179">
        <f>L633/L643</f>
        <v>0</v>
      </c>
      <c r="P633" s="128"/>
    </row>
    <row r="634" spans="2:16" ht="21.75" customHeight="1" thickBot="1">
      <c r="B634" s="133"/>
      <c r="C634" s="31"/>
      <c r="D634" s="31"/>
      <c r="E634" s="31"/>
      <c r="F634" s="157" t="s">
        <v>240</v>
      </c>
      <c r="G634" s="180">
        <f>+C631</f>
        <v>250</v>
      </c>
      <c r="H634" s="181">
        <f>'2010 Existing Rates'!$B$25</f>
        <v>0</v>
      </c>
      <c r="I634" s="164">
        <f>+G634*H634</f>
        <v>0</v>
      </c>
      <c r="J634" s="180">
        <f>+C631</f>
        <v>250</v>
      </c>
      <c r="K634" s="181">
        <f>'Rate Schedule (Part 1)'!$E$65</f>
        <v>-0.001572369612514053</v>
      </c>
      <c r="L634" s="182">
        <f>+J634*K634</f>
        <v>-0.39309240312851323</v>
      </c>
      <c r="M634" s="178">
        <f>+L634-I634</f>
        <v>-0.39309240312851323</v>
      </c>
      <c r="N634" s="172">
        <v>-1</v>
      </c>
      <c r="O634" s="179">
        <f>L634/L643</f>
        <v>-0.008792518801293569</v>
      </c>
      <c r="P634" s="128"/>
    </row>
    <row r="635" spans="2:16" ht="21.75" customHeight="1" thickBot="1">
      <c r="B635" s="133"/>
      <c r="C635" s="439"/>
      <c r="D635" s="31"/>
      <c r="E635" s="31"/>
      <c r="F635" s="189" t="s">
        <v>242</v>
      </c>
      <c r="G635" s="534"/>
      <c r="H635" s="535"/>
      <c r="I635" s="191">
        <f>SUM(I630:I634)</f>
        <v>14.025</v>
      </c>
      <c r="J635" s="534"/>
      <c r="K635" s="535"/>
      <c r="L635" s="191">
        <f>SUM(L630:L634)</f>
        <v>17.583307596871485</v>
      </c>
      <c r="M635" s="193">
        <f>SUM(M630:M634)</f>
        <v>3.5583075968714857</v>
      </c>
      <c r="N635" s="194">
        <f t="shared" si="76"/>
        <v>0.2537117716129402</v>
      </c>
      <c r="O635" s="196">
        <f>L635/L643</f>
        <v>0.3932957274269095</v>
      </c>
      <c r="P635" s="128"/>
    </row>
    <row r="636" spans="2:16" ht="21.75" customHeight="1" thickBot="1">
      <c r="B636" s="133"/>
      <c r="D636" s="31"/>
      <c r="E636" s="31"/>
      <c r="F636" s="156" t="s">
        <v>243</v>
      </c>
      <c r="G636" s="295">
        <f>C631*'Other Electriciy Rates'!$L$16</f>
        <v>260.75</v>
      </c>
      <c r="H636" s="296">
        <f>'Other Electriciy Rates'!$B$16</f>
        <v>0.0066</v>
      </c>
      <c r="I636" s="168">
        <f>+G636*H636</f>
        <v>1.72095</v>
      </c>
      <c r="J636" s="295">
        <f>C631*'Other Electriciy Rates'!$L$30</f>
        <v>260.75</v>
      </c>
      <c r="K636" s="296">
        <f>'Other Electriciy Rates'!$B$30</f>
        <v>0.006087494307772416</v>
      </c>
      <c r="L636" s="168">
        <f>+J636*K636</f>
        <v>1.5873141407516573</v>
      </c>
      <c r="M636" s="297">
        <f>+L636-I636</f>
        <v>-0.13363585924834265</v>
      </c>
      <c r="N636" s="176">
        <f t="shared" si="76"/>
        <v>-0.07765237761024008</v>
      </c>
      <c r="O636" s="177">
        <f>L636/L643</f>
        <v>0.0355043478709898</v>
      </c>
      <c r="P636" s="128"/>
    </row>
    <row r="637" spans="2:16" ht="21.75" customHeight="1" thickBot="1">
      <c r="B637" s="133"/>
      <c r="C637" s="439"/>
      <c r="D637" s="31"/>
      <c r="E637" s="31"/>
      <c r="F637" s="189" t="s">
        <v>244</v>
      </c>
      <c r="G637" s="534"/>
      <c r="H637" s="535"/>
      <c r="I637" s="191">
        <f>I635+I636</f>
        <v>15.74595</v>
      </c>
      <c r="J637" s="534"/>
      <c r="K637" s="535"/>
      <c r="L637" s="191">
        <f>L635+L636</f>
        <v>19.170621737623144</v>
      </c>
      <c r="M637" s="193">
        <f>M635+M636</f>
        <v>3.424671737623143</v>
      </c>
      <c r="N637" s="194">
        <f t="shared" si="76"/>
        <v>0.21749540279393387</v>
      </c>
      <c r="O637" s="298">
        <f>L637/L643</f>
        <v>0.4288000752978993</v>
      </c>
      <c r="P637" s="128"/>
    </row>
    <row r="638" spans="2:16" ht="21.75" customHeight="1">
      <c r="B638" s="133"/>
      <c r="D638" s="31"/>
      <c r="E638" s="31"/>
      <c r="F638" s="158" t="s">
        <v>284</v>
      </c>
      <c r="G638" s="160">
        <f>G636</f>
        <v>260.75</v>
      </c>
      <c r="H638" s="161">
        <f>'Other Electriciy Rates'!$C$16</f>
        <v>0.0065</v>
      </c>
      <c r="I638" s="162">
        <f>+G638*H638</f>
        <v>1.694875</v>
      </c>
      <c r="J638" s="160">
        <f>J636</f>
        <v>260.75</v>
      </c>
      <c r="K638" s="161">
        <f>'Other Electriciy Rates'!$C$30</f>
        <v>0.0065</v>
      </c>
      <c r="L638" s="185">
        <f>+J638*K638</f>
        <v>1.694875</v>
      </c>
      <c r="M638" s="186">
        <f>+L638-I638</f>
        <v>0</v>
      </c>
      <c r="N638" s="187">
        <f t="shared" si="76"/>
        <v>0</v>
      </c>
      <c r="O638" s="177">
        <f>L638/L643</f>
        <v>0.03791022208707114</v>
      </c>
      <c r="P638" s="128"/>
    </row>
    <row r="639" spans="2:16" ht="21.75" customHeight="1">
      <c r="B639" s="133"/>
      <c r="D639" s="31"/>
      <c r="E639" s="31"/>
      <c r="F639" s="158" t="s">
        <v>285</v>
      </c>
      <c r="G639" s="241">
        <v>250</v>
      </c>
      <c r="H639" s="161">
        <f>+'Other Electriciy Rates'!$D$10</f>
        <v>0.007</v>
      </c>
      <c r="I639" s="162">
        <f>+G639*H639</f>
        <v>1.75</v>
      </c>
      <c r="J639" s="241">
        <v>250</v>
      </c>
      <c r="K639" s="161">
        <f>+'Other Electriciy Rates'!$D$10</f>
        <v>0.007</v>
      </c>
      <c r="L639" s="162">
        <f>+J639*K639</f>
        <v>1.75</v>
      </c>
      <c r="M639" s="186">
        <f>+L639-I639</f>
        <v>0</v>
      </c>
      <c r="N639" s="187">
        <f t="shared" si="76"/>
        <v>0</v>
      </c>
      <c r="O639" s="465">
        <f>L639/L643</f>
        <v>0.03914323395670743</v>
      </c>
      <c r="P639" s="128"/>
    </row>
    <row r="640" spans="2:16" ht="21.75" customHeight="1" thickBot="1">
      <c r="B640" s="133"/>
      <c r="C640" s="439"/>
      <c r="D640" s="31"/>
      <c r="E640" s="31"/>
      <c r="F640" s="156" t="s">
        <v>77</v>
      </c>
      <c r="G640" s="169">
        <f>G638</f>
        <v>260.75</v>
      </c>
      <c r="H640" s="163">
        <f>'Other Electriciy Rates'!$J$16</f>
        <v>0.065</v>
      </c>
      <c r="I640" s="164">
        <f>+G640*H640</f>
        <v>16.94875</v>
      </c>
      <c r="J640" s="169">
        <f>J638</f>
        <v>260.75</v>
      </c>
      <c r="K640" s="163">
        <f>'Other Electriciy Rates'!$J$30</f>
        <v>0.065</v>
      </c>
      <c r="L640" s="182">
        <f>+J640*K640</f>
        <v>16.94875</v>
      </c>
      <c r="M640" s="183">
        <f>+L640-I640</f>
        <v>0</v>
      </c>
      <c r="N640" s="184">
        <f>+M640/I640</f>
        <v>0</v>
      </c>
      <c r="O640" s="197">
        <f>L640/L643</f>
        <v>0.3791022208707115</v>
      </c>
      <c r="P640" s="128"/>
    </row>
    <row r="641" spans="2:16" ht="21.75" customHeight="1" thickBot="1">
      <c r="B641" s="133"/>
      <c r="C641" s="31"/>
      <c r="D641" s="31"/>
      <c r="E641" s="31"/>
      <c r="F641" s="189" t="s">
        <v>194</v>
      </c>
      <c r="G641" s="534"/>
      <c r="H641" s="535"/>
      <c r="I641" s="191">
        <f>SUM(I637:I640)</f>
        <v>36.139575</v>
      </c>
      <c r="J641" s="534"/>
      <c r="K641" s="535"/>
      <c r="L641" s="191">
        <f>SUM(L637:L640)</f>
        <v>39.564246737623144</v>
      </c>
      <c r="M641" s="191">
        <f>SUM(M636:M640)</f>
        <v>3.2910358783748004</v>
      </c>
      <c r="N641" s="194">
        <f>+M641/I641</f>
        <v>0.09106459825204918</v>
      </c>
      <c r="O641" s="196">
        <f>L641/L643</f>
        <v>0.8849557522123894</v>
      </c>
      <c r="P641" s="245"/>
    </row>
    <row r="642" spans="2:16" ht="21.75" customHeight="1" thickBot="1">
      <c r="B642" s="133"/>
      <c r="C642" s="31"/>
      <c r="D642" s="31"/>
      <c r="E642" s="31"/>
      <c r="F642" s="240" t="s">
        <v>274</v>
      </c>
      <c r="G642" s="241"/>
      <c r="H642" s="244">
        <v>0.13</v>
      </c>
      <c r="I642" s="242">
        <f>I641*H642</f>
        <v>4.69814475</v>
      </c>
      <c r="J642" s="241"/>
      <c r="K642" s="244">
        <v>0.13</v>
      </c>
      <c r="L642" s="243">
        <f>L641*K642</f>
        <v>5.143352075891009</v>
      </c>
      <c r="M642" s="183">
        <f>+L642-I642</f>
        <v>0.4452073258910092</v>
      </c>
      <c r="N642" s="187">
        <f>+M642/I642</f>
        <v>0.09476236888848714</v>
      </c>
      <c r="O642" s="469">
        <f>L642/L643</f>
        <v>0.11504424778761063</v>
      </c>
      <c r="P642" s="128"/>
    </row>
    <row r="643" spans="2:17" ht="21.75" customHeight="1" thickBot="1">
      <c r="B643" s="299"/>
      <c r="C643" s="300"/>
      <c r="D643" s="300"/>
      <c r="E643" s="301"/>
      <c r="F643" s="302" t="s">
        <v>78</v>
      </c>
      <c r="G643" s="551"/>
      <c r="H643" s="552"/>
      <c r="I643" s="303">
        <f>I641+I642</f>
        <v>40.83771975</v>
      </c>
      <c r="J643" s="551"/>
      <c r="K643" s="552"/>
      <c r="L643" s="303">
        <f>L641+L642</f>
        <v>44.70759881351415</v>
      </c>
      <c r="M643" s="303">
        <f>M641+M642</f>
        <v>3.7362432042658096</v>
      </c>
      <c r="N643" s="304">
        <f>+M643/I643</f>
        <v>0.09149000549340931</v>
      </c>
      <c r="O643" s="305">
        <f>O641+O642</f>
        <v>1</v>
      </c>
      <c r="P643" s="306"/>
      <c r="Q643" s="307"/>
    </row>
    <row r="644" spans="2:16" ht="10.5" customHeight="1" thickBot="1">
      <c r="B644" s="129"/>
      <c r="C644" s="553"/>
      <c r="D644" s="553"/>
      <c r="E644" s="553"/>
      <c r="F644" s="553"/>
      <c r="G644" s="553"/>
      <c r="H644" s="553"/>
      <c r="I644" s="553"/>
      <c r="J644" s="553"/>
      <c r="K644" s="553"/>
      <c r="L644" s="553"/>
      <c r="M644" s="553"/>
      <c r="N644" s="553"/>
      <c r="O644" s="553"/>
      <c r="P644" s="130"/>
    </row>
    <row r="645" ht="17.25" customHeight="1" thickBot="1"/>
    <row r="646" spans="2:16" ht="21.75" customHeight="1">
      <c r="B646" s="135"/>
      <c r="C646" s="554" t="s">
        <v>271</v>
      </c>
      <c r="D646" s="549"/>
      <c r="E646" s="549"/>
      <c r="F646" s="549"/>
      <c r="G646" s="549"/>
      <c r="H646" s="549"/>
      <c r="I646" s="549"/>
      <c r="J646" s="549"/>
      <c r="K646" s="549"/>
      <c r="L646" s="549"/>
      <c r="M646" s="549"/>
      <c r="N646" s="549"/>
      <c r="O646" s="549"/>
      <c r="P646" s="127"/>
    </row>
    <row r="647" spans="2:16" ht="21.75" customHeight="1" thickBot="1">
      <c r="B647" s="133"/>
      <c r="C647" s="550"/>
      <c r="D647" s="550"/>
      <c r="E647" s="550"/>
      <c r="F647" s="550"/>
      <c r="G647" s="550"/>
      <c r="H647" s="550"/>
      <c r="I647" s="550"/>
      <c r="J647" s="550"/>
      <c r="K647" s="550"/>
      <c r="L647" s="550"/>
      <c r="M647" s="550"/>
      <c r="N647" s="550"/>
      <c r="O647" s="550"/>
      <c r="P647" s="128"/>
    </row>
    <row r="648" spans="2:16" ht="21.75" customHeight="1" thickBot="1">
      <c r="B648" s="133"/>
      <c r="C648" s="134"/>
      <c r="D648" s="134"/>
      <c r="E648" s="31"/>
      <c r="F648" s="37"/>
      <c r="G648" s="529" t="s">
        <v>198</v>
      </c>
      <c r="H648" s="530"/>
      <c r="I648" s="531"/>
      <c r="J648" s="529" t="s">
        <v>239</v>
      </c>
      <c r="K648" s="530"/>
      <c r="L648" s="531"/>
      <c r="M648" s="529" t="s">
        <v>72</v>
      </c>
      <c r="N648" s="530"/>
      <c r="O648" s="531"/>
      <c r="P648" s="128"/>
    </row>
    <row r="649" spans="2:16" ht="26.25" thickBot="1">
      <c r="B649" s="133"/>
      <c r="C649" s="31"/>
      <c r="D649" s="31"/>
      <c r="E649" s="33"/>
      <c r="F649" s="38"/>
      <c r="G649" s="338" t="s">
        <v>66</v>
      </c>
      <c r="H649" s="339" t="s">
        <v>67</v>
      </c>
      <c r="I649" s="340" t="s">
        <v>68</v>
      </c>
      <c r="J649" s="338" t="s">
        <v>66</v>
      </c>
      <c r="K649" s="339" t="s">
        <v>67</v>
      </c>
      <c r="L649" s="340" t="s">
        <v>68</v>
      </c>
      <c r="M649" s="341" t="s">
        <v>73</v>
      </c>
      <c r="N649" s="342" t="s">
        <v>74</v>
      </c>
      <c r="O649" s="343" t="s">
        <v>75</v>
      </c>
      <c r="P649" s="128"/>
    </row>
    <row r="650" spans="2:16" ht="21.75" customHeight="1" thickBot="1">
      <c r="B650" s="133"/>
      <c r="C650" s="532" t="s">
        <v>69</v>
      </c>
      <c r="D650" s="533"/>
      <c r="E650" s="31"/>
      <c r="F650" s="155" t="s">
        <v>70</v>
      </c>
      <c r="G650" s="165"/>
      <c r="H650" s="166"/>
      <c r="I650" s="167">
        <f>'2010 Existing Rates'!$B$14</f>
        <v>13</v>
      </c>
      <c r="J650" s="165"/>
      <c r="K650" s="166"/>
      <c r="L650" s="170">
        <f>'Rate Schedule (Part 1)'!$E$61</f>
        <v>16.6514</v>
      </c>
      <c r="M650" s="175">
        <f>+L650-I650</f>
        <v>3.651399999999999</v>
      </c>
      <c r="N650" s="176">
        <f aca="true" t="shared" si="77" ref="N650:N659">+M650/I650</f>
        <v>0.28087692307692297</v>
      </c>
      <c r="O650" s="177">
        <f>L650/L663</f>
        <v>0.01579114942866141</v>
      </c>
      <c r="P650" s="128"/>
    </row>
    <row r="651" spans="2:16" ht="21.75" customHeight="1" thickBot="1">
      <c r="B651" s="133"/>
      <c r="C651" s="344">
        <v>10000</v>
      </c>
      <c r="D651" s="345" t="s">
        <v>16</v>
      </c>
      <c r="E651" s="31"/>
      <c r="F651" s="156" t="s">
        <v>71</v>
      </c>
      <c r="G651" s="159">
        <f>+C651</f>
        <v>10000</v>
      </c>
      <c r="H651" s="153">
        <f>'2010 Existing Rates'!$B$59</f>
        <v>0.0041</v>
      </c>
      <c r="I651" s="168">
        <f>+G651*H651</f>
        <v>41</v>
      </c>
      <c r="J651" s="159">
        <f>+C651</f>
        <v>10000</v>
      </c>
      <c r="K651" s="152">
        <f>'Rate Schedule (Part 1)'!$E$62</f>
        <v>0.0053</v>
      </c>
      <c r="L651" s="171">
        <f>+J651*K651</f>
        <v>53</v>
      </c>
      <c r="M651" s="178">
        <f>+L651-I651</f>
        <v>12</v>
      </c>
      <c r="N651" s="172">
        <f t="shared" si="77"/>
        <v>0.2926829268292683</v>
      </c>
      <c r="O651" s="179">
        <f>L651/L663</f>
        <v>0.05026189507903568</v>
      </c>
      <c r="P651" s="128"/>
    </row>
    <row r="652" spans="2:16" ht="21.75" customHeight="1">
      <c r="B652" s="133"/>
      <c r="C652" s="63"/>
      <c r="D652" s="358"/>
      <c r="E652" s="31"/>
      <c r="F652" s="156" t="s">
        <v>241</v>
      </c>
      <c r="G652" s="159">
        <f>G651</f>
        <v>10000</v>
      </c>
      <c r="H652" s="153">
        <f>'2010 Existing Rates'!$B$36</f>
        <v>0</v>
      </c>
      <c r="I652" s="168">
        <f>+G652*H652</f>
        <v>0</v>
      </c>
      <c r="J652" s="159">
        <f>J651</f>
        <v>10000</v>
      </c>
      <c r="K652" s="152">
        <f>'Rate Schedule (Part 1)'!$E$63</f>
        <v>0</v>
      </c>
      <c r="L652" s="171">
        <f>+J652*K652</f>
        <v>0</v>
      </c>
      <c r="M652" s="178">
        <f>+L652-I652</f>
        <v>0</v>
      </c>
      <c r="N652" s="172">
        <v>0</v>
      </c>
      <c r="O652" s="179">
        <f>L652/L663</f>
        <v>0</v>
      </c>
      <c r="P652" s="128"/>
    </row>
    <row r="653" spans="2:16" ht="21.75" customHeight="1" hidden="1">
      <c r="B653" s="133"/>
      <c r="C653" s="63"/>
      <c r="D653" s="64"/>
      <c r="E653" s="31"/>
      <c r="F653" s="156" t="s">
        <v>161</v>
      </c>
      <c r="G653" s="159">
        <f>C651</f>
        <v>10000</v>
      </c>
      <c r="H653" s="153">
        <v>0</v>
      </c>
      <c r="I653" s="164">
        <f>+G653*H653</f>
        <v>0</v>
      </c>
      <c r="J653" s="159">
        <f>C651</f>
        <v>10000</v>
      </c>
      <c r="K653" s="152">
        <f>'Rate Schedule (Part 1)'!$E$64</f>
        <v>0</v>
      </c>
      <c r="L653" s="171">
        <f>J653*K653</f>
        <v>0</v>
      </c>
      <c r="M653" s="178">
        <f>+L653-I653</f>
        <v>0</v>
      </c>
      <c r="N653" s="172">
        <v>0</v>
      </c>
      <c r="O653" s="179">
        <f>L653/L663</f>
        <v>0</v>
      </c>
      <c r="P653" s="128"/>
    </row>
    <row r="654" spans="2:16" ht="21.75" customHeight="1" thickBot="1">
      <c r="B654" s="133"/>
      <c r="C654" s="31"/>
      <c r="D654" s="31"/>
      <c r="E654" s="31"/>
      <c r="F654" s="157" t="s">
        <v>240</v>
      </c>
      <c r="G654" s="180">
        <f>+C651</f>
        <v>10000</v>
      </c>
      <c r="H654" s="181">
        <f>'2010 Existing Rates'!$B$25</f>
        <v>0</v>
      </c>
      <c r="I654" s="164">
        <f>+G654*H654</f>
        <v>0</v>
      </c>
      <c r="J654" s="180">
        <f>+C651</f>
        <v>10000</v>
      </c>
      <c r="K654" s="181">
        <f>'Rate Schedule (Part 1)'!$E$65</f>
        <v>-0.001572369612514053</v>
      </c>
      <c r="L654" s="182">
        <f>+J654*K654</f>
        <v>-15.723696125140531</v>
      </c>
      <c r="M654" s="178">
        <f>+L654-I654</f>
        <v>-15.723696125140531</v>
      </c>
      <c r="N654" s="172">
        <v>-1</v>
      </c>
      <c r="O654" s="179">
        <f>L654/L663</f>
        <v>-0.01491137292257459</v>
      </c>
      <c r="P654" s="128"/>
    </row>
    <row r="655" spans="2:16" ht="21.75" customHeight="1" thickBot="1">
      <c r="B655" s="133"/>
      <c r="C655" s="31"/>
      <c r="D655" s="31"/>
      <c r="E655" s="31"/>
      <c r="F655" s="189" t="s">
        <v>242</v>
      </c>
      <c r="G655" s="534"/>
      <c r="H655" s="535"/>
      <c r="I655" s="191">
        <f>SUM(I650:I654)</f>
        <v>54</v>
      </c>
      <c r="J655" s="534"/>
      <c r="K655" s="535"/>
      <c r="L655" s="191">
        <f>SUM(L650:L654)</f>
        <v>53.92770387485946</v>
      </c>
      <c r="M655" s="193">
        <f>SUM(M650:M654)</f>
        <v>-0.0722961251405323</v>
      </c>
      <c r="N655" s="194">
        <f t="shared" si="77"/>
        <v>-0.0013388171322320796</v>
      </c>
      <c r="O655" s="196">
        <f>L655/L663</f>
        <v>0.05114167158512249</v>
      </c>
      <c r="P655" s="128"/>
    </row>
    <row r="656" spans="2:16" ht="21.75" customHeight="1" thickBot="1">
      <c r="B656" s="133"/>
      <c r="D656" s="31"/>
      <c r="E656" s="31"/>
      <c r="F656" s="156" t="s">
        <v>243</v>
      </c>
      <c r="G656" s="295">
        <f>C651*'Other Electriciy Rates'!$L$16</f>
        <v>10430</v>
      </c>
      <c r="H656" s="296">
        <f>'Other Electriciy Rates'!$B$16</f>
        <v>0.0066</v>
      </c>
      <c r="I656" s="168">
        <f>+G656*H656</f>
        <v>68.838</v>
      </c>
      <c r="J656" s="295">
        <f>C651*'Other Electriciy Rates'!$L$30</f>
        <v>10430</v>
      </c>
      <c r="K656" s="296">
        <f>'Other Electriciy Rates'!$B$30</f>
        <v>0.006087494307772416</v>
      </c>
      <c r="L656" s="168">
        <f>+J656*K656</f>
        <v>63.492565630066295</v>
      </c>
      <c r="M656" s="297">
        <f>+L656-I656</f>
        <v>-5.345434369933699</v>
      </c>
      <c r="N656" s="176">
        <f t="shared" si="77"/>
        <v>-0.07765237761023998</v>
      </c>
      <c r="O656" s="177">
        <f>L656/L663</f>
        <v>0.060212390037682625</v>
      </c>
      <c r="P656" s="128"/>
    </row>
    <row r="657" spans="2:16" ht="21.75" customHeight="1" thickBot="1">
      <c r="B657" s="133"/>
      <c r="D657" s="31"/>
      <c r="E657" s="31"/>
      <c r="F657" s="189" t="s">
        <v>244</v>
      </c>
      <c r="G657" s="534"/>
      <c r="H657" s="535"/>
      <c r="I657" s="191">
        <f>I655+I656</f>
        <v>122.838</v>
      </c>
      <c r="J657" s="534"/>
      <c r="K657" s="535"/>
      <c r="L657" s="191">
        <f>L655+L656</f>
        <v>117.42026950492576</v>
      </c>
      <c r="M657" s="193">
        <f>M655+M656</f>
        <v>-5.417730495074231</v>
      </c>
      <c r="N657" s="194">
        <f t="shared" si="77"/>
        <v>-0.04410467847957661</v>
      </c>
      <c r="O657" s="298">
        <f>L657/L663</f>
        <v>0.11135406162280512</v>
      </c>
      <c r="P657" s="128"/>
    </row>
    <row r="658" spans="2:16" ht="21.75" customHeight="1">
      <c r="B658" s="133"/>
      <c r="D658" s="31"/>
      <c r="E658" s="31"/>
      <c r="F658" s="158" t="s">
        <v>284</v>
      </c>
      <c r="G658" s="160">
        <f>G656</f>
        <v>10430</v>
      </c>
      <c r="H658" s="161">
        <f>'Other Electriciy Rates'!$C$16</f>
        <v>0.0065</v>
      </c>
      <c r="I658" s="162">
        <f>+G658*H658</f>
        <v>67.795</v>
      </c>
      <c r="J658" s="160">
        <f>J656</f>
        <v>10430</v>
      </c>
      <c r="K658" s="161">
        <f>'Other Electriciy Rates'!$C$30</f>
        <v>0.0065</v>
      </c>
      <c r="L658" s="185">
        <f>+J658*K658</f>
        <v>67.795</v>
      </c>
      <c r="M658" s="186">
        <f>+L658-I658</f>
        <v>0</v>
      </c>
      <c r="N658" s="187">
        <f t="shared" si="77"/>
        <v>0</v>
      </c>
      <c r="O658" s="177">
        <f>L658/L663</f>
        <v>0.06429255050723065</v>
      </c>
      <c r="P658" s="128"/>
    </row>
    <row r="659" spans="2:16" ht="21.75" customHeight="1">
      <c r="B659" s="133"/>
      <c r="D659" s="31"/>
      <c r="E659" s="31"/>
      <c r="F659" s="158" t="s">
        <v>285</v>
      </c>
      <c r="G659" s="241">
        <v>10000</v>
      </c>
      <c r="H659" s="161">
        <f>+'Other Electriciy Rates'!$D$10</f>
        <v>0.007</v>
      </c>
      <c r="I659" s="162">
        <f>+G659*H659</f>
        <v>70</v>
      </c>
      <c r="J659" s="241">
        <v>10000</v>
      </c>
      <c r="K659" s="161">
        <f>+'Other Electriciy Rates'!$D$10</f>
        <v>0.007</v>
      </c>
      <c r="L659" s="162">
        <f>+J659*K659</f>
        <v>70</v>
      </c>
      <c r="M659" s="186">
        <f>+L659-I659</f>
        <v>0</v>
      </c>
      <c r="N659" s="187">
        <f t="shared" si="77"/>
        <v>0</v>
      </c>
      <c r="O659" s="465">
        <f>L659/L663</f>
        <v>0.06638363501004713</v>
      </c>
      <c r="P659" s="128"/>
    </row>
    <row r="660" spans="2:16" ht="21.75" customHeight="1" thickBot="1">
      <c r="B660" s="133"/>
      <c r="D660" s="31"/>
      <c r="E660" s="31"/>
      <c r="F660" s="156" t="s">
        <v>77</v>
      </c>
      <c r="G660" s="169">
        <f>G658</f>
        <v>10430</v>
      </c>
      <c r="H660" s="163">
        <f>'Other Electriciy Rates'!$J$16</f>
        <v>0.065</v>
      </c>
      <c r="I660" s="164">
        <f>+G660*H660</f>
        <v>677.95</v>
      </c>
      <c r="J660" s="169">
        <f>J658</f>
        <v>10430</v>
      </c>
      <c r="K660" s="163">
        <f>'Other Electriciy Rates'!$J$30</f>
        <v>0.065</v>
      </c>
      <c r="L660" s="182">
        <f>+J660*K660</f>
        <v>677.95</v>
      </c>
      <c r="M660" s="183">
        <f>+L660-I660</f>
        <v>0</v>
      </c>
      <c r="N660" s="184">
        <f>+M660/I660</f>
        <v>0</v>
      </c>
      <c r="O660" s="197">
        <f>L660/L663</f>
        <v>0.6429255050723065</v>
      </c>
      <c r="P660" s="128"/>
    </row>
    <row r="661" spans="2:16" ht="21.75" customHeight="1" thickBot="1">
      <c r="B661" s="133"/>
      <c r="D661" s="31"/>
      <c r="E661" s="31"/>
      <c r="F661" s="189" t="s">
        <v>194</v>
      </c>
      <c r="G661" s="534"/>
      <c r="H661" s="535"/>
      <c r="I661" s="191">
        <f>SUM(I657:I660)</f>
        <v>938.5830000000001</v>
      </c>
      <c r="J661" s="534"/>
      <c r="K661" s="535"/>
      <c r="L661" s="191">
        <f>SUM(L657:L660)</f>
        <v>933.1652695049258</v>
      </c>
      <c r="M661" s="191">
        <f>SUM(M656:M660)</f>
        <v>-10.76316486500793</v>
      </c>
      <c r="N661" s="470">
        <f>+M661/I661</f>
        <v>-0.011467461977265654</v>
      </c>
      <c r="O661" s="196">
        <f>L661/L663</f>
        <v>0.8849557522123894</v>
      </c>
      <c r="P661" s="245"/>
    </row>
    <row r="662" spans="2:16" ht="21.75" customHeight="1" thickBot="1">
      <c r="B662" s="133"/>
      <c r="D662" s="31"/>
      <c r="E662" s="31"/>
      <c r="F662" s="240" t="s">
        <v>274</v>
      </c>
      <c r="G662" s="241"/>
      <c r="H662" s="244">
        <v>0.13</v>
      </c>
      <c r="I662" s="242">
        <f>I661*H662</f>
        <v>122.01579000000001</v>
      </c>
      <c r="J662" s="241"/>
      <c r="K662" s="244">
        <v>0.13</v>
      </c>
      <c r="L662" s="243">
        <f>L661*K662</f>
        <v>121.31148503564036</v>
      </c>
      <c r="M662" s="183">
        <f>+L662-I662</f>
        <v>-0.7043049643596504</v>
      </c>
      <c r="N662" s="187">
        <f>+M662/I662</f>
        <v>-0.00577224443131213</v>
      </c>
      <c r="O662" s="469">
        <f>L662/L663</f>
        <v>0.11504424778761062</v>
      </c>
      <c r="P662" s="128"/>
    </row>
    <row r="663" spans="2:17" ht="21.75" customHeight="1" thickBot="1">
      <c r="B663" s="299"/>
      <c r="C663" s="300"/>
      <c r="D663" s="300"/>
      <c r="E663" s="301"/>
      <c r="F663" s="302" t="s">
        <v>78</v>
      </c>
      <c r="G663" s="551"/>
      <c r="H663" s="552"/>
      <c r="I663" s="303">
        <f>I661+I662</f>
        <v>1060.59879</v>
      </c>
      <c r="J663" s="551"/>
      <c r="K663" s="552"/>
      <c r="L663" s="303">
        <f>L661+L662</f>
        <v>1054.4767545405662</v>
      </c>
      <c r="M663" s="303">
        <f>M661+M662</f>
        <v>-11.46746982936758</v>
      </c>
      <c r="N663" s="304">
        <f>+M663/I663</f>
        <v>-0.010812259958704629</v>
      </c>
      <c r="O663" s="305">
        <f>O661+O662</f>
        <v>1</v>
      </c>
      <c r="P663" s="306"/>
      <c r="Q663" s="307"/>
    </row>
    <row r="664" spans="2:16" ht="10.5" customHeight="1" thickBot="1">
      <c r="B664" s="129"/>
      <c r="C664" s="553"/>
      <c r="D664" s="553"/>
      <c r="E664" s="553"/>
      <c r="F664" s="553"/>
      <c r="G664" s="553"/>
      <c r="H664" s="553"/>
      <c r="I664" s="553"/>
      <c r="J664" s="553"/>
      <c r="K664" s="553"/>
      <c r="L664" s="553"/>
      <c r="M664" s="553"/>
      <c r="N664" s="553"/>
      <c r="O664" s="553"/>
      <c r="P664" s="130"/>
    </row>
    <row r="665" ht="17.25" customHeight="1"/>
    <row r="666" ht="6.75" customHeight="1"/>
    <row r="667" ht="6.75" customHeight="1"/>
    <row r="670" ht="6.75" customHeight="1"/>
    <row r="671" ht="12.75">
      <c r="C671" s="439" t="s">
        <v>281</v>
      </c>
    </row>
    <row r="673" ht="18" customHeight="1">
      <c r="C673" s="439" t="s">
        <v>282</v>
      </c>
    </row>
    <row r="674" ht="18" customHeight="1">
      <c r="C674" s="439"/>
    </row>
    <row r="675" ht="18" customHeight="1"/>
    <row r="676" ht="18" customHeight="1">
      <c r="C676" s="439" t="s">
        <v>283</v>
      </c>
    </row>
    <row r="677" ht="18" customHeight="1">
      <c r="C677" s="31"/>
    </row>
    <row r="678" ht="18" customHeight="1"/>
    <row r="679" ht="18" customHeight="1"/>
    <row r="680" ht="18" customHeight="1"/>
    <row r="681" ht="18" customHeight="1"/>
    <row r="682" ht="6.75" customHeight="1"/>
    <row r="683" ht="6.75" customHeight="1"/>
    <row r="686" ht="6.75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6.75" customHeight="1"/>
  </sheetData>
  <sheetProtection/>
  <mergeCells count="427">
    <mergeCell ref="G405:H405"/>
    <mergeCell ref="J405:K405"/>
    <mergeCell ref="G328:H328"/>
    <mergeCell ref="J328:K328"/>
    <mergeCell ref="G338:H338"/>
    <mergeCell ref="J338:K338"/>
    <mergeCell ref="G336:H336"/>
    <mergeCell ref="C462:O462"/>
    <mergeCell ref="G463:I463"/>
    <mergeCell ref="J463:L463"/>
    <mergeCell ref="M463:O463"/>
    <mergeCell ref="J388:K388"/>
    <mergeCell ref="C391:O391"/>
    <mergeCell ref="C392:O392"/>
    <mergeCell ref="C393:O393"/>
    <mergeCell ref="G394:I394"/>
    <mergeCell ref="J394:L394"/>
    <mergeCell ref="M394:O394"/>
    <mergeCell ref="C396:D396"/>
    <mergeCell ref="G403:H403"/>
    <mergeCell ref="J403:K403"/>
    <mergeCell ref="G21:H21"/>
    <mergeCell ref="J21:K21"/>
    <mergeCell ref="C158:O158"/>
    <mergeCell ref="C159:O159"/>
    <mergeCell ref="C160:O160"/>
    <mergeCell ref="G161:I161"/>
    <mergeCell ref="J161:L161"/>
    <mergeCell ref="M161:O161"/>
    <mergeCell ref="C163:D163"/>
    <mergeCell ref="G657:H657"/>
    <mergeCell ref="J657:K657"/>
    <mergeCell ref="G661:H661"/>
    <mergeCell ref="J661:K661"/>
    <mergeCell ref="G663:H663"/>
    <mergeCell ref="J663:K663"/>
    <mergeCell ref="C664:O664"/>
    <mergeCell ref="C503:O503"/>
    <mergeCell ref="C504:O504"/>
    <mergeCell ref="G505:I505"/>
    <mergeCell ref="J505:L505"/>
    <mergeCell ref="M505:O505"/>
    <mergeCell ref="G539:H539"/>
    <mergeCell ref="J539:K539"/>
    <mergeCell ref="J616:K616"/>
    <mergeCell ref="J618:K618"/>
    <mergeCell ref="C611:D611"/>
    <mergeCell ref="G616:H616"/>
    <mergeCell ref="G618:H618"/>
    <mergeCell ref="C606:O606"/>
    <mergeCell ref="B1:O1"/>
    <mergeCell ref="B2:O2"/>
    <mergeCell ref="B3:O3"/>
    <mergeCell ref="B7:O7"/>
    <mergeCell ref="C6:O6"/>
    <mergeCell ref="C4:O4"/>
    <mergeCell ref="C5:O5"/>
    <mergeCell ref="G655:H655"/>
    <mergeCell ref="J655:K655"/>
    <mergeCell ref="J369:L369"/>
    <mergeCell ref="M369:O369"/>
    <mergeCell ref="C137:D137"/>
    <mergeCell ref="G144:H144"/>
    <mergeCell ref="J144:K144"/>
    <mergeCell ref="G146:H146"/>
    <mergeCell ref="J146:K146"/>
    <mergeCell ref="C317:O317"/>
    <mergeCell ref="C316:O316"/>
    <mergeCell ref="M344:O344"/>
    <mergeCell ref="G155:H155"/>
    <mergeCell ref="J155:K155"/>
    <mergeCell ref="J29:K29"/>
    <mergeCell ref="G29:H29"/>
    <mergeCell ref="G19:H19"/>
    <mergeCell ref="G648:I648"/>
    <mergeCell ref="J648:L648"/>
    <mergeCell ref="M648:O648"/>
    <mergeCell ref="C650:D650"/>
    <mergeCell ref="C132:O132"/>
    <mergeCell ref="C133:O133"/>
    <mergeCell ref="C134:O134"/>
    <mergeCell ref="G135:I135"/>
    <mergeCell ref="J135:L135"/>
    <mergeCell ref="M135:O135"/>
    <mergeCell ref="J361:K361"/>
    <mergeCell ref="G363:H363"/>
    <mergeCell ref="J363:K363"/>
    <mergeCell ref="G361:H361"/>
    <mergeCell ref="G153:H153"/>
    <mergeCell ref="J153:K153"/>
    <mergeCell ref="G170:H170"/>
    <mergeCell ref="J170:K170"/>
    <mergeCell ref="G172:H172"/>
    <mergeCell ref="J172:K172"/>
    <mergeCell ref="C371:D371"/>
    <mergeCell ref="J336:K336"/>
    <mergeCell ref="C367:O367"/>
    <mergeCell ref="C368:O368"/>
    <mergeCell ref="G637:H637"/>
    <mergeCell ref="J637:K637"/>
    <mergeCell ref="C630:D630"/>
    <mergeCell ref="C644:O644"/>
    <mergeCell ref="C646:O646"/>
    <mergeCell ref="C647:O647"/>
    <mergeCell ref="G643:H643"/>
    <mergeCell ref="J643:K643"/>
    <mergeCell ref="G641:H641"/>
    <mergeCell ref="J641:K641"/>
    <mergeCell ref="C627:O627"/>
    <mergeCell ref="J623:K623"/>
    <mergeCell ref="M628:O628"/>
    <mergeCell ref="G621:H621"/>
    <mergeCell ref="J621:K621"/>
    <mergeCell ref="G628:I628"/>
    <mergeCell ref="J628:L628"/>
    <mergeCell ref="G635:H635"/>
    <mergeCell ref="J635:K635"/>
    <mergeCell ref="C607:O607"/>
    <mergeCell ref="C608:O608"/>
    <mergeCell ref="G609:I609"/>
    <mergeCell ref="J609:L609"/>
    <mergeCell ref="M609:O609"/>
    <mergeCell ref="G601:H601"/>
    <mergeCell ref="J601:K601"/>
    <mergeCell ref="G623:H623"/>
    <mergeCell ref="C626:O626"/>
    <mergeCell ref="G596:H596"/>
    <mergeCell ref="G541:H541"/>
    <mergeCell ref="G581:H581"/>
    <mergeCell ref="C591:D591"/>
    <mergeCell ref="G518:H518"/>
    <mergeCell ref="C567:O567"/>
    <mergeCell ref="G603:H603"/>
    <mergeCell ref="J603:K603"/>
    <mergeCell ref="J581:K581"/>
    <mergeCell ref="G583:H583"/>
    <mergeCell ref="J583:K583"/>
    <mergeCell ref="J596:K596"/>
    <mergeCell ref="G575:H575"/>
    <mergeCell ref="G598:H598"/>
    <mergeCell ref="J598:K598"/>
    <mergeCell ref="C8:O8"/>
    <mergeCell ref="C9:O9"/>
    <mergeCell ref="C12:D12"/>
    <mergeCell ref="G10:I10"/>
    <mergeCell ref="J10:L10"/>
    <mergeCell ref="M10:O10"/>
    <mergeCell ref="J118:K118"/>
    <mergeCell ref="G120:H120"/>
    <mergeCell ref="J120:K120"/>
    <mergeCell ref="C107:O107"/>
    <mergeCell ref="C108:O108"/>
    <mergeCell ref="C80:O80"/>
    <mergeCell ref="C111:D111"/>
    <mergeCell ref="G118:H118"/>
    <mergeCell ref="G83:I83"/>
    <mergeCell ref="J83:L83"/>
    <mergeCell ref="M83:O83"/>
    <mergeCell ref="G103:H103"/>
    <mergeCell ref="J103:K103"/>
    <mergeCell ref="G101:H101"/>
    <mergeCell ref="J101:K101"/>
    <mergeCell ref="J19:K19"/>
    <mergeCell ref="G27:H27"/>
    <mergeCell ref="J27:K27"/>
    <mergeCell ref="C30:O30"/>
    <mergeCell ref="C106:O106"/>
    <mergeCell ref="J344:L344"/>
    <mergeCell ref="C85:D85"/>
    <mergeCell ref="G109:I109"/>
    <mergeCell ref="J109:L109"/>
    <mergeCell ref="M109:O109"/>
    <mergeCell ref="C346:D346"/>
    <mergeCell ref="G353:H353"/>
    <mergeCell ref="J353:K353"/>
    <mergeCell ref="C321:D321"/>
    <mergeCell ref="C318:O318"/>
    <mergeCell ref="G319:I319"/>
    <mergeCell ref="J319:L319"/>
    <mergeCell ref="M319:O319"/>
    <mergeCell ref="G127:H127"/>
    <mergeCell ref="J127:K127"/>
    <mergeCell ref="G129:H129"/>
    <mergeCell ref="J129:K129"/>
    <mergeCell ref="G53:H53"/>
    <mergeCell ref="J53:K53"/>
    <mergeCell ref="C78:O78"/>
    <mergeCell ref="G92:H92"/>
    <mergeCell ref="J92:K92"/>
    <mergeCell ref="G330:H330"/>
    <mergeCell ref="J330:K330"/>
    <mergeCell ref="C341:O341"/>
    <mergeCell ref="C342:O342"/>
    <mergeCell ref="G94:H94"/>
    <mergeCell ref="J94:K94"/>
    <mergeCell ref="C81:O81"/>
    <mergeCell ref="C60:D60"/>
    <mergeCell ref="G67:H67"/>
    <mergeCell ref="J67:K67"/>
    <mergeCell ref="G69:H69"/>
    <mergeCell ref="J69:K69"/>
    <mergeCell ref="C82:O82"/>
    <mergeCell ref="G75:H75"/>
    <mergeCell ref="J75:K75"/>
    <mergeCell ref="J355:K355"/>
    <mergeCell ref="G355:H355"/>
    <mergeCell ref="G179:H179"/>
    <mergeCell ref="J179:K179"/>
    <mergeCell ref="G181:H181"/>
    <mergeCell ref="J181:K181"/>
    <mergeCell ref="C32:O32"/>
    <mergeCell ref="G34:I34"/>
    <mergeCell ref="J34:L34"/>
    <mergeCell ref="M34:O34"/>
    <mergeCell ref="C33:O33"/>
    <mergeCell ref="C36:D36"/>
    <mergeCell ref="G43:H43"/>
    <mergeCell ref="J43:K43"/>
    <mergeCell ref="G51:H51"/>
    <mergeCell ref="J51:K51"/>
    <mergeCell ref="G45:H45"/>
    <mergeCell ref="J45:K45"/>
    <mergeCell ref="G77:H77"/>
    <mergeCell ref="J77:K77"/>
    <mergeCell ref="C56:O56"/>
    <mergeCell ref="C54:O54"/>
    <mergeCell ref="C57:O57"/>
    <mergeCell ref="G58:I58"/>
    <mergeCell ref="J58:L58"/>
    <mergeCell ref="M58:O58"/>
    <mergeCell ref="C189:D189"/>
    <mergeCell ref="G196:H196"/>
    <mergeCell ref="J196:K196"/>
    <mergeCell ref="G198:H198"/>
    <mergeCell ref="J198:K198"/>
    <mergeCell ref="C184:O184"/>
    <mergeCell ref="C185:O185"/>
    <mergeCell ref="C186:O186"/>
    <mergeCell ref="G187:I187"/>
    <mergeCell ref="J187:L187"/>
    <mergeCell ref="M187:O187"/>
    <mergeCell ref="C210:O210"/>
    <mergeCell ref="C211:O211"/>
    <mergeCell ref="C212:O212"/>
    <mergeCell ref="G213:I213"/>
    <mergeCell ref="J213:L213"/>
    <mergeCell ref="M213:O213"/>
    <mergeCell ref="G205:H205"/>
    <mergeCell ref="J205:K205"/>
    <mergeCell ref="G207:H207"/>
    <mergeCell ref="J207:K207"/>
    <mergeCell ref="G231:H231"/>
    <mergeCell ref="J231:K231"/>
    <mergeCell ref="G233:H233"/>
    <mergeCell ref="J233:K233"/>
    <mergeCell ref="C215:D215"/>
    <mergeCell ref="G222:H222"/>
    <mergeCell ref="J222:K222"/>
    <mergeCell ref="G224:H224"/>
    <mergeCell ref="J224:K224"/>
    <mergeCell ref="C241:D241"/>
    <mergeCell ref="G248:H248"/>
    <mergeCell ref="J248:K248"/>
    <mergeCell ref="G250:H250"/>
    <mergeCell ref="J250:K250"/>
    <mergeCell ref="C236:O236"/>
    <mergeCell ref="C237:O237"/>
    <mergeCell ref="C238:O238"/>
    <mergeCell ref="G239:I239"/>
    <mergeCell ref="J239:L239"/>
    <mergeCell ref="M239:O239"/>
    <mergeCell ref="C262:O262"/>
    <mergeCell ref="C263:O263"/>
    <mergeCell ref="C264:O264"/>
    <mergeCell ref="G265:I265"/>
    <mergeCell ref="J265:L265"/>
    <mergeCell ref="M265:O265"/>
    <mergeCell ref="G257:H257"/>
    <mergeCell ref="J257:K257"/>
    <mergeCell ref="G259:H259"/>
    <mergeCell ref="J259:K259"/>
    <mergeCell ref="G283:H283"/>
    <mergeCell ref="J283:K283"/>
    <mergeCell ref="G285:H285"/>
    <mergeCell ref="J285:K285"/>
    <mergeCell ref="C267:D267"/>
    <mergeCell ref="G274:H274"/>
    <mergeCell ref="J274:K274"/>
    <mergeCell ref="G276:H276"/>
    <mergeCell ref="J276:K276"/>
    <mergeCell ref="C293:D293"/>
    <mergeCell ref="G300:H300"/>
    <mergeCell ref="J300:K300"/>
    <mergeCell ref="G302:H302"/>
    <mergeCell ref="J302:K302"/>
    <mergeCell ref="C288:O288"/>
    <mergeCell ref="C289:O289"/>
    <mergeCell ref="C290:O290"/>
    <mergeCell ref="G291:I291"/>
    <mergeCell ref="J291:L291"/>
    <mergeCell ref="M291:O291"/>
    <mergeCell ref="M419:O419"/>
    <mergeCell ref="C421:D421"/>
    <mergeCell ref="J413:K413"/>
    <mergeCell ref="C416:O416"/>
    <mergeCell ref="C417:O417"/>
    <mergeCell ref="C418:O418"/>
    <mergeCell ref="G309:H309"/>
    <mergeCell ref="J309:K309"/>
    <mergeCell ref="G311:H311"/>
    <mergeCell ref="J311:K311"/>
    <mergeCell ref="C343:O343"/>
    <mergeCell ref="G344:I344"/>
    <mergeCell ref="C366:O366"/>
    <mergeCell ref="G411:H411"/>
    <mergeCell ref="J411:K411"/>
    <mergeCell ref="G413:H413"/>
    <mergeCell ref="G369:I369"/>
    <mergeCell ref="G378:H378"/>
    <mergeCell ref="J378:K378"/>
    <mergeCell ref="G380:H380"/>
    <mergeCell ref="J380:K380"/>
    <mergeCell ref="G386:H386"/>
    <mergeCell ref="J386:K386"/>
    <mergeCell ref="G388:H388"/>
    <mergeCell ref="G433:H433"/>
    <mergeCell ref="J433:K433"/>
    <mergeCell ref="G435:H435"/>
    <mergeCell ref="J435:K435"/>
    <mergeCell ref="G428:H428"/>
    <mergeCell ref="J428:K428"/>
    <mergeCell ref="G430:H430"/>
    <mergeCell ref="J430:K430"/>
    <mergeCell ref="G419:I419"/>
    <mergeCell ref="J419:L419"/>
    <mergeCell ref="C443:D443"/>
    <mergeCell ref="G450:H450"/>
    <mergeCell ref="J450:K450"/>
    <mergeCell ref="G452:H452"/>
    <mergeCell ref="J452:K452"/>
    <mergeCell ref="C438:O438"/>
    <mergeCell ref="C439:O439"/>
    <mergeCell ref="C440:O440"/>
    <mergeCell ref="G441:I441"/>
    <mergeCell ref="J441:L441"/>
    <mergeCell ref="M441:O441"/>
    <mergeCell ref="C465:D465"/>
    <mergeCell ref="G471:H471"/>
    <mergeCell ref="J471:K471"/>
    <mergeCell ref="G473:H473"/>
    <mergeCell ref="J473:K473"/>
    <mergeCell ref="G455:H455"/>
    <mergeCell ref="J455:K455"/>
    <mergeCell ref="G457:H457"/>
    <mergeCell ref="J457:K457"/>
    <mergeCell ref="C460:O460"/>
    <mergeCell ref="C461:O461"/>
    <mergeCell ref="C481:O481"/>
    <mergeCell ref="C482:O482"/>
    <mergeCell ref="C483:O483"/>
    <mergeCell ref="G484:I484"/>
    <mergeCell ref="J484:L484"/>
    <mergeCell ref="M484:O484"/>
    <mergeCell ref="G476:H476"/>
    <mergeCell ref="J476:K476"/>
    <mergeCell ref="G478:H478"/>
    <mergeCell ref="J478:K478"/>
    <mergeCell ref="C507:D507"/>
    <mergeCell ref="G513:H513"/>
    <mergeCell ref="J513:K513"/>
    <mergeCell ref="G515:H515"/>
    <mergeCell ref="J515:K515"/>
    <mergeCell ref="C486:D486"/>
    <mergeCell ref="G492:H492"/>
    <mergeCell ref="J492:K492"/>
    <mergeCell ref="G494:H494"/>
    <mergeCell ref="J494:K494"/>
    <mergeCell ref="G497:H497"/>
    <mergeCell ref="J497:K497"/>
    <mergeCell ref="G499:H499"/>
    <mergeCell ref="J499:K499"/>
    <mergeCell ref="C502:O502"/>
    <mergeCell ref="C523:O523"/>
    <mergeCell ref="C524:O524"/>
    <mergeCell ref="C525:O525"/>
    <mergeCell ref="G526:I526"/>
    <mergeCell ref="J526:L526"/>
    <mergeCell ref="M526:O526"/>
    <mergeCell ref="J518:K518"/>
    <mergeCell ref="G520:H520"/>
    <mergeCell ref="J520:K520"/>
    <mergeCell ref="C588:O588"/>
    <mergeCell ref="G589:I589"/>
    <mergeCell ref="J589:L589"/>
    <mergeCell ref="M589:O589"/>
    <mergeCell ref="C528:D528"/>
    <mergeCell ref="G534:H534"/>
    <mergeCell ref="J534:K534"/>
    <mergeCell ref="G536:H536"/>
    <mergeCell ref="J536:K536"/>
    <mergeCell ref="J575:K575"/>
    <mergeCell ref="J541:K541"/>
    <mergeCell ref="C587:O587"/>
    <mergeCell ref="G556:H556"/>
    <mergeCell ref="J556:K556"/>
    <mergeCell ref="G547:I547"/>
    <mergeCell ref="J547:L547"/>
    <mergeCell ref="C544:O544"/>
    <mergeCell ref="C545:O545"/>
    <mergeCell ref="C546:O546"/>
    <mergeCell ref="C565:O565"/>
    <mergeCell ref="M547:O547"/>
    <mergeCell ref="C549:D549"/>
    <mergeCell ref="C570:D570"/>
    <mergeCell ref="G577:H577"/>
    <mergeCell ref="J577:K577"/>
    <mergeCell ref="C586:O586"/>
    <mergeCell ref="C566:O566"/>
    <mergeCell ref="G568:I568"/>
    <mergeCell ref="J568:L568"/>
    <mergeCell ref="M568:O568"/>
    <mergeCell ref="G560:H560"/>
    <mergeCell ref="J560:K560"/>
    <mergeCell ref="G562:H562"/>
    <mergeCell ref="J562:K562"/>
    <mergeCell ref="G554:H554"/>
    <mergeCell ref="J554:K554"/>
  </mergeCells>
  <printOptions/>
  <pageMargins left="0.75" right="0.75" top="1" bottom="1" header="0.5" footer="0.5"/>
  <pageSetup fitToHeight="2" fitToWidth="1" horizontalDpi="355" verticalDpi="355" orientation="portrait" scale="50" r:id="rId1"/>
  <rowBreaks count="3" manualBreakCount="3">
    <brk id="79" max="255" man="1"/>
    <brk id="314" max="255" man="1"/>
    <brk id="63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2.7109375" style="0" customWidth="1"/>
    <col min="2" max="2" width="32.28125" style="0" bestFit="1" customWidth="1"/>
    <col min="3" max="3" width="38.7109375" style="0" bestFit="1" customWidth="1"/>
    <col min="4" max="4" width="13.00390625" style="0" customWidth="1"/>
    <col min="5" max="5" width="16.28125" style="0" customWidth="1"/>
  </cols>
  <sheetData>
    <row r="1" spans="1:5" ht="12.75">
      <c r="A1" s="501">
        <f>+'Revenue Input'!A1</f>
        <v>0</v>
      </c>
      <c r="B1" s="501"/>
      <c r="C1" s="501"/>
      <c r="D1" s="501"/>
      <c r="E1" s="501"/>
    </row>
    <row r="2" spans="1:5" ht="12.75">
      <c r="A2" s="501" t="str">
        <f>+'Revenue Input'!A2</f>
        <v>, License Number , File Number </v>
      </c>
      <c r="B2" s="501"/>
      <c r="C2" s="501"/>
      <c r="D2" s="501"/>
      <c r="E2" s="501"/>
    </row>
    <row r="3" spans="1:5" ht="12.75">
      <c r="A3" s="501">
        <f>+'Revenue Input'!A3</f>
        <v>0</v>
      </c>
      <c r="B3" s="501"/>
      <c r="C3" s="501"/>
      <c r="D3" s="501"/>
      <c r="E3" s="501"/>
    </row>
    <row r="4" spans="1:5" ht="8.25" customHeight="1">
      <c r="A4" s="479"/>
      <c r="B4" s="479"/>
      <c r="C4" s="479"/>
      <c r="D4" s="479"/>
      <c r="E4" s="479"/>
    </row>
    <row r="5" spans="1:5" ht="19.5" customHeight="1">
      <c r="A5" s="508" t="s">
        <v>89</v>
      </c>
      <c r="B5" s="508"/>
      <c r="C5" s="508"/>
      <c r="D5" s="508"/>
      <c r="E5" s="508"/>
    </row>
    <row r="6" spans="1:5" ht="19.5" customHeight="1">
      <c r="A6" s="555" t="s">
        <v>88</v>
      </c>
      <c r="B6" s="555"/>
      <c r="C6" s="555"/>
      <c r="D6" s="555"/>
      <c r="E6" s="555"/>
    </row>
    <row r="7" spans="1:5" ht="19.5" customHeight="1">
      <c r="A7" s="555" t="s">
        <v>232</v>
      </c>
      <c r="B7" s="555"/>
      <c r="C7" s="555"/>
      <c r="D7" s="555"/>
      <c r="E7" s="555"/>
    </row>
    <row r="8" spans="1:5" ht="19.5" customHeight="1" hidden="1">
      <c r="A8" s="489"/>
      <c r="B8" s="489"/>
      <c r="C8" s="489"/>
      <c r="D8" s="489"/>
      <c r="E8" s="489"/>
    </row>
    <row r="9" spans="1:6" ht="11.25" customHeight="1" thickBot="1">
      <c r="A9" s="16"/>
      <c r="B9" s="45"/>
      <c r="C9" s="16"/>
      <c r="D9" s="16"/>
      <c r="E9" s="46"/>
      <c r="F9" s="16"/>
    </row>
    <row r="10" spans="1:6" ht="26.25" thickBot="1">
      <c r="A10" s="39"/>
      <c r="B10" s="436" t="s">
        <v>0</v>
      </c>
      <c r="C10" s="436" t="s">
        <v>84</v>
      </c>
      <c r="D10" s="436" t="s">
        <v>85</v>
      </c>
      <c r="E10" s="436" t="s">
        <v>183</v>
      </c>
      <c r="F10" s="16"/>
    </row>
    <row r="11" spans="1:6" ht="15.75">
      <c r="A11" s="24"/>
      <c r="B11" s="556" t="str">
        <f>'Distribution Rate Schedule'!A11</f>
        <v>Residential</v>
      </c>
      <c r="C11" s="557"/>
      <c r="D11" s="557"/>
      <c r="E11" s="558"/>
      <c r="F11" s="25"/>
    </row>
    <row r="12" spans="1:6" ht="15">
      <c r="A12" s="24"/>
      <c r="B12" s="198"/>
      <c r="C12" s="42" t="s">
        <v>70</v>
      </c>
      <c r="D12" s="40" t="s">
        <v>86</v>
      </c>
      <c r="E12" s="199">
        <f>'Distribution Rate Schedule'!C11</f>
        <v>19.86</v>
      </c>
      <c r="F12" s="25"/>
    </row>
    <row r="13" spans="1:6" ht="15">
      <c r="A13" s="24"/>
      <c r="B13" s="198"/>
      <c r="C13" s="42" t="s">
        <v>87</v>
      </c>
      <c r="D13" s="40" t="s">
        <v>55</v>
      </c>
      <c r="E13" s="200">
        <f>'Distribution Rate Schedule'!E11</f>
        <v>0.0145</v>
      </c>
      <c r="F13" s="25"/>
    </row>
    <row r="14" spans="1:6" ht="15" hidden="1">
      <c r="A14" s="24"/>
      <c r="B14" s="198"/>
      <c r="C14" s="42" t="s">
        <v>235</v>
      </c>
      <c r="D14" s="40" t="s">
        <v>55</v>
      </c>
      <c r="E14" s="200">
        <f>'Distribution Rate Schedule'!E21</f>
        <v>0</v>
      </c>
      <c r="F14" s="25"/>
    </row>
    <row r="15" spans="1:6" ht="15">
      <c r="A15" s="24"/>
      <c r="B15" s="198"/>
      <c r="C15" s="42" t="s">
        <v>234</v>
      </c>
      <c r="D15" s="40" t="s">
        <v>86</v>
      </c>
      <c r="E15" s="199">
        <f>'[9]8. Smart Meter Rate  Adder'!$C$20</f>
        <v>0.0898917624704141</v>
      </c>
      <c r="F15" s="25"/>
    </row>
    <row r="16" spans="1:6" ht="15">
      <c r="A16" s="24"/>
      <c r="B16" s="198"/>
      <c r="C16" s="42" t="s">
        <v>168</v>
      </c>
      <c r="D16" s="40" t="s">
        <v>86</v>
      </c>
      <c r="E16" s="199">
        <f>'[7]Recovery of Smart Meter Costs'!$C$21</f>
        <v>2.0941673818332727</v>
      </c>
      <c r="F16" s="25"/>
    </row>
    <row r="17" spans="1:6" ht="15">
      <c r="A17" s="24"/>
      <c r="B17" s="198"/>
      <c r="C17" s="42" t="s">
        <v>273</v>
      </c>
      <c r="D17" s="40" t="s">
        <v>86</v>
      </c>
      <c r="E17" s="199">
        <v>0.25</v>
      </c>
      <c r="F17" s="25"/>
    </row>
    <row r="18" spans="1:6" ht="15.75" thickBot="1">
      <c r="A18" s="24"/>
      <c r="B18" s="201"/>
      <c r="C18" s="202" t="s">
        <v>233</v>
      </c>
      <c r="D18" s="203" t="s">
        <v>55</v>
      </c>
      <c r="E18" s="204">
        <f>'2011 Rate Rider'!B7</f>
        <v>-0.0015721359195805511</v>
      </c>
      <c r="F18" s="25"/>
    </row>
    <row r="19" spans="1:6" ht="6.75" customHeight="1" thickBot="1">
      <c r="A19" s="24"/>
      <c r="B19" s="41"/>
      <c r="C19" s="42"/>
      <c r="D19" s="40"/>
      <c r="E19" s="43"/>
      <c r="F19" s="25"/>
    </row>
    <row r="20" spans="1:5" ht="15.75" customHeight="1">
      <c r="A20" s="23"/>
      <c r="B20" s="556" t="str">
        <f>'Distribution Rate Schedule'!A12</f>
        <v>GS &lt; 50 kW</v>
      </c>
      <c r="C20" s="557"/>
      <c r="D20" s="557"/>
      <c r="E20" s="558"/>
    </row>
    <row r="21" spans="1:5" ht="15">
      <c r="A21" s="23"/>
      <c r="B21" s="198"/>
      <c r="C21" s="42" t="s">
        <v>70</v>
      </c>
      <c r="D21" s="40" t="s">
        <v>86</v>
      </c>
      <c r="E21" s="199">
        <f>'Distribution Rate Schedule'!C12</f>
        <v>39.79</v>
      </c>
    </row>
    <row r="22" spans="1:5" ht="15">
      <c r="A22" s="23"/>
      <c r="B22" s="198"/>
      <c r="C22" s="42" t="s">
        <v>87</v>
      </c>
      <c r="D22" s="40" t="s">
        <v>55</v>
      </c>
      <c r="E22" s="200">
        <f>'Distribution Rate Schedule'!E12</f>
        <v>0.0062</v>
      </c>
    </row>
    <row r="23" spans="1:5" ht="15" hidden="1">
      <c r="A23" s="23"/>
      <c r="B23" s="198"/>
      <c r="C23" s="42" t="s">
        <v>235</v>
      </c>
      <c r="D23" s="40" t="s">
        <v>55</v>
      </c>
      <c r="E23" s="200">
        <f>'Distribution Rate Schedule'!E22</f>
        <v>0</v>
      </c>
    </row>
    <row r="24" spans="1:5" ht="15">
      <c r="A24" s="23"/>
      <c r="B24" s="198"/>
      <c r="C24" s="42" t="s">
        <v>234</v>
      </c>
      <c r="D24" s="40" t="s">
        <v>86</v>
      </c>
      <c r="E24" s="199">
        <f>'[9]8. Smart Meter Rate  Adder'!$C$20</f>
        <v>0.0898917624704141</v>
      </c>
    </row>
    <row r="25" spans="1:5" ht="15">
      <c r="A25" s="23"/>
      <c r="B25" s="198"/>
      <c r="C25" s="42" t="s">
        <v>168</v>
      </c>
      <c r="D25" s="40" t="s">
        <v>86</v>
      </c>
      <c r="E25" s="199">
        <f>'[7]Recovery of Smart Meter Costs'!$C$21</f>
        <v>2.0941673818332727</v>
      </c>
    </row>
    <row r="26" spans="1:5" ht="15">
      <c r="A26" s="23"/>
      <c r="B26" s="198"/>
      <c r="C26" s="42" t="s">
        <v>273</v>
      </c>
      <c r="D26" s="40" t="s">
        <v>86</v>
      </c>
      <c r="E26" s="199">
        <v>0.25</v>
      </c>
    </row>
    <row r="27" spans="1:5" ht="15.75" thickBot="1">
      <c r="A27" s="23"/>
      <c r="B27" s="201"/>
      <c r="C27" s="202" t="s">
        <v>233</v>
      </c>
      <c r="D27" s="203" t="s">
        <v>55</v>
      </c>
      <c r="E27" s="204">
        <f>+'2011 Rate Rider'!B8</f>
        <v>-0.0015721359195805518</v>
      </c>
    </row>
    <row r="28" spans="1:5" ht="6.75" customHeight="1" thickBot="1">
      <c r="A28" s="23"/>
      <c r="B28" s="41"/>
      <c r="C28" s="42"/>
      <c r="D28" s="40"/>
      <c r="E28" s="43"/>
    </row>
    <row r="29" spans="1:5" ht="15.75" customHeight="1">
      <c r="A29" s="23"/>
      <c r="B29" s="556" t="str">
        <f>'Distribution Rate Schedule'!A13</f>
        <v>GS &gt;50</v>
      </c>
      <c r="C29" s="557"/>
      <c r="D29" s="557"/>
      <c r="E29" s="558"/>
    </row>
    <row r="30" spans="1:5" ht="15">
      <c r="A30" s="23"/>
      <c r="B30" s="198"/>
      <c r="C30" s="42" t="s">
        <v>70</v>
      </c>
      <c r="D30" s="40" t="s">
        <v>86</v>
      </c>
      <c r="E30" s="199">
        <f>'Distribution Rate Schedule'!C13</f>
        <v>528.38</v>
      </c>
    </row>
    <row r="31" spans="1:5" ht="15">
      <c r="A31" s="23"/>
      <c r="B31" s="198"/>
      <c r="C31" s="42" t="s">
        <v>87</v>
      </c>
      <c r="D31" s="40" t="s">
        <v>23</v>
      </c>
      <c r="E31" s="200">
        <f>'Distribution Rate Schedule'!D13</f>
        <v>1.6794</v>
      </c>
    </row>
    <row r="32" spans="1:5" ht="15" hidden="1">
      <c r="A32" s="23"/>
      <c r="B32" s="198"/>
      <c r="C32" s="42" t="s">
        <v>235</v>
      </c>
      <c r="D32" s="40" t="s">
        <v>23</v>
      </c>
      <c r="E32" s="200">
        <f>'Distribution Rate Schedule'!D23</f>
        <v>0</v>
      </c>
    </row>
    <row r="33" spans="1:5" ht="15">
      <c r="A33" s="23"/>
      <c r="B33" s="198"/>
      <c r="C33" s="42" t="s">
        <v>234</v>
      </c>
      <c r="D33" s="40" t="s">
        <v>86</v>
      </c>
      <c r="E33" s="199">
        <f>E24</f>
        <v>0.0898917624704141</v>
      </c>
    </row>
    <row r="34" spans="1:5" ht="15">
      <c r="A34" s="23"/>
      <c r="B34" s="198"/>
      <c r="C34" s="42" t="s">
        <v>168</v>
      </c>
      <c r="D34" s="40" t="s">
        <v>86</v>
      </c>
      <c r="E34" s="199">
        <f>E25</f>
        <v>2.0941673818332727</v>
      </c>
    </row>
    <row r="35" spans="1:5" ht="15">
      <c r="A35" s="23"/>
      <c r="B35" s="198"/>
      <c r="C35" s="42" t="s">
        <v>273</v>
      </c>
      <c r="D35" s="40" t="s">
        <v>86</v>
      </c>
      <c r="E35" s="199">
        <v>0.25</v>
      </c>
    </row>
    <row r="36" spans="1:5" ht="15.75" thickBot="1">
      <c r="A36" s="23"/>
      <c r="B36" s="201"/>
      <c r="C36" s="202" t="s">
        <v>233</v>
      </c>
      <c r="D36" s="203" t="s">
        <v>23</v>
      </c>
      <c r="E36" s="204">
        <f>+'2011 Rate Rider'!C9</f>
        <v>-0.6117197240049442</v>
      </c>
    </row>
    <row r="37" spans="1:5" ht="6.75" customHeight="1">
      <c r="A37" s="23"/>
      <c r="B37" s="41"/>
      <c r="C37" s="42"/>
      <c r="D37" s="40"/>
      <c r="E37" s="43"/>
    </row>
    <row r="38" spans="1:5" ht="15.75" customHeight="1" hidden="1">
      <c r="A38" s="23"/>
      <c r="B38" s="556" t="str">
        <f>'Distribution Rate Schedule'!A14</f>
        <v>Large Use</v>
      </c>
      <c r="C38" s="557"/>
      <c r="D38" s="557"/>
      <c r="E38" s="558"/>
    </row>
    <row r="39" spans="1:5" ht="15" hidden="1">
      <c r="A39" s="23"/>
      <c r="B39" s="198"/>
      <c r="C39" s="42" t="s">
        <v>70</v>
      </c>
      <c r="D39" s="40" t="s">
        <v>86</v>
      </c>
      <c r="E39" s="199">
        <f>'Distribution Rate Schedule'!C14</f>
        <v>0</v>
      </c>
    </row>
    <row r="40" spans="1:5" ht="15" hidden="1">
      <c r="A40" s="23"/>
      <c r="B40" s="198"/>
      <c r="C40" s="42" t="s">
        <v>87</v>
      </c>
      <c r="D40" s="40" t="s">
        <v>23</v>
      </c>
      <c r="E40" s="200">
        <f>'Distribution Rate Schedule'!D14</f>
        <v>0</v>
      </c>
    </row>
    <row r="41" spans="1:5" ht="15" hidden="1">
      <c r="A41" s="23"/>
      <c r="B41" s="198"/>
      <c r="C41" s="42" t="s">
        <v>235</v>
      </c>
      <c r="D41" s="40" t="s">
        <v>23</v>
      </c>
      <c r="E41" s="200" t="e">
        <f>'Distribution Rate Schedule'!D24</f>
        <v>#DIV/0!</v>
      </c>
    </row>
    <row r="42" spans="1:5" ht="15" hidden="1">
      <c r="A42" s="23"/>
      <c r="B42" s="198"/>
      <c r="C42" s="42" t="s">
        <v>162</v>
      </c>
      <c r="D42" s="40" t="s">
        <v>23</v>
      </c>
      <c r="E42" s="200" t="e">
        <f>'LRAM and SSM Rate Rider'!L12</f>
        <v>#DIV/0!</v>
      </c>
    </row>
    <row r="43" spans="1:5" ht="15" hidden="1">
      <c r="A43" s="23"/>
      <c r="B43" s="198"/>
      <c r="C43" s="42" t="s">
        <v>168</v>
      </c>
      <c r="D43" s="40" t="s">
        <v>86</v>
      </c>
      <c r="E43" s="200">
        <f>'2011 Rate Rider'!E10</f>
        <v>0</v>
      </c>
    </row>
    <row r="44" spans="1:5" ht="15.75" hidden="1" thickBot="1">
      <c r="A44" s="23"/>
      <c r="B44" s="201"/>
      <c r="C44" s="202" t="s">
        <v>233</v>
      </c>
      <c r="D44" s="203" t="s">
        <v>23</v>
      </c>
      <c r="E44" s="204">
        <f>'2011 Rate Rider'!C10</f>
        <v>0</v>
      </c>
    </row>
    <row r="45" spans="1:5" ht="6.75" customHeight="1" hidden="1" thickBot="1">
      <c r="A45" s="23"/>
      <c r="B45" s="41"/>
      <c r="C45" s="42"/>
      <c r="D45" s="40"/>
      <c r="E45" s="43"/>
    </row>
    <row r="46" spans="1:5" ht="15.75" hidden="1">
      <c r="A46" s="23"/>
      <c r="B46" s="556" t="str">
        <f>'Distribution Rate Schedule'!A15</f>
        <v>Sentinel Lights</v>
      </c>
      <c r="C46" s="557"/>
      <c r="D46" s="557"/>
      <c r="E46" s="558"/>
    </row>
    <row r="47" spans="1:5" ht="15" hidden="1">
      <c r="A47" s="23"/>
      <c r="B47" s="198"/>
      <c r="C47" s="42" t="s">
        <v>70</v>
      </c>
      <c r="D47" s="40" t="s">
        <v>86</v>
      </c>
      <c r="E47" s="199">
        <f>'Distribution Rate Schedule'!B15</f>
        <v>0</v>
      </c>
    </row>
    <row r="48" spans="1:5" ht="15" hidden="1">
      <c r="A48" s="23"/>
      <c r="B48" s="198"/>
      <c r="C48" s="42" t="s">
        <v>87</v>
      </c>
      <c r="D48" s="40" t="s">
        <v>23</v>
      </c>
      <c r="E48" s="200" t="e">
        <f>'Distribution Rate Schedule'!D15</f>
        <v>#DIV/0!</v>
      </c>
    </row>
    <row r="49" spans="1:5" ht="15" hidden="1">
      <c r="A49" s="23"/>
      <c r="B49" s="198"/>
      <c r="C49" s="42" t="s">
        <v>235</v>
      </c>
      <c r="D49" s="40" t="s">
        <v>23</v>
      </c>
      <c r="E49" s="200" t="e">
        <f>'Distribution Rate Schedule'!D25</f>
        <v>#DIV/0!</v>
      </c>
    </row>
    <row r="50" spans="1:5" ht="15" hidden="1">
      <c r="A50" s="23"/>
      <c r="B50" s="198"/>
      <c r="C50" s="42" t="s">
        <v>162</v>
      </c>
      <c r="D50" s="40" t="s">
        <v>23</v>
      </c>
      <c r="E50" s="200" t="e">
        <f>'LRAM and SSM Rate Rider'!L13</f>
        <v>#DIV/0!</v>
      </c>
    </row>
    <row r="51" spans="1:5" ht="15.75" hidden="1" thickBot="1">
      <c r="A51" s="23"/>
      <c r="B51" s="201"/>
      <c r="C51" s="202" t="s">
        <v>233</v>
      </c>
      <c r="D51" s="203" t="s">
        <v>23</v>
      </c>
      <c r="E51" s="204">
        <f>+'2011 Rate Rider'!C11</f>
        <v>0</v>
      </c>
    </row>
    <row r="52" spans="1:5" ht="6.75" customHeight="1" thickBot="1">
      <c r="A52" s="23"/>
      <c r="B52" s="41"/>
      <c r="C52" s="42"/>
      <c r="D52" s="40"/>
      <c r="E52" s="43"/>
    </row>
    <row r="53" spans="1:5" ht="15.75">
      <c r="A53" s="23"/>
      <c r="B53" s="556" t="str">
        <f>'Distribution Rate Schedule'!A16</f>
        <v>Street Lighting</v>
      </c>
      <c r="C53" s="557"/>
      <c r="D53" s="557"/>
      <c r="E53" s="558"/>
    </row>
    <row r="54" spans="1:5" ht="15">
      <c r="A54" s="23"/>
      <c r="B54" s="198"/>
      <c r="C54" s="42" t="s">
        <v>70</v>
      </c>
      <c r="D54" s="40" t="s">
        <v>86</v>
      </c>
      <c r="E54" s="199">
        <f>'Distribution Rate Schedule'!B16</f>
        <v>5.2033</v>
      </c>
    </row>
    <row r="55" spans="1:5" ht="15">
      <c r="A55" s="23"/>
      <c r="B55" s="198"/>
      <c r="C55" s="42" t="s">
        <v>87</v>
      </c>
      <c r="D55" s="40" t="s">
        <v>23</v>
      </c>
      <c r="E55" s="200">
        <f>'Distribution Rate Schedule'!D16</f>
        <v>3.4214</v>
      </c>
    </row>
    <row r="56" spans="1:5" ht="15" hidden="1">
      <c r="A56" s="23"/>
      <c r="B56" s="198"/>
      <c r="C56" s="42" t="s">
        <v>235</v>
      </c>
      <c r="D56" s="40" t="s">
        <v>23</v>
      </c>
      <c r="E56" s="200">
        <f>'Distribution Rate Schedule'!D26</f>
        <v>0</v>
      </c>
    </row>
    <row r="57" spans="1:5" ht="15" hidden="1">
      <c r="A57" s="23"/>
      <c r="B57" s="198"/>
      <c r="C57" s="42" t="s">
        <v>162</v>
      </c>
      <c r="D57" s="40" t="s">
        <v>23</v>
      </c>
      <c r="E57" s="200">
        <f>'LRAM and SSM Rate Rider'!L14</f>
        <v>0</v>
      </c>
    </row>
    <row r="58" spans="1:5" ht="15.75" thickBot="1">
      <c r="A58" s="23"/>
      <c r="B58" s="201"/>
      <c r="C58" s="202" t="s">
        <v>233</v>
      </c>
      <c r="D58" s="203" t="s">
        <v>23</v>
      </c>
      <c r="E58" s="204">
        <f>'2011 Rate Rider'!C12</f>
        <v>-0.4954498112435202</v>
      </c>
    </row>
    <row r="59" spans="1:5" ht="6.75" customHeight="1" thickBot="1">
      <c r="A59" s="23"/>
      <c r="B59" s="41"/>
      <c r="C59" s="42"/>
      <c r="D59" s="40"/>
      <c r="E59" s="43"/>
    </row>
    <row r="60" spans="1:5" ht="15.75">
      <c r="A60" s="23"/>
      <c r="B60" s="556" t="str">
        <f>'Distribution Rate Schedule'!A17</f>
        <v>USL</v>
      </c>
      <c r="C60" s="557"/>
      <c r="D60" s="557"/>
      <c r="E60" s="558"/>
    </row>
    <row r="61" spans="1:5" ht="15">
      <c r="A61" s="23"/>
      <c r="B61" s="198"/>
      <c r="C61" s="42" t="s">
        <v>70</v>
      </c>
      <c r="D61" s="40" t="s">
        <v>86</v>
      </c>
      <c r="E61" s="199">
        <f>'Distribution Rate Schedule'!B17</f>
        <v>16.6514</v>
      </c>
    </row>
    <row r="62" spans="1:5" ht="15">
      <c r="A62" s="23"/>
      <c r="B62" s="198"/>
      <c r="C62" s="42" t="s">
        <v>87</v>
      </c>
      <c r="D62" s="40" t="s">
        <v>55</v>
      </c>
      <c r="E62" s="200">
        <f>'Distribution Rate Schedule'!E17</f>
        <v>0.0053</v>
      </c>
    </row>
    <row r="63" spans="1:5" ht="15" hidden="1">
      <c r="A63" s="23"/>
      <c r="B63" s="198"/>
      <c r="C63" s="42" t="s">
        <v>235</v>
      </c>
      <c r="D63" s="40" t="s">
        <v>55</v>
      </c>
      <c r="E63" s="200">
        <f>'Distribution Rate Schedule'!E27</f>
        <v>0</v>
      </c>
    </row>
    <row r="64" spans="1:5" ht="15" hidden="1">
      <c r="A64" s="23"/>
      <c r="B64" s="198"/>
      <c r="C64" s="42" t="s">
        <v>162</v>
      </c>
      <c r="D64" s="40" t="s">
        <v>55</v>
      </c>
      <c r="E64" s="200">
        <f>'LRAM and SSM Rate Rider'!L15</f>
        <v>0</v>
      </c>
    </row>
    <row r="65" spans="1:5" ht="15.75" thickBot="1">
      <c r="A65" s="23"/>
      <c r="B65" s="201"/>
      <c r="C65" s="202" t="s">
        <v>233</v>
      </c>
      <c r="D65" s="203" t="s">
        <v>55</v>
      </c>
      <c r="E65" s="204">
        <f>'2011 Rate Rider'!B13</f>
        <v>-0.001572369612514053</v>
      </c>
    </row>
    <row r="66" spans="2:5" ht="12.75">
      <c r="B66" s="16"/>
      <c r="C66" s="25"/>
      <c r="D66" s="25"/>
      <c r="E66" s="44"/>
    </row>
    <row r="67" ht="12.75">
      <c r="B67" s="8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</sheetData>
  <sheetProtection/>
  <mergeCells count="15">
    <mergeCell ref="B60:E60"/>
    <mergeCell ref="B11:E11"/>
    <mergeCell ref="B20:E20"/>
    <mergeCell ref="B29:E29"/>
    <mergeCell ref="B38:E38"/>
    <mergeCell ref="A6:E6"/>
    <mergeCell ref="A7:E7"/>
    <mergeCell ref="A8:E8"/>
    <mergeCell ref="B46:E46"/>
    <mergeCell ref="B53:E53"/>
    <mergeCell ref="A1:E1"/>
    <mergeCell ref="A2:E2"/>
    <mergeCell ref="A3:E3"/>
    <mergeCell ref="A4:E4"/>
    <mergeCell ref="A5:E5"/>
  </mergeCells>
  <printOptions/>
  <pageMargins left="0.75" right="0.75" top="1" bottom="1" header="0.5" footer="0.5"/>
  <pageSetup fitToHeight="1" fitToWidth="1" horizontalDpi="355" verticalDpi="355" orientation="portrait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32">
      <selection activeCell="D51" sqref="D51"/>
    </sheetView>
  </sheetViews>
  <sheetFormatPr defaultColWidth="9.7109375" defaultRowHeight="12.75"/>
  <cols>
    <col min="1" max="1" width="1.57421875" style="0" customWidth="1"/>
    <col min="2" max="2" width="74.7109375" style="0" customWidth="1"/>
    <col min="3" max="3" width="14.8515625" style="0" customWidth="1"/>
    <col min="4" max="4" width="9.57421875" style="0" bestFit="1" customWidth="1"/>
  </cols>
  <sheetData>
    <row r="1" spans="1:4" ht="12.75">
      <c r="A1" s="501">
        <f>+'Revenue Input'!A1</f>
        <v>0</v>
      </c>
      <c r="B1" s="501"/>
      <c r="C1" s="501"/>
      <c r="D1" s="501"/>
    </row>
    <row r="2" spans="1:4" ht="12.75">
      <c r="A2" s="501" t="str">
        <f>+'Revenue Input'!A2</f>
        <v>, License Number , File Number </v>
      </c>
      <c r="B2" s="501"/>
      <c r="C2" s="501"/>
      <c r="D2" s="501"/>
    </row>
    <row r="3" spans="1:4" ht="12.75">
      <c r="A3" s="501">
        <f>+'Revenue Input'!A3</f>
        <v>0</v>
      </c>
      <c r="B3" s="501"/>
      <c r="C3" s="501"/>
      <c r="D3" s="501"/>
    </row>
    <row r="4" spans="1:4" ht="12.75">
      <c r="A4" s="559"/>
      <c r="B4" s="559"/>
      <c r="C4" s="559"/>
      <c r="D4" s="559"/>
    </row>
    <row r="5" spans="1:4" ht="19.5" customHeight="1">
      <c r="A5" s="509" t="s">
        <v>126</v>
      </c>
      <c r="B5" s="509"/>
      <c r="C5" s="509"/>
      <c r="D5" s="509"/>
    </row>
    <row r="6" spans="1:4" ht="19.5" customHeight="1">
      <c r="A6" s="555" t="s">
        <v>88</v>
      </c>
      <c r="B6" s="555"/>
      <c r="C6" s="555"/>
      <c r="D6" s="555"/>
    </row>
    <row r="7" spans="1:4" ht="19.5" customHeight="1">
      <c r="A7" s="555" t="s">
        <v>232</v>
      </c>
      <c r="B7" s="555"/>
      <c r="C7" s="555"/>
      <c r="D7" s="555"/>
    </row>
    <row r="8" spans="1:4" ht="19.5" customHeight="1">
      <c r="A8" s="560"/>
      <c r="B8" s="560"/>
      <c r="C8" s="560"/>
      <c r="D8" s="560"/>
    </row>
    <row r="9" spans="1:4" ht="30.75" customHeight="1">
      <c r="A9" s="29"/>
      <c r="B9" s="437" t="s">
        <v>91</v>
      </c>
      <c r="C9" s="437" t="s">
        <v>92</v>
      </c>
      <c r="D9" s="437" t="s">
        <v>183</v>
      </c>
    </row>
    <row r="10" spans="1:4" ht="44.25" customHeight="1">
      <c r="A10" s="30"/>
      <c r="B10" s="207" t="s">
        <v>93</v>
      </c>
      <c r="C10" s="210" t="s">
        <v>123</v>
      </c>
      <c r="D10" s="211">
        <v>15</v>
      </c>
    </row>
    <row r="11" spans="1:4" ht="44.25" customHeight="1">
      <c r="A11" s="30"/>
      <c r="B11" s="207" t="s">
        <v>94</v>
      </c>
      <c r="C11" s="210" t="s">
        <v>123</v>
      </c>
      <c r="D11" s="211">
        <v>15</v>
      </c>
    </row>
    <row r="12" spans="1:4" ht="44.25" customHeight="1">
      <c r="A12" s="30"/>
      <c r="B12" s="207" t="s">
        <v>95</v>
      </c>
      <c r="C12" s="210" t="s">
        <v>123</v>
      </c>
      <c r="D12" s="211">
        <v>15</v>
      </c>
    </row>
    <row r="13" spans="1:4" ht="44.25" customHeight="1">
      <c r="A13" s="30"/>
      <c r="B13" s="207" t="s">
        <v>96</v>
      </c>
      <c r="C13" s="210" t="s">
        <v>123</v>
      </c>
      <c r="D13" s="211">
        <v>15</v>
      </c>
    </row>
    <row r="14" spans="1:4" ht="44.25" customHeight="1">
      <c r="A14" s="30"/>
      <c r="B14" s="207" t="s">
        <v>97</v>
      </c>
      <c r="C14" s="210" t="s">
        <v>123</v>
      </c>
      <c r="D14" s="211">
        <v>15</v>
      </c>
    </row>
    <row r="15" spans="1:4" ht="44.25" customHeight="1">
      <c r="A15" s="30"/>
      <c r="B15" s="207" t="s">
        <v>98</v>
      </c>
      <c r="C15" s="210" t="s">
        <v>123</v>
      </c>
      <c r="D15" s="211">
        <v>15</v>
      </c>
    </row>
    <row r="16" spans="1:4" ht="44.25" customHeight="1">
      <c r="A16" s="30"/>
      <c r="B16" s="207" t="s">
        <v>99</v>
      </c>
      <c r="C16" s="210" t="s">
        <v>123</v>
      </c>
      <c r="D16" s="211">
        <v>15</v>
      </c>
    </row>
    <row r="17" spans="1:4" ht="44.25" customHeight="1">
      <c r="A17" s="30"/>
      <c r="B17" s="207" t="s">
        <v>100</v>
      </c>
      <c r="C17" s="210" t="s">
        <v>123</v>
      </c>
      <c r="D17" s="211">
        <v>15</v>
      </c>
    </row>
    <row r="18" spans="1:4" ht="44.25" customHeight="1">
      <c r="A18" s="30"/>
      <c r="B18" s="207" t="s">
        <v>101</v>
      </c>
      <c r="C18" s="210" t="s">
        <v>123</v>
      </c>
      <c r="D18" s="211">
        <v>15</v>
      </c>
    </row>
    <row r="19" spans="1:4" ht="44.25" customHeight="1">
      <c r="A19" s="30"/>
      <c r="B19" s="207" t="s">
        <v>102</v>
      </c>
      <c r="C19" s="210" t="s">
        <v>123</v>
      </c>
      <c r="D19" s="211">
        <v>25</v>
      </c>
    </row>
    <row r="20" spans="1:4" ht="44.25" customHeight="1">
      <c r="A20" s="30"/>
      <c r="B20" s="207" t="s">
        <v>103</v>
      </c>
      <c r="C20" s="210" t="s">
        <v>123</v>
      </c>
      <c r="D20" s="211">
        <v>25</v>
      </c>
    </row>
    <row r="21" spans="1:4" ht="44.25" customHeight="1">
      <c r="A21" s="30"/>
      <c r="B21" s="207" t="s">
        <v>104</v>
      </c>
      <c r="C21" s="210" t="s">
        <v>123</v>
      </c>
      <c r="D21" s="211">
        <v>15</v>
      </c>
    </row>
    <row r="22" spans="1:4" ht="44.25" customHeight="1">
      <c r="A22" s="30"/>
      <c r="B22" s="207" t="s">
        <v>105</v>
      </c>
      <c r="C22" s="210" t="s">
        <v>123</v>
      </c>
      <c r="D22" s="211">
        <v>15</v>
      </c>
    </row>
    <row r="23" spans="1:4" ht="44.25" customHeight="1">
      <c r="A23" s="30"/>
      <c r="B23" s="207" t="s">
        <v>106</v>
      </c>
      <c r="C23" s="210" t="s">
        <v>123</v>
      </c>
      <c r="D23" s="211">
        <v>30</v>
      </c>
    </row>
    <row r="24" spans="1:4" ht="44.25" customHeight="1">
      <c r="A24" s="30"/>
      <c r="B24" s="207" t="s">
        <v>107</v>
      </c>
      <c r="C24" s="210" t="s">
        <v>123</v>
      </c>
      <c r="D24" s="211">
        <v>30</v>
      </c>
    </row>
    <row r="25" spans="1:4" ht="44.25" customHeight="1">
      <c r="A25" s="30"/>
      <c r="B25" s="207" t="s">
        <v>108</v>
      </c>
      <c r="C25" s="210" t="s">
        <v>123</v>
      </c>
      <c r="D25" s="211">
        <v>30</v>
      </c>
    </row>
    <row r="26" spans="1:4" ht="44.25" customHeight="1">
      <c r="A26" s="30"/>
      <c r="B26" s="207" t="s">
        <v>109</v>
      </c>
      <c r="C26" s="210" t="s">
        <v>123</v>
      </c>
      <c r="D26" s="211">
        <v>165</v>
      </c>
    </row>
    <row r="27" spans="1:4" ht="44.25" customHeight="1">
      <c r="A27" s="30"/>
      <c r="B27" s="207" t="s">
        <v>110</v>
      </c>
      <c r="C27" s="210" t="s">
        <v>123</v>
      </c>
      <c r="D27" s="211">
        <v>65</v>
      </c>
    </row>
    <row r="28" spans="1:4" ht="44.25" customHeight="1">
      <c r="A28" s="30"/>
      <c r="B28" s="207" t="s">
        <v>111</v>
      </c>
      <c r="C28" s="210" t="s">
        <v>123</v>
      </c>
      <c r="D28" s="211">
        <v>65</v>
      </c>
    </row>
    <row r="29" spans="1:4" ht="44.25" customHeight="1">
      <c r="A29" s="30"/>
      <c r="B29" s="207" t="s">
        <v>112</v>
      </c>
      <c r="C29" s="210" t="s">
        <v>123</v>
      </c>
      <c r="D29" s="211">
        <v>185</v>
      </c>
    </row>
    <row r="30" spans="1:4" ht="44.25" customHeight="1">
      <c r="A30" s="30"/>
      <c r="B30" s="207" t="s">
        <v>113</v>
      </c>
      <c r="C30" s="210" t="s">
        <v>123</v>
      </c>
      <c r="D30" s="211">
        <v>185</v>
      </c>
    </row>
    <row r="31" spans="1:4" ht="44.25" customHeight="1">
      <c r="A31" s="30"/>
      <c r="B31" s="207" t="s">
        <v>114</v>
      </c>
      <c r="C31" s="210" t="s">
        <v>123</v>
      </c>
      <c r="D31" s="211">
        <v>185</v>
      </c>
    </row>
    <row r="32" spans="1:4" ht="44.25" customHeight="1">
      <c r="A32" s="30"/>
      <c r="B32" s="207" t="s">
        <v>115</v>
      </c>
      <c r="C32" s="210" t="s">
        <v>123</v>
      </c>
      <c r="D32" s="211">
        <v>415</v>
      </c>
    </row>
    <row r="33" spans="1:4" ht="44.25" customHeight="1">
      <c r="A33" s="30"/>
      <c r="B33" s="207" t="s">
        <v>116</v>
      </c>
      <c r="C33" s="210" t="s">
        <v>123</v>
      </c>
      <c r="D33" s="211">
        <v>30</v>
      </c>
    </row>
    <row r="34" spans="1:4" ht="44.25" customHeight="1">
      <c r="A34" s="30"/>
      <c r="B34" s="207" t="s">
        <v>117</v>
      </c>
      <c r="C34" s="210" t="s">
        <v>123</v>
      </c>
      <c r="D34" s="211">
        <v>65</v>
      </c>
    </row>
    <row r="35" spans="1:4" ht="44.25" customHeight="1">
      <c r="A35" s="30"/>
      <c r="B35" s="207" t="s">
        <v>118</v>
      </c>
      <c r="C35" s="210" t="s">
        <v>123</v>
      </c>
      <c r="D35" s="211">
        <v>165</v>
      </c>
    </row>
    <row r="36" spans="1:4" ht="44.25" customHeight="1">
      <c r="A36" s="30"/>
      <c r="B36" s="207" t="s">
        <v>119</v>
      </c>
      <c r="C36" s="210" t="s">
        <v>123</v>
      </c>
      <c r="D36" s="211">
        <v>500</v>
      </c>
    </row>
    <row r="37" spans="1:4" ht="44.25" customHeight="1">
      <c r="A37" s="30"/>
      <c r="B37" s="207" t="s">
        <v>120</v>
      </c>
      <c r="C37" s="210" t="s">
        <v>123</v>
      </c>
      <c r="D37" s="211">
        <v>300</v>
      </c>
    </row>
    <row r="38" spans="1:4" ht="44.25" customHeight="1">
      <c r="A38" s="30"/>
      <c r="B38" s="207" t="s">
        <v>121</v>
      </c>
      <c r="C38" s="210" t="s">
        <v>123</v>
      </c>
      <c r="D38" s="211">
        <v>1000</v>
      </c>
    </row>
    <row r="39" spans="1:4" ht="44.25" customHeight="1">
      <c r="A39" s="30"/>
      <c r="B39" s="207" t="s">
        <v>122</v>
      </c>
      <c r="C39" s="210" t="s">
        <v>123</v>
      </c>
      <c r="D39" s="211">
        <v>22.35</v>
      </c>
    </row>
    <row r="40" spans="1:4" ht="28.5" customHeight="1">
      <c r="A40" s="36"/>
      <c r="B40" s="208" t="s">
        <v>124</v>
      </c>
      <c r="C40" s="209" t="s">
        <v>172</v>
      </c>
      <c r="D40" s="205">
        <v>150</v>
      </c>
    </row>
    <row r="41" spans="1:4" s="8" customFormat="1" ht="12" customHeight="1">
      <c r="A41" s="36"/>
      <c r="B41" s="212"/>
      <c r="C41" s="213"/>
      <c r="D41" s="214"/>
    </row>
    <row r="42" spans="1:4" ht="18">
      <c r="A42" s="30"/>
      <c r="B42" s="561" t="s">
        <v>125</v>
      </c>
      <c r="C42" s="562"/>
      <c r="D42" s="563"/>
    </row>
    <row r="43" spans="2:4" ht="15.75">
      <c r="B43" s="564" t="s">
        <v>56</v>
      </c>
      <c r="C43" s="565"/>
      <c r="D43" s="206"/>
    </row>
    <row r="44" spans="2:4" ht="15.75">
      <c r="B44" s="564" t="s">
        <v>57</v>
      </c>
      <c r="C44" s="565"/>
      <c r="D44" s="206"/>
    </row>
    <row r="45" spans="2:4" ht="15.75">
      <c r="B45" s="564" t="s">
        <v>58</v>
      </c>
      <c r="C45" s="565"/>
      <c r="D45" s="206"/>
    </row>
    <row r="46" spans="2:4" ht="15.75">
      <c r="B46" s="564" t="s">
        <v>59</v>
      </c>
      <c r="C46" s="565"/>
      <c r="D46" s="206"/>
    </row>
    <row r="47" spans="2:4" ht="15.75">
      <c r="B47" s="564" t="s">
        <v>60</v>
      </c>
      <c r="C47" s="565"/>
      <c r="D47" s="206"/>
    </row>
    <row r="48" spans="2:4" ht="15.75">
      <c r="B48" s="564" t="s">
        <v>61</v>
      </c>
      <c r="C48" s="565"/>
      <c r="D48" s="206">
        <v>1.043</v>
      </c>
    </row>
    <row r="49" spans="2:4" ht="15.75">
      <c r="B49" s="564" t="s">
        <v>62</v>
      </c>
      <c r="C49" s="565"/>
      <c r="D49" s="206"/>
    </row>
    <row r="50" spans="2:4" ht="15.75">
      <c r="B50" s="564" t="s">
        <v>63</v>
      </c>
      <c r="C50" s="565"/>
      <c r="D50" s="206">
        <v>1.0325</v>
      </c>
    </row>
    <row r="51" spans="2:4" ht="15.75">
      <c r="B51" s="564" t="s">
        <v>64</v>
      </c>
      <c r="C51" s="565"/>
      <c r="D51" s="206"/>
    </row>
  </sheetData>
  <sheetProtection/>
  <mergeCells count="18">
    <mergeCell ref="B44:C44"/>
    <mergeCell ref="B45:C45"/>
    <mergeCell ref="B50:C50"/>
    <mergeCell ref="B51:C51"/>
    <mergeCell ref="B46:C46"/>
    <mergeCell ref="B47:C47"/>
    <mergeCell ref="B48:C48"/>
    <mergeCell ref="B49:C49"/>
    <mergeCell ref="A6:D6"/>
    <mergeCell ref="A7:D7"/>
    <mergeCell ref="A8:D8"/>
    <mergeCell ref="B42:D42"/>
    <mergeCell ref="B43:C43"/>
    <mergeCell ref="A1:D1"/>
    <mergeCell ref="A2:D2"/>
    <mergeCell ref="A3:D3"/>
    <mergeCell ref="A4:D4"/>
    <mergeCell ref="A5:D5"/>
  </mergeCells>
  <printOptions/>
  <pageMargins left="0.75" right="0.75" top="1" bottom="1" header="0.5" footer="0.5"/>
  <pageSetup fitToHeight="2" fitToWidth="1" horizontalDpi="355" verticalDpi="355" orientation="portrait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4">
      <selection activeCell="E18" sqref="E18"/>
    </sheetView>
  </sheetViews>
  <sheetFormatPr defaultColWidth="9.140625" defaultRowHeight="12.75"/>
  <cols>
    <col min="1" max="1" width="31.28125" style="0" bestFit="1" customWidth="1"/>
    <col min="2" max="2" width="15.140625" style="0" customWidth="1"/>
    <col min="3" max="3" width="13.7109375" style="0" customWidth="1"/>
    <col min="4" max="4" width="14.00390625" style="0" bestFit="1" customWidth="1"/>
    <col min="5" max="5" width="16.00390625" style="0" customWidth="1"/>
    <col min="6" max="6" width="15.57421875" style="0" customWidth="1"/>
    <col min="7" max="7" width="20.140625" style="0" bestFit="1" customWidth="1"/>
    <col min="8" max="8" width="14.140625" style="0" bestFit="1" customWidth="1"/>
    <col min="9" max="9" width="13.140625" style="0" bestFit="1" customWidth="1"/>
    <col min="10" max="10" width="14.140625" style="0" bestFit="1" customWidth="1"/>
    <col min="11" max="11" width="11.421875" style="0" bestFit="1" customWidth="1"/>
    <col min="12" max="12" width="14.140625" style="0" bestFit="1" customWidth="1"/>
  </cols>
  <sheetData>
    <row r="1" spans="1:6" ht="12.75">
      <c r="A1" s="501">
        <f>+'Revenue Input'!A1</f>
        <v>0</v>
      </c>
      <c r="B1" s="501"/>
      <c r="C1" s="501"/>
      <c r="D1" s="501"/>
      <c r="E1" s="501"/>
      <c r="F1" s="501"/>
    </row>
    <row r="2" spans="1:6" ht="12.75">
      <c r="A2" s="501" t="str">
        <f>+'Revenue Input'!A2</f>
        <v>, License Number , File Number </v>
      </c>
      <c r="B2" s="501"/>
      <c r="C2" s="501"/>
      <c r="D2" s="501"/>
      <c r="E2" s="501"/>
      <c r="F2" s="501"/>
    </row>
    <row r="3" spans="1:6" ht="12.75">
      <c r="A3" s="501">
        <f>+'Revenue Input'!A3</f>
        <v>0</v>
      </c>
      <c r="B3" s="501"/>
      <c r="C3" s="501"/>
      <c r="D3" s="501"/>
      <c r="E3" s="501"/>
      <c r="F3" s="501"/>
    </row>
    <row r="4" spans="1:6" ht="12.75">
      <c r="A4" s="479"/>
      <c r="B4" s="479"/>
      <c r="C4" s="479"/>
      <c r="D4" s="479"/>
      <c r="E4" s="479"/>
      <c r="F4" s="479"/>
    </row>
    <row r="5" spans="1:6" ht="20.25">
      <c r="A5" s="568" t="s">
        <v>251</v>
      </c>
      <c r="B5" s="568"/>
      <c r="C5" s="568"/>
      <c r="D5" s="568"/>
      <c r="E5" s="568"/>
      <c r="F5" s="568"/>
    </row>
    <row r="6" spans="1:6" ht="12.75">
      <c r="A6" s="566"/>
      <c r="B6" s="566"/>
      <c r="C6" s="566"/>
      <c r="D6" s="566"/>
      <c r="E6" s="566"/>
      <c r="F6" s="566"/>
    </row>
    <row r="7" spans="1:12" ht="38.25">
      <c r="A7" s="330" t="s">
        <v>0</v>
      </c>
      <c r="B7" s="330" t="s">
        <v>11</v>
      </c>
      <c r="C7" s="330" t="s">
        <v>12</v>
      </c>
      <c r="D7" s="330" t="s">
        <v>31</v>
      </c>
      <c r="E7" s="330" t="s">
        <v>29</v>
      </c>
      <c r="F7" s="330" t="s">
        <v>33</v>
      </c>
      <c r="G7" s="11"/>
      <c r="H7" s="11"/>
      <c r="I7" s="11"/>
      <c r="J7" s="11"/>
      <c r="K7" s="11"/>
      <c r="L7" s="11"/>
    </row>
    <row r="8" spans="1:12" ht="12.75">
      <c r="A8" s="331"/>
      <c r="B8" s="331"/>
      <c r="C8" s="331"/>
      <c r="D8" s="331"/>
      <c r="E8" s="331"/>
      <c r="F8" s="331"/>
      <c r="G8" s="11"/>
      <c r="H8" s="11"/>
      <c r="I8" s="11"/>
      <c r="J8" s="11"/>
      <c r="K8" s="11"/>
      <c r="L8" s="11"/>
    </row>
    <row r="9" spans="1:12" ht="19.5" customHeight="1">
      <c r="A9" s="248" t="str">
        <f>'Other Electriciy Rates'!A10</f>
        <v>Residential</v>
      </c>
      <c r="B9" s="100">
        <f>+'Distribution Rate Schedule'!C31*'Forecast Data For 2011'!C7*12</f>
        <v>1113840.7926849602</v>
      </c>
      <c r="C9" s="100">
        <f>+'Distribution Rate Schedule'!E31*'Forecast Data For 2011'!C8</f>
        <v>553739.4583058578</v>
      </c>
      <c r="D9" s="263"/>
      <c r="E9" s="100">
        <f>+B9+C9+D9</f>
        <v>1667580.250990818</v>
      </c>
      <c r="F9" s="100">
        <f>+'Rates By Rate Class'!K8-'Rates By Rate Class'!H8</f>
        <v>1669017.2832056053</v>
      </c>
      <c r="G9" s="12"/>
      <c r="H9" s="12"/>
      <c r="I9" s="13"/>
      <c r="J9" s="14"/>
      <c r="K9" s="14"/>
      <c r="L9" s="14"/>
    </row>
    <row r="10" spans="1:12" ht="19.5" customHeight="1">
      <c r="A10" s="248" t="str">
        <f>'Other Electriciy Rates'!A11</f>
        <v>GS &lt; 50 kW</v>
      </c>
      <c r="B10" s="100">
        <f>+'Distribution Rate Schedule'!C32*'Forecast Data For 2011'!C9*12</f>
        <v>335685.53909905924</v>
      </c>
      <c r="C10" s="100">
        <f>+'Distribution Rate Schedule'!E32*'Forecast Data For 2011'!C10</f>
        <v>138628.392917241</v>
      </c>
      <c r="D10" s="263"/>
      <c r="E10" s="100">
        <f aca="true" t="shared" si="0" ref="E10:E16">+B10+C10+D10</f>
        <v>474313.93201630027</v>
      </c>
      <c r="F10" s="100">
        <f>+'Rates By Rate Class'!K9-'Rates By Rate Class'!H9</f>
        <v>473758.424304141</v>
      </c>
      <c r="G10" s="12"/>
      <c r="H10" s="12"/>
      <c r="I10" s="13"/>
      <c r="J10" s="14"/>
      <c r="K10" s="14"/>
      <c r="L10" s="14"/>
    </row>
    <row r="11" spans="1:12" ht="55.5" customHeight="1">
      <c r="A11" s="248" t="str">
        <f>'Other Electriciy Rates'!A12</f>
        <v>GS &gt;50</v>
      </c>
      <c r="B11" s="100">
        <f>+'Distribution Rate Schedule'!C33*'Forecast Data For 2011'!C11*12</f>
        <v>473057.82615594356</v>
      </c>
      <c r="C11" s="100">
        <f>+'Distribution Rate Schedule'!D33*'Forecast Data For 2011'!C12</f>
        <v>195701.0054662091</v>
      </c>
      <c r="D11" s="263">
        <f>'Transformer Allowance'!C12</f>
        <v>21295.2</v>
      </c>
      <c r="E11" s="100">
        <f>+B11+C11-D11</f>
        <v>647463.6316221528</v>
      </c>
      <c r="F11" s="100">
        <f>+'Rates By Rate Class'!K10-'Rates By Rate Class'!H10</f>
        <v>647464.8157361097</v>
      </c>
      <c r="G11" s="12"/>
      <c r="H11" s="12"/>
      <c r="I11" s="12"/>
      <c r="J11" s="14"/>
      <c r="K11" s="14"/>
      <c r="L11" s="14"/>
    </row>
    <row r="12" spans="1:12" ht="36.75" customHeight="1" hidden="1">
      <c r="A12" s="248" t="str">
        <f>'Other Electriciy Rates'!A13</f>
        <v>Large Use</v>
      </c>
      <c r="B12" s="100">
        <f>+'Distribution Rate Schedule'!C34*'Forecast Data For 2011'!C14*12</f>
        <v>0</v>
      </c>
      <c r="C12" s="100"/>
      <c r="D12" s="263">
        <f>'Transformer Allowance'!C13</f>
        <v>0</v>
      </c>
      <c r="E12" s="100"/>
      <c r="F12" s="100">
        <f>+'Rates By Rate Class'!K11-'Rates By Rate Class'!H11</f>
        <v>0</v>
      </c>
      <c r="G12" s="12"/>
      <c r="H12" s="12"/>
      <c r="I12" s="12"/>
      <c r="J12" s="14"/>
      <c r="K12" s="14"/>
      <c r="L12" s="14"/>
    </row>
    <row r="13" spans="1:12" ht="35.25" customHeight="1" hidden="1">
      <c r="A13" s="248"/>
      <c r="B13" s="100"/>
      <c r="C13" s="100"/>
      <c r="D13" s="263"/>
      <c r="E13" s="100"/>
      <c r="F13" s="100"/>
      <c r="G13" s="12"/>
      <c r="H13" s="12"/>
      <c r="I13" s="12"/>
      <c r="J13" s="14"/>
      <c r="K13" s="14"/>
      <c r="L13" s="14"/>
    </row>
    <row r="14" spans="1:12" ht="58.5" customHeight="1" hidden="1">
      <c r="A14" s="248" t="str">
        <f>'Other Electriciy Rates'!A14</f>
        <v>Sentinel Lights</v>
      </c>
      <c r="B14" s="100">
        <f>+'Distribution Rate Schedule'!B35*'Forecast Data For 2011'!C17*12</f>
        <v>0</v>
      </c>
      <c r="C14" s="100"/>
      <c r="D14" s="263"/>
      <c r="E14" s="100"/>
      <c r="F14" s="100">
        <f>+'Rates By Rate Class'!K12-'Rates By Rate Class'!H12</f>
        <v>0</v>
      </c>
      <c r="G14" s="12"/>
      <c r="H14" s="12"/>
      <c r="I14" s="13"/>
      <c r="J14" s="14"/>
      <c r="K14" s="14"/>
      <c r="L14" s="14"/>
    </row>
    <row r="15" spans="1:12" ht="19.5" customHeight="1">
      <c r="A15" s="248" t="str">
        <f>'Other Electriciy Rates'!A15</f>
        <v>Street Lighting</v>
      </c>
      <c r="B15" s="100">
        <f>+'Distribution Rate Schedule'!B36*'Forecast Data For 2011'!C20*12</f>
        <v>34341.78</v>
      </c>
      <c r="C15" s="100">
        <f>+'Distribution Rate Schedule'!D36*'Forecast Data For 2011'!C21</f>
        <v>19628.48153950715</v>
      </c>
      <c r="D15" s="263"/>
      <c r="E15" s="100">
        <f t="shared" si="0"/>
        <v>53970.26153950715</v>
      </c>
      <c r="F15" s="100">
        <f>+'Rates By Rate Class'!K13-'Rates By Rate Class'!H13</f>
        <v>53970.45573410987</v>
      </c>
      <c r="G15" s="12"/>
      <c r="H15" s="12"/>
      <c r="I15" s="13"/>
      <c r="J15" s="14"/>
      <c r="K15" s="14"/>
      <c r="L15" s="14"/>
    </row>
    <row r="16" spans="1:12" ht="19.5" customHeight="1">
      <c r="A16" s="248" t="str">
        <f>'Other Electriciy Rates'!A16</f>
        <v>USL</v>
      </c>
      <c r="B16" s="100">
        <f>+'Distribution Rate Schedule'!B37*'Forecast Data For 2011'!C23*12</f>
        <v>5974.021245044425</v>
      </c>
      <c r="C16" s="100">
        <f>+'Distribution Rate Schedule'!E37*'Forecast Data For 2011'!C24</f>
        <v>766.810999806588</v>
      </c>
      <c r="D16" s="263"/>
      <c r="E16" s="100">
        <f t="shared" si="0"/>
        <v>6740.8322448510135</v>
      </c>
      <c r="F16" s="100">
        <f>+'Rates By Rate Class'!K14-'Rates By Rate Class'!H14</f>
        <v>6733.848114924453</v>
      </c>
      <c r="G16" s="12"/>
      <c r="H16" s="12"/>
      <c r="I16" s="13"/>
      <c r="J16" s="14"/>
      <c r="K16" s="14"/>
      <c r="L16" s="14"/>
    </row>
    <row r="17" spans="1:12" ht="19.5" customHeight="1">
      <c r="A17" s="248"/>
      <c r="B17" s="100"/>
      <c r="C17" s="100"/>
      <c r="D17" s="263"/>
      <c r="E17" s="100"/>
      <c r="F17" s="100"/>
      <c r="G17" s="12"/>
      <c r="H17" s="12"/>
      <c r="I17" s="13"/>
      <c r="J17" s="14"/>
      <c r="K17" s="14"/>
      <c r="L17" s="14"/>
    </row>
    <row r="18" spans="1:12" ht="31.5" customHeight="1" thickBot="1">
      <c r="A18" s="57" t="s">
        <v>32</v>
      </c>
      <c r="B18" s="218">
        <f>SUM(B9:B16)</f>
        <v>1962899.9591850075</v>
      </c>
      <c r="C18" s="218">
        <f>SUM(C9:C17)</f>
        <v>908464.1492286217</v>
      </c>
      <c r="D18" s="264">
        <f>SUM(D9:D17)</f>
        <v>21295.2</v>
      </c>
      <c r="E18" s="218">
        <f>SUM(E9:E17)</f>
        <v>2850068.9084136295</v>
      </c>
      <c r="F18" s="218">
        <f>SUM(F9:F17)</f>
        <v>2850944.8270948906</v>
      </c>
      <c r="G18" s="15"/>
      <c r="H18" s="15"/>
      <c r="I18" s="15"/>
      <c r="J18" s="15"/>
      <c r="K18" s="15"/>
      <c r="L18" s="15"/>
    </row>
    <row r="19" spans="6:12" ht="13.5" thickTop="1">
      <c r="F19" s="9"/>
      <c r="G19" s="16"/>
      <c r="H19" s="16"/>
      <c r="I19" s="16"/>
      <c r="J19" s="16"/>
      <c r="K19" s="16"/>
      <c r="L19" s="16"/>
    </row>
    <row r="20" spans="5:7" ht="12.75">
      <c r="E20" s="567" t="s">
        <v>170</v>
      </c>
      <c r="F20" s="567"/>
      <c r="G20" s="8"/>
    </row>
    <row r="21" spans="5:6" ht="12.75">
      <c r="E21" s="215"/>
      <c r="F21" s="216"/>
    </row>
    <row r="22" spans="5:6" ht="13.5" thickBot="1">
      <c r="E22" s="217">
        <f>+F18-E18</f>
        <v>875.9186812611297</v>
      </c>
      <c r="F22" s="216"/>
    </row>
    <row r="25" ht="12.75">
      <c r="E25" s="9"/>
    </row>
  </sheetData>
  <sheetProtection/>
  <mergeCells count="7">
    <mergeCell ref="A6:F6"/>
    <mergeCell ref="E20:F20"/>
    <mergeCell ref="A5:F5"/>
    <mergeCell ref="A1:F1"/>
    <mergeCell ref="A2:F2"/>
    <mergeCell ref="A3:F3"/>
    <mergeCell ref="A4:F4"/>
  </mergeCells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A23" sqref="A23:H23"/>
    </sheetView>
  </sheetViews>
  <sheetFormatPr defaultColWidth="9.140625" defaultRowHeight="12.75"/>
  <cols>
    <col min="1" max="1" width="41.8515625" style="0" bestFit="1" customWidth="1"/>
    <col min="2" max="2" width="16.00390625" style="0" bestFit="1" customWidth="1"/>
    <col min="3" max="4" width="12.7109375" style="0" customWidth="1"/>
    <col min="5" max="5" width="13.140625" style="0" customWidth="1"/>
    <col min="6" max="6" width="12.28125" style="0" customWidth="1"/>
    <col min="7" max="9" width="14.421875" style="0" bestFit="1" customWidth="1"/>
  </cols>
  <sheetData>
    <row r="1" spans="1:9" ht="12.75">
      <c r="A1" s="501">
        <f>+'Revenue Input'!A1</f>
        <v>0</v>
      </c>
      <c r="B1" s="501"/>
      <c r="C1" s="501"/>
      <c r="D1" s="501"/>
      <c r="E1" s="501"/>
      <c r="F1" s="501"/>
      <c r="G1" s="501"/>
      <c r="H1" s="501"/>
      <c r="I1" s="501"/>
    </row>
    <row r="2" spans="1:9" ht="12.75">
      <c r="A2" s="501" t="str">
        <f>+'Revenue Input'!A2</f>
        <v>, License Number , File Number </v>
      </c>
      <c r="B2" s="501"/>
      <c r="C2" s="501"/>
      <c r="D2" s="501"/>
      <c r="E2" s="501"/>
      <c r="F2" s="501"/>
      <c r="G2" s="501"/>
      <c r="H2" s="501"/>
      <c r="I2" s="501"/>
    </row>
    <row r="3" spans="1:9" ht="12.75">
      <c r="A3" s="501">
        <f>+'Revenue Input'!A3</f>
        <v>0</v>
      </c>
      <c r="B3" s="501"/>
      <c r="C3" s="501"/>
      <c r="D3" s="501"/>
      <c r="E3" s="501"/>
      <c r="F3" s="501"/>
      <c r="G3" s="501"/>
      <c r="H3" s="501"/>
      <c r="I3" s="501"/>
    </row>
    <row r="4" spans="1:9" ht="7.5" customHeight="1">
      <c r="A4" s="479"/>
      <c r="B4" s="479"/>
      <c r="C4" s="479"/>
      <c r="D4" s="479"/>
      <c r="E4" s="479"/>
      <c r="F4" s="479"/>
      <c r="G4" s="479"/>
      <c r="H4" s="479"/>
      <c r="I4" s="479"/>
    </row>
    <row r="5" spans="1:9" ht="15.75">
      <c r="A5" s="569" t="s">
        <v>250</v>
      </c>
      <c r="B5" s="503"/>
      <c r="C5" s="503"/>
      <c r="D5" s="503"/>
      <c r="E5" s="503"/>
      <c r="F5" s="503"/>
      <c r="G5" s="503"/>
      <c r="H5" s="503"/>
      <c r="I5" s="503"/>
    </row>
    <row r="6" spans="1:9" ht="8.25" customHeight="1">
      <c r="A6" s="503"/>
      <c r="B6" s="503"/>
      <c r="C6" s="503"/>
      <c r="D6" s="503"/>
      <c r="E6" s="503"/>
      <c r="F6" s="503"/>
      <c r="G6" s="503"/>
      <c r="H6" s="503"/>
      <c r="I6" s="503"/>
    </row>
    <row r="7" spans="1:9" ht="38.25">
      <c r="A7" s="367" t="s">
        <v>0</v>
      </c>
      <c r="B7" s="369" t="s">
        <v>7</v>
      </c>
      <c r="C7" s="369" t="s">
        <v>8</v>
      </c>
      <c r="D7" s="369" t="s">
        <v>9</v>
      </c>
      <c r="E7" s="369" t="s">
        <v>10</v>
      </c>
      <c r="F7" s="369" t="s">
        <v>27</v>
      </c>
      <c r="G7" s="369" t="s">
        <v>11</v>
      </c>
      <c r="H7" s="369" t="s">
        <v>12</v>
      </c>
      <c r="I7" s="369" t="s">
        <v>127</v>
      </c>
    </row>
    <row r="8" spans="1:9" ht="19.5" customHeight="1">
      <c r="A8" s="249" t="str">
        <f>'Dist. Rev. Reconciliation'!A9</f>
        <v>Residential</v>
      </c>
      <c r="B8" s="219">
        <f>+'Forecast Data For 2011'!$C$8</f>
        <v>38188928.15902468</v>
      </c>
      <c r="C8" s="219"/>
      <c r="D8" s="219"/>
      <c r="E8" s="219">
        <f>+'Forecast Data For 2011'!$C$7*12</f>
        <v>56084.63205865862</v>
      </c>
      <c r="F8" s="219"/>
      <c r="G8" s="252">
        <f>+E8*'2010 Existing Rates'!$C$8</f>
        <v>758825.0717536511</v>
      </c>
      <c r="H8" s="252">
        <f>+B8*('2010 Existing Rates'!$E$8-'2010 Existing Rates'!B30)</f>
        <v>378070.38877434435</v>
      </c>
      <c r="I8" s="252">
        <f>+G8+H8</f>
        <v>1136895.4605279956</v>
      </c>
    </row>
    <row r="9" spans="1:9" ht="19.5" customHeight="1">
      <c r="A9" s="249" t="str">
        <f>'Dist. Rev. Reconciliation'!A10</f>
        <v>GS &lt; 50 kW</v>
      </c>
      <c r="B9" s="219">
        <f>+'Forecast Data For 2011'!$C$10</f>
        <v>22359418.212458227</v>
      </c>
      <c r="C9" s="219"/>
      <c r="D9" s="219"/>
      <c r="E9" s="219">
        <f>+'Forecast Data For 2011'!$C$9*12</f>
        <v>8436.429733577765</v>
      </c>
      <c r="F9" s="219"/>
      <c r="G9" s="252">
        <f>+E9*'2010 Existing Rates'!$C$9</f>
        <v>217406.79423429898</v>
      </c>
      <c r="H9" s="252">
        <f>+B9*('2010 Existing Rates'!$E$9-'2010 Existing Rates'!B31)</f>
        <v>89437.6728498329</v>
      </c>
      <c r="I9" s="252">
        <f aca="true" t="shared" si="0" ref="I9:I14">+G9+H9</f>
        <v>306844.4670841319</v>
      </c>
    </row>
    <row r="10" spans="1:9" ht="19.5" customHeight="1">
      <c r="A10" s="249" t="str">
        <f>'Dist. Rev. Reconciliation'!A11</f>
        <v>GS &gt;50</v>
      </c>
      <c r="B10" s="219">
        <f>+'Forecast Data For 2011'!$C$13</f>
        <v>45342065.67161414</v>
      </c>
      <c r="C10" s="219">
        <f>+'Forecast Data For 2011'!$C$12</f>
        <v>116530.31169835008</v>
      </c>
      <c r="D10" s="219">
        <f>'Transformer Allowance'!B12</f>
        <v>35492</v>
      </c>
      <c r="E10" s="219">
        <f>+'Forecast Data For 2011'!$C$11*12</f>
        <v>895.2985089442136</v>
      </c>
      <c r="F10" s="219"/>
      <c r="G10" s="252">
        <f>+E10*'2010 Existing Rates'!$C$10</f>
        <v>333283.822939573</v>
      </c>
      <c r="H10" s="252">
        <f>+C10*('2010 Existing Rates'!$D$10-'2010 Existing Rates'!D32)</f>
        <v>144171.30163319872</v>
      </c>
      <c r="I10" s="252">
        <f t="shared" si="0"/>
        <v>477455.1245727717</v>
      </c>
    </row>
    <row r="11" spans="1:9" ht="19.5" customHeight="1" hidden="1">
      <c r="A11" s="249" t="str">
        <f>'Dist. Rev. Reconciliation'!A12</f>
        <v>Large Use</v>
      </c>
      <c r="B11" s="219">
        <f>'Forecast Data For 2011'!C16</f>
        <v>0</v>
      </c>
      <c r="C11" s="219">
        <f>+'Forecast Data For 2011'!$C$15</f>
        <v>0</v>
      </c>
      <c r="D11" s="219">
        <f>'Transformer Allowance'!B13</f>
        <v>0</v>
      </c>
      <c r="E11" s="219">
        <f>+'Forecast Data For 2011'!$C$14*12</f>
        <v>0</v>
      </c>
      <c r="F11" s="219"/>
      <c r="G11" s="252">
        <f>+E11*'2010 Existing Rates'!$C$11</f>
        <v>0</v>
      </c>
      <c r="H11" s="252">
        <f>+C11*('2010 Existing Rates'!$D$11-'2010 Existing Rates'!D33)</f>
        <v>0</v>
      </c>
      <c r="I11" s="252">
        <f t="shared" si="0"/>
        <v>0</v>
      </c>
    </row>
    <row r="12" spans="1:9" ht="19.5" customHeight="1" hidden="1">
      <c r="A12" s="249" t="str">
        <f>'Dist. Rev. Reconciliation'!A14</f>
        <v>Sentinel Lights</v>
      </c>
      <c r="B12" s="219">
        <f>+'Forecast Data For 2011'!$C$19</f>
        <v>0</v>
      </c>
      <c r="C12" s="219">
        <f>+'Forecast Data For 2011'!$C$18</f>
        <v>0</v>
      </c>
      <c r="D12" s="219"/>
      <c r="E12" s="219"/>
      <c r="F12" s="219">
        <f>+'Forecast Data For 2011'!$C$17*12</f>
        <v>0</v>
      </c>
      <c r="G12" s="252">
        <f>+F12*'2010 Existing Rates'!$B$12</f>
        <v>0</v>
      </c>
      <c r="H12" s="252">
        <f>+C12*('2010 Existing Rates'!$D$12-'2010 Existing Rates'!D34)</f>
        <v>0</v>
      </c>
      <c r="I12" s="252">
        <f t="shared" si="0"/>
        <v>0</v>
      </c>
    </row>
    <row r="13" spans="1:9" ht="19.5" customHeight="1">
      <c r="A13" s="249" t="str">
        <f>'Dist. Rev. Reconciliation'!A15</f>
        <v>Street Lighting</v>
      </c>
      <c r="B13" s="219">
        <f>+'Forecast Data For 2011'!$C$22</f>
        <v>1807975.0364859295</v>
      </c>
      <c r="C13" s="219">
        <f>+'Forecast Data For 2011'!$C$21</f>
        <v>5736.97361884233</v>
      </c>
      <c r="D13" s="219"/>
      <c r="E13" s="219"/>
      <c r="F13" s="219">
        <f>+'Forecast Data For 2011'!$C$20*12</f>
        <v>6600</v>
      </c>
      <c r="G13" s="252">
        <f>+F13*'2010 Existing Rates'!$B$13</f>
        <v>23364</v>
      </c>
      <c r="H13" s="252">
        <f>+C13*('2010 Existing Rates'!$D$13-'2010 Existing Rates'!D35)</f>
        <v>13353.953492579292</v>
      </c>
      <c r="I13" s="252">
        <f t="shared" si="0"/>
        <v>36717.95349257929</v>
      </c>
    </row>
    <row r="14" spans="1:9" ht="19.5" customHeight="1">
      <c r="A14" s="249" t="str">
        <f>'Dist. Rev. Reconciliation'!A16</f>
        <v>USL</v>
      </c>
      <c r="B14" s="219">
        <f>+'Forecast Data For 2011'!$C$24</f>
        <v>144681.32071822416</v>
      </c>
      <c r="C14" s="219"/>
      <c r="D14" s="219"/>
      <c r="E14" s="219"/>
      <c r="F14" s="219">
        <f>+'Forecast Data For 2011'!$C$23*12</f>
        <v>358.76990793833704</v>
      </c>
      <c r="G14" s="252">
        <f>+F14*'2010 Existing Rates'!$B$14</f>
        <v>4664.008803198381</v>
      </c>
      <c r="H14" s="252">
        <f>+B14*('2010 Existing Rates'!$E$14-'2010 Existing Rates'!B36)</f>
        <v>593.193414944719</v>
      </c>
      <c r="I14" s="252">
        <f t="shared" si="0"/>
        <v>5257.2022181431</v>
      </c>
    </row>
    <row r="15" spans="1:9" ht="24.75" customHeight="1" thickBot="1">
      <c r="A15" s="57" t="s">
        <v>40</v>
      </c>
      <c r="B15" s="220">
        <f aca="true" t="shared" si="1" ref="B15:I15">SUM(B8:B14)</f>
        <v>107843068.4003012</v>
      </c>
      <c r="C15" s="220">
        <f t="shared" si="1"/>
        <v>122267.2853171924</v>
      </c>
      <c r="D15" s="220">
        <f t="shared" si="1"/>
        <v>35492</v>
      </c>
      <c r="E15" s="220">
        <f t="shared" si="1"/>
        <v>65416.360301180604</v>
      </c>
      <c r="F15" s="220">
        <f t="shared" si="1"/>
        <v>6958.769907938337</v>
      </c>
      <c r="G15" s="329">
        <f t="shared" si="1"/>
        <v>1337543.6977307214</v>
      </c>
      <c r="H15" s="329">
        <f t="shared" si="1"/>
        <v>625626.5101649</v>
      </c>
      <c r="I15" s="329">
        <f t="shared" si="1"/>
        <v>1963170.2078956217</v>
      </c>
    </row>
    <row r="16" spans="1:9" ht="9.75" customHeight="1" thickTop="1">
      <c r="A16" s="479"/>
      <c r="B16" s="479"/>
      <c r="C16" s="479"/>
      <c r="D16" s="479"/>
      <c r="E16" s="479"/>
      <c r="F16" s="479"/>
      <c r="G16" s="479"/>
      <c r="H16" s="479"/>
      <c r="I16" s="479"/>
    </row>
    <row r="17" spans="1:9" ht="18" customHeight="1">
      <c r="A17" s="570" t="s">
        <v>144</v>
      </c>
      <c r="B17" s="479"/>
      <c r="C17" s="479"/>
      <c r="D17" s="479"/>
      <c r="E17" s="479"/>
      <c r="F17" s="479"/>
      <c r="G17" s="479"/>
      <c r="H17" s="479"/>
      <c r="I17" s="8"/>
    </row>
    <row r="18" spans="1:9" ht="18" customHeight="1">
      <c r="A18" s="571" t="str">
        <f>A10</f>
        <v>GS &gt;50</v>
      </c>
      <c r="B18" s="479"/>
      <c r="C18" s="479"/>
      <c r="D18" s="479"/>
      <c r="E18" s="479"/>
      <c r="F18" s="479"/>
      <c r="G18" s="479"/>
      <c r="H18" s="479"/>
      <c r="I18" s="328">
        <f>-'Transformer Allowance'!C12</f>
        <v>-21295.2</v>
      </c>
    </row>
    <row r="19" spans="1:9" ht="18" customHeight="1">
      <c r="A19" s="571" t="str">
        <f>A11</f>
        <v>Large Use</v>
      </c>
      <c r="B19" s="479"/>
      <c r="C19" s="479"/>
      <c r="D19" s="479"/>
      <c r="E19" s="479"/>
      <c r="F19" s="479"/>
      <c r="G19" s="479"/>
      <c r="H19" s="479"/>
      <c r="I19" s="255">
        <f>'Transformer Allowance'!C13</f>
        <v>0</v>
      </c>
    </row>
    <row r="20" spans="1:9" ht="7.5" customHeight="1">
      <c r="A20" s="479"/>
      <c r="B20" s="479"/>
      <c r="C20" s="479"/>
      <c r="D20" s="479"/>
      <c r="E20" s="479"/>
      <c r="F20" s="479"/>
      <c r="G20" s="479"/>
      <c r="H20" s="479"/>
      <c r="I20" s="255"/>
    </row>
    <row r="21" spans="1:9" ht="18" customHeight="1" thickBot="1">
      <c r="A21" s="490" t="s">
        <v>145</v>
      </c>
      <c r="B21" s="490"/>
      <c r="C21" s="490"/>
      <c r="D21" s="490"/>
      <c r="E21" s="490"/>
      <c r="F21" s="490"/>
      <c r="G21" s="490"/>
      <c r="H21" s="490"/>
      <c r="I21" s="256">
        <f>+I15+I18+I19</f>
        <v>1941875.0078956217</v>
      </c>
    </row>
    <row r="22" spans="1:9" ht="7.5" customHeight="1" thickTop="1">
      <c r="A22" s="479"/>
      <c r="B22" s="479"/>
      <c r="C22" s="479"/>
      <c r="D22" s="479"/>
      <c r="E22" s="479"/>
      <c r="F22" s="479"/>
      <c r="G22" s="479"/>
      <c r="H22" s="479"/>
      <c r="I22" s="257"/>
    </row>
    <row r="23" spans="1:9" ht="18" customHeight="1">
      <c r="A23" s="566" t="s">
        <v>142</v>
      </c>
      <c r="B23" s="566"/>
      <c r="C23" s="566"/>
      <c r="D23" s="566"/>
      <c r="E23" s="566"/>
      <c r="F23" s="566"/>
      <c r="G23" s="566"/>
      <c r="H23" s="566"/>
      <c r="I23" s="258">
        <f>+'Revenue Input'!B9</f>
        <v>357246.326</v>
      </c>
    </row>
    <row r="24" spans="1:9" ht="18" customHeight="1" thickBot="1">
      <c r="A24" s="490" t="s">
        <v>143</v>
      </c>
      <c r="B24" s="490"/>
      <c r="C24" s="490"/>
      <c r="D24" s="490"/>
      <c r="E24" s="490"/>
      <c r="F24" s="490"/>
      <c r="G24" s="490"/>
      <c r="H24" s="490"/>
      <c r="I24" s="259">
        <f>+I21+I23</f>
        <v>2299121.333895622</v>
      </c>
    </row>
    <row r="25" spans="1:9" ht="7.5" customHeight="1">
      <c r="A25" s="479"/>
      <c r="B25" s="479"/>
      <c r="C25" s="479"/>
      <c r="D25" s="479"/>
      <c r="E25" s="479"/>
      <c r="F25" s="479"/>
      <c r="G25" s="479"/>
      <c r="H25" s="479"/>
      <c r="I25" s="257"/>
    </row>
    <row r="26" spans="1:9" ht="18" customHeight="1" thickBot="1">
      <c r="A26" s="490" t="s">
        <v>140</v>
      </c>
      <c r="B26" s="490"/>
      <c r="C26" s="490"/>
      <c r="D26" s="490"/>
      <c r="E26" s="490"/>
      <c r="F26" s="490"/>
      <c r="G26" s="490"/>
      <c r="H26" s="490"/>
      <c r="I26" s="259">
        <f>+'Revenue Input'!B8</f>
        <v>3208191.298576361</v>
      </c>
    </row>
    <row r="27" spans="1:9" ht="7.5" customHeight="1">
      <c r="A27" s="479"/>
      <c r="B27" s="479"/>
      <c r="C27" s="479"/>
      <c r="D27" s="479"/>
      <c r="E27" s="479"/>
      <c r="F27" s="479"/>
      <c r="G27" s="479"/>
      <c r="H27" s="479"/>
      <c r="I27" s="260"/>
    </row>
    <row r="28" spans="1:9" ht="18" customHeight="1" thickBot="1">
      <c r="A28" s="490" t="s">
        <v>141</v>
      </c>
      <c r="B28" s="490"/>
      <c r="C28" s="490"/>
      <c r="D28" s="490"/>
      <c r="E28" s="490"/>
      <c r="F28" s="490"/>
      <c r="G28" s="490"/>
      <c r="H28" s="490"/>
      <c r="I28" s="261">
        <f>+I26-I24</f>
        <v>909069.9646807392</v>
      </c>
    </row>
    <row r="29" ht="13.5" thickTop="1"/>
    <row r="30" spans="7:11" ht="12.75">
      <c r="G30" s="16" t="s">
        <v>255</v>
      </c>
      <c r="H30" s="16"/>
      <c r="I30" s="438">
        <f>+'[1]2011 Rev Deficiency'!$C$67</f>
        <v>909069.9646807397</v>
      </c>
      <c r="J30" s="16"/>
      <c r="K30" s="16"/>
    </row>
    <row r="31" spans="7:11" ht="12.75">
      <c r="G31" s="16"/>
      <c r="H31" s="16"/>
      <c r="I31" s="16"/>
      <c r="J31" s="16"/>
      <c r="K31" s="16"/>
    </row>
    <row r="32" ht="12.75">
      <c r="I32" s="9">
        <f>+I28-I30</f>
        <v>0</v>
      </c>
    </row>
  </sheetData>
  <sheetProtection/>
  <mergeCells count="19">
    <mergeCell ref="A21:H21"/>
    <mergeCell ref="A22:H22"/>
    <mergeCell ref="A23:H23"/>
    <mergeCell ref="A28:H28"/>
    <mergeCell ref="A24:H24"/>
    <mergeCell ref="A25:H25"/>
    <mergeCell ref="A26:H26"/>
    <mergeCell ref="A27:H27"/>
    <mergeCell ref="A16:I16"/>
    <mergeCell ref="A17:H17"/>
    <mergeCell ref="A18:H18"/>
    <mergeCell ref="A19:H19"/>
    <mergeCell ref="A20:H20"/>
    <mergeCell ref="A5:I5"/>
    <mergeCell ref="A6:I6"/>
    <mergeCell ref="A1:I1"/>
    <mergeCell ref="A2:I2"/>
    <mergeCell ref="A3:I3"/>
    <mergeCell ref="A4:I4"/>
  </mergeCells>
  <printOptions/>
  <pageMargins left="0.75" right="0.75" top="1" bottom="1" header="0.5" footer="0.5"/>
  <pageSetup fitToHeight="1" fitToWidth="1" horizontalDpi="355" verticalDpi="355" orientation="landscape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40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3.00390625" style="0" customWidth="1"/>
    <col min="2" max="2" width="78.8515625" style="0" customWidth="1"/>
    <col min="3" max="4" width="9.140625" style="440" customWidth="1"/>
  </cols>
  <sheetData>
    <row r="2" ht="13.5" thickBot="1"/>
    <row r="3" spans="1:4" ht="15">
      <c r="A3" s="572" t="s">
        <v>268</v>
      </c>
      <c r="B3" s="573"/>
      <c r="C3" s="573"/>
      <c r="D3" s="574"/>
    </row>
    <row r="4" spans="1:4" ht="15">
      <c r="A4" s="575" t="s">
        <v>256</v>
      </c>
      <c r="B4" s="576"/>
      <c r="C4" s="576"/>
      <c r="D4" s="577"/>
    </row>
    <row r="5" spans="1:4" ht="15.75" thickBot="1">
      <c r="A5" s="578" t="s">
        <v>270</v>
      </c>
      <c r="B5" s="579"/>
      <c r="C5" s="579"/>
      <c r="D5" s="580"/>
    </row>
    <row r="6" spans="1:4" ht="15.75" thickBot="1">
      <c r="A6" s="453" t="s">
        <v>257</v>
      </c>
      <c r="B6" s="451"/>
      <c r="C6" s="452"/>
      <c r="D6" s="454"/>
    </row>
    <row r="7" spans="1:4" ht="12.75">
      <c r="A7" s="445" t="s">
        <v>258</v>
      </c>
      <c r="B7" s="446"/>
      <c r="C7" s="447" t="s">
        <v>159</v>
      </c>
      <c r="D7" s="455">
        <f>'Rate Schedule (Part 1)'!E12</f>
        <v>19.86</v>
      </c>
    </row>
    <row r="8" spans="1:4" ht="12.75">
      <c r="A8" s="445" t="s">
        <v>87</v>
      </c>
      <c r="B8" s="446"/>
      <c r="C8" s="447" t="s">
        <v>259</v>
      </c>
      <c r="D8" s="456">
        <f>'Rate Schedule (Part 1)'!E13</f>
        <v>0.0145</v>
      </c>
    </row>
    <row r="9" spans="1:4" ht="12.75">
      <c r="A9" s="445" t="s">
        <v>234</v>
      </c>
      <c r="B9" s="446"/>
      <c r="C9" s="447" t="s">
        <v>159</v>
      </c>
      <c r="D9" s="461">
        <f>'[9]8. Smart Meter Rate  Adder'!$C$20</f>
        <v>0.0898917624704141</v>
      </c>
    </row>
    <row r="10" spans="1:4" ht="12.75">
      <c r="A10" s="445" t="s">
        <v>168</v>
      </c>
      <c r="B10" s="446"/>
      <c r="C10" s="447" t="s">
        <v>159</v>
      </c>
      <c r="D10" s="455">
        <f>'Rate Schedule (Part 1)'!E16</f>
        <v>2.0941673818332727</v>
      </c>
    </row>
    <row r="11" spans="1:4" ht="12.75">
      <c r="A11" s="445" t="s">
        <v>269</v>
      </c>
      <c r="B11" s="446"/>
      <c r="C11" s="447" t="s">
        <v>259</v>
      </c>
      <c r="D11" s="457">
        <f>'Rate Schedule (Part 1)'!E18</f>
        <v>-0.0015721359195805511</v>
      </c>
    </row>
    <row r="12" spans="1:4" ht="12.75">
      <c r="A12" s="445" t="s">
        <v>273</v>
      </c>
      <c r="B12" s="446"/>
      <c r="C12" s="447" t="s">
        <v>159</v>
      </c>
      <c r="D12" s="458">
        <v>0.25</v>
      </c>
    </row>
    <row r="13" spans="1:4" ht="13.5" thickBot="1">
      <c r="A13" s="133"/>
      <c r="B13" s="25"/>
      <c r="C13" s="44"/>
      <c r="D13" s="456"/>
    </row>
    <row r="14" spans="1:4" ht="15.75" thickBot="1">
      <c r="A14" s="453" t="s">
        <v>260</v>
      </c>
      <c r="B14" s="451"/>
      <c r="C14" s="452"/>
      <c r="D14" s="454"/>
    </row>
    <row r="15" spans="1:4" ht="12.75">
      <c r="A15" s="445" t="s">
        <v>258</v>
      </c>
      <c r="B15" s="446"/>
      <c r="C15" s="447" t="s">
        <v>159</v>
      </c>
      <c r="D15" s="455">
        <f>'Rate Schedule (Part 1)'!E21</f>
        <v>39.79</v>
      </c>
    </row>
    <row r="16" spans="1:4" ht="12.75">
      <c r="A16" s="445" t="s">
        <v>87</v>
      </c>
      <c r="B16" s="446"/>
      <c r="C16" s="447" t="s">
        <v>259</v>
      </c>
      <c r="D16" s="456">
        <f>'Rate Schedule (Part 1)'!E22</f>
        <v>0.0062</v>
      </c>
    </row>
    <row r="17" spans="1:4" ht="12.75">
      <c r="A17" s="445" t="s">
        <v>234</v>
      </c>
      <c r="B17" s="446"/>
      <c r="C17" s="447" t="s">
        <v>159</v>
      </c>
      <c r="D17" s="461">
        <f>'[9]8. Smart Meter Rate  Adder'!$C$20</f>
        <v>0.0898917624704141</v>
      </c>
    </row>
    <row r="18" spans="1:4" ht="12.75">
      <c r="A18" s="445" t="s">
        <v>168</v>
      </c>
      <c r="B18" s="446"/>
      <c r="C18" s="447" t="s">
        <v>159</v>
      </c>
      <c r="D18" s="455">
        <f>+'Rate Schedule (Part 1)'!E25</f>
        <v>2.0941673818332727</v>
      </c>
    </row>
    <row r="19" spans="1:4" ht="12.75">
      <c r="A19" s="445" t="s">
        <v>269</v>
      </c>
      <c r="B19" s="446"/>
      <c r="C19" s="447" t="s">
        <v>259</v>
      </c>
      <c r="D19" s="457">
        <f>'Rate Schedule (Part 1)'!E27</f>
        <v>-0.0015721359195805518</v>
      </c>
    </row>
    <row r="20" spans="1:4" ht="12.75">
      <c r="A20" s="445" t="s">
        <v>273</v>
      </c>
      <c r="B20" s="446"/>
      <c r="C20" s="447" t="s">
        <v>159</v>
      </c>
      <c r="D20" s="458">
        <v>0.25</v>
      </c>
    </row>
    <row r="21" spans="1:4" ht="13.5" thickBot="1">
      <c r="A21" s="133"/>
      <c r="B21" s="25"/>
      <c r="C21" s="44"/>
      <c r="D21" s="456"/>
    </row>
    <row r="22" spans="1:4" ht="15.75" thickBot="1">
      <c r="A22" s="453" t="s">
        <v>261</v>
      </c>
      <c r="B22" s="451"/>
      <c r="C22" s="452"/>
      <c r="D22" s="454"/>
    </row>
    <row r="23" spans="1:4" ht="12.75">
      <c r="A23" s="445" t="s">
        <v>258</v>
      </c>
      <c r="B23" s="446"/>
      <c r="C23" s="447" t="s">
        <v>159</v>
      </c>
      <c r="D23" s="455">
        <f>'Rate Schedule (Part 1)'!E30</f>
        <v>528.38</v>
      </c>
    </row>
    <row r="24" spans="1:4" ht="12.75">
      <c r="A24" s="445" t="s">
        <v>87</v>
      </c>
      <c r="B24" s="446"/>
      <c r="C24" s="447" t="s">
        <v>264</v>
      </c>
      <c r="D24" s="456">
        <f>'Rate Schedule (Part 1)'!E31</f>
        <v>1.6794</v>
      </c>
    </row>
    <row r="25" spans="1:4" ht="12.75">
      <c r="A25" s="445" t="s">
        <v>234</v>
      </c>
      <c r="B25" s="446"/>
      <c r="C25" s="447" t="s">
        <v>159</v>
      </c>
      <c r="D25" s="461">
        <f>'[9]8. Smart Meter Rate  Adder'!$C$20</f>
        <v>0.0898917624704141</v>
      </c>
    </row>
    <row r="26" spans="1:4" ht="12.75">
      <c r="A26" s="445" t="s">
        <v>168</v>
      </c>
      <c r="B26" s="446"/>
      <c r="C26" s="447" t="s">
        <v>159</v>
      </c>
      <c r="D26" s="455">
        <f>'[7]Recovery of Smart Meter Costs'!$C$21</f>
        <v>2.0941673818332727</v>
      </c>
    </row>
    <row r="27" spans="1:4" ht="12.75">
      <c r="A27" s="445" t="s">
        <v>269</v>
      </c>
      <c r="B27" s="446"/>
      <c r="C27" s="447" t="s">
        <v>264</v>
      </c>
      <c r="D27" s="457">
        <f>'Rate Schedule (Part 1)'!E36</f>
        <v>-0.6117197240049442</v>
      </c>
    </row>
    <row r="28" spans="1:4" ht="12.75">
      <c r="A28" s="445" t="s">
        <v>273</v>
      </c>
      <c r="B28" s="446"/>
      <c r="C28" s="447" t="s">
        <v>159</v>
      </c>
      <c r="D28" s="458">
        <v>0.25</v>
      </c>
    </row>
    <row r="29" spans="1:4" ht="13.5" thickBot="1">
      <c r="A29" s="133"/>
      <c r="B29" s="25"/>
      <c r="C29" s="44"/>
      <c r="D29" s="456"/>
    </row>
    <row r="30" spans="1:4" ht="15.75" thickBot="1">
      <c r="A30" s="453" t="s">
        <v>262</v>
      </c>
      <c r="B30" s="451"/>
      <c r="C30" s="452"/>
      <c r="D30" s="454"/>
    </row>
    <row r="31" spans="1:4" ht="12.75">
      <c r="A31" s="445" t="s">
        <v>263</v>
      </c>
      <c r="B31" s="446"/>
      <c r="C31" s="447" t="s">
        <v>159</v>
      </c>
      <c r="D31" s="455">
        <f>'Rate Schedule (Part 1)'!E61</f>
        <v>16.6514</v>
      </c>
    </row>
    <row r="32" spans="1:4" ht="12.75">
      <c r="A32" s="445" t="s">
        <v>87</v>
      </c>
      <c r="B32" s="446"/>
      <c r="C32" s="447" t="s">
        <v>259</v>
      </c>
      <c r="D32" s="456">
        <f>'Rate Schedule (Part 1)'!E62</f>
        <v>0.0053</v>
      </c>
    </row>
    <row r="33" spans="1:4" ht="12.75" hidden="1">
      <c r="A33" s="445" t="s">
        <v>168</v>
      </c>
      <c r="B33" s="446"/>
      <c r="C33" s="447" t="s">
        <v>159</v>
      </c>
      <c r="D33" s="456">
        <v>0</v>
      </c>
    </row>
    <row r="34" spans="1:4" ht="12.75">
      <c r="A34" s="445" t="s">
        <v>269</v>
      </c>
      <c r="B34" s="446"/>
      <c r="C34" s="447" t="s">
        <v>259</v>
      </c>
      <c r="D34" s="457">
        <f>'Rate Schedule (Part 1)'!E65</f>
        <v>-0.001572369612514053</v>
      </c>
    </row>
    <row r="35" spans="1:4" ht="13.5" thickBot="1">
      <c r="A35" s="133"/>
      <c r="B35" s="25"/>
      <c r="C35" s="44"/>
      <c r="D35" s="456"/>
    </row>
    <row r="36" spans="1:4" ht="15.75" thickBot="1">
      <c r="A36" s="453" t="s">
        <v>212</v>
      </c>
      <c r="B36" s="451"/>
      <c r="C36" s="452"/>
      <c r="D36" s="454"/>
    </row>
    <row r="37" spans="1:4" ht="12.75">
      <c r="A37" s="445" t="s">
        <v>263</v>
      </c>
      <c r="B37" s="446"/>
      <c r="C37" s="447" t="s">
        <v>159</v>
      </c>
      <c r="D37" s="455">
        <f>'Rate Schedule (Part 1)'!E54</f>
        <v>5.2033</v>
      </c>
    </row>
    <row r="38" spans="1:4" ht="12.75">
      <c r="A38" s="445" t="s">
        <v>87</v>
      </c>
      <c r="B38" s="446"/>
      <c r="C38" s="447" t="s">
        <v>264</v>
      </c>
      <c r="D38" s="456">
        <f>'Rate Schedule (Part 1)'!E55</f>
        <v>3.4214</v>
      </c>
    </row>
    <row r="39" spans="1:4" ht="12.75" hidden="1">
      <c r="A39" s="445" t="s">
        <v>168</v>
      </c>
      <c r="B39" s="446"/>
      <c r="C39" s="447" t="s">
        <v>159</v>
      </c>
      <c r="D39" s="456">
        <f>'Rate Schedule (Part 1)'!E56</f>
        <v>0</v>
      </c>
    </row>
    <row r="40" spans="1:4" ht="13.5" thickBot="1">
      <c r="A40" s="448" t="s">
        <v>269</v>
      </c>
      <c r="B40" s="449"/>
      <c r="C40" s="450" t="s">
        <v>264</v>
      </c>
      <c r="D40" s="474">
        <f>'Rate Schedule (Part 1)'!E58</f>
        <v>-0.4954498112435202</v>
      </c>
    </row>
  </sheetData>
  <sheetProtection/>
  <mergeCells count="3">
    <mergeCell ref="A3:D3"/>
    <mergeCell ref="A4:D4"/>
    <mergeCell ref="A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0.8515625" style="0" customWidth="1"/>
    <col min="2" max="2" width="15.7109375" style="0" customWidth="1"/>
    <col min="3" max="3" width="17.57421875" style="0" bestFit="1" customWidth="1"/>
    <col min="4" max="4" width="15.7109375" style="0" customWidth="1"/>
    <col min="5" max="5" width="17.57421875" style="0" bestFit="1" customWidth="1"/>
    <col min="6" max="6" width="15.7109375" style="0" customWidth="1"/>
    <col min="7" max="7" width="17.57421875" style="0" bestFit="1" customWidth="1"/>
    <col min="8" max="8" width="15.7109375" style="0" customWidth="1"/>
    <col min="9" max="9" width="17.57421875" style="0" bestFit="1" customWidth="1"/>
  </cols>
  <sheetData>
    <row r="1" spans="1:9" ht="12.75">
      <c r="A1" s="478">
        <f>+'Revenue Input'!A1</f>
        <v>0</v>
      </c>
      <c r="B1" s="478"/>
      <c r="C1" s="478"/>
      <c r="D1" s="478"/>
      <c r="E1" s="478"/>
      <c r="F1" s="478"/>
      <c r="G1" s="478"/>
      <c r="H1" s="478"/>
      <c r="I1" s="478"/>
    </row>
    <row r="2" spans="1:9" ht="12.75">
      <c r="A2" s="478" t="str">
        <f>+'Revenue Input'!A2</f>
        <v>, License Number , File Number </v>
      </c>
      <c r="B2" s="478"/>
      <c r="C2" s="478"/>
      <c r="D2" s="478"/>
      <c r="E2" s="478"/>
      <c r="F2" s="478"/>
      <c r="G2" s="478"/>
      <c r="H2" s="478"/>
      <c r="I2" s="478"/>
    </row>
    <row r="3" spans="1:9" ht="12.75">
      <c r="A3" s="478">
        <f>+'Revenue Input'!A3</f>
        <v>0</v>
      </c>
      <c r="B3" s="478"/>
      <c r="C3" s="478"/>
      <c r="D3" s="478"/>
      <c r="E3" s="478"/>
      <c r="F3" s="478"/>
      <c r="G3" s="478"/>
      <c r="H3" s="478"/>
      <c r="I3" s="478"/>
    </row>
    <row r="4" spans="1:9" ht="8.25" customHeight="1">
      <c r="A4" s="479"/>
      <c r="B4" s="479"/>
      <c r="C4" s="479"/>
      <c r="D4" s="479"/>
      <c r="E4" s="479"/>
      <c r="F4" s="479"/>
      <c r="G4" s="479"/>
      <c r="H4" s="479"/>
      <c r="I4" s="479"/>
    </row>
    <row r="5" spans="1:9" ht="17.25" customHeight="1">
      <c r="A5" s="8"/>
      <c r="B5" s="8"/>
      <c r="C5" s="8"/>
      <c r="D5" s="8"/>
      <c r="E5" s="8"/>
      <c r="F5" s="8"/>
      <c r="G5" s="8"/>
      <c r="H5" s="8"/>
      <c r="I5" s="8"/>
    </row>
    <row r="6" spans="1:3" ht="15" customHeight="1">
      <c r="A6" s="483" t="s">
        <v>37</v>
      </c>
      <c r="B6" s="483"/>
      <c r="C6" s="483"/>
    </row>
    <row r="7" ht="15" customHeight="1"/>
    <row r="8" spans="1:3" ht="15" customHeight="1">
      <c r="A8" s="484"/>
      <c r="B8" s="484"/>
      <c r="C8" s="484"/>
    </row>
    <row r="9" spans="1:3" ht="15.75">
      <c r="A9" s="481" t="s">
        <v>178</v>
      </c>
      <c r="B9" s="480" t="s">
        <v>221</v>
      </c>
      <c r="C9" s="480"/>
    </row>
    <row r="10" spans="1:3" ht="15.75">
      <c r="A10" s="482"/>
      <c r="B10" s="370" t="s">
        <v>34</v>
      </c>
      <c r="C10" s="371" t="s">
        <v>254</v>
      </c>
    </row>
    <row r="11" spans="1:3" ht="15.75">
      <c r="A11" s="73" t="s">
        <v>35</v>
      </c>
      <c r="B11" s="74"/>
      <c r="C11" s="75"/>
    </row>
    <row r="12" spans="1:9" ht="15.75">
      <c r="A12" s="76" t="str">
        <f>'Forecast Data For 2011'!A11</f>
        <v>GS &gt;50</v>
      </c>
      <c r="B12" s="373">
        <v>35492</v>
      </c>
      <c r="C12" s="253">
        <f>+B12*$B$17</f>
        <v>21295.2</v>
      </c>
      <c r="E12" s="56"/>
      <c r="F12" s="56"/>
      <c r="G12" s="56"/>
      <c r="H12" s="8"/>
      <c r="I12" s="8"/>
    </row>
    <row r="13" spans="1:9" ht="15.75" hidden="1">
      <c r="A13" s="76" t="str">
        <f>'Forecast Data For 2011'!A14</f>
        <v>Large Use</v>
      </c>
      <c r="B13" s="246">
        <v>0</v>
      </c>
      <c r="C13" s="253">
        <f>+B13*$B$17</f>
        <v>0</v>
      </c>
      <c r="E13" s="56"/>
      <c r="F13" s="56"/>
      <c r="G13" s="56"/>
      <c r="H13" s="8"/>
      <c r="I13" s="8"/>
    </row>
    <row r="14" spans="1:9" ht="15.75">
      <c r="A14" s="76"/>
      <c r="B14" s="372">
        <v>0</v>
      </c>
      <c r="C14" s="253">
        <f>+B14*$B$17</f>
        <v>0</v>
      </c>
      <c r="E14" s="56"/>
      <c r="F14" s="56"/>
      <c r="G14" s="56"/>
      <c r="H14" s="8"/>
      <c r="I14" s="8"/>
    </row>
    <row r="15" spans="1:3" ht="15.75">
      <c r="A15" s="77" t="s">
        <v>36</v>
      </c>
      <c r="B15" s="247">
        <f>SUM(B12:B14)</f>
        <v>35492</v>
      </c>
      <c r="C15" s="253">
        <f>SUM(C12:C14)</f>
        <v>21295.2</v>
      </c>
    </row>
    <row r="16" ht="13.5" thickBot="1"/>
    <row r="17" spans="1:2" ht="16.5" thickBot="1">
      <c r="A17" s="5" t="s">
        <v>179</v>
      </c>
      <c r="B17" s="254">
        <v>0.6</v>
      </c>
    </row>
    <row r="18" ht="15">
      <c r="A18" s="4"/>
    </row>
    <row r="19" ht="15.75">
      <c r="A19" s="5"/>
    </row>
    <row r="20" ht="15">
      <c r="A20" s="472"/>
    </row>
    <row r="21" ht="15">
      <c r="A21" s="472"/>
    </row>
    <row r="22" ht="15">
      <c r="A22" s="472"/>
    </row>
    <row r="24" ht="15.75">
      <c r="A24" s="5"/>
    </row>
    <row r="25" ht="15">
      <c r="A25" s="4"/>
    </row>
    <row r="26" ht="15.75">
      <c r="A26" s="5"/>
    </row>
    <row r="27" ht="15">
      <c r="A27" s="4"/>
    </row>
    <row r="28" ht="15">
      <c r="A28" s="4"/>
    </row>
    <row r="29" ht="15">
      <c r="A29" s="4"/>
    </row>
    <row r="31" ht="15.75">
      <c r="A31" s="5"/>
    </row>
    <row r="32" ht="15">
      <c r="A32" s="4"/>
    </row>
    <row r="33" ht="15.75">
      <c r="A33" s="5"/>
    </row>
    <row r="34" ht="15">
      <c r="A34" s="4"/>
    </row>
    <row r="35" ht="15">
      <c r="A35" s="4"/>
    </row>
    <row r="36" ht="15">
      <c r="A36" s="4"/>
    </row>
  </sheetData>
  <sheetProtection/>
  <mergeCells count="8">
    <mergeCell ref="A1:I1"/>
    <mergeCell ref="A2:I2"/>
    <mergeCell ref="A3:I3"/>
    <mergeCell ref="A4:I4"/>
    <mergeCell ref="B9:C9"/>
    <mergeCell ref="A9:A10"/>
    <mergeCell ref="A6:C6"/>
    <mergeCell ref="A8:C8"/>
  </mergeCells>
  <printOptions/>
  <pageMargins left="0.75" right="0.75" top="1" bottom="1" header="0.5" footer="0.5"/>
  <pageSetup fitToHeight="1" fitToWidth="1" horizontalDpi="355" verticalDpi="355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35.7109375" style="0" customWidth="1"/>
    <col min="2" max="2" width="16.140625" style="0" bestFit="1" customWidth="1"/>
    <col min="3" max="3" width="14.421875" style="0" customWidth="1"/>
    <col min="4" max="4" width="13.421875" style="0" bestFit="1" customWidth="1"/>
    <col min="5" max="5" width="13.8515625" style="0" customWidth="1"/>
    <col min="6" max="10" width="10.140625" style="0" customWidth="1"/>
  </cols>
  <sheetData>
    <row r="1" spans="1:3" ht="12.75">
      <c r="A1" s="275">
        <f>+'Revenue Input'!A1</f>
        <v>0</v>
      </c>
      <c r="B1" s="275"/>
      <c r="C1" s="275"/>
    </row>
    <row r="2" spans="1:3" ht="12.75">
      <c r="A2" s="275" t="str">
        <f>+'Revenue Input'!A2</f>
        <v>, License Number , File Number </v>
      </c>
      <c r="B2" s="275"/>
      <c r="C2" s="275"/>
    </row>
    <row r="3" spans="1:3" ht="12.75">
      <c r="A3" s="275">
        <f>+'Revenue Input'!A3</f>
        <v>0</v>
      </c>
      <c r="B3" s="275"/>
      <c r="C3" s="275"/>
    </row>
    <row r="4" spans="1:3" ht="27" customHeight="1">
      <c r="A4" s="485" t="s">
        <v>214</v>
      </c>
      <c r="B4" s="486"/>
      <c r="C4" s="487"/>
    </row>
    <row r="5" spans="1:3" ht="18.75" customHeight="1">
      <c r="A5" s="374" t="s">
        <v>30</v>
      </c>
      <c r="B5" s="374"/>
      <c r="C5" s="375"/>
    </row>
    <row r="6" spans="1:10" ht="26.25" thickBot="1">
      <c r="A6" s="376" t="s">
        <v>24</v>
      </c>
      <c r="B6" s="377" t="s">
        <v>175</v>
      </c>
      <c r="C6" s="376" t="s">
        <v>215</v>
      </c>
      <c r="E6" s="16"/>
      <c r="F6" s="16"/>
      <c r="G6" s="16"/>
      <c r="H6" s="16"/>
      <c r="I6" s="16"/>
      <c r="J6" s="16"/>
    </row>
    <row r="7" spans="1:10" ht="15" customHeight="1">
      <c r="A7" s="378" t="s">
        <v>207</v>
      </c>
      <c r="B7" s="69" t="s">
        <v>176</v>
      </c>
      <c r="C7" s="379">
        <f>'[2]Summary'!$J$13</f>
        <v>4673.719338221552</v>
      </c>
      <c r="E7" s="65"/>
      <c r="F7" s="16"/>
      <c r="G7" s="16"/>
      <c r="H7" s="16"/>
      <c r="I7" s="16"/>
      <c r="J7" s="16"/>
    </row>
    <row r="8" spans="1:10" ht="15" customHeight="1" thickBot="1">
      <c r="A8" s="71"/>
      <c r="B8" s="72" t="s">
        <v>16</v>
      </c>
      <c r="C8" s="380">
        <f>'[3]Summary'!$J$14</f>
        <v>38188928.15902468</v>
      </c>
      <c r="E8" s="16"/>
      <c r="F8" s="16"/>
      <c r="G8" s="16"/>
      <c r="H8" s="16"/>
      <c r="I8" s="16"/>
      <c r="J8" s="16"/>
    </row>
    <row r="9" spans="1:10" ht="15" customHeight="1">
      <c r="A9" s="378" t="s">
        <v>208</v>
      </c>
      <c r="B9" s="69" t="s">
        <v>176</v>
      </c>
      <c r="C9" s="381">
        <f>'[2]Summary'!$J$17</f>
        <v>703.0358111314804</v>
      </c>
      <c r="E9" s="65"/>
      <c r="F9" s="16"/>
      <c r="G9" s="16"/>
      <c r="H9" s="16"/>
      <c r="I9" s="16"/>
      <c r="J9" s="16"/>
    </row>
    <row r="10" spans="1:10" ht="15" customHeight="1" thickBot="1">
      <c r="A10" s="71"/>
      <c r="B10" s="72" t="s">
        <v>16</v>
      </c>
      <c r="C10" s="382">
        <f>'[3]Summary'!$J$18</f>
        <v>22359418.212458227</v>
      </c>
      <c r="E10" s="16"/>
      <c r="F10" s="16"/>
      <c r="G10" s="16"/>
      <c r="H10" s="16"/>
      <c r="I10" s="16"/>
      <c r="J10" s="16"/>
    </row>
    <row r="11" spans="1:10" ht="15" customHeight="1">
      <c r="A11" s="378" t="s">
        <v>209</v>
      </c>
      <c r="B11" s="69" t="s">
        <v>176</v>
      </c>
      <c r="C11" s="383">
        <f>'[2]Summary'!$J$21</f>
        <v>74.60820907868447</v>
      </c>
      <c r="E11" s="16"/>
      <c r="F11" s="16"/>
      <c r="G11" s="16"/>
      <c r="H11" s="16"/>
      <c r="I11" s="16"/>
      <c r="J11" s="16"/>
    </row>
    <row r="12" spans="1:10" ht="15" customHeight="1">
      <c r="A12" s="70"/>
      <c r="B12" s="68" t="s">
        <v>17</v>
      </c>
      <c r="C12" s="381">
        <f>'[3]Summary'!$J$23</f>
        <v>116530.31169835008</v>
      </c>
      <c r="E12" s="16"/>
      <c r="F12" s="16"/>
      <c r="G12" s="16"/>
      <c r="H12" s="16"/>
      <c r="I12" s="16"/>
      <c r="J12" s="16"/>
    </row>
    <row r="13" spans="1:3" ht="30" customHeight="1" thickBot="1">
      <c r="A13" s="71"/>
      <c r="B13" s="72" t="s">
        <v>16</v>
      </c>
      <c r="C13" s="382">
        <f>'[3]Summary'!$J$22</f>
        <v>45342065.67161414</v>
      </c>
    </row>
    <row r="14" spans="1:10" ht="30.75" customHeight="1" hidden="1">
      <c r="A14" s="378" t="s">
        <v>210</v>
      </c>
      <c r="B14" s="277" t="s">
        <v>176</v>
      </c>
      <c r="C14" s="384"/>
      <c r="E14" s="16"/>
      <c r="F14" s="16"/>
      <c r="G14" s="16"/>
      <c r="H14" s="16"/>
      <c r="I14" s="16"/>
      <c r="J14" s="16"/>
    </row>
    <row r="15" spans="1:10" ht="36.75" customHeight="1" hidden="1">
      <c r="A15" s="70"/>
      <c r="B15" s="278" t="s">
        <v>17</v>
      </c>
      <c r="C15" s="385"/>
      <c r="E15" s="16"/>
      <c r="F15" s="16"/>
      <c r="G15" s="16"/>
      <c r="H15" s="16"/>
      <c r="I15" s="16"/>
      <c r="J15" s="16"/>
    </row>
    <row r="16" spans="1:5" ht="36" customHeight="1" hidden="1" thickBot="1">
      <c r="A16" s="71"/>
      <c r="B16" s="279" t="s">
        <v>16</v>
      </c>
      <c r="C16" s="386"/>
      <c r="E16" s="25"/>
    </row>
    <row r="17" spans="1:3" ht="35.25" customHeight="1" hidden="1">
      <c r="A17" s="378" t="s">
        <v>211</v>
      </c>
      <c r="B17" s="277" t="s">
        <v>177</v>
      </c>
      <c r="C17" s="384"/>
    </row>
    <row r="18" spans="1:3" ht="39" customHeight="1" hidden="1">
      <c r="A18" s="70"/>
      <c r="B18" s="278" t="s">
        <v>17</v>
      </c>
      <c r="C18" s="385"/>
    </row>
    <row r="19" spans="1:3" ht="30.75" customHeight="1" hidden="1" thickBot="1">
      <c r="A19" s="71"/>
      <c r="B19" s="72" t="s">
        <v>16</v>
      </c>
      <c r="C19" s="382"/>
    </row>
    <row r="20" spans="1:3" ht="15" customHeight="1">
      <c r="A20" s="378" t="s">
        <v>212</v>
      </c>
      <c r="B20" s="69" t="s">
        <v>177</v>
      </c>
      <c r="C20" s="383">
        <f>'[3]Summary'!$J$26</f>
        <v>550</v>
      </c>
    </row>
    <row r="21" spans="1:3" ht="15" customHeight="1">
      <c r="A21" s="70"/>
      <c r="B21" s="68" t="s">
        <v>17</v>
      </c>
      <c r="C21" s="381">
        <f>'[3]Summary'!$J$28</f>
        <v>5736.97361884233</v>
      </c>
    </row>
    <row r="22" spans="1:3" ht="15" customHeight="1" thickBot="1">
      <c r="A22" s="71"/>
      <c r="B22" s="72" t="s">
        <v>16</v>
      </c>
      <c r="C22" s="382">
        <f>'[3]Summary'!$J$27</f>
        <v>1807975.0364859295</v>
      </c>
    </row>
    <row r="23" spans="1:3" ht="15" customHeight="1">
      <c r="A23" s="378" t="s">
        <v>213</v>
      </c>
      <c r="B23" s="69" t="s">
        <v>177</v>
      </c>
      <c r="C23" s="383">
        <f>'[2]Summary'!$J$31</f>
        <v>29.89749232819475</v>
      </c>
    </row>
    <row r="24" spans="1:3" ht="15" customHeight="1" thickBot="1">
      <c r="A24" s="71"/>
      <c r="B24" s="72" t="s">
        <v>16</v>
      </c>
      <c r="C24" s="381">
        <f>'[3]Summary'!$J$32</f>
        <v>144681.32071822416</v>
      </c>
    </row>
    <row r="25" spans="1:3" ht="15" customHeight="1">
      <c r="A25" s="280" t="s">
        <v>216</v>
      </c>
      <c r="B25" s="69" t="s">
        <v>217</v>
      </c>
      <c r="C25" s="276">
        <f>C7+C9+C11+C14+C17+C20+C23</f>
        <v>6031.260850759911</v>
      </c>
    </row>
    <row r="26" spans="1:3" ht="15" customHeight="1">
      <c r="A26" s="281"/>
      <c r="B26" s="68" t="s">
        <v>17</v>
      </c>
      <c r="C26" s="282">
        <f>C12+C15+C18+C21</f>
        <v>122267.2853171924</v>
      </c>
    </row>
    <row r="27" spans="1:3" ht="15" customHeight="1" thickBot="1">
      <c r="A27" s="71"/>
      <c r="B27" s="72" t="s">
        <v>16</v>
      </c>
      <c r="C27" s="462">
        <f>C8+C10+C13+C22+C24</f>
        <v>107843068.4003012</v>
      </c>
    </row>
    <row r="28" ht="12.75">
      <c r="E28" s="3"/>
    </row>
    <row r="29" spans="1:3" ht="12.75">
      <c r="A29" s="8"/>
      <c r="C29" s="22"/>
    </row>
    <row r="30" ht="12.75">
      <c r="C30" s="22"/>
    </row>
    <row r="31" ht="12.75">
      <c r="C31" s="22"/>
    </row>
  </sheetData>
  <sheetProtection/>
  <mergeCells count="1">
    <mergeCell ref="A4:C4"/>
  </mergeCells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4">
      <selection activeCell="C42" sqref="C42"/>
    </sheetView>
  </sheetViews>
  <sheetFormatPr defaultColWidth="9.28125" defaultRowHeight="12.75"/>
  <cols>
    <col min="1" max="1" width="32.7109375" style="0" bestFit="1" customWidth="1"/>
    <col min="2" max="2" width="16.421875" style="0" customWidth="1"/>
    <col min="3" max="3" width="15.140625" style="0" customWidth="1"/>
    <col min="4" max="4" width="12.00390625" style="0" customWidth="1"/>
    <col min="5" max="5" width="14.421875" style="0" customWidth="1"/>
  </cols>
  <sheetData>
    <row r="1" spans="1:5" ht="12.75">
      <c r="A1" s="478">
        <f>+'Revenue Input'!A1</f>
        <v>0</v>
      </c>
      <c r="B1" s="478"/>
      <c r="C1" s="478"/>
      <c r="D1" s="478"/>
      <c r="E1" s="478"/>
    </row>
    <row r="2" spans="1:5" ht="12.75">
      <c r="A2" s="478" t="str">
        <f>+'Revenue Input'!A2</f>
        <v>, License Number , File Number </v>
      </c>
      <c r="B2" s="478"/>
      <c r="C2" s="478"/>
      <c r="D2" s="478"/>
      <c r="E2" s="478"/>
    </row>
    <row r="3" spans="1:5" ht="12.75">
      <c r="A3" s="478">
        <f>+'Revenue Input'!A3</f>
        <v>0</v>
      </c>
      <c r="B3" s="478"/>
      <c r="C3" s="478"/>
      <c r="D3" s="478"/>
      <c r="E3" s="478"/>
    </row>
    <row r="4" spans="1:5" ht="12.75">
      <c r="A4" s="490"/>
      <c r="B4" s="490"/>
      <c r="C4" s="490"/>
      <c r="D4" s="490"/>
      <c r="E4" s="490"/>
    </row>
    <row r="5" spans="1:5" s="8" customFormat="1" ht="48.75" customHeight="1">
      <c r="A5" s="496" t="s">
        <v>286</v>
      </c>
      <c r="B5" s="496"/>
      <c r="C5" s="496"/>
      <c r="D5" s="496"/>
      <c r="E5" s="496"/>
    </row>
    <row r="6" spans="1:5" s="8" customFormat="1" ht="13.5" thickBot="1">
      <c r="A6" s="498"/>
      <c r="B6" s="498"/>
      <c r="C6" s="498"/>
      <c r="D6" s="498"/>
      <c r="E6" s="498"/>
    </row>
    <row r="7" spans="1:5" ht="13.5" thickBot="1">
      <c r="A7" s="336" t="s">
        <v>0</v>
      </c>
      <c r="B7" s="337" t="s">
        <v>25</v>
      </c>
      <c r="C7" s="337" t="s">
        <v>26</v>
      </c>
      <c r="D7" s="337" t="s">
        <v>17</v>
      </c>
      <c r="E7" s="337" t="s">
        <v>16</v>
      </c>
    </row>
    <row r="8" spans="1:9" ht="12.75">
      <c r="A8" s="79" t="str">
        <f>'Forecast Data For 2011'!A7</f>
        <v>Residential</v>
      </c>
      <c r="B8" s="334"/>
      <c r="C8" s="335">
        <v>13.53</v>
      </c>
      <c r="D8" s="334"/>
      <c r="E8" s="334">
        <v>0.0099</v>
      </c>
      <c r="F8" s="56"/>
      <c r="G8" s="8"/>
      <c r="H8" s="8"/>
      <c r="I8" s="8"/>
    </row>
    <row r="9" spans="1:9" ht="12.75">
      <c r="A9" s="80" t="str">
        <f>'Forecast Data For 2011'!A9</f>
        <v>GS &lt; 50 kW</v>
      </c>
      <c r="B9" s="334"/>
      <c r="C9" s="335">
        <v>25.77</v>
      </c>
      <c r="D9" s="334"/>
      <c r="E9" s="334">
        <v>0.004</v>
      </c>
      <c r="F9" s="8"/>
      <c r="G9" s="8"/>
      <c r="H9" s="8"/>
      <c r="I9" s="8"/>
    </row>
    <row r="10" spans="1:9" ht="12.75">
      <c r="A10" s="80" t="str">
        <f>'Forecast Data For 2011'!A11</f>
        <v>GS &gt;50</v>
      </c>
      <c r="B10" s="334"/>
      <c r="C10" s="335">
        <v>372.26</v>
      </c>
      <c r="D10" s="334">
        <v>1.2372</v>
      </c>
      <c r="E10" s="334"/>
      <c r="F10" s="8"/>
      <c r="G10" s="8"/>
      <c r="H10" s="8"/>
      <c r="I10" s="8"/>
    </row>
    <row r="11" spans="1:9" ht="12.75" hidden="1">
      <c r="A11" s="80" t="str">
        <f>'Forecast Data For 2011'!A14</f>
        <v>Large Use</v>
      </c>
      <c r="B11" s="334"/>
      <c r="C11" s="335"/>
      <c r="D11" s="334"/>
      <c r="E11" s="334"/>
      <c r="F11" s="8"/>
      <c r="G11" s="8"/>
      <c r="H11" s="8"/>
      <c r="I11" s="8"/>
    </row>
    <row r="12" spans="1:9" ht="12.75" hidden="1">
      <c r="A12" s="80" t="str">
        <f>'Forecast Data For 2011'!A17</f>
        <v>Sentinel Lights</v>
      </c>
      <c r="B12" s="335"/>
      <c r="C12" s="335"/>
      <c r="D12" s="334"/>
      <c r="E12" s="334"/>
      <c r="F12" s="8"/>
      <c r="G12" s="8"/>
      <c r="H12" s="8"/>
      <c r="I12" s="8"/>
    </row>
    <row r="13" spans="1:9" ht="12.75">
      <c r="A13" s="80" t="str">
        <f>'Forecast Data For 2011'!A20</f>
        <v>Street Lighting</v>
      </c>
      <c r="B13" s="335">
        <v>3.54</v>
      </c>
      <c r="C13" s="335"/>
      <c r="D13" s="334">
        <v>2.3277</v>
      </c>
      <c r="E13" s="334"/>
      <c r="F13" s="8"/>
      <c r="G13" s="8"/>
      <c r="H13" s="8"/>
      <c r="I13" s="8"/>
    </row>
    <row r="14" spans="1:9" ht="12.75">
      <c r="A14" s="80" t="str">
        <f>'Forecast Data For 2011'!A23</f>
        <v>USL</v>
      </c>
      <c r="B14" s="335">
        <v>13</v>
      </c>
      <c r="C14" s="335"/>
      <c r="D14" s="334"/>
      <c r="E14" s="334">
        <v>0.0041</v>
      </c>
      <c r="F14" s="8"/>
      <c r="G14" s="8"/>
      <c r="H14" s="8"/>
      <c r="I14" s="8"/>
    </row>
    <row r="15" spans="1:5" s="8" customFormat="1" ht="12.75">
      <c r="A15" s="479"/>
      <c r="B15" s="479"/>
      <c r="C15" s="479"/>
      <c r="D15" s="479"/>
      <c r="E15" s="479"/>
    </row>
    <row r="16" spans="1:5" s="8" customFormat="1" ht="18">
      <c r="A16" s="489" t="s">
        <v>218</v>
      </c>
      <c r="B16" s="489"/>
      <c r="C16" s="489"/>
      <c r="D16" s="489"/>
      <c r="E16" s="489"/>
    </row>
    <row r="17" spans="1:5" s="8" customFormat="1" ht="13.5" thickBot="1">
      <c r="A17" s="490"/>
      <c r="B17" s="490"/>
      <c r="C17" s="490"/>
      <c r="D17" s="490"/>
      <c r="E17" s="490"/>
    </row>
    <row r="18" spans="1:9" ht="51.75" customHeight="1" thickBot="1">
      <c r="A18" s="336" t="s">
        <v>0</v>
      </c>
      <c r="B18" s="491" t="s">
        <v>45</v>
      </c>
      <c r="C18" s="497"/>
      <c r="D18" s="491" t="s">
        <v>46</v>
      </c>
      <c r="E18" s="497"/>
      <c r="F18" s="8"/>
      <c r="G18" s="8"/>
      <c r="H18" s="8"/>
      <c r="I18" s="8"/>
    </row>
    <row r="19" spans="1:5" ht="12.75">
      <c r="A19" s="79" t="str">
        <f aca="true" t="shared" si="0" ref="A19:A25">A8</f>
        <v>Residential</v>
      </c>
      <c r="B19" s="494"/>
      <c r="C19" s="494"/>
      <c r="D19" s="494"/>
      <c r="E19" s="494"/>
    </row>
    <row r="20" spans="1:5" ht="12.75">
      <c r="A20" s="79" t="str">
        <f t="shared" si="0"/>
        <v>GS &lt; 50 kW</v>
      </c>
      <c r="B20" s="488"/>
      <c r="C20" s="488"/>
      <c r="D20" s="488"/>
      <c r="E20" s="488"/>
    </row>
    <row r="21" spans="1:5" ht="12.75">
      <c r="A21" s="79" t="str">
        <f t="shared" si="0"/>
        <v>GS &gt;50</v>
      </c>
      <c r="B21" s="495"/>
      <c r="C21" s="495"/>
      <c r="D21" s="488"/>
      <c r="E21" s="488"/>
    </row>
    <row r="22" spans="1:5" ht="12.75" hidden="1">
      <c r="A22" s="79" t="str">
        <f t="shared" si="0"/>
        <v>Large Use</v>
      </c>
      <c r="B22" s="488"/>
      <c r="C22" s="488"/>
      <c r="D22" s="488"/>
      <c r="E22" s="488"/>
    </row>
    <row r="23" spans="1:5" ht="12.75" hidden="1">
      <c r="A23" s="79" t="str">
        <f t="shared" si="0"/>
        <v>Sentinel Lights</v>
      </c>
      <c r="B23" s="495"/>
      <c r="C23" s="495"/>
      <c r="D23" s="488"/>
      <c r="E23" s="488"/>
    </row>
    <row r="24" spans="1:5" ht="12.75">
      <c r="A24" s="79" t="str">
        <f t="shared" si="0"/>
        <v>Street Lighting</v>
      </c>
      <c r="B24" s="495"/>
      <c r="C24" s="495"/>
      <c r="D24" s="488"/>
      <c r="E24" s="488"/>
    </row>
    <row r="25" spans="1:5" ht="12.75">
      <c r="A25" s="79" t="str">
        <f t="shared" si="0"/>
        <v>USL</v>
      </c>
      <c r="B25" s="488"/>
      <c r="C25" s="488"/>
      <c r="D25" s="488"/>
      <c r="E25" s="488"/>
    </row>
    <row r="26" spans="1:5" ht="12.75">
      <c r="A26" s="493"/>
      <c r="B26" s="493"/>
      <c r="C26" s="493"/>
      <c r="D26" s="493"/>
      <c r="E26" s="493"/>
    </row>
    <row r="27" spans="1:5" ht="18">
      <c r="A27" s="489" t="s">
        <v>219</v>
      </c>
      <c r="B27" s="489"/>
      <c r="C27" s="489"/>
      <c r="D27" s="489"/>
      <c r="E27" s="489"/>
    </row>
    <row r="28" spans="1:5" ht="13.5" thickBot="1">
      <c r="A28" s="490"/>
      <c r="B28" s="490"/>
      <c r="C28" s="490"/>
      <c r="D28" s="490"/>
      <c r="E28" s="490"/>
    </row>
    <row r="29" spans="1:5" ht="40.5" customHeight="1" thickBot="1">
      <c r="A29" s="336" t="s">
        <v>0</v>
      </c>
      <c r="B29" s="491" t="s">
        <v>173</v>
      </c>
      <c r="C29" s="492"/>
      <c r="D29" s="491" t="s">
        <v>174</v>
      </c>
      <c r="E29" s="492"/>
    </row>
    <row r="30" spans="1:5" ht="12.75">
      <c r="A30" s="80" t="str">
        <f aca="true" t="shared" si="1" ref="A30:A36">A19</f>
        <v>Residential</v>
      </c>
      <c r="B30" s="488"/>
      <c r="C30" s="488"/>
      <c r="D30" s="488"/>
      <c r="E30" s="488"/>
    </row>
    <row r="31" spans="1:5" ht="12.75">
      <c r="A31" s="80" t="str">
        <f t="shared" si="1"/>
        <v>GS &lt; 50 kW</v>
      </c>
      <c r="B31" s="488"/>
      <c r="C31" s="488"/>
      <c r="D31" s="488"/>
      <c r="E31" s="488"/>
    </row>
    <row r="32" spans="1:5" ht="12.75">
      <c r="A32" s="80" t="str">
        <f t="shared" si="1"/>
        <v>GS &gt;50</v>
      </c>
      <c r="B32" s="488"/>
      <c r="C32" s="488"/>
      <c r="D32" s="488"/>
      <c r="E32" s="488"/>
    </row>
    <row r="33" spans="1:5" ht="12.75" hidden="1">
      <c r="A33" s="80" t="str">
        <f t="shared" si="1"/>
        <v>Large Use</v>
      </c>
      <c r="B33" s="488"/>
      <c r="C33" s="488"/>
      <c r="D33" s="488"/>
      <c r="E33" s="488"/>
    </row>
    <row r="34" spans="1:5" ht="12.75" hidden="1">
      <c r="A34" s="80" t="str">
        <f t="shared" si="1"/>
        <v>Sentinel Lights</v>
      </c>
      <c r="B34" s="488"/>
      <c r="C34" s="488"/>
      <c r="D34" s="488"/>
      <c r="E34" s="488"/>
    </row>
    <row r="35" spans="1:5" ht="12.75">
      <c r="A35" s="80" t="str">
        <f t="shared" si="1"/>
        <v>Street Lighting</v>
      </c>
      <c r="B35" s="488"/>
      <c r="C35" s="488"/>
      <c r="D35" s="488"/>
      <c r="E35" s="488"/>
    </row>
    <row r="36" spans="1:5" ht="12.75">
      <c r="A36" s="80" t="str">
        <f t="shared" si="1"/>
        <v>USL</v>
      </c>
      <c r="B36" s="488"/>
      <c r="C36" s="488"/>
      <c r="D36" s="488"/>
      <c r="E36" s="488"/>
    </row>
    <row r="38" spans="1:5" ht="18">
      <c r="A38" s="489" t="s">
        <v>220</v>
      </c>
      <c r="B38" s="489"/>
      <c r="C38" s="489"/>
      <c r="D38" s="489"/>
      <c r="E38" s="489"/>
    </row>
    <row r="39" spans="1:5" ht="13.5" thickBot="1">
      <c r="A39" s="490"/>
      <c r="B39" s="490"/>
      <c r="C39" s="490"/>
      <c r="D39" s="490"/>
      <c r="E39" s="490"/>
    </row>
    <row r="40" spans="1:2" ht="13.5" thickBot="1">
      <c r="A40" s="387" t="s">
        <v>0</v>
      </c>
      <c r="B40" s="388" t="s">
        <v>191</v>
      </c>
    </row>
    <row r="41" spans="1:2" ht="12.75">
      <c r="A41" s="80" t="str">
        <f aca="true" t="shared" si="2" ref="A41:A47">A30</f>
        <v>Residential</v>
      </c>
      <c r="B41" s="389">
        <v>1</v>
      </c>
    </row>
    <row r="42" spans="1:2" ht="12.75">
      <c r="A42" s="80" t="str">
        <f t="shared" si="2"/>
        <v>GS &lt; 50 kW</v>
      </c>
      <c r="B42" s="389">
        <v>1</v>
      </c>
    </row>
    <row r="43" spans="1:2" ht="12.75">
      <c r="A43" s="80" t="str">
        <f t="shared" si="2"/>
        <v>GS &gt;50</v>
      </c>
      <c r="B43" s="389">
        <v>1</v>
      </c>
    </row>
    <row r="44" spans="1:2" ht="12.75" hidden="1">
      <c r="A44" s="80" t="str">
        <f t="shared" si="2"/>
        <v>Large Use</v>
      </c>
      <c r="B44" s="389"/>
    </row>
    <row r="45" spans="1:2" ht="12.75" hidden="1">
      <c r="A45" s="80" t="str">
        <f t="shared" si="2"/>
        <v>Sentinel Lights</v>
      </c>
      <c r="B45" s="389"/>
    </row>
    <row r="46" spans="1:2" ht="12.75">
      <c r="A46" s="80" t="str">
        <f t="shared" si="2"/>
        <v>Street Lighting</v>
      </c>
      <c r="B46" s="389"/>
    </row>
    <row r="47" spans="1:2" ht="12.75">
      <c r="A47" s="80" t="str">
        <f t="shared" si="2"/>
        <v>USL</v>
      </c>
      <c r="B47" s="389"/>
    </row>
    <row r="50" spans="1:5" s="8" customFormat="1" ht="18">
      <c r="A50" s="489" t="s">
        <v>276</v>
      </c>
      <c r="B50" s="489"/>
      <c r="C50" s="489"/>
      <c r="D50" s="489"/>
      <c r="E50" s="489"/>
    </row>
    <row r="51" spans="1:5" ht="13.5" thickBot="1">
      <c r="A51" s="490"/>
      <c r="B51" s="490"/>
      <c r="C51" s="490"/>
      <c r="D51" s="490"/>
      <c r="E51" s="490"/>
    </row>
    <row r="52" spans="1:5" ht="13.5" thickBot="1">
      <c r="A52" s="336" t="s">
        <v>0</v>
      </c>
      <c r="B52" s="491" t="s">
        <v>55</v>
      </c>
      <c r="C52" s="492"/>
      <c r="D52" s="491" t="s">
        <v>23</v>
      </c>
      <c r="E52" s="492"/>
    </row>
    <row r="53" spans="1:5" ht="12.75">
      <c r="A53" s="80" t="str">
        <f aca="true" t="shared" si="3" ref="A53:A59">A30</f>
        <v>Residential</v>
      </c>
      <c r="B53" s="488">
        <f>E8</f>
        <v>0.0099</v>
      </c>
      <c r="C53" s="488"/>
      <c r="D53" s="488">
        <f>D8</f>
        <v>0</v>
      </c>
      <c r="E53" s="488"/>
    </row>
    <row r="54" spans="1:5" ht="12.75">
      <c r="A54" s="80" t="str">
        <f t="shared" si="3"/>
        <v>GS &lt; 50 kW</v>
      </c>
      <c r="B54" s="488">
        <f>E9</f>
        <v>0.004</v>
      </c>
      <c r="C54" s="488"/>
      <c r="D54" s="488">
        <f>D9</f>
        <v>0</v>
      </c>
      <c r="E54" s="488"/>
    </row>
    <row r="55" spans="1:5" ht="12.75">
      <c r="A55" s="80" t="str">
        <f t="shared" si="3"/>
        <v>GS &gt;50</v>
      </c>
      <c r="B55" s="488">
        <f>E10</f>
        <v>0</v>
      </c>
      <c r="C55" s="488"/>
      <c r="D55" s="488">
        <f>D10</f>
        <v>1.2372</v>
      </c>
      <c r="E55" s="488"/>
    </row>
    <row r="56" spans="1:5" ht="12.75" hidden="1">
      <c r="A56" s="80" t="str">
        <f t="shared" si="3"/>
        <v>Large Use</v>
      </c>
      <c r="B56" s="488">
        <f>E11-B33</f>
        <v>0</v>
      </c>
      <c r="C56" s="488"/>
      <c r="D56" s="488">
        <f>D11-D33</f>
        <v>0</v>
      </c>
      <c r="E56" s="488"/>
    </row>
    <row r="57" spans="1:5" ht="12.75" hidden="1">
      <c r="A57" s="80" t="str">
        <f t="shared" si="3"/>
        <v>Sentinel Lights</v>
      </c>
      <c r="B57" s="488">
        <f>E12-B34</f>
        <v>0</v>
      </c>
      <c r="C57" s="488"/>
      <c r="D57" s="488">
        <f>D12-D34</f>
        <v>0</v>
      </c>
      <c r="E57" s="488"/>
    </row>
    <row r="58" spans="1:5" ht="12.75">
      <c r="A58" s="80" t="str">
        <f t="shared" si="3"/>
        <v>Street Lighting</v>
      </c>
      <c r="B58" s="488">
        <f>E13</f>
        <v>0</v>
      </c>
      <c r="C58" s="488"/>
      <c r="D58" s="488">
        <f>D13</f>
        <v>2.3277</v>
      </c>
      <c r="E58" s="488"/>
    </row>
    <row r="59" spans="1:5" ht="12.75">
      <c r="A59" s="80" t="str">
        <f t="shared" si="3"/>
        <v>USL</v>
      </c>
      <c r="B59" s="488">
        <f>E14</f>
        <v>0.0041</v>
      </c>
      <c r="C59" s="488"/>
      <c r="D59" s="488">
        <f>D14</f>
        <v>0</v>
      </c>
      <c r="E59" s="488"/>
    </row>
  </sheetData>
  <sheetProtection/>
  <mergeCells count="64">
    <mergeCell ref="A38:E38"/>
    <mergeCell ref="A39:E39"/>
    <mergeCell ref="A5:E5"/>
    <mergeCell ref="A16:E16"/>
    <mergeCell ref="A27:E27"/>
    <mergeCell ref="B29:C29"/>
    <mergeCell ref="D29:E29"/>
    <mergeCell ref="D18:E18"/>
    <mergeCell ref="B18:C18"/>
    <mergeCell ref="A6:E6"/>
    <mergeCell ref="A15:E15"/>
    <mergeCell ref="A17:E17"/>
    <mergeCell ref="A1:E1"/>
    <mergeCell ref="A2:E2"/>
    <mergeCell ref="A3:E3"/>
    <mergeCell ref="A4:E4"/>
    <mergeCell ref="D19:E19"/>
    <mergeCell ref="D20:E20"/>
    <mergeCell ref="D21:E21"/>
    <mergeCell ref="D22:E22"/>
    <mergeCell ref="B23:C23"/>
    <mergeCell ref="B19:C19"/>
    <mergeCell ref="B20:C20"/>
    <mergeCell ref="B21:C21"/>
    <mergeCell ref="B22:C22"/>
    <mergeCell ref="D31:E31"/>
    <mergeCell ref="D32:E32"/>
    <mergeCell ref="B33:C33"/>
    <mergeCell ref="D33:E33"/>
    <mergeCell ref="D23:E23"/>
    <mergeCell ref="D24:E24"/>
    <mergeCell ref="D25:E25"/>
    <mergeCell ref="B24:C24"/>
    <mergeCell ref="B25:C25"/>
    <mergeCell ref="A50:E50"/>
    <mergeCell ref="A51:E51"/>
    <mergeCell ref="B52:C52"/>
    <mergeCell ref="D52:E52"/>
    <mergeCell ref="A26:E26"/>
    <mergeCell ref="A28:E28"/>
    <mergeCell ref="D36:E36"/>
    <mergeCell ref="B30:C30"/>
    <mergeCell ref="B31:C31"/>
    <mergeCell ref="B32:C32"/>
    <mergeCell ref="B34:C34"/>
    <mergeCell ref="B35:C35"/>
    <mergeCell ref="B36:C36"/>
    <mergeCell ref="D34:E34"/>
    <mergeCell ref="D35:E35"/>
    <mergeCell ref="D30:E30"/>
    <mergeCell ref="B59:C59"/>
    <mergeCell ref="D59:E59"/>
    <mergeCell ref="B57:C57"/>
    <mergeCell ref="D57:E57"/>
    <mergeCell ref="B58:C58"/>
    <mergeCell ref="D58:E58"/>
    <mergeCell ref="B56:C56"/>
    <mergeCell ref="D56:E56"/>
    <mergeCell ref="B55:C55"/>
    <mergeCell ref="D55:E55"/>
    <mergeCell ref="B53:C53"/>
    <mergeCell ref="D53:E53"/>
    <mergeCell ref="B54:C54"/>
    <mergeCell ref="D54:E54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="85" zoomScaleNormal="85" zoomScalePageLayoutView="0" workbookViewId="0" topLeftCell="A1">
      <selection activeCell="K9" sqref="K9"/>
    </sheetView>
  </sheetViews>
  <sheetFormatPr defaultColWidth="9.140625" defaultRowHeight="12.75"/>
  <cols>
    <col min="1" max="1" width="33.140625" style="0" bestFit="1" customWidth="1"/>
    <col min="2" max="2" width="16.140625" style="0" customWidth="1"/>
    <col min="3" max="3" width="12.7109375" style="0" customWidth="1"/>
    <col min="4" max="4" width="13.28125" style="0" customWidth="1"/>
    <col min="5" max="6" width="13.00390625" style="0" customWidth="1"/>
    <col min="7" max="11" width="14.7109375" style="0" customWidth="1"/>
    <col min="12" max="12" width="17.57421875" style="0" customWidth="1"/>
    <col min="13" max="13" width="15.00390625" style="0" customWidth="1"/>
  </cols>
  <sheetData>
    <row r="1" spans="1:12" ht="12.75">
      <c r="A1" s="478">
        <f>+'Revenue Input'!A1</f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2" ht="12.75">
      <c r="A2" s="478" t="str">
        <f>+'Revenue Input'!A2</f>
        <v>, License Number , File Number 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</row>
    <row r="3" spans="1:12" ht="12.75">
      <c r="A3" s="478">
        <f>+'Revenue Input'!A3</f>
        <v>0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</row>
    <row r="4" spans="1:12" ht="12.75">
      <c r="A4" s="479"/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</row>
    <row r="5" spans="1:12" ht="18" customHeight="1">
      <c r="A5" s="489" t="s">
        <v>222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</row>
    <row r="6" spans="1:12" ht="18" customHeight="1">
      <c r="A6" s="489" t="s">
        <v>28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</row>
    <row r="7" spans="1:12" ht="18" customHeight="1">
      <c r="A7" s="489"/>
      <c r="B7" s="489"/>
      <c r="C7" s="489"/>
      <c r="D7" s="489"/>
      <c r="E7" s="489"/>
      <c r="F7" s="489"/>
      <c r="G7" s="489"/>
      <c r="H7" s="489"/>
      <c r="I7" s="489"/>
      <c r="J7" s="489"/>
      <c r="K7" s="489"/>
      <c r="L7" s="489"/>
    </row>
    <row r="8" spans="1:11" s="2" customFormat="1" ht="38.25">
      <c r="A8" s="369" t="s">
        <v>24</v>
      </c>
      <c r="B8" s="369" t="s">
        <v>7</v>
      </c>
      <c r="C8" s="369" t="s">
        <v>8</v>
      </c>
      <c r="D8" s="369" t="s">
        <v>10</v>
      </c>
      <c r="E8" s="369" t="s">
        <v>27</v>
      </c>
      <c r="F8" s="369" t="s">
        <v>11</v>
      </c>
      <c r="G8" s="369" t="s">
        <v>12</v>
      </c>
      <c r="H8" s="369" t="s">
        <v>192</v>
      </c>
      <c r="I8" s="369" t="s">
        <v>6</v>
      </c>
      <c r="J8" s="369" t="s">
        <v>193</v>
      </c>
      <c r="K8" s="369" t="s">
        <v>128</v>
      </c>
    </row>
    <row r="9" spans="1:11" ht="18" customHeight="1">
      <c r="A9" s="80" t="str">
        <f>'Cost Allocation Study'!A7</f>
        <v>Residential</v>
      </c>
      <c r="B9" s="87">
        <f>+'Forecast Data For 2011'!$C$8</f>
        <v>38188928.15902468</v>
      </c>
      <c r="C9" s="87"/>
      <c r="D9" s="87">
        <f>+'Forecast Data For 2011'!$C$7*12</f>
        <v>56084.63205865862</v>
      </c>
      <c r="E9" s="87"/>
      <c r="F9" s="87">
        <f>+D9*'2010 Existing Rates'!$C$8</f>
        <v>758825.0717536511</v>
      </c>
      <c r="G9" s="87">
        <f>+B9*'2010 Existing Rates'!$B$53</f>
        <v>378070.38877434435</v>
      </c>
      <c r="H9" s="87">
        <f aca="true" t="shared" si="0" ref="H9:H15">+F9+G9</f>
        <v>1136895.4605279956</v>
      </c>
      <c r="I9" s="87"/>
      <c r="J9" s="87">
        <f>H9-I9</f>
        <v>1136895.4605279956</v>
      </c>
      <c r="K9" s="88">
        <f aca="true" t="shared" si="1" ref="K9:K15">+J9/$J$16</f>
        <v>0.5854627387990491</v>
      </c>
    </row>
    <row r="10" spans="1:11" ht="18" customHeight="1">
      <c r="A10" s="80" t="str">
        <f>'Cost Allocation Study'!A8</f>
        <v>GS &lt; 50 kW</v>
      </c>
      <c r="B10" s="87">
        <f>+'Forecast Data For 2011'!$C$10</f>
        <v>22359418.212458227</v>
      </c>
      <c r="C10" s="87"/>
      <c r="D10" s="87">
        <f>+'Forecast Data For 2011'!$C$9*12</f>
        <v>8436.429733577765</v>
      </c>
      <c r="E10" s="87"/>
      <c r="F10" s="87">
        <f>+D10*'2010 Existing Rates'!$C$9</f>
        <v>217406.79423429898</v>
      </c>
      <c r="G10" s="87">
        <f>+B10*'2010 Existing Rates'!$B$54</f>
        <v>89437.6728498329</v>
      </c>
      <c r="H10" s="87">
        <f t="shared" si="0"/>
        <v>306844.4670841319</v>
      </c>
      <c r="I10" s="87"/>
      <c r="J10" s="87">
        <f aca="true" t="shared" si="2" ref="J10:J15">H10-I10</f>
        <v>306844.4670841319</v>
      </c>
      <c r="K10" s="88">
        <f t="shared" si="1"/>
        <v>0.1580145302022576</v>
      </c>
    </row>
    <row r="11" spans="1:11" ht="18" customHeight="1">
      <c r="A11" s="80" t="str">
        <f>'Cost Allocation Study'!A9</f>
        <v>GS &gt;50</v>
      </c>
      <c r="B11" s="87">
        <f>+'Forecast Data For 2011'!$C$13</f>
        <v>45342065.67161414</v>
      </c>
      <c r="C11" s="87">
        <f>+'Forecast Data For 2011'!$C$12</f>
        <v>116530.31169835008</v>
      </c>
      <c r="D11" s="87">
        <f>+'Forecast Data For 2011'!$C$11*12</f>
        <v>895.2985089442136</v>
      </c>
      <c r="E11" s="87"/>
      <c r="F11" s="87">
        <f>+D11*'2010 Existing Rates'!$C$10</f>
        <v>333283.822939573</v>
      </c>
      <c r="G11" s="87">
        <f>+C11*'2010 Existing Rates'!$D$55</f>
        <v>144171.30163319872</v>
      </c>
      <c r="H11" s="87">
        <f t="shared" si="0"/>
        <v>477455.1245727717</v>
      </c>
      <c r="I11" s="87">
        <f>'Transformer Allowance'!C12</f>
        <v>21295.2</v>
      </c>
      <c r="J11" s="87">
        <f t="shared" si="2"/>
        <v>456159.9245727717</v>
      </c>
      <c r="K11" s="88">
        <f t="shared" si="1"/>
        <v>0.2349069444315599</v>
      </c>
    </row>
    <row r="12" spans="1:11" ht="18" customHeight="1" hidden="1">
      <c r="A12" s="80" t="str">
        <f>'Cost Allocation Study'!A10</f>
        <v>Large Use</v>
      </c>
      <c r="B12" s="87">
        <f>'Forecast Data For 2011'!C16</f>
        <v>0</v>
      </c>
      <c r="C12" s="87">
        <f>'Forecast Data For 2011'!C15</f>
        <v>0</v>
      </c>
      <c r="D12" s="87">
        <f>'Forecast Data For 2011'!C14*12</f>
        <v>0</v>
      </c>
      <c r="E12" s="87"/>
      <c r="F12" s="87">
        <f>+D12*'2010 Existing Rates'!$C$11</f>
        <v>0</v>
      </c>
      <c r="G12" s="87">
        <f>+C12*'2010 Existing Rates'!$D$56</f>
        <v>0</v>
      </c>
      <c r="H12" s="87">
        <f t="shared" si="0"/>
        <v>0</v>
      </c>
      <c r="I12" s="87">
        <f>-'Transformer Allowance'!C13</f>
        <v>0</v>
      </c>
      <c r="J12" s="87">
        <f t="shared" si="2"/>
        <v>0</v>
      </c>
      <c r="K12" s="88">
        <f t="shared" si="1"/>
        <v>0</v>
      </c>
    </row>
    <row r="13" spans="1:11" ht="18" customHeight="1" hidden="1">
      <c r="A13" s="80" t="str">
        <f>'Cost Allocation Study'!A11</f>
        <v>Sentinel Lights</v>
      </c>
      <c r="B13" s="87">
        <f>+'Forecast Data For 2011'!$C$19</f>
        <v>0</v>
      </c>
      <c r="C13" s="87">
        <f>+'Forecast Data For 2011'!$C$18</f>
        <v>0</v>
      </c>
      <c r="D13" s="87"/>
      <c r="E13" s="87">
        <f>+'Forecast Data For 2011'!$C$17*12</f>
        <v>0</v>
      </c>
      <c r="F13" s="87">
        <f>+E13*'2010 Existing Rates'!$B$12</f>
        <v>0</v>
      </c>
      <c r="G13" s="87">
        <f>+C13*'2010 Existing Rates'!$D$57</f>
        <v>0</v>
      </c>
      <c r="H13" s="87">
        <f t="shared" si="0"/>
        <v>0</v>
      </c>
      <c r="I13" s="87"/>
      <c r="J13" s="87">
        <f t="shared" si="2"/>
        <v>0</v>
      </c>
      <c r="K13" s="88">
        <f t="shared" si="1"/>
        <v>0</v>
      </c>
    </row>
    <row r="14" spans="1:11" ht="18" customHeight="1">
      <c r="A14" s="80" t="str">
        <f>'Cost Allocation Study'!A12</f>
        <v>Street Lighting</v>
      </c>
      <c r="B14" s="87">
        <f>+'Forecast Data For 2011'!$C$22</f>
        <v>1807975.0364859295</v>
      </c>
      <c r="C14" s="87">
        <f>+'Forecast Data For 2011'!$C$21</f>
        <v>5736.97361884233</v>
      </c>
      <c r="D14" s="87"/>
      <c r="E14" s="87">
        <f>+'Forecast Data For 2011'!$C$20*12</f>
        <v>6600</v>
      </c>
      <c r="F14" s="87">
        <f>+E14*'2010 Existing Rates'!$B$13</f>
        <v>23364</v>
      </c>
      <c r="G14" s="87">
        <f>+C14*'2010 Existing Rates'!$D$58</f>
        <v>13353.953492579292</v>
      </c>
      <c r="H14" s="87">
        <f t="shared" si="0"/>
        <v>36717.95349257929</v>
      </c>
      <c r="I14" s="87"/>
      <c r="J14" s="87">
        <f t="shared" si="2"/>
        <v>36717.95349257929</v>
      </c>
      <c r="K14" s="88">
        <f t="shared" si="1"/>
        <v>0.018908505101144456</v>
      </c>
    </row>
    <row r="15" spans="1:11" ht="18" customHeight="1">
      <c r="A15" s="80" t="str">
        <f>'Cost Allocation Study'!A13</f>
        <v>USL</v>
      </c>
      <c r="B15" s="87">
        <f>+'Forecast Data For 2011'!$C$24</f>
        <v>144681.32071822416</v>
      </c>
      <c r="C15" s="87"/>
      <c r="D15" s="87"/>
      <c r="E15" s="87">
        <f>+'Forecast Data For 2011'!$C$23*12</f>
        <v>358.76990793833704</v>
      </c>
      <c r="F15" s="87">
        <f>+E15*'2010 Existing Rates'!$B$14</f>
        <v>4664.008803198381</v>
      </c>
      <c r="G15" s="87">
        <f>+B15*'2010 Existing Rates'!$B$59</f>
        <v>593.193414944719</v>
      </c>
      <c r="H15" s="87">
        <f t="shared" si="0"/>
        <v>5257.2022181431</v>
      </c>
      <c r="I15" s="87"/>
      <c r="J15" s="87">
        <f t="shared" si="2"/>
        <v>5257.2022181431</v>
      </c>
      <c r="K15" s="88">
        <f t="shared" si="1"/>
        <v>0.0027072814659890214</v>
      </c>
    </row>
    <row r="16" spans="1:11" ht="18" customHeight="1" thickBot="1">
      <c r="A16" s="8"/>
      <c r="B16" s="239">
        <f aca="true" t="shared" si="3" ref="B16:K16">SUM(B9:B15)</f>
        <v>107843068.4003012</v>
      </c>
      <c r="C16" s="239">
        <f t="shared" si="3"/>
        <v>122267.2853171924</v>
      </c>
      <c r="D16" s="239">
        <f t="shared" si="3"/>
        <v>65416.360301180604</v>
      </c>
      <c r="E16" s="239">
        <f t="shared" si="3"/>
        <v>6958.769907938337</v>
      </c>
      <c r="F16" s="239">
        <f t="shared" si="3"/>
        <v>1337543.6977307214</v>
      </c>
      <c r="G16" s="239">
        <f t="shared" si="3"/>
        <v>625626.5101649</v>
      </c>
      <c r="H16" s="239">
        <f t="shared" si="3"/>
        <v>1963170.2078956217</v>
      </c>
      <c r="I16" s="239">
        <f t="shared" si="3"/>
        <v>21295.2</v>
      </c>
      <c r="J16" s="239">
        <f t="shared" si="3"/>
        <v>1941875.0078956215</v>
      </c>
      <c r="K16" s="89">
        <f t="shared" si="3"/>
        <v>1.0000000000000002</v>
      </c>
    </row>
    <row r="17" ht="13.5" thickTop="1"/>
    <row r="18" spans="7:12" ht="12.75">
      <c r="G18" s="22"/>
      <c r="H18" s="22"/>
      <c r="I18" s="22"/>
      <c r="J18" s="22"/>
      <c r="K18" s="22"/>
      <c r="L18" s="22"/>
    </row>
    <row r="19" spans="7:12" ht="12.75">
      <c r="G19" s="55"/>
      <c r="H19" s="3"/>
      <c r="I19" s="3"/>
      <c r="J19" s="3"/>
      <c r="K19" s="1"/>
      <c r="L19" s="1"/>
    </row>
    <row r="20" spans="8:12" ht="12.75">
      <c r="H20" s="55"/>
      <c r="I20" s="55"/>
      <c r="J20" s="55"/>
      <c r="K20" s="55"/>
      <c r="L20" s="55"/>
    </row>
  </sheetData>
  <sheetProtection/>
  <mergeCells count="7">
    <mergeCell ref="A7:L7"/>
    <mergeCell ref="A5:L5"/>
    <mergeCell ref="A6:L6"/>
    <mergeCell ref="A1:L1"/>
    <mergeCell ref="A2:L2"/>
    <mergeCell ref="A3:L3"/>
    <mergeCell ref="A4:L4"/>
  </mergeCells>
  <printOptions/>
  <pageMargins left="0.75" right="0.75" top="1" bottom="1" header="0.5" footer="0.5"/>
  <pageSetup fitToHeight="1" fitToWidth="1" horizontalDpi="355" verticalDpi="355" orientation="landscape" paperSize="5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85" zoomScaleNormal="85" zoomScalePageLayoutView="0" workbookViewId="0" topLeftCell="A1">
      <selection activeCell="F24" sqref="F24"/>
    </sheetView>
  </sheetViews>
  <sheetFormatPr defaultColWidth="9.140625" defaultRowHeight="12.75"/>
  <cols>
    <col min="1" max="1" width="33.140625" style="0" bestFit="1" customWidth="1"/>
    <col min="2" max="2" width="15.8515625" style="266" customWidth="1"/>
    <col min="3" max="3" width="16.140625" style="0" customWidth="1"/>
    <col min="4" max="4" width="20.421875" style="0" customWidth="1"/>
    <col min="5" max="5" width="17.57421875" style="0" customWidth="1"/>
    <col min="6" max="6" width="17.8515625" style="0" customWidth="1"/>
    <col min="7" max="8" width="15.7109375" style="0" customWidth="1"/>
    <col min="9" max="9" width="17.8515625" style="0" bestFit="1" customWidth="1"/>
    <col min="10" max="10" width="14.421875" style="0" customWidth="1"/>
    <col min="11" max="11" width="13.8515625" style="0" customWidth="1"/>
    <col min="12" max="12" width="15.00390625" style="0" customWidth="1"/>
    <col min="13" max="13" width="13.28125" style="0" customWidth="1"/>
  </cols>
  <sheetData>
    <row r="1" spans="1:13" ht="12.75">
      <c r="A1" s="500">
        <f>+'Revenue Input'!A1</f>
        <v>0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</row>
    <row r="2" spans="1:13" ht="12.75">
      <c r="A2" s="500" t="str">
        <f>+'Revenue Input'!A2</f>
        <v>, License Number , File Number 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</row>
    <row r="3" spans="1:13" ht="12.75">
      <c r="A3" s="500">
        <f>+'Revenue Input'!A3</f>
        <v>0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</row>
    <row r="4" spans="1:13" s="8" customFormat="1" ht="10.5" customHeight="1">
      <c r="A4" s="479"/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</row>
    <row r="5" spans="1:14" ht="36" customHeight="1">
      <c r="A5" s="499" t="s">
        <v>186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N5" s="237"/>
    </row>
    <row r="6" spans="1:13" ht="76.5">
      <c r="A6" s="367" t="s">
        <v>24</v>
      </c>
      <c r="B6" s="390" t="s">
        <v>223</v>
      </c>
      <c r="C6" s="369" t="s">
        <v>265</v>
      </c>
      <c r="D6" s="369" t="s">
        <v>224</v>
      </c>
      <c r="E6" s="369" t="s">
        <v>200</v>
      </c>
      <c r="F6" s="369" t="s">
        <v>201</v>
      </c>
      <c r="G6" s="369" t="s">
        <v>252</v>
      </c>
      <c r="H6" s="369" t="s">
        <v>202</v>
      </c>
      <c r="I6" s="369" t="s">
        <v>203</v>
      </c>
      <c r="J6" s="369" t="s">
        <v>204</v>
      </c>
      <c r="K6" s="391" t="s">
        <v>205</v>
      </c>
      <c r="L6" s="392" t="s">
        <v>225</v>
      </c>
      <c r="M6" s="393" t="s">
        <v>226</v>
      </c>
    </row>
    <row r="7" spans="1:13" ht="18" customHeight="1">
      <c r="A7" s="80" t="str">
        <f>'2010 Existing Rates'!A8</f>
        <v>Residential</v>
      </c>
      <c r="B7" s="394">
        <f>'[4]O1 Revenue to cost|RR'!$D$35</f>
        <v>1875272.0458529918</v>
      </c>
      <c r="C7" s="238">
        <f>'2011 Test Yr On Existing Rates'!K9*'Cost Allocation Study'!$C$14</f>
        <v>1669122.0518099363</v>
      </c>
      <c r="D7" s="238">
        <f>+'[4]O1 Revenue to cost|RR'!$D$19</f>
        <v>218819.08535460132</v>
      </c>
      <c r="E7" s="267">
        <f>C7+D7</f>
        <v>1887941.1371645376</v>
      </c>
      <c r="F7" s="268">
        <f>E7/B7</f>
        <v>1.0067558684829556</v>
      </c>
      <c r="G7" s="463">
        <f>'[4]O1 Revenue to cost|RR'!$D$70</f>
        <v>1.0067558684829556</v>
      </c>
      <c r="H7" s="464">
        <v>1.0067</v>
      </c>
      <c r="I7" s="115">
        <f>B7*H7</f>
        <v>1887836.3685602066</v>
      </c>
      <c r="J7" s="115">
        <f aca="true" t="shared" si="0" ref="J7:J13">D7</f>
        <v>218819.08535460132</v>
      </c>
      <c r="K7" s="267">
        <f aca="true" t="shared" si="1" ref="K7:K13">I7-J7</f>
        <v>1669017.2832056053</v>
      </c>
      <c r="L7" s="283">
        <v>0.85</v>
      </c>
      <c r="M7" s="284">
        <v>1.15</v>
      </c>
    </row>
    <row r="8" spans="1:13" ht="18" customHeight="1">
      <c r="A8" s="80" t="str">
        <f>'2010 Existing Rates'!A9</f>
        <v>GS &lt; 50 kW</v>
      </c>
      <c r="B8" s="394">
        <f>'[4]O1 Revenue to cost|RR'!$E$35</f>
        <v>683802.478411069</v>
      </c>
      <c r="C8" s="238">
        <f>'2011 Test Yr On Existing Rates'!K10*'Cost Allocation Study'!$C$14</f>
        <v>450490.73047414195</v>
      </c>
      <c r="D8" s="238">
        <f>+'[4]O1 Revenue to cost|RR'!$E$19</f>
        <v>73283.55842471418</v>
      </c>
      <c r="E8" s="267">
        <f aca="true" t="shared" si="2" ref="E8:E13">C8+D8</f>
        <v>523774.28889885615</v>
      </c>
      <c r="F8" s="268">
        <f aca="true" t="shared" si="3" ref="F8:F14">E8/B8</f>
        <v>0.7659730776582362</v>
      </c>
      <c r="G8" s="463">
        <f>'[4]O1 Revenue to cost|RR'!$E$70</f>
        <v>0.7659730776582362</v>
      </c>
      <c r="H8" s="464">
        <v>0.8</v>
      </c>
      <c r="I8" s="115">
        <f aca="true" t="shared" si="4" ref="I8:I13">B8*H8</f>
        <v>547041.9827288552</v>
      </c>
      <c r="J8" s="115">
        <f t="shared" si="0"/>
        <v>73283.55842471418</v>
      </c>
      <c r="K8" s="267">
        <f t="shared" si="1"/>
        <v>473758.424304141</v>
      </c>
      <c r="L8" s="283">
        <v>0.8</v>
      </c>
      <c r="M8" s="284">
        <v>1.2</v>
      </c>
    </row>
    <row r="9" spans="1:13" ht="19.5" customHeight="1">
      <c r="A9" s="80" t="str">
        <f>'2010 Existing Rates'!A10</f>
        <v>GS &gt;50</v>
      </c>
      <c r="B9" s="394">
        <f>'[4]O1 Revenue to cost|RR'!$F$35</f>
        <v>567692.7789420534</v>
      </c>
      <c r="C9" s="238">
        <f>'2011 Test Yr On Existing Rates'!K11*'Cost Allocation Study'!$C$14</f>
        <v>669706.7722504303</v>
      </c>
      <c r="D9" s="238">
        <f>+'[4]O1 Revenue to cost|RR'!$F$19</f>
        <v>59440.424922008795</v>
      </c>
      <c r="E9" s="267">
        <f t="shared" si="2"/>
        <v>729147.1971724391</v>
      </c>
      <c r="F9" s="268">
        <f t="shared" si="3"/>
        <v>1.2844045656724232</v>
      </c>
      <c r="G9" s="463">
        <f>'[4]O1 Revenue to cost|RR'!$F$70</f>
        <v>1.2844045656724232</v>
      </c>
      <c r="H9" s="464">
        <v>1.245225</v>
      </c>
      <c r="I9" s="115">
        <f t="shared" si="4"/>
        <v>706905.2406581185</v>
      </c>
      <c r="J9" s="115">
        <f>D9</f>
        <v>59440.424922008795</v>
      </c>
      <c r="K9" s="267">
        <f t="shared" si="1"/>
        <v>647464.8157361097</v>
      </c>
      <c r="L9" s="283">
        <v>0.8</v>
      </c>
      <c r="M9" s="284">
        <v>1.8</v>
      </c>
    </row>
    <row r="10" spans="1:13" ht="18" customHeight="1" hidden="1">
      <c r="A10" s="80" t="str">
        <f>'2010 Existing Rates'!A11</f>
        <v>Large Use</v>
      </c>
      <c r="B10" s="394"/>
      <c r="C10" s="238">
        <f>'2011 Test Yr On Existing Rates'!K12*'Cost Allocation Study'!$C$14</f>
        <v>0</v>
      </c>
      <c r="D10" s="238">
        <v>0</v>
      </c>
      <c r="E10" s="267">
        <f t="shared" si="2"/>
        <v>0</v>
      </c>
      <c r="F10" s="268"/>
      <c r="G10" s="463"/>
      <c r="H10" s="464"/>
      <c r="I10" s="115">
        <f t="shared" si="4"/>
        <v>0</v>
      </c>
      <c r="J10" s="115">
        <f t="shared" si="0"/>
        <v>0</v>
      </c>
      <c r="K10" s="267">
        <f t="shared" si="1"/>
        <v>0</v>
      </c>
      <c r="L10" s="283">
        <v>0.85</v>
      </c>
      <c r="M10" s="284">
        <v>1.15</v>
      </c>
    </row>
    <row r="11" spans="1:13" ht="13.5" customHeight="1" hidden="1">
      <c r="A11" s="80" t="str">
        <f>'2010 Existing Rates'!A12</f>
        <v>Sentinel Lights</v>
      </c>
      <c r="B11" s="394"/>
      <c r="C11" s="238">
        <f>'2011 Test Yr On Existing Rates'!K13*'Cost Allocation Study'!$C$14</f>
        <v>0</v>
      </c>
      <c r="D11" s="238">
        <v>0</v>
      </c>
      <c r="E11" s="267">
        <f t="shared" si="2"/>
        <v>0</v>
      </c>
      <c r="F11" s="268"/>
      <c r="G11" s="463"/>
      <c r="H11" s="464"/>
      <c r="I11" s="115">
        <f t="shared" si="4"/>
        <v>0</v>
      </c>
      <c r="J11" s="115">
        <f t="shared" si="0"/>
        <v>0</v>
      </c>
      <c r="K11" s="267">
        <f t="shared" si="1"/>
        <v>0</v>
      </c>
      <c r="L11" s="283">
        <v>0.7</v>
      </c>
      <c r="M11" s="284">
        <v>1.2</v>
      </c>
    </row>
    <row r="12" spans="1:13" ht="18" customHeight="1">
      <c r="A12" s="80" t="str">
        <f>'2010 Existing Rates'!A13</f>
        <v>Street Lighting</v>
      </c>
      <c r="B12" s="394">
        <f>'[4]O1 Revenue to cost|RR'!$J$35</f>
        <v>76164.32294204617</v>
      </c>
      <c r="C12" s="238">
        <f>'2011 Test Yr On Existing Rates'!K14*'Cost Allocation Study'!$C$14</f>
        <v>53907.10755704227</v>
      </c>
      <c r="D12" s="238">
        <f>+'[4]O1 Revenue to cost|RR'!$J$19</f>
        <v>5178.757462683183</v>
      </c>
      <c r="E12" s="267">
        <f t="shared" si="2"/>
        <v>59085.865019725454</v>
      </c>
      <c r="F12" s="268">
        <f t="shared" si="3"/>
        <v>0.7757682696750839</v>
      </c>
      <c r="G12" s="463">
        <f>'[4]O1 Revenue to cost|RR'!$J$70</f>
        <v>0.7757682696750839</v>
      </c>
      <c r="H12" s="464">
        <v>0.7766</v>
      </c>
      <c r="I12" s="115">
        <f t="shared" si="4"/>
        <v>59149.213196793055</v>
      </c>
      <c r="J12" s="115">
        <f t="shared" si="0"/>
        <v>5178.757462683183</v>
      </c>
      <c r="K12" s="267">
        <f>I12-J12</f>
        <v>53970.45573410987</v>
      </c>
      <c r="L12" s="283">
        <v>0.7</v>
      </c>
      <c r="M12" s="284">
        <v>1.2</v>
      </c>
    </row>
    <row r="13" spans="1:13" ht="18" customHeight="1">
      <c r="A13" s="80" t="str">
        <f>'2010 Existing Rates'!A14</f>
        <v>USL</v>
      </c>
      <c r="B13" s="394">
        <f>'[4]O1 Revenue to cost|RR'!$L$35</f>
        <v>5259.672428200743</v>
      </c>
      <c r="C13" s="238">
        <f>'2011 Test Yr On Existing Rates'!K15*'Cost Allocation Study'!$C$14</f>
        <v>7718.310484810561</v>
      </c>
      <c r="D13" s="238">
        <f>'[4]O1 Revenue to cost|RR'!$L$19</f>
        <v>524.4998359925714</v>
      </c>
      <c r="E13" s="267">
        <f t="shared" si="2"/>
        <v>8242.810320803133</v>
      </c>
      <c r="F13" s="268">
        <f t="shared" si="3"/>
        <v>1.5671718026787609</v>
      </c>
      <c r="G13" s="463">
        <f>'[4]O1 Revenue to cost|RR'!$L$70</f>
        <v>1.5671718026787609</v>
      </c>
      <c r="H13" s="464">
        <v>1.38</v>
      </c>
      <c r="I13" s="115">
        <f t="shared" si="4"/>
        <v>7258.347950917024</v>
      </c>
      <c r="J13" s="115">
        <f t="shared" si="0"/>
        <v>524.4998359925714</v>
      </c>
      <c r="K13" s="267">
        <f t="shared" si="1"/>
        <v>6733.848114924453</v>
      </c>
      <c r="L13" s="283">
        <v>0.8</v>
      </c>
      <c r="M13" s="284">
        <v>1.2</v>
      </c>
    </row>
    <row r="14" spans="1:13" ht="18" customHeight="1" thickBot="1">
      <c r="A14" s="82" t="s">
        <v>1</v>
      </c>
      <c r="B14" s="265">
        <f>SUM(B7:B13)</f>
        <v>3208191.298576361</v>
      </c>
      <c r="C14" s="83">
        <f>'Revenue Input'!B10</f>
        <v>2850944.972576361</v>
      </c>
      <c r="D14" s="83">
        <f>SUM(D7:D13)</f>
        <v>357246.32600000006</v>
      </c>
      <c r="E14" s="83">
        <f>SUM(E7:E13)</f>
        <v>3208191.2985763615</v>
      </c>
      <c r="F14" s="268">
        <f t="shared" si="3"/>
        <v>1.0000000000000002</v>
      </c>
      <c r="G14" s="269">
        <v>0.9999999964557681</v>
      </c>
      <c r="H14" s="84"/>
      <c r="I14" s="83">
        <f>SUM(I7:I13)</f>
        <v>3208191.1530948905</v>
      </c>
      <c r="J14" s="83">
        <f>SUM(J7:J13)</f>
        <v>357246.32600000006</v>
      </c>
      <c r="K14" s="83">
        <f>SUM(K7:K13)</f>
        <v>2850944.8270948906</v>
      </c>
      <c r="L14" s="267"/>
      <c r="M14" s="285"/>
    </row>
    <row r="15" ht="13.5" customHeight="1"/>
    <row r="16" spans="2:11" ht="12.75">
      <c r="B16" s="266">
        <f>'Revenue Input'!B8</f>
        <v>3208191.298576361</v>
      </c>
      <c r="I16" s="270">
        <f>+B14</f>
        <v>3208191.298576361</v>
      </c>
      <c r="K16" s="266">
        <f>'Revenue Input'!B10</f>
        <v>2850944.972576361</v>
      </c>
    </row>
    <row r="17" spans="4:9" ht="12.75">
      <c r="D17" s="22">
        <f>+D14+D16</f>
        <v>357246.32600000006</v>
      </c>
      <c r="E17">
        <f>+'Revenue Input'!B9</f>
        <v>357246.326</v>
      </c>
      <c r="F17" s="22">
        <f>+D17-E17</f>
        <v>0</v>
      </c>
      <c r="I17" s="327">
        <f>+I14-I16</f>
        <v>-0.1454814705066383</v>
      </c>
    </row>
    <row r="18" spans="2:11" ht="12.75">
      <c r="B18" s="271">
        <f>B14-B16</f>
        <v>0</v>
      </c>
      <c r="C18" t="s">
        <v>199</v>
      </c>
      <c r="H18" s="439"/>
      <c r="I18" s="439"/>
      <c r="K18" s="271">
        <f>K14-K16</f>
        <v>-0.1454814705066383</v>
      </c>
    </row>
    <row r="19" spans="5:9" ht="12.75">
      <c r="E19" s="66"/>
      <c r="F19" s="8"/>
      <c r="I19" s="441"/>
    </row>
    <row r="20" spans="2:6" ht="12.75">
      <c r="B20" s="473"/>
      <c r="E20" s="66"/>
      <c r="F20" s="8"/>
    </row>
    <row r="21" spans="5:6" ht="12.75">
      <c r="E21" s="8"/>
      <c r="F21" s="471"/>
    </row>
    <row r="28" ht="12.75">
      <c r="H28" s="439"/>
    </row>
  </sheetData>
  <sheetProtection/>
  <mergeCells count="5">
    <mergeCell ref="A5:K5"/>
    <mergeCell ref="A1:M1"/>
    <mergeCell ref="A2:M2"/>
    <mergeCell ref="A3:M3"/>
    <mergeCell ref="A4:M4"/>
  </mergeCells>
  <printOptions/>
  <pageMargins left="0.75" right="0.75" top="1" bottom="1" header="0.5" footer="0.5"/>
  <pageSetup fitToHeight="1" fitToWidth="1" horizontalDpi="355" verticalDpi="355" orientation="landscape" paperSize="5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9">
      <selection activeCell="E18" sqref="E18"/>
    </sheetView>
  </sheetViews>
  <sheetFormatPr defaultColWidth="9.140625" defaultRowHeight="12.75"/>
  <cols>
    <col min="1" max="1" width="32.7109375" style="0" bestFit="1" customWidth="1"/>
    <col min="2" max="2" width="18.57421875" style="270" bestFit="1" customWidth="1"/>
    <col min="3" max="3" width="14.8515625" style="0" bestFit="1" customWidth="1"/>
    <col min="4" max="4" width="14.00390625" style="0" customWidth="1"/>
    <col min="5" max="5" width="19.28125" style="0" customWidth="1"/>
    <col min="6" max="6" width="15.140625" style="0" customWidth="1"/>
    <col min="7" max="7" width="15.00390625" style="0" customWidth="1"/>
    <col min="8" max="8" width="13.140625" style="0" bestFit="1" customWidth="1"/>
    <col min="9" max="9" width="14.140625" style="0" bestFit="1" customWidth="1"/>
    <col min="10" max="10" width="11.421875" style="0" bestFit="1" customWidth="1"/>
    <col min="11" max="11" width="14.140625" style="0" bestFit="1" customWidth="1"/>
  </cols>
  <sheetData>
    <row r="1" spans="1:11" ht="12.75">
      <c r="A1" s="501">
        <f>+'Revenue Input'!A1</f>
        <v>0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</row>
    <row r="2" spans="1:11" ht="12.75">
      <c r="A2" s="501" t="str">
        <f>+'Revenue Input'!A2</f>
        <v>, License Number , File Number 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</row>
    <row r="3" spans="1:11" ht="12.75">
      <c r="A3" s="501">
        <f>+'Revenue Input'!A3</f>
        <v>0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</row>
    <row r="4" spans="1:11" ht="12.75">
      <c r="A4" s="479"/>
      <c r="B4" s="479"/>
      <c r="C4" s="479"/>
      <c r="D4" s="479"/>
      <c r="E4" s="479"/>
      <c r="F4" s="479"/>
      <c r="G4" s="479"/>
      <c r="H4" s="479"/>
      <c r="I4" s="479"/>
      <c r="J4" s="479"/>
      <c r="K4" s="479"/>
    </row>
    <row r="5" spans="1:11" ht="15.75">
      <c r="A5" s="503" t="s">
        <v>227</v>
      </c>
      <c r="B5" s="503"/>
      <c r="C5" s="503"/>
      <c r="D5" s="503"/>
      <c r="E5" s="503"/>
      <c r="F5" s="503"/>
      <c r="G5" s="503"/>
      <c r="H5" s="503"/>
      <c r="I5" s="503"/>
      <c r="J5" s="503"/>
      <c r="K5" s="503"/>
    </row>
    <row r="6" spans="1:11" ht="12.75">
      <c r="A6" s="504"/>
      <c r="B6" s="504"/>
      <c r="C6" s="504"/>
      <c r="D6" s="504"/>
      <c r="E6" s="504"/>
      <c r="F6" s="504"/>
      <c r="G6" s="504"/>
      <c r="H6" s="504"/>
      <c r="I6" s="504"/>
      <c r="J6" s="504"/>
      <c r="K6" s="504"/>
    </row>
    <row r="7" spans="1:11" ht="38.25">
      <c r="A7" s="369" t="s">
        <v>0</v>
      </c>
      <c r="B7" s="390" t="s">
        <v>149</v>
      </c>
      <c r="C7" s="369" t="s">
        <v>129</v>
      </c>
      <c r="D7" s="369" t="s">
        <v>2</v>
      </c>
      <c r="E7" s="369" t="s">
        <v>3</v>
      </c>
      <c r="F7" s="369" t="s">
        <v>4</v>
      </c>
      <c r="G7" s="369" t="s">
        <v>5</v>
      </c>
      <c r="H7" s="369" t="s">
        <v>6</v>
      </c>
      <c r="I7" s="369" t="s">
        <v>150</v>
      </c>
      <c r="J7" s="369" t="s">
        <v>41</v>
      </c>
      <c r="K7" s="369" t="s">
        <v>40</v>
      </c>
    </row>
    <row r="8" spans="1:11" ht="18" customHeight="1">
      <c r="A8" s="98" t="str">
        <f>'Cost Allocation Study'!A7</f>
        <v>Residential</v>
      </c>
      <c r="B8" s="115">
        <f>'Cost Allocation Study'!K7</f>
        <v>1669017.2832056053</v>
      </c>
      <c r="C8" s="85">
        <f aca="true" t="shared" si="0" ref="C8:C14">+B8/$B$15</f>
        <v>0.5854260199438275</v>
      </c>
      <c r="D8" s="332">
        <f aca="true" t="shared" si="1" ref="D8:D13">E24</f>
        <v>19.86269153655027</v>
      </c>
      <c r="E8" s="99">
        <f>+G8/'Forecast Data For 2011'!C8</f>
        <v>0.01453367673406118</v>
      </c>
      <c r="F8" s="100">
        <f>+D8*'Forecast Data For 2011'!C7*12</f>
        <v>1113991.7465220545</v>
      </c>
      <c r="G8" s="100">
        <f>+B8-F8</f>
        <v>555025.5366835508</v>
      </c>
      <c r="H8" s="101"/>
      <c r="I8" s="250">
        <f>+F8+G8+H8</f>
        <v>1669017.2832056053</v>
      </c>
      <c r="J8" s="250">
        <f>+'Allocation Low Voltage Costs'!F8</f>
        <v>0</v>
      </c>
      <c r="K8" s="250">
        <f>+I8+J8</f>
        <v>1669017.2832056053</v>
      </c>
    </row>
    <row r="9" spans="1:11" ht="18" customHeight="1">
      <c r="A9" s="98" t="str">
        <f>'Cost Allocation Study'!A8</f>
        <v>GS &lt; 50 kW</v>
      </c>
      <c r="B9" s="115">
        <f>'Cost Allocation Study'!K8</f>
        <v>473758.424304141</v>
      </c>
      <c r="C9" s="85">
        <f t="shared" si="0"/>
        <v>0.16617593571142528</v>
      </c>
      <c r="D9" s="332">
        <f t="shared" si="1"/>
        <v>39.788087790321036</v>
      </c>
      <c r="E9" s="99">
        <f>+G9/'Forecast Data For 2011'!C10</f>
        <v>0.006175877033810018</v>
      </c>
      <c r="F9" s="100">
        <f>+D9*'Forecast Data For 2011'!C9*12</f>
        <v>335669.4068764668</v>
      </c>
      <c r="G9" s="100">
        <f aca="true" t="shared" si="2" ref="G9:G14">+B9-F9</f>
        <v>138089.0174276742</v>
      </c>
      <c r="H9" s="101"/>
      <c r="I9" s="250">
        <f aca="true" t="shared" si="3" ref="I9:I14">+F9+G9+H9</f>
        <v>473758.424304141</v>
      </c>
      <c r="J9" s="250">
        <f>+'Allocation Low Voltage Costs'!F9</f>
        <v>0</v>
      </c>
      <c r="K9" s="250">
        <f aca="true" t="shared" si="4" ref="K9:K14">+I9+J9</f>
        <v>473758.424304141</v>
      </c>
    </row>
    <row r="10" spans="1:11" ht="17.25" customHeight="1">
      <c r="A10" s="98" t="str">
        <f>'Cost Allocation Study'!A9</f>
        <v>GS &gt;50</v>
      </c>
      <c r="B10" s="115">
        <f>'Cost Allocation Study'!K9</f>
        <v>647464.8157361097</v>
      </c>
      <c r="C10" s="85">
        <f t="shared" si="0"/>
        <v>0.22710534752644637</v>
      </c>
      <c r="D10" s="332">
        <f t="shared" si="1"/>
        <v>528.378841108549</v>
      </c>
      <c r="E10" s="99">
        <f>(+G10+H10)/'Forecast Data For 2011'!C12</f>
        <v>1.679419065148911</v>
      </c>
      <c r="F10" s="100">
        <f>+D10*'Forecast Data For 2011'!C11*12</f>
        <v>473056.78860215546</v>
      </c>
      <c r="G10" s="100">
        <f t="shared" si="2"/>
        <v>174408.02713395428</v>
      </c>
      <c r="H10" s="100">
        <f>'Transformer Allowance'!C12</f>
        <v>21295.2</v>
      </c>
      <c r="I10" s="250">
        <f t="shared" si="3"/>
        <v>668760.0157361097</v>
      </c>
      <c r="J10" s="250">
        <f>+'Allocation Low Voltage Costs'!F10</f>
        <v>0</v>
      </c>
      <c r="K10" s="250">
        <f t="shared" si="4"/>
        <v>668760.0157361097</v>
      </c>
    </row>
    <row r="11" spans="1:11" ht="0.75" customHeight="1" hidden="1">
      <c r="A11" s="98" t="str">
        <f>'Cost Allocation Study'!A10</f>
        <v>Large Use</v>
      </c>
      <c r="B11" s="115">
        <f>'Cost Allocation Study'!K10</f>
        <v>0</v>
      </c>
      <c r="C11" s="85">
        <f t="shared" si="0"/>
        <v>0</v>
      </c>
      <c r="D11" s="332">
        <f t="shared" si="1"/>
        <v>0</v>
      </c>
      <c r="E11" s="99">
        <f>(+G11+H11)/'Forecast Data For 2011'!C13</f>
        <v>0</v>
      </c>
      <c r="F11" s="100">
        <f>+D11*'Forecast Data For 2011'!C12*12</f>
        <v>0</v>
      </c>
      <c r="G11" s="100">
        <f t="shared" si="2"/>
        <v>0</v>
      </c>
      <c r="H11" s="100"/>
      <c r="I11" s="250"/>
      <c r="J11" s="250"/>
      <c r="K11" s="250"/>
    </row>
    <row r="12" spans="1:11" ht="18" customHeight="1" hidden="1">
      <c r="A12" s="98" t="str">
        <f>'Cost Allocation Study'!A11</f>
        <v>Sentinel Lights</v>
      </c>
      <c r="B12" s="115">
        <f>'Cost Allocation Study'!K11</f>
        <v>0</v>
      </c>
      <c r="C12" s="85">
        <f t="shared" si="0"/>
        <v>0</v>
      </c>
      <c r="D12" s="332">
        <f t="shared" si="1"/>
        <v>0</v>
      </c>
      <c r="E12" s="99" t="e">
        <f>(+G12+H12)/'Forecast Data For 2011'!C14</f>
        <v>#DIV/0!</v>
      </c>
      <c r="F12" s="100">
        <f>+D12*'Forecast Data For 2011'!C13*12</f>
        <v>0</v>
      </c>
      <c r="G12" s="100">
        <f t="shared" si="2"/>
        <v>0</v>
      </c>
      <c r="H12" s="101"/>
      <c r="I12" s="250"/>
      <c r="J12" s="250"/>
      <c r="K12" s="250"/>
    </row>
    <row r="13" spans="1:11" ht="18" customHeight="1">
      <c r="A13" s="98" t="str">
        <f>'Cost Allocation Study'!A12</f>
        <v>Street Lighting</v>
      </c>
      <c r="B13" s="115">
        <f>'Cost Allocation Study'!K12</f>
        <v>53970.45573410987</v>
      </c>
      <c r="C13" s="85">
        <f t="shared" si="0"/>
        <v>0.018930726130223185</v>
      </c>
      <c r="D13" s="332">
        <f t="shared" si="1"/>
        <v>5.2033241269114106</v>
      </c>
      <c r="E13" s="99">
        <f>+G13/'Forecast Data For 2011'!C21</f>
        <v>3.421406093280139</v>
      </c>
      <c r="F13" s="100">
        <f>+D13*'Forecast Data For 2011'!C20*12</f>
        <v>34341.93923761531</v>
      </c>
      <c r="G13" s="100">
        <f t="shared" si="2"/>
        <v>19628.516496494558</v>
      </c>
      <c r="H13" s="101"/>
      <c r="I13" s="250">
        <f t="shared" si="3"/>
        <v>53970.45573410987</v>
      </c>
      <c r="J13" s="250">
        <f>+'Allocation Low Voltage Costs'!F13</f>
        <v>0</v>
      </c>
      <c r="K13" s="250">
        <f t="shared" si="4"/>
        <v>53970.45573410987</v>
      </c>
    </row>
    <row r="14" spans="1:11" ht="18" customHeight="1">
      <c r="A14" s="98" t="str">
        <f>'Cost Allocation Study'!A13</f>
        <v>USL</v>
      </c>
      <c r="B14" s="115">
        <f>'Cost Allocation Study'!K13</f>
        <v>6733.848114924453</v>
      </c>
      <c r="C14" s="85">
        <f t="shared" si="0"/>
        <v>0.002361970688077551</v>
      </c>
      <c r="D14" s="332">
        <f>E30</f>
        <v>16.651447264461126</v>
      </c>
      <c r="E14" s="99">
        <f>+G14/'Forecast Data For 2011'!C24</f>
        <v>0.005251610291099276</v>
      </c>
      <c r="F14" s="100">
        <f>+D14*'Forecast Data For 2011'!C23*12</f>
        <v>5974.038202110792</v>
      </c>
      <c r="G14" s="100">
        <f t="shared" si="2"/>
        <v>759.809912813661</v>
      </c>
      <c r="H14" s="101"/>
      <c r="I14" s="250">
        <f t="shared" si="3"/>
        <v>6733.848114924453</v>
      </c>
      <c r="J14" s="250">
        <f>+'Allocation Low Voltage Costs'!F14</f>
        <v>0</v>
      </c>
      <c r="K14" s="250">
        <f t="shared" si="4"/>
        <v>6733.848114924453</v>
      </c>
    </row>
    <row r="15" spans="1:11" ht="18" customHeight="1" thickBot="1">
      <c r="A15" s="90" t="s">
        <v>1</v>
      </c>
      <c r="B15" s="272">
        <f>SUM(B8:B14)</f>
        <v>2850944.8270948906</v>
      </c>
      <c r="C15" s="95">
        <f>SUM(C8:C14)</f>
        <v>0.9999999999999999</v>
      </c>
      <c r="D15" s="96"/>
      <c r="E15" s="97"/>
      <c r="F15" s="94">
        <f aca="true" t="shared" si="5" ref="F15:K15">SUM(F8:F14)</f>
        <v>1963033.9194404026</v>
      </c>
      <c r="G15" s="94">
        <f t="shared" si="5"/>
        <v>887910.9076544875</v>
      </c>
      <c r="H15" s="94">
        <f t="shared" si="5"/>
        <v>21295.2</v>
      </c>
      <c r="I15" s="94">
        <f t="shared" si="5"/>
        <v>2872240.0270948904</v>
      </c>
      <c r="J15" s="94">
        <f t="shared" si="5"/>
        <v>0</v>
      </c>
      <c r="K15" s="94">
        <f t="shared" si="5"/>
        <v>2872240.0270948904</v>
      </c>
    </row>
    <row r="16" spans="4:9" ht="18" customHeight="1" thickBot="1" thickTop="1">
      <c r="D16" s="92" t="s">
        <v>139</v>
      </c>
      <c r="E16" s="92"/>
      <c r="F16" s="93">
        <f>+F15/I15</f>
        <v>0.6834505128131305</v>
      </c>
      <c r="G16" s="93">
        <f>+G15/I15</f>
        <v>0.30913534359193495</v>
      </c>
      <c r="H16" s="93">
        <f>+H15/I15</f>
        <v>0.007414143594934474</v>
      </c>
      <c r="I16" s="93">
        <f>F16+G16+H16</f>
        <v>0.9999999999999999</v>
      </c>
    </row>
    <row r="17" spans="4:10" ht="18" customHeight="1">
      <c r="D17" s="16"/>
      <c r="E17" s="16"/>
      <c r="F17" s="262"/>
      <c r="G17" s="262"/>
      <c r="H17" s="262"/>
      <c r="I17" s="262"/>
      <c r="J17" s="8"/>
    </row>
    <row r="18" ht="12.75">
      <c r="D18" s="8"/>
    </row>
    <row r="19" spans="4:9" ht="12.75">
      <c r="D19" s="56"/>
      <c r="E19" s="56"/>
      <c r="F19" s="17"/>
      <c r="G19" s="17"/>
      <c r="H19" s="17"/>
      <c r="I19" s="17"/>
    </row>
    <row r="22" spans="1:8" ht="18">
      <c r="A22" s="502" t="s">
        <v>187</v>
      </c>
      <c r="B22" s="502"/>
      <c r="C22" s="502"/>
      <c r="D22" s="502"/>
      <c r="E22" s="502"/>
      <c r="F22" s="502"/>
      <c r="G22" s="502"/>
      <c r="H22" s="502"/>
    </row>
    <row r="23" spans="1:7" ht="102">
      <c r="A23" s="369" t="s">
        <v>0</v>
      </c>
      <c r="B23" s="390" t="s">
        <v>188</v>
      </c>
      <c r="C23" s="369" t="s">
        <v>189</v>
      </c>
      <c r="D23" s="369" t="s">
        <v>40</v>
      </c>
      <c r="E23" s="369" t="s">
        <v>190</v>
      </c>
      <c r="F23" s="369" t="s">
        <v>253</v>
      </c>
      <c r="G23" s="369" t="s">
        <v>151</v>
      </c>
    </row>
    <row r="24" spans="1:7" ht="18" customHeight="1">
      <c r="A24" s="98" t="str">
        <f aca="true" t="shared" si="6" ref="A24:A30">A8</f>
        <v>Residential</v>
      </c>
      <c r="B24" s="88">
        <f>('2011 Test Yr On Existing Rates'!G9-'2011 Test Yr On Existing Rates'!I9)/'2011 Test Yr On Existing Rates'!J9</f>
        <v>0.33254630869821694</v>
      </c>
      <c r="C24" s="88">
        <f>1-B24</f>
        <v>0.667453691301783</v>
      </c>
      <c r="D24" s="88">
        <f>SUM(B24:C24)</f>
        <v>1</v>
      </c>
      <c r="E24" s="102">
        <f>+B8*C24/'Forecast Data For 2011'!C7/12</f>
        <v>19.86269153655027</v>
      </c>
      <c r="F24" s="102">
        <f>+'2010 Existing Rates'!C8</f>
        <v>13.53</v>
      </c>
      <c r="G24" s="102">
        <f>'[4]O2 Fixed Charge|Floor|Ceiling'!$D$17</f>
        <v>18.687732057363018</v>
      </c>
    </row>
    <row r="25" spans="1:7" ht="18" customHeight="1">
      <c r="A25" s="98" t="str">
        <f t="shared" si="6"/>
        <v>GS &lt; 50 kW</v>
      </c>
      <c r="B25" s="88">
        <f>('2011 Test Yr On Existing Rates'!G10-'2011 Test Yr On Existing Rates'!I10)/'2011 Test Yr On Existing Rates'!J10</f>
        <v>0.29147559250371136</v>
      </c>
      <c r="C25" s="88">
        <f>1-B25</f>
        <v>0.7085244074962886</v>
      </c>
      <c r="D25" s="88">
        <f aca="true" t="shared" si="7" ref="D25:D30">SUM(B25:C25)</f>
        <v>1</v>
      </c>
      <c r="E25" s="102">
        <f>+B9*C25/'Forecast Data For 2011'!C9/12</f>
        <v>39.788087790321036</v>
      </c>
      <c r="F25" s="102">
        <f>+'2010 Existing Rates'!C9</f>
        <v>25.77</v>
      </c>
      <c r="G25" s="102">
        <f>'[4]O2 Fixed Charge|Floor|Ceiling'!$E$17</f>
        <v>30.854418321575167</v>
      </c>
    </row>
    <row r="26" spans="1:7" ht="18" customHeight="1">
      <c r="A26" s="98" t="str">
        <f t="shared" si="6"/>
        <v>GS &gt;50</v>
      </c>
      <c r="B26" s="88">
        <f>('2011 Test Yr On Existing Rates'!G11-'2011 Test Yr On Existing Rates'!I11)/'2011 Test Yr On Existing Rates'!J11</f>
        <v>0.2693706636949344</v>
      </c>
      <c r="C26" s="88">
        <f>1-B26</f>
        <v>0.7306293363050655</v>
      </c>
      <c r="D26" s="88">
        <f t="shared" si="7"/>
        <v>1</v>
      </c>
      <c r="E26" s="102">
        <f>+B10*C26/'Forecast Data For 2011'!C11/12</f>
        <v>528.378841108549</v>
      </c>
      <c r="F26" s="102">
        <f>+'2010 Existing Rates'!C10</f>
        <v>372.26</v>
      </c>
      <c r="G26" s="102">
        <f>'[4]O2 Fixed Charge|Floor|Ceiling'!$F$17</f>
        <v>81.69489545946763</v>
      </c>
    </row>
    <row r="27" spans="1:7" ht="2.25" customHeight="1" hidden="1">
      <c r="A27" s="98" t="str">
        <f t="shared" si="6"/>
        <v>Large Use</v>
      </c>
      <c r="B27" s="88">
        <v>0</v>
      </c>
      <c r="C27" s="88">
        <v>0</v>
      </c>
      <c r="D27" s="88">
        <f t="shared" si="7"/>
        <v>0</v>
      </c>
      <c r="E27" s="102">
        <f>+B11*C27/'Forecast Data For 2011'!C12/12</f>
        <v>0</v>
      </c>
      <c r="F27" s="102">
        <f>+'2010 Existing Rates'!C11</f>
        <v>0</v>
      </c>
      <c r="G27" s="102">
        <v>0</v>
      </c>
    </row>
    <row r="28" spans="1:7" ht="1.5" customHeight="1" hidden="1">
      <c r="A28" s="98" t="str">
        <f t="shared" si="6"/>
        <v>Sentinel Lights</v>
      </c>
      <c r="B28" s="88">
        <v>0</v>
      </c>
      <c r="C28" s="88">
        <v>0</v>
      </c>
      <c r="D28" s="88">
        <v>0</v>
      </c>
      <c r="E28" s="102">
        <f>+B12*C28/'Forecast Data For 2011'!C13/12</f>
        <v>0</v>
      </c>
      <c r="F28" s="102">
        <f>+'2010 Existing Rates'!C12</f>
        <v>0</v>
      </c>
      <c r="G28" s="102">
        <v>0</v>
      </c>
    </row>
    <row r="29" spans="1:7" ht="18" customHeight="1">
      <c r="A29" s="98" t="str">
        <f t="shared" si="6"/>
        <v>Street Lighting</v>
      </c>
      <c r="B29" s="88">
        <f>('2011 Test Yr On Existing Rates'!G14-'2011 Test Yr On Existing Rates'!I14)/'2011 Test Yr On Existing Rates'!J14</f>
        <v>0.3636900268768555</v>
      </c>
      <c r="C29" s="88">
        <f>'2011 Test Yr On Existing Rates'!F14/'2011 Test Yr On Existing Rates'!H14</f>
        <v>0.6363099731231445</v>
      </c>
      <c r="D29" s="88">
        <f t="shared" si="7"/>
        <v>1</v>
      </c>
      <c r="E29" s="102">
        <f>+B13*C29/'Forecast Data For 2011'!C20/12</f>
        <v>5.2033241269114106</v>
      </c>
      <c r="F29" s="102">
        <f>+'2010 Existing Rates'!B13</f>
        <v>3.54</v>
      </c>
      <c r="G29" s="102">
        <f>'[4]O2 Fixed Charge|Floor|Ceiling'!$J$17</f>
        <v>6.399092305198778</v>
      </c>
    </row>
    <row r="30" spans="1:7" ht="18" customHeight="1">
      <c r="A30" s="98" t="str">
        <f t="shared" si="6"/>
        <v>USL</v>
      </c>
      <c r="B30" s="88">
        <f>('2011 Test Yr On Existing Rates'!G15-'2011 Test Yr On Existing Rates'!I15)/'2011 Test Yr On Existing Rates'!J15</f>
        <v>0.11283442986034524</v>
      </c>
      <c r="C30" s="88">
        <f>'2011 Test Yr On Existing Rates'!F15/'2011 Test Yr On Existing Rates'!H15</f>
        <v>0.8871655701396548</v>
      </c>
      <c r="D30" s="88">
        <f t="shared" si="7"/>
        <v>1</v>
      </c>
      <c r="E30" s="102">
        <f>+B14*C30/'Forecast Data For 2011'!C23/12</f>
        <v>16.651447264461126</v>
      </c>
      <c r="F30" s="102">
        <f>+'2010 Existing Rates'!B14</f>
        <v>13</v>
      </c>
      <c r="G30" s="102">
        <f>'[4]O2 Fixed Charge|Floor|Ceiling'!$L$17</f>
        <v>9.708688041070896</v>
      </c>
    </row>
    <row r="31" spans="1:7" ht="18" customHeight="1">
      <c r="A31" s="98"/>
      <c r="B31" s="273"/>
      <c r="C31" s="88"/>
      <c r="D31" s="88"/>
      <c r="E31" s="102"/>
      <c r="F31" s="102"/>
      <c r="G31" s="102"/>
    </row>
    <row r="32" spans="1:7" ht="18" customHeight="1" thickBot="1">
      <c r="A32" s="104" t="s">
        <v>1</v>
      </c>
      <c r="B32" s="274"/>
      <c r="C32" s="105"/>
      <c r="D32" s="105"/>
      <c r="E32" s="105"/>
      <c r="F32" s="105"/>
      <c r="G32" s="105"/>
    </row>
    <row r="33" ht="13.5" thickTop="1">
      <c r="F33" s="1"/>
    </row>
    <row r="34" spans="3:6" ht="12.75">
      <c r="C34" s="10"/>
      <c r="F34" s="67"/>
    </row>
    <row r="35" ht="12.75">
      <c r="F35" s="67"/>
    </row>
    <row r="36" spans="3:6" ht="12.75">
      <c r="C36" s="3"/>
      <c r="F36" s="67"/>
    </row>
    <row r="37" spans="3:6" ht="12.75">
      <c r="C37" s="3"/>
      <c r="F37" s="67"/>
    </row>
    <row r="38" spans="3:6" ht="10.5" customHeight="1">
      <c r="C38" s="3"/>
      <c r="F38" s="67"/>
    </row>
    <row r="39" spans="3:6" ht="12.75">
      <c r="C39" s="1"/>
      <c r="F39" s="67"/>
    </row>
    <row r="40" spans="3:6" ht="12.75">
      <c r="C40" s="1"/>
      <c r="F40" s="67"/>
    </row>
    <row r="41" spans="3:6" ht="12.75">
      <c r="C41" s="1"/>
      <c r="F41" s="62"/>
    </row>
    <row r="42" spans="3:6" ht="12.75">
      <c r="C42" s="1"/>
      <c r="F42" s="62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</sheetData>
  <sheetProtection/>
  <mergeCells count="7">
    <mergeCell ref="A1:K1"/>
    <mergeCell ref="A2:K2"/>
    <mergeCell ref="A3:K3"/>
    <mergeCell ref="A22:H22"/>
    <mergeCell ref="A4:K4"/>
    <mergeCell ref="A5:K5"/>
    <mergeCell ref="A6:K6"/>
  </mergeCells>
  <printOptions/>
  <pageMargins left="0.75" right="0.75" top="1" bottom="1" header="0.5" footer="0.5"/>
  <pageSetup fitToHeight="1" fitToWidth="1" horizontalDpi="355" verticalDpi="355" orientation="landscape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B19" sqref="B19:B20"/>
    </sheetView>
  </sheetViews>
  <sheetFormatPr defaultColWidth="9.140625" defaultRowHeight="12.75"/>
  <cols>
    <col min="1" max="1" width="32.7109375" style="0" bestFit="1" customWidth="1"/>
    <col min="2" max="2" width="16.00390625" style="0" customWidth="1"/>
    <col min="3" max="3" width="24.7109375" style="0" customWidth="1"/>
    <col min="4" max="4" width="20.7109375" style="0" customWidth="1"/>
    <col min="5" max="5" width="13.7109375" style="0" customWidth="1"/>
    <col min="6" max="6" width="13.421875" style="0" bestFit="1" customWidth="1"/>
  </cols>
  <sheetData>
    <row r="1" spans="1:6" ht="12.75">
      <c r="A1" s="501">
        <f>+'Revenue Input'!A1</f>
        <v>0</v>
      </c>
      <c r="B1" s="501"/>
      <c r="C1" s="501"/>
      <c r="D1" s="501"/>
      <c r="E1" s="501"/>
      <c r="F1" s="501"/>
    </row>
    <row r="2" spans="1:6" ht="12.75">
      <c r="A2" s="501" t="str">
        <f>+'Revenue Input'!A2</f>
        <v>, License Number , File Number </v>
      </c>
      <c r="B2" s="501"/>
      <c r="C2" s="501"/>
      <c r="D2" s="501"/>
      <c r="E2" s="501"/>
      <c r="F2" s="501"/>
    </row>
    <row r="3" spans="1:6" ht="12.75">
      <c r="A3" s="501">
        <f>+'Revenue Input'!A3</f>
        <v>0</v>
      </c>
      <c r="B3" s="501"/>
      <c r="C3" s="501"/>
      <c r="D3" s="501"/>
      <c r="E3" s="501"/>
      <c r="F3" s="501"/>
    </row>
    <row r="4" spans="1:6" ht="12.75">
      <c r="A4" s="479"/>
      <c r="B4" s="479"/>
      <c r="C4" s="479"/>
      <c r="D4" s="479"/>
      <c r="E4" s="479"/>
      <c r="F4" s="479"/>
    </row>
    <row r="5" spans="1:6" s="58" customFormat="1" ht="20.25">
      <c r="A5" s="506" t="s">
        <v>134</v>
      </c>
      <c r="B5" s="506"/>
      <c r="C5" s="506"/>
      <c r="D5" s="506"/>
      <c r="E5" s="506"/>
      <c r="F5" s="506"/>
    </row>
    <row r="6" spans="1:6" ht="38.25" customHeight="1">
      <c r="A6" s="505" t="s">
        <v>0</v>
      </c>
      <c r="B6" s="505" t="s">
        <v>19</v>
      </c>
      <c r="C6" s="505"/>
      <c r="D6" s="507" t="s">
        <v>180</v>
      </c>
      <c r="E6" s="507" t="s">
        <v>20</v>
      </c>
      <c r="F6" s="507" t="s">
        <v>21</v>
      </c>
    </row>
    <row r="7" spans="1:6" ht="12.75">
      <c r="A7" s="505"/>
      <c r="B7" s="106" t="s">
        <v>22</v>
      </c>
      <c r="C7" s="107" t="s">
        <v>23</v>
      </c>
      <c r="D7" s="507"/>
      <c r="E7" s="507"/>
      <c r="F7" s="507"/>
    </row>
    <row r="8" spans="1:6" ht="18" customHeight="1">
      <c r="A8" s="98" t="str">
        <f>'Rates By Rate Class'!A24</f>
        <v>Residential</v>
      </c>
      <c r="B8" s="110">
        <f>+'Other Electriciy Rates'!B24</f>
        <v>0.006917659869882344</v>
      </c>
      <c r="C8" s="110"/>
      <c r="D8" s="115">
        <f>+B8*'2011 Test Yr On Existing Rates'!B9</f>
        <v>264178.0157995048</v>
      </c>
      <c r="E8" s="85">
        <f aca="true" t="shared" si="0" ref="E8:E14">D8/$D$15</f>
        <v>0.37561281844626115</v>
      </c>
      <c r="F8" s="86">
        <f aca="true" t="shared" si="1" ref="F8:F14">+$F$15*E8</f>
        <v>0</v>
      </c>
    </row>
    <row r="9" spans="1:6" ht="18" customHeight="1">
      <c r="A9" s="98" t="str">
        <f>'Rates By Rate Class'!A25</f>
        <v>GS &lt; 50 kW</v>
      </c>
      <c r="B9" s="110">
        <f>+'Other Electriciy Rates'!B25</f>
        <v>0.006087494307772416</v>
      </c>
      <c r="C9" s="110"/>
      <c r="D9" s="115">
        <f>+B9*'2011 Test Yr On Existing Rates'!B10</f>
        <v>136112.83109344234</v>
      </c>
      <c r="E9" s="85">
        <f t="shared" si="0"/>
        <v>0.19352754981894144</v>
      </c>
      <c r="F9" s="86">
        <f t="shared" si="1"/>
        <v>0</v>
      </c>
    </row>
    <row r="10" spans="1:6" ht="18" customHeight="1">
      <c r="A10" s="98" t="str">
        <f>'Rates By Rate Class'!A26</f>
        <v>GS &gt;50</v>
      </c>
      <c r="B10" s="110"/>
      <c r="C10" s="110">
        <f>+'Other Electriciy Rates'!F26</f>
        <v>2.4996462231388983</v>
      </c>
      <c r="D10" s="115">
        <f>+C10*'2011 Test Yr On Existing Rates'!C11</f>
        <v>291284.55351797934</v>
      </c>
      <c r="E10" s="85">
        <f t="shared" si="0"/>
        <v>0.4141533571051755</v>
      </c>
      <c r="F10" s="86">
        <f t="shared" si="1"/>
        <v>0</v>
      </c>
    </row>
    <row r="11" spans="1:6" ht="18" customHeight="1" hidden="1">
      <c r="A11" s="98" t="str">
        <f>'Rates By Rate Class'!A27</f>
        <v>Large Use</v>
      </c>
      <c r="B11" s="110"/>
      <c r="C11" s="110"/>
      <c r="D11" s="115">
        <f>+C11*'2011 Test Yr On Existing Rates'!C12</f>
        <v>0</v>
      </c>
      <c r="E11" s="85">
        <f t="shared" si="0"/>
        <v>0</v>
      </c>
      <c r="F11" s="86">
        <f t="shared" si="1"/>
        <v>0</v>
      </c>
    </row>
    <row r="12" spans="1:6" ht="18" customHeight="1" hidden="1">
      <c r="A12" s="98" t="str">
        <f>'Rates By Rate Class'!A28</f>
        <v>Sentinel Lights</v>
      </c>
      <c r="B12" s="110"/>
      <c r="C12" s="110"/>
      <c r="D12" s="115">
        <f>+C12*'2011 Test Yr On Existing Rates'!C13</f>
        <v>0</v>
      </c>
      <c r="E12" s="85">
        <f t="shared" si="0"/>
        <v>0</v>
      </c>
      <c r="F12" s="86">
        <f t="shared" si="1"/>
        <v>0</v>
      </c>
    </row>
    <row r="13" spans="1:6" ht="18" customHeight="1">
      <c r="A13" s="98" t="str">
        <f>'Rates By Rate Class'!A29</f>
        <v>Street Lighting</v>
      </c>
      <c r="B13" s="110"/>
      <c r="C13" s="110">
        <f>+'Other Electriciy Rates'!F29</f>
        <v>1.8945877048742916</v>
      </c>
      <c r="D13" s="115">
        <f>+C13*'2011 Test Yr On Existing Rates'!C14</f>
        <v>10869.19968144685</v>
      </c>
      <c r="E13" s="85">
        <f t="shared" si="0"/>
        <v>0.015454013893805267</v>
      </c>
      <c r="F13" s="86">
        <f t="shared" si="1"/>
        <v>0</v>
      </c>
    </row>
    <row r="14" spans="1:6" ht="18" customHeight="1">
      <c r="A14" s="98" t="str">
        <f>'Rates By Rate Class'!A30</f>
        <v>USL</v>
      </c>
      <c r="B14" s="110">
        <f>'Other Electriciy Rates'!B30</f>
        <v>0.006087494307772416</v>
      </c>
      <c r="C14" s="110"/>
      <c r="D14" s="115">
        <f>+B14*'2011 Test Yr On Existing Rates'!B15</f>
        <v>880.7467163131848</v>
      </c>
      <c r="E14" s="85">
        <f t="shared" si="0"/>
        <v>0.0012522607358167047</v>
      </c>
      <c r="F14" s="86">
        <f t="shared" si="1"/>
        <v>0</v>
      </c>
    </row>
    <row r="15" spans="1:6" ht="18" customHeight="1" thickBot="1">
      <c r="A15" s="109" t="s">
        <v>18</v>
      </c>
      <c r="B15" s="91"/>
      <c r="C15" s="108"/>
      <c r="D15" s="239">
        <f>SUM(D8:D14)</f>
        <v>703325.3468086865</v>
      </c>
      <c r="E15" s="95">
        <f>SUM(E8:E14)</f>
        <v>1</v>
      </c>
      <c r="F15" s="96">
        <f>'Revenue Input'!B12</f>
        <v>0</v>
      </c>
    </row>
    <row r="16" ht="13.5" thickTop="1"/>
    <row r="17" spans="2:3" ht="12.75">
      <c r="B17" s="56"/>
      <c r="C17" s="56"/>
    </row>
    <row r="19" ht="12.75">
      <c r="B19" s="8"/>
    </row>
    <row r="20" ht="12.75">
      <c r="B20" s="8"/>
    </row>
  </sheetData>
  <sheetProtection/>
  <mergeCells count="10">
    <mergeCell ref="B6:C6"/>
    <mergeCell ref="A5:F5"/>
    <mergeCell ref="A1:F1"/>
    <mergeCell ref="A2:F2"/>
    <mergeCell ref="A3:F3"/>
    <mergeCell ref="A4:F4"/>
    <mergeCell ref="A6:A7"/>
    <mergeCell ref="D6:D7"/>
    <mergeCell ref="E6:E7"/>
    <mergeCell ref="F6:F7"/>
  </mergeCells>
  <printOptions/>
  <pageMargins left="0.75" right="0.75" top="1" bottom="1" header="0.5" footer="0.5"/>
  <pageSetup fitToHeight="1" fitToWidth="1" horizontalDpi="355" verticalDpi="3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32.7109375" style="0" bestFit="1" customWidth="1"/>
    <col min="2" max="2" width="11.8515625" style="0" bestFit="1" customWidth="1"/>
    <col min="3" max="3" width="15.7109375" style="0" bestFit="1" customWidth="1"/>
    <col min="4" max="4" width="14.28125" style="0" bestFit="1" customWidth="1"/>
    <col min="5" max="5" width="10.8515625" style="0" bestFit="1" customWidth="1"/>
    <col min="6" max="6" width="10.57421875" style="0" bestFit="1" customWidth="1"/>
    <col min="7" max="7" width="10.00390625" style="0" bestFit="1" customWidth="1"/>
  </cols>
  <sheetData>
    <row r="1" spans="1:7" ht="12.75">
      <c r="A1" s="501">
        <f>+'Revenue Input'!A1</f>
        <v>0</v>
      </c>
      <c r="B1" s="501"/>
      <c r="C1" s="501"/>
      <c r="D1" s="501"/>
      <c r="E1" s="501"/>
      <c r="F1" s="501"/>
      <c r="G1" s="501"/>
    </row>
    <row r="2" spans="1:7" ht="12.75">
      <c r="A2" s="501" t="str">
        <f>+'Revenue Input'!A2</f>
        <v>, License Number , File Number </v>
      </c>
      <c r="B2" s="501"/>
      <c r="C2" s="501"/>
      <c r="D2" s="501"/>
      <c r="E2" s="501"/>
      <c r="F2" s="501"/>
      <c r="G2" s="501"/>
    </row>
    <row r="3" spans="1:7" ht="12.75">
      <c r="A3" s="501">
        <f>+'Revenue Input'!A3</f>
        <v>0</v>
      </c>
      <c r="B3" s="501"/>
      <c r="C3" s="501"/>
      <c r="D3" s="501"/>
      <c r="E3" s="501"/>
      <c r="F3" s="501"/>
      <c r="G3" s="501"/>
    </row>
    <row r="4" spans="1:7" ht="6.75" customHeight="1">
      <c r="A4" s="479"/>
      <c r="B4" s="479"/>
      <c r="C4" s="479"/>
      <c r="D4" s="479"/>
      <c r="E4" s="479"/>
      <c r="F4" s="479"/>
      <c r="G4" s="479"/>
    </row>
    <row r="5" spans="1:7" ht="20.25">
      <c r="A5" s="509" t="s">
        <v>133</v>
      </c>
      <c r="B5" s="509"/>
      <c r="C5" s="509"/>
      <c r="D5" s="509"/>
      <c r="E5" s="509"/>
      <c r="F5" s="509"/>
      <c r="G5" s="509"/>
    </row>
    <row r="6" spans="1:7" ht="8.25" customHeight="1">
      <c r="A6" s="508"/>
      <c r="B6" s="508"/>
      <c r="C6" s="508"/>
      <c r="D6" s="508"/>
      <c r="E6" s="508"/>
      <c r="F6" s="508"/>
      <c r="G6" s="508"/>
    </row>
    <row r="7" spans="1:7" ht="25.5">
      <c r="A7" s="78" t="s">
        <v>0</v>
      </c>
      <c r="B7" s="81" t="s">
        <v>132</v>
      </c>
      <c r="C7" s="81" t="s">
        <v>13</v>
      </c>
      <c r="D7" s="81" t="s">
        <v>14</v>
      </c>
      <c r="E7" s="81" t="s">
        <v>15</v>
      </c>
      <c r="F7" s="81" t="s">
        <v>130</v>
      </c>
      <c r="G7" s="81" t="s">
        <v>131</v>
      </c>
    </row>
    <row r="8" spans="1:7" ht="18" customHeight="1">
      <c r="A8" s="98" t="str">
        <f>'Allocation Low Voltage Costs'!A8</f>
        <v>Residential</v>
      </c>
      <c r="B8" s="86">
        <f>+'Allocation Low Voltage Costs'!F8</f>
        <v>0</v>
      </c>
      <c r="C8" s="115">
        <f>+'2011 Test Yr On Existing Rates'!B9</f>
        <v>38188928.15902468</v>
      </c>
      <c r="D8" s="115">
        <f>+'2011 Test Yr On Existing Rates'!C9</f>
        <v>0</v>
      </c>
      <c r="E8" s="114" t="s">
        <v>16</v>
      </c>
      <c r="F8" s="118">
        <f>+B8/C8</f>
        <v>0</v>
      </c>
      <c r="G8" s="118"/>
    </row>
    <row r="9" spans="1:7" ht="18" customHeight="1">
      <c r="A9" s="98" t="str">
        <f>'Allocation Low Voltage Costs'!A9</f>
        <v>GS &lt; 50 kW</v>
      </c>
      <c r="B9" s="86">
        <f>+'Allocation Low Voltage Costs'!F9</f>
        <v>0</v>
      </c>
      <c r="C9" s="115">
        <f>+'2011 Test Yr On Existing Rates'!B10</f>
        <v>22359418.212458227</v>
      </c>
      <c r="D9" s="115">
        <f>+'2011 Test Yr On Existing Rates'!C10</f>
        <v>0</v>
      </c>
      <c r="E9" s="114" t="s">
        <v>16</v>
      </c>
      <c r="F9" s="118">
        <f>+B9/C9</f>
        <v>0</v>
      </c>
      <c r="G9" s="118"/>
    </row>
    <row r="10" spans="1:7" ht="18" customHeight="1">
      <c r="A10" s="98" t="str">
        <f>'Allocation Low Voltage Costs'!A10</f>
        <v>GS &gt;50</v>
      </c>
      <c r="B10" s="86">
        <f>+'Allocation Low Voltage Costs'!F10</f>
        <v>0</v>
      </c>
      <c r="C10" s="115">
        <f>+'2011 Test Yr On Existing Rates'!B11</f>
        <v>45342065.67161414</v>
      </c>
      <c r="D10" s="115">
        <f>+'2011 Test Yr On Existing Rates'!C11</f>
        <v>116530.31169835008</v>
      </c>
      <c r="E10" s="114" t="s">
        <v>17</v>
      </c>
      <c r="F10" s="118"/>
      <c r="G10" s="118">
        <f>+B10/D10</f>
        <v>0</v>
      </c>
    </row>
    <row r="11" spans="1:7" ht="18" customHeight="1" hidden="1">
      <c r="A11" s="98" t="str">
        <f>'Allocation Low Voltage Costs'!A11</f>
        <v>Large Use</v>
      </c>
      <c r="B11" s="86">
        <f>+'Allocation Low Voltage Costs'!F11</f>
        <v>0</v>
      </c>
      <c r="C11" s="115">
        <f>+'2011 Test Yr On Existing Rates'!B12</f>
        <v>0</v>
      </c>
      <c r="D11" s="115">
        <f>+'2011 Test Yr On Existing Rates'!C12</f>
        <v>0</v>
      </c>
      <c r="E11" s="114" t="s">
        <v>17</v>
      </c>
      <c r="F11" s="118"/>
      <c r="G11" s="118" t="e">
        <f>+B11/D11</f>
        <v>#DIV/0!</v>
      </c>
    </row>
    <row r="12" spans="1:7" ht="18" customHeight="1" hidden="1">
      <c r="A12" s="98" t="str">
        <f>'Allocation Low Voltage Costs'!A12</f>
        <v>Sentinel Lights</v>
      </c>
      <c r="B12" s="86">
        <f>+'Allocation Low Voltage Costs'!F12</f>
        <v>0</v>
      </c>
      <c r="C12" s="115">
        <f>+'2011 Test Yr On Existing Rates'!B13</f>
        <v>0</v>
      </c>
      <c r="D12" s="115">
        <f>+'2011 Test Yr On Existing Rates'!C13</f>
        <v>0</v>
      </c>
      <c r="E12" s="114" t="s">
        <v>17</v>
      </c>
      <c r="F12" s="118"/>
      <c r="G12" s="118" t="e">
        <f>+B12/D12</f>
        <v>#DIV/0!</v>
      </c>
    </row>
    <row r="13" spans="1:7" ht="18" customHeight="1">
      <c r="A13" s="98" t="str">
        <f>'Allocation Low Voltage Costs'!A13</f>
        <v>Street Lighting</v>
      </c>
      <c r="B13" s="86">
        <f>+'Allocation Low Voltage Costs'!F13</f>
        <v>0</v>
      </c>
      <c r="C13" s="115">
        <f>+'2011 Test Yr On Existing Rates'!B14</f>
        <v>1807975.0364859295</v>
      </c>
      <c r="D13" s="115">
        <f>+'2011 Test Yr On Existing Rates'!C14</f>
        <v>5736.97361884233</v>
      </c>
      <c r="E13" s="114" t="s">
        <v>17</v>
      </c>
      <c r="F13" s="118"/>
      <c r="G13" s="118">
        <f>+B13/D13</f>
        <v>0</v>
      </c>
    </row>
    <row r="14" spans="1:7" ht="21" customHeight="1">
      <c r="A14" s="98" t="str">
        <f>'Allocation Low Voltage Costs'!A14</f>
        <v>USL</v>
      </c>
      <c r="B14" s="86">
        <f>+'Allocation Low Voltage Costs'!F14</f>
        <v>0</v>
      </c>
      <c r="C14" s="115">
        <f>+'2011 Test Yr On Existing Rates'!B15</f>
        <v>144681.32071822416</v>
      </c>
      <c r="D14" s="115">
        <f>+'2011 Test Yr On Existing Rates'!C15</f>
        <v>0</v>
      </c>
      <c r="E14" s="114" t="s">
        <v>16</v>
      </c>
      <c r="F14" s="118">
        <f>+B14/C14</f>
        <v>0</v>
      </c>
      <c r="G14" s="118"/>
    </row>
    <row r="15" spans="1:7" ht="18" customHeight="1" thickBot="1">
      <c r="A15" s="103" t="s">
        <v>18</v>
      </c>
      <c r="B15" s="111">
        <f>SUM(B8:B14)</f>
        <v>0</v>
      </c>
      <c r="C15" s="116">
        <f>SUM(C8:C14)</f>
        <v>107843068.4003012</v>
      </c>
      <c r="D15" s="117">
        <f>SUM(D8:D14)</f>
        <v>122267.2853171924</v>
      </c>
      <c r="E15" s="112"/>
      <c r="F15" s="113"/>
      <c r="G15" s="112"/>
    </row>
    <row r="16" ht="13.5" thickTop="1"/>
    <row r="19" ht="12.75">
      <c r="B19" s="8"/>
    </row>
  </sheetData>
  <sheetProtection/>
  <mergeCells count="6">
    <mergeCell ref="A6:G6"/>
    <mergeCell ref="A5:G5"/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355" verticalDpi="3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Hamilton Utilities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Bacon</dc:creator>
  <cp:keywords/>
  <dc:description/>
  <cp:lastModifiedBy>jrobertson</cp:lastModifiedBy>
  <cp:lastPrinted>2010-09-27T15:37:52Z</cp:lastPrinted>
  <dcterms:created xsi:type="dcterms:W3CDTF">2007-07-20T14:53:09Z</dcterms:created>
  <dcterms:modified xsi:type="dcterms:W3CDTF">2010-10-29T20:39:02Z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