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0" windowWidth="15480" windowHeight="10920" tabRatio="906" activeTab="0"/>
  </bookViews>
  <sheets>
    <sheet name="GEA Rider" sheetId="1" r:id="rId1"/>
    <sheet name="2010-2014 Revenue Requirement" sheetId="2" r:id="rId2"/>
    <sheet name="SM FA Continuity" sheetId="3" r:id="rId3"/>
    <sheet name="SM UCC Continuity" sheetId="4" r:id="rId4"/>
    <sheet name="Sheet1" sheetId="5" r:id="rId5"/>
  </sheets>
  <definedNames>
    <definedName name="_xlnm.Print_Area" localSheetId="1">'2010-2014 Revenue Requirement'!$A$1:$V$78</definedName>
    <definedName name="_xlnm.Print_Area" localSheetId="0">'GEA Rider'!$A$1:$G$18</definedName>
  </definedNames>
  <calcPr fullCalcOnLoad="1"/>
</workbook>
</file>

<file path=xl/sharedStrings.xml><?xml version="1.0" encoding="utf-8"?>
<sst xmlns="http://schemas.openxmlformats.org/spreadsheetml/2006/main" count="260" uniqueCount="151">
  <si>
    <t>Amortization</t>
  </si>
  <si>
    <t>Opening Balance</t>
  </si>
  <si>
    <t>Smart Meter Fixed Asset Continuity</t>
  </si>
  <si>
    <t>For Accounting</t>
  </si>
  <si>
    <t>For Tax Purposes</t>
  </si>
  <si>
    <t>CCA Class</t>
  </si>
  <si>
    <t>Class 47</t>
  </si>
  <si>
    <t>CCA Rate</t>
  </si>
  <si>
    <t>Opening UCC Balance</t>
  </si>
  <si>
    <t>Closing UCC Balance</t>
  </si>
  <si>
    <t>CCA For Opening UCC</t>
  </si>
  <si>
    <t>Return on Rate Base</t>
  </si>
  <si>
    <t xml:space="preserve">   Deemed Debt - Long Term</t>
  </si>
  <si>
    <t xml:space="preserve">   Deemed Debt - Short Term</t>
  </si>
  <si>
    <t xml:space="preserve">   Deemed Equity</t>
  </si>
  <si>
    <t xml:space="preserve">   Weighted Debt Rate - Long Term</t>
  </si>
  <si>
    <t xml:space="preserve">   Short Term Debt Rate</t>
  </si>
  <si>
    <t xml:space="preserve">   Equity Rate</t>
  </si>
  <si>
    <t xml:space="preserve">   Return on Rate Base</t>
  </si>
  <si>
    <t>M=J+K+L</t>
  </si>
  <si>
    <t>Amortization Expenses</t>
  </si>
  <si>
    <t xml:space="preserve">   Revenue Requirement before PILs</t>
  </si>
  <si>
    <t xml:space="preserve">   Depreciation Expense</t>
  </si>
  <si>
    <t>P</t>
  </si>
  <si>
    <t xml:space="preserve">   Interest Expense</t>
  </si>
  <si>
    <t>Grossed up PILs</t>
  </si>
  <si>
    <t>Revenue Requirement before PILs</t>
  </si>
  <si>
    <t>T</t>
  </si>
  <si>
    <t>U</t>
  </si>
  <si>
    <t>Net Income</t>
  </si>
  <si>
    <t>Revised Taxable Income</t>
  </si>
  <si>
    <t>Tax Rate</t>
  </si>
  <si>
    <t>Income Taxes Payable</t>
  </si>
  <si>
    <t>Ontario Capital Tax</t>
  </si>
  <si>
    <t>Less: Exemption</t>
  </si>
  <si>
    <t>Deemed Taxable Capital</t>
  </si>
  <si>
    <t>Ontario Capital Tax Rate</t>
  </si>
  <si>
    <t>NET OCT Amount</t>
  </si>
  <si>
    <t>PILs Payable</t>
  </si>
  <si>
    <t>Gross Up</t>
  </si>
  <si>
    <t>Grossed Up PILs</t>
  </si>
  <si>
    <t>Change in Income Taxes Payable</t>
  </si>
  <si>
    <t>Change in OCT</t>
  </si>
  <si>
    <t>Average Fixed Asset Values</t>
  </si>
  <si>
    <t>Working Capital</t>
  </si>
  <si>
    <t>Operation Expense</t>
  </si>
  <si>
    <t>15% Working Capital</t>
  </si>
  <si>
    <t>Operating Expenses</t>
  </si>
  <si>
    <t>Incremental Operating Expenses</t>
  </si>
  <si>
    <t>CCA</t>
  </si>
  <si>
    <t>Annualized amount required per metered customer</t>
  </si>
  <si>
    <t>Number of months in year</t>
  </si>
  <si>
    <t>B</t>
  </si>
  <si>
    <t>C=A+B</t>
  </si>
  <si>
    <t>D=C*Deemed Long Term Debt</t>
  </si>
  <si>
    <t>E=C*Deemed Short Term Debt</t>
  </si>
  <si>
    <t>F=C*Deemed Equity</t>
  </si>
  <si>
    <t>G=D*Weighted Debt Rate</t>
  </si>
  <si>
    <t>H=E*Short Term Debt Rate</t>
  </si>
  <si>
    <t>I=F*ROE Rate</t>
  </si>
  <si>
    <t>J=G+H+I</t>
  </si>
  <si>
    <t>Calculation of Taxable Income</t>
  </si>
  <si>
    <t xml:space="preserve">   Incremental Operating Expenses</t>
  </si>
  <si>
    <t>Taxable Income for PILs</t>
  </si>
  <si>
    <t>K</t>
  </si>
  <si>
    <t>L</t>
  </si>
  <si>
    <t>N=D+E</t>
  </si>
  <si>
    <t>O=K+L+N</t>
  </si>
  <si>
    <t>M</t>
  </si>
  <si>
    <t>Q=M+P</t>
  </si>
  <si>
    <t>Q</t>
  </si>
  <si>
    <t>S=Q/R</t>
  </si>
  <si>
    <t>Forecast 2010</t>
  </si>
  <si>
    <t>CCA For 2010 Additions</t>
  </si>
  <si>
    <t>Forecast 2010 Additions</t>
  </si>
  <si>
    <t>Forecast Amortization For 2010</t>
  </si>
  <si>
    <t>2010 Net Book Value</t>
  </si>
  <si>
    <t>2010 Average NBV</t>
  </si>
  <si>
    <t>Revenue Requirement Calculations</t>
  </si>
  <si>
    <t>Revenue Requirement:</t>
  </si>
  <si>
    <t>Number of Months</t>
  </si>
  <si>
    <t>2010 Forecast Additions</t>
  </si>
  <si>
    <t>Total CCA - 2010</t>
  </si>
  <si>
    <t>R=March 2009 Total Metered Customers</t>
  </si>
  <si>
    <t>Total Metered Customers</t>
  </si>
  <si>
    <t xml:space="preserve">Smart Meter Costs for Recovery </t>
  </si>
  <si>
    <t>2011 Rate Year Entitlement</t>
  </si>
  <si>
    <t>Forecast 2011</t>
  </si>
  <si>
    <t>Forecast Amortization For 2011</t>
  </si>
  <si>
    <t>2011 Net Book Value</t>
  </si>
  <si>
    <t>2011 Average NBV</t>
  </si>
  <si>
    <t>Forecast 2012 Additions</t>
  </si>
  <si>
    <t>Forecast 2011 Additions</t>
  </si>
  <si>
    <t>Forecast Amortization For 2012</t>
  </si>
  <si>
    <t>2012 Net Book Value</t>
  </si>
  <si>
    <t>2012 Average NBV</t>
  </si>
  <si>
    <t>Forecast 2013 Additions</t>
  </si>
  <si>
    <t>Forecast Amortization For 2013</t>
  </si>
  <si>
    <t>2013 Net Book Value</t>
  </si>
  <si>
    <t>2013 Average NBV</t>
  </si>
  <si>
    <t>Forecast 2014 Additions</t>
  </si>
  <si>
    <t>Forecast Amortization For 2014</t>
  </si>
  <si>
    <t>2014 Net Book Value</t>
  </si>
  <si>
    <t>2014 Average NBV</t>
  </si>
  <si>
    <t>2011 Forecast Additions</t>
  </si>
  <si>
    <t>CCA For 2011 Additions</t>
  </si>
  <si>
    <t>Total CCA - 2011</t>
  </si>
  <si>
    <t>2012 Forecast Additions</t>
  </si>
  <si>
    <t>CCA For 2012 Additions</t>
  </si>
  <si>
    <t>Total CCA - 2012</t>
  </si>
  <si>
    <t>2013 Forecast Additions</t>
  </si>
  <si>
    <t>CCA For 2013 Additions</t>
  </si>
  <si>
    <t>Total CCA - 2013</t>
  </si>
  <si>
    <t>2014 Forecast Additions</t>
  </si>
  <si>
    <t>CCA For 2014 Additions</t>
  </si>
  <si>
    <t>Total CCA - 2014</t>
  </si>
  <si>
    <t>Forecast 2012</t>
  </si>
  <si>
    <t>Forecast 2013</t>
  </si>
  <si>
    <t>Forecast 2014</t>
  </si>
  <si>
    <t>Ongoing Funder Rider</t>
  </si>
  <si>
    <t>Forecasted Number of Customers</t>
  </si>
  <si>
    <t>PILs</t>
  </si>
  <si>
    <t>Hydro One Brampton Networks Inc.</t>
  </si>
  <si>
    <t>EB-2010-</t>
  </si>
  <si>
    <t xml:space="preserve">Income Tax </t>
  </si>
  <si>
    <t>Rate Adder</t>
  </si>
  <si>
    <t>GEA Fixed Asset Continuity</t>
  </si>
  <si>
    <t>Transmission Station Equipment - 1815</t>
  </si>
  <si>
    <t>Supervisory Control Equipment - 1980</t>
  </si>
  <si>
    <t>Distribution Meters-1860</t>
  </si>
  <si>
    <t>GEA Related Fixed Assets</t>
  </si>
  <si>
    <t>GEA Deferral Account Balance - PILs Calculation</t>
  </si>
  <si>
    <t>GEA Rate Adder</t>
  </si>
  <si>
    <t>2011 GEA Rate Rider Application</t>
  </si>
  <si>
    <t xml:space="preserve">Revenue Requirement for GEA </t>
  </si>
  <si>
    <t>GEA Fixed Assets in Rate Base</t>
  </si>
  <si>
    <t>Revenue Requirement for GEA</t>
  </si>
  <si>
    <t>2011 GEA Rate Adder Application</t>
  </si>
  <si>
    <t>Poles, Towers &amp; Fixtures -1830</t>
  </si>
  <si>
    <t>Total</t>
  </si>
  <si>
    <t>Information from Accounting</t>
  </si>
  <si>
    <t>Information from Engineering</t>
  </si>
  <si>
    <t>(A)</t>
  </si>
  <si>
    <t>(B)</t>
  </si>
  <si>
    <t>Difference  (A) - (B)</t>
  </si>
  <si>
    <t>Capital</t>
  </si>
  <si>
    <t>OM&amp;A</t>
  </si>
  <si>
    <t>Revenue Requirement</t>
  </si>
  <si>
    <t>Number of Customers</t>
  </si>
  <si>
    <t>Number of months</t>
  </si>
  <si>
    <t>Total Capital &amp; OM&amp;A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</si>
</sst>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0.0%"/>
    <numFmt numFmtId="167" formatCode="_(* #,##0.00_);_(* \(#,##0.00\);_(* &quot;-&quot;_);_(@_)"/>
    <numFmt numFmtId="168" formatCode="0.000%"/>
    <numFmt numFmtId="169" formatCode="_(&quot;$&quot;* #,##0_);_(&quot;$&quot;* \(#,##0\);_(&quot;$&quot;* &quot;-&quot;??_);_(@_)"/>
    <numFmt numFmtId="170" formatCode="_(* #,##0_);_(* \(#,##0\);_(* &quot;-&quot;??_);_(@_)"/>
    <numFmt numFmtId="171" formatCode="_(* #,##0.000_);_(* \(#,##0.000\);_(* &quot;-&quot;??_);_(@_)"/>
    <numFmt numFmtId="172" formatCode="_(&quot;$&quot;* #,##0.0000_);_(&quot;$&quot;* \(#,##0.0000\);_(&quot;$&quot;* &quot;-&quot;????_);_(@_)"/>
    <numFmt numFmtId="173" formatCode="_(&quot;$&quot;* #,##0.0_);_(&quot;$&quot;* \(#,##0.0\);_(&quot;$&quot;* &quot;-&quot;??_);_(@_)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_(&quot;$&quot;* #,##0.00000_);_(&quot;$&quot;* \(#,##0.00000\);_(&quot;$&quot;* &quot;-&quot;??_);_(@_)"/>
    <numFmt numFmtId="177" formatCode="_(&quot;$&quot;* #,##0.000000_);_(&quot;$&quot;* \(#,##0.000000\);_(&quot;$&quot;* &quot;-&quot;??_);_(@_)"/>
    <numFmt numFmtId="178" formatCode="_(&quot;$&quot;* #,##0.0000000_);_(&quot;$&quot;* \(#,##0.0000000\);_(&quot;$&quot;* &quot;-&quot;??_);_(@_)"/>
    <numFmt numFmtId="179" formatCode="_(&quot;$&quot;* #,##0.00000000_);_(&quot;$&quot;* \(#,##0.00000000\);_(&quot;$&quot;* &quot;-&quot;??_);_(@_)"/>
    <numFmt numFmtId="180" formatCode="_(&quot;$&quot;* #,##0.000000000_);_(&quot;$&quot;* \(#,##0.000000000\);_(&quot;$&quot;* &quot;-&quot;??_);_(@_)"/>
    <numFmt numFmtId="181" formatCode="_(&quot;$&quot;* #,##0.0000000000_);_(&quot;$&quot;* \(#,##0.0000000000\);_(&quot;$&quot;* &quot;-&quot;??_);_(@_)"/>
    <numFmt numFmtId="182" formatCode="_(* #,##0.0_);_(* \(#,##0.0\);_(* &quot;-&quot;_);_(@_)"/>
    <numFmt numFmtId="183" formatCode="_(* #,##0.0000_);_(* \(#,##0.0000\);_(* &quot;-&quot;??_);_(@_)"/>
    <numFmt numFmtId="184" formatCode="_(* #,##0.00000_);_(* \(#,##0.00000\);_(* &quot;-&quot;??_);_(@_)"/>
    <numFmt numFmtId="185" formatCode="_(* #,##0.0_);_(* \(#,##0.0\);_(* &quot;-&quot;??_);_(@_)"/>
    <numFmt numFmtId="186" formatCode="0.000000"/>
    <numFmt numFmtId="187" formatCode="0.00000"/>
    <numFmt numFmtId="188" formatCode="0.0000"/>
    <numFmt numFmtId="189" formatCode="0.000"/>
    <numFmt numFmtId="190" formatCode="_(* #,##0.0000_);_(* \(#,##0.0000\);_(* &quot;-&quot;????_);_(@_)"/>
    <numFmt numFmtId="191" formatCode="0.000000000"/>
    <numFmt numFmtId="192" formatCode="0.0000000000"/>
    <numFmt numFmtId="193" formatCode="0.00000000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sz val="4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horizontal="left" indent="1"/>
    </xf>
    <xf numFmtId="9" fontId="0" fillId="0" borderId="0" xfId="63" applyFont="1" applyAlignment="1">
      <alignment/>
    </xf>
    <xf numFmtId="0" fontId="5" fillId="0" borderId="0" xfId="0" applyFont="1" applyAlignment="1">
      <alignment/>
    </xf>
    <xf numFmtId="41" fontId="0" fillId="0" borderId="0" xfId="46" applyNumberForma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1" fontId="0" fillId="0" borderId="0" xfId="46" applyNumberFormat="1" applyAlignment="1">
      <alignment horizontal="center"/>
    </xf>
    <xf numFmtId="41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165" fontId="0" fillId="0" borderId="0" xfId="46" applyNumberFormat="1" applyAlignment="1">
      <alignment/>
    </xf>
    <xf numFmtId="165" fontId="0" fillId="0" borderId="0" xfId="0" applyNumberFormat="1" applyAlignment="1">
      <alignment/>
    </xf>
    <xf numFmtId="169" fontId="0" fillId="0" borderId="0" xfId="47" applyNumberFormat="1" applyFont="1" applyAlignment="1">
      <alignment/>
    </xf>
    <xf numFmtId="169" fontId="0" fillId="0" borderId="0" xfId="47" applyNumberFormat="1" applyAlignment="1">
      <alignment horizontal="center"/>
    </xf>
    <xf numFmtId="169" fontId="0" fillId="0" borderId="10" xfId="47" applyNumberFormat="1" applyBorder="1" applyAlignment="1">
      <alignment horizontal="center"/>
    </xf>
    <xf numFmtId="169" fontId="6" fillId="0" borderId="0" xfId="47" applyNumberFormat="1" applyFont="1" applyAlignment="1">
      <alignment/>
    </xf>
    <xf numFmtId="169" fontId="0" fillId="0" borderId="0" xfId="47" applyNumberFormat="1" applyBorder="1" applyAlignment="1">
      <alignment horizontal="center"/>
    </xf>
    <xf numFmtId="169" fontId="7" fillId="0" borderId="0" xfId="47" applyNumberFormat="1" applyFont="1" applyAlignment="1">
      <alignment/>
    </xf>
    <xf numFmtId="169" fontId="0" fillId="0" borderId="0" xfId="47" applyNumberFormat="1" applyFill="1" applyBorder="1" applyAlignment="1">
      <alignment horizontal="center"/>
    </xf>
    <xf numFmtId="41" fontId="0" fillId="33" borderId="0" xfId="46" applyNumberFormat="1" applyFill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43" fontId="0" fillId="0" borderId="0" xfId="42" applyFont="1" applyBorder="1" applyAlignment="1">
      <alignment horizontal="center"/>
    </xf>
    <xf numFmtId="165" fontId="0" fillId="0" borderId="0" xfId="0" applyNumberFormat="1" applyBorder="1" applyAlignment="1">
      <alignment/>
    </xf>
    <xf numFmtId="1" fontId="2" fillId="0" borderId="0" xfId="46" applyNumberFormat="1" applyFont="1" applyBorder="1" applyAlignment="1">
      <alignment horizontal="center"/>
    </xf>
    <xf numFmtId="170" fontId="0" fillId="34" borderId="0" xfId="42" applyNumberFormat="1" applyFont="1" applyFill="1" applyAlignment="1">
      <alignment/>
    </xf>
    <xf numFmtId="0" fontId="9" fillId="0" borderId="0" xfId="0" applyFont="1" applyAlignment="1">
      <alignment/>
    </xf>
    <xf numFmtId="41" fontId="0" fillId="0" borderId="0" xfId="0" applyNumberFormat="1" applyAlignment="1">
      <alignment/>
    </xf>
    <xf numFmtId="44" fontId="0" fillId="0" borderId="0" xfId="0" applyNumberFormat="1" applyAlignment="1">
      <alignment/>
    </xf>
    <xf numFmtId="43" fontId="0" fillId="0" borderId="0" xfId="0" applyNumberFormat="1" applyFill="1" applyAlignment="1">
      <alignment/>
    </xf>
    <xf numFmtId="0" fontId="10" fillId="0" borderId="0" xfId="0" applyFont="1" applyAlignment="1">
      <alignment/>
    </xf>
    <xf numFmtId="0" fontId="0" fillId="35" borderId="0" xfId="0" applyFill="1" applyAlignment="1">
      <alignment/>
    </xf>
    <xf numFmtId="0" fontId="5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5" borderId="0" xfId="0" applyFont="1" applyFill="1" applyAlignment="1">
      <alignment/>
    </xf>
    <xf numFmtId="169" fontId="0" fillId="0" borderId="11" xfId="47" applyNumberFormat="1" applyFont="1" applyBorder="1" applyAlignment="1">
      <alignment/>
    </xf>
    <xf numFmtId="169" fontId="0" fillId="0" borderId="0" xfId="47" applyNumberFormat="1" applyFont="1" applyBorder="1" applyAlignment="1">
      <alignment/>
    </xf>
    <xf numFmtId="0" fontId="0" fillId="0" borderId="12" xfId="0" applyBorder="1" applyAlignment="1">
      <alignment/>
    </xf>
    <xf numFmtId="41" fontId="0" fillId="0" borderId="11" xfId="46" applyNumberFormat="1" applyBorder="1" applyAlignment="1">
      <alignment horizontal="center"/>
    </xf>
    <xf numFmtId="44" fontId="0" fillId="0" borderId="12" xfId="0" applyNumberFormat="1" applyBorder="1" applyAlignment="1">
      <alignment/>
    </xf>
    <xf numFmtId="169" fontId="0" fillId="0" borderId="11" xfId="47" applyNumberFormat="1" applyBorder="1" applyAlignment="1">
      <alignment horizontal="center"/>
    </xf>
    <xf numFmtId="165" fontId="0" fillId="0" borderId="11" xfId="46" applyNumberFormat="1" applyBorder="1" applyAlignment="1">
      <alignment horizontal="center"/>
    </xf>
    <xf numFmtId="165" fontId="0" fillId="0" borderId="0" xfId="46" applyNumberFormat="1" applyBorder="1" applyAlignment="1">
      <alignment horizontal="center"/>
    </xf>
    <xf numFmtId="166" fontId="0" fillId="37" borderId="11" xfId="63" applyNumberFormat="1" applyFill="1" applyBorder="1" applyAlignment="1">
      <alignment horizontal="right"/>
    </xf>
    <xf numFmtId="169" fontId="0" fillId="0" borderId="12" xfId="47" applyNumberFormat="1" applyFont="1" applyBorder="1" applyAlignment="1">
      <alignment/>
    </xf>
    <xf numFmtId="165" fontId="6" fillId="0" borderId="11" xfId="46" applyNumberFormat="1" applyFont="1" applyBorder="1" applyAlignment="1">
      <alignment horizontal="center"/>
    </xf>
    <xf numFmtId="169" fontId="6" fillId="0" borderId="0" xfId="47" applyNumberFormat="1" applyFont="1" applyBorder="1" applyAlignment="1">
      <alignment horizontal="center"/>
    </xf>
    <xf numFmtId="169" fontId="6" fillId="0" borderId="12" xfId="47" applyNumberFormat="1" applyFont="1" applyBorder="1" applyAlignment="1">
      <alignment/>
    </xf>
    <xf numFmtId="10" fontId="0" fillId="34" borderId="11" xfId="63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69" fontId="0" fillId="0" borderId="12" xfId="47" applyNumberFormat="1" applyFill="1" applyBorder="1" applyAlignment="1">
      <alignment horizontal="center"/>
    </xf>
    <xf numFmtId="169" fontId="7" fillId="0" borderId="12" xfId="47" applyNumberFormat="1" applyFont="1" applyBorder="1" applyAlignment="1">
      <alignment/>
    </xf>
    <xf numFmtId="169" fontId="0" fillId="0" borderId="13" xfId="47" applyNumberFormat="1" applyBorder="1" applyAlignment="1">
      <alignment horizontal="center"/>
    </xf>
    <xf numFmtId="169" fontId="0" fillId="0" borderId="12" xfId="47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9" fontId="0" fillId="0" borderId="14" xfId="47" applyNumberFormat="1" applyBorder="1" applyAlignment="1">
      <alignment horizontal="center"/>
    </xf>
    <xf numFmtId="41" fontId="0" fillId="0" borderId="13" xfId="46" applyNumberFormat="1" applyBorder="1" applyAlignment="1">
      <alignment horizontal="center"/>
    </xf>
    <xf numFmtId="41" fontId="0" fillId="0" borderId="12" xfId="46" applyNumberFormat="1" applyBorder="1" applyAlignment="1">
      <alignment horizontal="center"/>
    </xf>
    <xf numFmtId="41" fontId="0" fillId="0" borderId="14" xfId="46" applyNumberFormat="1" applyBorder="1" applyAlignment="1">
      <alignment horizontal="center"/>
    </xf>
    <xf numFmtId="41" fontId="0" fillId="33" borderId="12" xfId="46" applyNumberFormat="1" applyFill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41" fontId="0" fillId="0" borderId="12" xfId="0" applyNumberFormat="1" applyBorder="1" applyAlignment="1">
      <alignment horizontal="center"/>
    </xf>
    <xf numFmtId="43" fontId="0" fillId="0" borderId="15" xfId="42" applyFon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33" borderId="11" xfId="46" applyNumberFormat="1" applyFill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0" fontId="0" fillId="34" borderId="11" xfId="63" applyNumberFormat="1" applyFill="1" applyBorder="1" applyAlignment="1">
      <alignment horizontal="right"/>
    </xf>
    <xf numFmtId="165" fontId="0" fillId="0" borderId="17" xfId="0" applyNumberFormat="1" applyBorder="1" applyAlignment="1">
      <alignment horizontal="center"/>
    </xf>
    <xf numFmtId="165" fontId="0" fillId="0" borderId="16" xfId="46" applyNumberFormat="1" applyBorder="1" applyAlignment="1">
      <alignment horizontal="center"/>
    </xf>
    <xf numFmtId="168" fontId="0" fillId="34" borderId="11" xfId="63" applyNumberForma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/>
    </xf>
    <xf numFmtId="10" fontId="0" fillId="0" borderId="0" xfId="63" applyNumberFormat="1" applyBorder="1" applyAlignment="1">
      <alignment horizontal="center"/>
    </xf>
    <xf numFmtId="165" fontId="0" fillId="0" borderId="12" xfId="46" applyNumberFormat="1" applyBorder="1" applyAlignment="1">
      <alignment/>
    </xf>
    <xf numFmtId="165" fontId="0" fillId="0" borderId="12" xfId="0" applyNumberFormat="1" applyBorder="1" applyAlignment="1">
      <alignment/>
    </xf>
    <xf numFmtId="0" fontId="0" fillId="0" borderId="10" xfId="0" applyBorder="1" applyAlignment="1">
      <alignment horizontal="center"/>
    </xf>
    <xf numFmtId="165" fontId="0" fillId="0" borderId="14" xfId="0" applyNumberFormat="1" applyBorder="1" applyAlignment="1">
      <alignment/>
    </xf>
    <xf numFmtId="167" fontId="0" fillId="0" borderId="12" xfId="0" applyNumberFormat="1" applyBorder="1" applyAlignment="1">
      <alignment horizontal="center"/>
    </xf>
    <xf numFmtId="43" fontId="0" fillId="0" borderId="12" xfId="42" applyFon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65" fontId="0" fillId="0" borderId="13" xfId="0" applyNumberFormat="1" applyBorder="1" applyAlignment="1">
      <alignment/>
    </xf>
    <xf numFmtId="169" fontId="0" fillId="34" borderId="11" xfId="47" applyNumberFormat="1" applyFont="1" applyFill="1" applyBorder="1" applyAlignment="1">
      <alignment horizontal="center"/>
    </xf>
    <xf numFmtId="170" fontId="0" fillId="34" borderId="11" xfId="42" applyNumberFormat="1" applyFont="1" applyFill="1" applyBorder="1" applyAlignment="1">
      <alignment horizontal="center"/>
    </xf>
    <xf numFmtId="169" fontId="0" fillId="0" borderId="0" xfId="0" applyNumberFormat="1" applyAlignment="1">
      <alignment/>
    </xf>
    <xf numFmtId="41" fontId="0" fillId="0" borderId="20" xfId="0" applyNumberFormat="1" applyBorder="1" applyAlignment="1">
      <alignment/>
    </xf>
    <xf numFmtId="41" fontId="0" fillId="0" borderId="21" xfId="0" applyNumberFormat="1" applyBorder="1" applyAlignment="1">
      <alignment/>
    </xf>
    <xf numFmtId="170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70" fontId="0" fillId="0" borderId="0" xfId="0" applyNumberFormat="1" applyFill="1" applyAlignment="1">
      <alignment/>
    </xf>
    <xf numFmtId="170" fontId="0" fillId="0" borderId="21" xfId="42" applyNumberFormat="1" applyFont="1" applyFill="1" applyBorder="1" applyAlignment="1">
      <alignment/>
    </xf>
    <xf numFmtId="170" fontId="0" fillId="0" borderId="0" xfId="0" applyNumberFormat="1" applyFill="1" applyAlignment="1">
      <alignment wrapText="1"/>
    </xf>
    <xf numFmtId="170" fontId="0" fillId="0" borderId="0" xfId="0" applyNumberFormat="1" applyFont="1" applyFill="1" applyAlignment="1">
      <alignment wrapText="1"/>
    </xf>
    <xf numFmtId="170" fontId="0" fillId="0" borderId="0" xfId="42" applyNumberFormat="1" applyFont="1" applyFill="1" applyAlignment="1">
      <alignment/>
    </xf>
    <xf numFmtId="170" fontId="0" fillId="0" borderId="0" xfId="0" applyNumberFormat="1" applyFont="1" applyFill="1" applyAlignment="1">
      <alignment/>
    </xf>
    <xf numFmtId="170" fontId="0" fillId="0" borderId="0" xfId="44" applyNumberFormat="1" applyFont="1" applyFill="1" applyAlignment="1">
      <alignment/>
    </xf>
    <xf numFmtId="170" fontId="0" fillId="0" borderId="0" xfId="0" applyNumberFormat="1" applyAlignment="1">
      <alignment wrapText="1"/>
    </xf>
    <xf numFmtId="170" fontId="0" fillId="0" borderId="21" xfId="42" applyNumberFormat="1" applyBorder="1" applyAlignment="1">
      <alignment wrapText="1"/>
    </xf>
    <xf numFmtId="170" fontId="0" fillId="0" borderId="0" xfId="42" applyNumberForma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 wrapText="1"/>
    </xf>
    <xf numFmtId="170" fontId="0" fillId="0" borderId="0" xfId="42" applyNumberFormat="1" applyFont="1" applyAlignment="1">
      <alignment wrapText="1"/>
    </xf>
    <xf numFmtId="170" fontId="0" fillId="0" borderId="0" xfId="42" applyNumberFormat="1" applyFont="1" applyAlignment="1">
      <alignment wrapText="1"/>
    </xf>
    <xf numFmtId="170" fontId="0" fillId="0" borderId="0" xfId="0" applyNumberFormat="1" applyFont="1" applyAlignment="1">
      <alignment wrapText="1"/>
    </xf>
    <xf numFmtId="171" fontId="0" fillId="0" borderId="0" xfId="42" applyNumberFormat="1" applyFont="1" applyAlignment="1">
      <alignment/>
    </xf>
    <xf numFmtId="170" fontId="0" fillId="0" borderId="0" xfId="42" applyNumberFormat="1" applyFont="1" applyAlignment="1">
      <alignment/>
    </xf>
    <xf numFmtId="0" fontId="2" fillId="0" borderId="22" xfId="0" applyFont="1" applyBorder="1" applyAlignment="1">
      <alignment horizontal="center" vertical="center"/>
    </xf>
    <xf numFmtId="170" fontId="2" fillId="0" borderId="21" xfId="42" applyNumberFormat="1" applyFont="1" applyBorder="1" applyAlignment="1">
      <alignment/>
    </xf>
    <xf numFmtId="170" fontId="2" fillId="0" borderId="0" xfId="42" applyNumberFormat="1" applyFont="1" applyAlignment="1">
      <alignment/>
    </xf>
    <xf numFmtId="170" fontId="0" fillId="0" borderId="0" xfId="0" applyNumberFormat="1" applyAlignment="1">
      <alignment/>
    </xf>
    <xf numFmtId="183" fontId="0" fillId="38" borderId="21" xfId="0" applyNumberFormat="1" applyFill="1" applyBorder="1" applyAlignment="1">
      <alignment/>
    </xf>
    <xf numFmtId="170" fontId="0" fillId="35" borderId="0" xfId="42" applyNumberFormat="1" applyFont="1" applyFill="1" applyAlignment="1">
      <alignment/>
    </xf>
    <xf numFmtId="0" fontId="0" fillId="35" borderId="23" xfId="0" applyFill="1" applyBorder="1" applyAlignment="1">
      <alignment/>
    </xf>
    <xf numFmtId="0" fontId="0" fillId="35" borderId="23" xfId="0" applyFont="1" applyFill="1" applyBorder="1" applyAlignment="1">
      <alignment/>
    </xf>
    <xf numFmtId="0" fontId="2" fillId="35" borderId="23" xfId="0" applyFont="1" applyFill="1" applyBorder="1" applyAlignment="1">
      <alignment/>
    </xf>
    <xf numFmtId="0" fontId="2" fillId="35" borderId="23" xfId="0" applyFont="1" applyFill="1" applyBorder="1" applyAlignment="1">
      <alignment horizontal="center" vertical="center"/>
    </xf>
    <xf numFmtId="170" fontId="0" fillId="35" borderId="23" xfId="42" applyNumberFormat="1" applyFont="1" applyFill="1" applyBorder="1" applyAlignment="1">
      <alignment horizontal="right"/>
    </xf>
    <xf numFmtId="0" fontId="0" fillId="35" borderId="23" xfId="0" applyFill="1" applyBorder="1" applyAlignment="1">
      <alignment horizontal="right"/>
    </xf>
    <xf numFmtId="170" fontId="0" fillId="35" borderId="23" xfId="0" applyNumberFormat="1" applyFill="1" applyBorder="1" applyAlignment="1">
      <alignment horizontal="right"/>
    </xf>
    <xf numFmtId="2" fontId="2" fillId="35" borderId="23" xfId="0" applyNumberFormat="1" applyFont="1" applyFill="1" applyBorder="1" applyAlignment="1">
      <alignment horizontal="right"/>
    </xf>
    <xf numFmtId="10" fontId="0" fillId="0" borderId="0" xfId="63" applyNumberFormat="1" applyFont="1" applyAlignment="1">
      <alignment/>
    </xf>
    <xf numFmtId="1" fontId="2" fillId="36" borderId="24" xfId="46" applyNumberFormat="1" applyFont="1" applyFill="1" applyBorder="1" applyAlignment="1">
      <alignment horizontal="center"/>
    </xf>
    <xf numFmtId="1" fontId="2" fillId="36" borderId="25" xfId="46" applyNumberFormat="1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6" xfId="45"/>
    <cellStyle name="Comma_Smart Meter Rate Rider Calculation For 2008 Rate Year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3">
      <selection activeCell="C20" sqref="C20"/>
    </sheetView>
  </sheetViews>
  <sheetFormatPr defaultColWidth="9.140625" defaultRowHeight="12.75"/>
  <cols>
    <col min="1" max="1" width="16.00390625" style="0" customWidth="1"/>
    <col min="2" max="2" width="10.7109375" style="0" customWidth="1"/>
    <col min="3" max="4" width="15.00390625" style="0" bestFit="1" customWidth="1"/>
    <col min="6" max="6" width="13.57421875" style="0" bestFit="1" customWidth="1"/>
    <col min="7" max="7" width="11.28125" style="0" bestFit="1" customWidth="1"/>
    <col min="8" max="8" width="19.28125" style="0" bestFit="1" customWidth="1"/>
    <col min="9" max="10" width="10.28125" style="0" bestFit="1" customWidth="1"/>
    <col min="12" max="12" width="12.8515625" style="0" bestFit="1" customWidth="1"/>
  </cols>
  <sheetData>
    <row r="1" spans="1:6" ht="20.25">
      <c r="A1" s="36" t="s">
        <v>137</v>
      </c>
      <c r="B1" s="37"/>
      <c r="C1" s="37"/>
      <c r="D1" s="37"/>
      <c r="E1" s="37"/>
      <c r="F1" s="37"/>
    </row>
    <row r="2" ht="18">
      <c r="A2" s="7"/>
    </row>
    <row r="3" ht="18">
      <c r="A3" s="33" t="s">
        <v>119</v>
      </c>
    </row>
    <row r="4" ht="18">
      <c r="A4" s="33"/>
    </row>
    <row r="5" spans="1:8" ht="15.75">
      <c r="A5" s="29" t="s">
        <v>79</v>
      </c>
      <c r="H5" s="30"/>
    </row>
    <row r="6" spans="1:8" ht="12.75">
      <c r="A6" s="4" t="s">
        <v>86</v>
      </c>
      <c r="F6" s="30">
        <f>'2010-2014 Revenue Requirement'!$I$46</f>
        <v>163967.18361905924</v>
      </c>
      <c r="H6" s="110"/>
    </row>
    <row r="7" spans="1:6" ht="12.75">
      <c r="A7" s="4"/>
      <c r="F7" s="90">
        <f>SUM(F6:F6)</f>
        <v>163967.18361905924</v>
      </c>
    </row>
    <row r="8" spans="1:6" ht="12.75">
      <c r="A8" s="4"/>
      <c r="F8" s="30"/>
    </row>
    <row r="9" spans="1:8" ht="13.5" thickBot="1">
      <c r="A9" s="4" t="s">
        <v>85</v>
      </c>
      <c r="F9" s="91">
        <f>+F7</f>
        <v>163967.18361905924</v>
      </c>
      <c r="H9" s="2"/>
    </row>
    <row r="10" ht="13.5" thickTop="1"/>
    <row r="11" spans="1:8" ht="12.75">
      <c r="A11" s="4" t="s">
        <v>120</v>
      </c>
      <c r="F11" s="28">
        <f>124252+7970+1556+104+6</f>
        <v>133888</v>
      </c>
      <c r="H11" s="115"/>
    </row>
    <row r="12" spans="1:6" ht="12.75">
      <c r="A12" s="4" t="s">
        <v>80</v>
      </c>
      <c r="F12">
        <v>12</v>
      </c>
    </row>
    <row r="13" spans="1:8" ht="13.5" thickBot="1">
      <c r="A13" s="4" t="s">
        <v>125</v>
      </c>
      <c r="F13" s="116">
        <f>+F9/F11/F12</f>
        <v>0.10205494120649301</v>
      </c>
      <c r="H13" s="30"/>
    </row>
    <row r="14" ht="13.5" thickTop="1"/>
    <row r="18" spans="1:8" ht="12.75">
      <c r="A18" s="34"/>
      <c r="B18" s="34"/>
      <c r="C18" s="34"/>
      <c r="D18" s="34"/>
      <c r="E18" s="34"/>
      <c r="F18" s="34"/>
      <c r="G18" s="34"/>
      <c r="H18" s="34"/>
    </row>
    <row r="19" s="34" customFormat="1" ht="12.75">
      <c r="A19" s="38"/>
    </row>
    <row r="20" spans="3:10" s="34" customFormat="1" ht="12.75">
      <c r="C20" s="34">
        <v>2010</v>
      </c>
      <c r="D20" s="34">
        <v>2011</v>
      </c>
      <c r="H20" s="120"/>
      <c r="I20" s="121">
        <v>2010</v>
      </c>
      <c r="J20" s="121">
        <v>2011</v>
      </c>
    </row>
    <row r="21" spans="2:10" s="34" customFormat="1" ht="12.75">
      <c r="B21" s="38" t="s">
        <v>145</v>
      </c>
      <c r="C21" s="117">
        <v>1003000</v>
      </c>
      <c r="D21" s="117">
        <v>1024000</v>
      </c>
      <c r="E21" s="117"/>
      <c r="H21" s="119" t="s">
        <v>145</v>
      </c>
      <c r="I21" s="122">
        <v>1003000</v>
      </c>
      <c r="J21" s="122">
        <v>1024000</v>
      </c>
    </row>
    <row r="22" spans="2:10" s="34" customFormat="1" ht="12.75">
      <c r="B22" s="38" t="s">
        <v>146</v>
      </c>
      <c r="C22" s="117">
        <v>0</v>
      </c>
      <c r="D22" s="117"/>
      <c r="E22" s="117"/>
      <c r="H22" s="119" t="s">
        <v>146</v>
      </c>
      <c r="I22" s="122">
        <v>0</v>
      </c>
      <c r="J22" s="122">
        <v>0</v>
      </c>
    </row>
    <row r="23" spans="3:10" s="34" customFormat="1" ht="12.75">
      <c r="C23" s="117">
        <f>SUM(C20:C22)</f>
        <v>1005010</v>
      </c>
      <c r="D23" s="117">
        <f>SUM(D20:D22)</f>
        <v>1026011</v>
      </c>
      <c r="E23" s="117"/>
      <c r="H23" s="119" t="s">
        <v>150</v>
      </c>
      <c r="I23" s="122">
        <f>SUM(I21:I22)</f>
        <v>1003000</v>
      </c>
      <c r="J23" s="122">
        <f>SUM(J21:J22)</f>
        <v>1024000</v>
      </c>
    </row>
    <row r="24" spans="3:10" s="34" customFormat="1" ht="12.75">
      <c r="C24" s="117"/>
      <c r="D24" s="117"/>
      <c r="E24" s="117"/>
      <c r="H24" s="118"/>
      <c r="I24" s="122"/>
      <c r="J24" s="122"/>
    </row>
    <row r="25" spans="2:10" s="34" customFormat="1" ht="12.75">
      <c r="B25" s="38" t="s">
        <v>147</v>
      </c>
      <c r="C25" s="117"/>
      <c r="D25" s="117"/>
      <c r="E25" s="117"/>
      <c r="H25" s="119" t="s">
        <v>147</v>
      </c>
      <c r="I25" s="122"/>
      <c r="J25" s="122">
        <f>F7</f>
        <v>163967.18361905924</v>
      </c>
    </row>
    <row r="26" spans="3:10" s="34" customFormat="1" ht="12.75">
      <c r="C26" s="117"/>
      <c r="D26" s="117"/>
      <c r="E26" s="117"/>
      <c r="H26" s="118"/>
      <c r="I26" s="122"/>
      <c r="J26" s="122"/>
    </row>
    <row r="27" spans="3:10" s="34" customFormat="1" ht="12.75">
      <c r="C27" s="117"/>
      <c r="D27" s="117"/>
      <c r="E27" s="117"/>
      <c r="H27" s="119" t="s">
        <v>148</v>
      </c>
      <c r="I27" s="123"/>
      <c r="J27" s="124">
        <f>F11</f>
        <v>133888</v>
      </c>
    </row>
    <row r="28" spans="3:10" s="34" customFormat="1" ht="12.75">
      <c r="C28" s="117"/>
      <c r="D28" s="117"/>
      <c r="E28" s="117"/>
      <c r="H28" s="119" t="s">
        <v>149</v>
      </c>
      <c r="I28" s="123"/>
      <c r="J28" s="123">
        <v>12</v>
      </c>
    </row>
    <row r="29" spans="3:10" s="34" customFormat="1" ht="12.75">
      <c r="C29" s="117"/>
      <c r="D29" s="117"/>
      <c r="E29" s="117"/>
      <c r="H29" s="118"/>
      <c r="I29" s="123"/>
      <c r="J29" s="123"/>
    </row>
    <row r="30" spans="3:10" s="34" customFormat="1" ht="12.75">
      <c r="C30" s="117"/>
      <c r="D30" s="117"/>
      <c r="E30" s="117"/>
      <c r="H30" s="119" t="s">
        <v>125</v>
      </c>
      <c r="I30" s="123"/>
      <c r="J30" s="125">
        <f>J25/J27/J28</f>
        <v>0.10205494120649301</v>
      </c>
    </row>
    <row r="31" spans="3:5" s="34" customFormat="1" ht="12.75">
      <c r="C31" s="117"/>
      <c r="D31" s="117"/>
      <c r="E31" s="117"/>
    </row>
    <row r="32" spans="3:5" s="34" customFormat="1" ht="12.75">
      <c r="C32" s="117"/>
      <c r="D32" s="117"/>
      <c r="E32" s="117"/>
    </row>
    <row r="33" spans="3:5" s="34" customFormat="1" ht="12.75">
      <c r="C33" s="117"/>
      <c r="D33" s="117"/>
      <c r="E33" s="117"/>
    </row>
    <row r="34" spans="3:5" s="34" customFormat="1" ht="12.75">
      <c r="C34" s="117"/>
      <c r="D34" s="117"/>
      <c r="E34" s="117"/>
    </row>
    <row r="35" spans="3:5" s="34" customFormat="1" ht="12.75">
      <c r="C35" s="117"/>
      <c r="D35" s="117"/>
      <c r="E35" s="117"/>
    </row>
    <row r="36" spans="3:5" s="34" customFormat="1" ht="12.75">
      <c r="C36" s="117"/>
      <c r="D36" s="117"/>
      <c r="E36" s="117"/>
    </row>
    <row r="37" spans="3:5" s="34" customFormat="1" ht="12.75">
      <c r="C37" s="117"/>
      <c r="D37" s="117"/>
      <c r="E37" s="117"/>
    </row>
    <row r="38" spans="3:5" s="34" customFormat="1" ht="12.75">
      <c r="C38" s="117"/>
      <c r="D38" s="117"/>
      <c r="E38" s="117"/>
    </row>
    <row r="39" spans="3:5" s="34" customFormat="1" ht="12.75">
      <c r="C39" s="117"/>
      <c r="D39" s="117"/>
      <c r="E39" s="117"/>
    </row>
  </sheetData>
  <sheetProtection/>
  <printOptions/>
  <pageMargins left="0.75" right="0.75" top="1" bottom="1" header="0.5" footer="0.5"/>
  <pageSetup horizontalDpi="525" verticalDpi="525" orientation="portrait" r:id="rId1"/>
  <ignoredErrors>
    <ignoredError sqref="I23:J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A78"/>
  <sheetViews>
    <sheetView zoomScalePageLayoutView="0" workbookViewId="0" topLeftCell="A1">
      <pane xSplit="1" ySplit="6" topLeftCell="M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24" sqref="O24:O26"/>
    </sheetView>
  </sheetViews>
  <sheetFormatPr defaultColWidth="9.140625" defaultRowHeight="12.75"/>
  <cols>
    <col min="1" max="1" width="58.421875" style="0" bestFit="1" customWidth="1"/>
    <col min="2" max="2" width="3.7109375" style="0" customWidth="1"/>
    <col min="3" max="5" width="15.8515625" style="0" customWidth="1"/>
    <col min="6" max="6" width="4.140625" style="0" customWidth="1"/>
    <col min="7" max="9" width="15.8515625" style="0" customWidth="1"/>
    <col min="10" max="10" width="5.421875" style="0" customWidth="1"/>
    <col min="11" max="11" width="17.00390625" style="0" customWidth="1"/>
    <col min="12" max="12" width="11.28125" style="0" customWidth="1"/>
    <col min="13" max="13" width="15.8515625" style="0" customWidth="1"/>
    <col min="14" max="14" width="4.7109375" style="0" customWidth="1"/>
    <col min="15" max="15" width="14.00390625" style="0" customWidth="1"/>
    <col min="16" max="16" width="11.28125" style="0" customWidth="1"/>
    <col min="17" max="17" width="15.8515625" style="0" customWidth="1"/>
    <col min="18" max="18" width="4.421875" style="0" customWidth="1"/>
    <col min="19" max="19" width="12.8515625" style="0" customWidth="1"/>
    <col min="20" max="20" width="11.28125" style="0" customWidth="1"/>
    <col min="21" max="21" width="15.8515625" style="0" customWidth="1"/>
    <col min="22" max="22" width="9.140625" style="0" customWidth="1"/>
    <col min="27" max="27" width="18.421875" style="0" customWidth="1"/>
  </cols>
  <sheetData>
    <row r="1" ht="18">
      <c r="A1" s="7" t="s">
        <v>122</v>
      </c>
    </row>
    <row r="2" ht="18">
      <c r="A2" s="7" t="s">
        <v>123</v>
      </c>
    </row>
    <row r="3" spans="1:15" ht="18">
      <c r="A3" s="35" t="s">
        <v>133</v>
      </c>
      <c r="M3" s="89"/>
      <c r="O3" s="1"/>
    </row>
    <row r="4" ht="18">
      <c r="A4" s="35" t="s">
        <v>78</v>
      </c>
    </row>
    <row r="5" spans="2:12" ht="13.5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4" ht="13.5" thickBot="1">
      <c r="A6" s="4" t="s">
        <v>43</v>
      </c>
      <c r="B6" s="27"/>
      <c r="C6" s="127" t="s">
        <v>72</v>
      </c>
      <c r="D6" s="128"/>
      <c r="E6" s="129"/>
      <c r="F6" s="27"/>
      <c r="G6" s="127" t="s">
        <v>87</v>
      </c>
      <c r="H6" s="130"/>
      <c r="I6" s="129"/>
      <c r="J6" s="27"/>
      <c r="K6" s="127" t="s">
        <v>116</v>
      </c>
      <c r="L6" s="128"/>
      <c r="M6" s="129"/>
      <c r="N6" s="27"/>
      <c r="O6" s="127" t="s">
        <v>117</v>
      </c>
      <c r="P6" s="128"/>
      <c r="Q6" s="129"/>
      <c r="R6" s="27"/>
      <c r="S6" s="127" t="s">
        <v>118</v>
      </c>
      <c r="T6" s="128"/>
      <c r="U6" s="129"/>
      <c r="V6" s="27"/>
      <c r="W6" s="4"/>
      <c r="X6" s="4"/>
    </row>
    <row r="7" spans="1:21" ht="12.75">
      <c r="A7" s="106" t="s">
        <v>127</v>
      </c>
      <c r="C7" s="39">
        <f>+'SM FA Continuity'!G8</f>
        <v>0</v>
      </c>
      <c r="D7" s="40"/>
      <c r="E7" s="41"/>
      <c r="G7" s="39">
        <f>'SM FA Continuity'!G15</f>
        <v>144668.75</v>
      </c>
      <c r="H7" s="40"/>
      <c r="I7" s="41"/>
      <c r="K7" s="39">
        <f>'SM FA Continuity'!G22</f>
        <v>285675</v>
      </c>
      <c r="L7" s="40"/>
      <c r="M7" s="41"/>
      <c r="O7" s="39">
        <f>'SM FA Continuity'!G29</f>
        <v>278350</v>
      </c>
      <c r="P7" s="40"/>
      <c r="Q7" s="41"/>
      <c r="S7" s="39">
        <f>'SM FA Continuity'!G36</f>
        <v>271025</v>
      </c>
      <c r="T7" s="40"/>
      <c r="U7" s="41"/>
    </row>
    <row r="8" spans="1:21" ht="12.75">
      <c r="A8" s="106" t="s">
        <v>128</v>
      </c>
      <c r="C8" s="39">
        <f>+'SM FA Continuity'!G9</f>
        <v>0</v>
      </c>
      <c r="D8" s="40"/>
      <c r="E8" s="41"/>
      <c r="G8" s="39">
        <f>'SM FA Continuity'!G16</f>
        <v>164816.66666666666</v>
      </c>
      <c r="H8" s="40"/>
      <c r="I8" s="41"/>
      <c r="K8" s="39">
        <f>'SM FA Continuity'!G23</f>
        <v>318266.6666666666</v>
      </c>
      <c r="L8" s="40"/>
      <c r="M8" s="41"/>
      <c r="O8" s="39">
        <f>'SM FA Continuity'!G30</f>
        <v>295533.3333333334</v>
      </c>
      <c r="P8" s="40"/>
      <c r="Q8" s="41"/>
      <c r="S8" s="39">
        <f>'SM FA Continuity'!G37</f>
        <v>272800</v>
      </c>
      <c r="T8" s="40"/>
      <c r="U8" s="41"/>
    </row>
    <row r="9" spans="1:21" ht="12.75">
      <c r="A9" s="94" t="s">
        <v>138</v>
      </c>
      <c r="C9" s="39">
        <f>+'SM FA Continuity'!G10</f>
        <v>491470</v>
      </c>
      <c r="D9" s="40"/>
      <c r="E9" s="41"/>
      <c r="G9" s="39">
        <f>'SM FA Continuity'!G17</f>
        <v>970999.5238095238</v>
      </c>
      <c r="H9" s="40"/>
      <c r="I9" s="41"/>
      <c r="K9" s="39">
        <f>'SM FA Continuity'!G24</f>
        <v>947118.5714285714</v>
      </c>
      <c r="L9" s="40"/>
      <c r="M9" s="41"/>
      <c r="O9" s="39">
        <f>'SM FA Continuity'!G31</f>
        <v>923237.6190476189</v>
      </c>
      <c r="P9" s="40"/>
      <c r="Q9" s="41"/>
      <c r="S9" s="39">
        <f>'SM FA Continuity'!G38</f>
        <v>899356.6666666665</v>
      </c>
      <c r="T9" s="40"/>
      <c r="U9" s="41"/>
    </row>
    <row r="10" spans="1:21" ht="12.75">
      <c r="A10" s="106" t="s">
        <v>129</v>
      </c>
      <c r="C10" s="39">
        <f>+'SM FA Continuity'!G11</f>
        <v>0</v>
      </c>
      <c r="D10" s="40">
        <f>SUM(C7:C10)</f>
        <v>491470</v>
      </c>
      <c r="E10" s="41"/>
      <c r="G10" s="39">
        <f>'SM FA Continuity'!G18</f>
        <v>188500</v>
      </c>
      <c r="H10" s="40">
        <f>SUM(G7:G10)</f>
        <v>1468984.9404761903</v>
      </c>
      <c r="I10" s="41"/>
      <c r="K10" s="39">
        <f>'SM FA Continuity'!G25</f>
        <v>364000</v>
      </c>
      <c r="L10" s="40">
        <f>SUM(K7:K10)</f>
        <v>1915060.2380952379</v>
      </c>
      <c r="M10" s="41"/>
      <c r="O10" s="39">
        <f>'SM FA Continuity'!G32</f>
        <v>338000</v>
      </c>
      <c r="P10" s="40">
        <f>SUM(O7:O10)</f>
        <v>1835120.9523809524</v>
      </c>
      <c r="Q10" s="41"/>
      <c r="S10" s="39">
        <f>'SM FA Continuity'!G39</f>
        <v>312000</v>
      </c>
      <c r="T10" s="40">
        <f>SUM(S7:S10)</f>
        <v>1755181.6666666665</v>
      </c>
      <c r="U10" s="41"/>
    </row>
    <row r="11" spans="3:21" ht="12.75">
      <c r="C11" s="42"/>
      <c r="D11" s="8"/>
      <c r="E11" s="41"/>
      <c r="G11" s="42"/>
      <c r="H11" s="8"/>
      <c r="I11" s="41"/>
      <c r="K11" s="42"/>
      <c r="L11" s="8"/>
      <c r="M11" s="41"/>
      <c r="O11" s="42"/>
      <c r="P11" s="8"/>
      <c r="Q11" s="41"/>
      <c r="S11" s="42"/>
      <c r="T11" s="8"/>
      <c r="U11" s="41"/>
    </row>
    <row r="12" spans="1:21" ht="12.75">
      <c r="A12" s="4" t="s">
        <v>44</v>
      </c>
      <c r="C12" s="42"/>
      <c r="D12" s="8"/>
      <c r="E12" s="41"/>
      <c r="G12" s="42"/>
      <c r="H12" s="8"/>
      <c r="I12" s="41"/>
      <c r="K12" s="42"/>
      <c r="L12" s="8"/>
      <c r="M12" s="41"/>
      <c r="O12" s="42"/>
      <c r="P12" s="8"/>
      <c r="Q12" s="41"/>
      <c r="S12" s="42"/>
      <c r="T12" s="8"/>
      <c r="U12" s="41"/>
    </row>
    <row r="13" spans="1:22" ht="12.75">
      <c r="A13" t="s">
        <v>45</v>
      </c>
      <c r="C13" s="87">
        <v>0</v>
      </c>
      <c r="D13" s="20"/>
      <c r="E13" s="43"/>
      <c r="F13" s="31"/>
      <c r="G13" s="88">
        <v>0</v>
      </c>
      <c r="H13" s="20"/>
      <c r="I13" s="43"/>
      <c r="J13" s="31"/>
      <c r="K13" s="88">
        <v>0</v>
      </c>
      <c r="L13" s="20"/>
      <c r="M13" s="43"/>
      <c r="N13" s="31"/>
      <c r="O13" s="88">
        <v>0</v>
      </c>
      <c r="P13" s="20"/>
      <c r="Q13" s="43"/>
      <c r="R13" s="31"/>
      <c r="S13" s="88">
        <v>0</v>
      </c>
      <c r="T13" s="20"/>
      <c r="U13" s="43"/>
      <c r="V13" s="31"/>
    </row>
    <row r="14" spans="1:23" ht="12.75">
      <c r="A14" t="s">
        <v>46</v>
      </c>
      <c r="C14" s="44">
        <f>+C13*0.15</f>
        <v>0</v>
      </c>
      <c r="D14" s="20">
        <f>+C14</f>
        <v>0</v>
      </c>
      <c r="E14" s="41"/>
      <c r="G14" s="44">
        <f>+G13*0.15</f>
        <v>0</v>
      </c>
      <c r="H14" s="20">
        <f>+G14</f>
        <v>0</v>
      </c>
      <c r="I14" s="41"/>
      <c r="K14" s="44">
        <f>+K13*0.15</f>
        <v>0</v>
      </c>
      <c r="L14" s="20">
        <f>+K14</f>
        <v>0</v>
      </c>
      <c r="M14" s="41"/>
      <c r="O14" s="44">
        <f>+O13*0.15</f>
        <v>0</v>
      </c>
      <c r="P14" s="20">
        <f>+O14</f>
        <v>0</v>
      </c>
      <c r="Q14" s="41"/>
      <c r="S14" s="44">
        <f>+S13*0.15</f>
        <v>0</v>
      </c>
      <c r="T14" s="20">
        <f>+S14</f>
        <v>0</v>
      </c>
      <c r="U14" s="41"/>
      <c r="W14" t="s">
        <v>52</v>
      </c>
    </row>
    <row r="15" spans="3:21" ht="12.75">
      <c r="C15" s="44"/>
      <c r="D15" s="20"/>
      <c r="E15" s="41"/>
      <c r="G15" s="44"/>
      <c r="H15" s="20"/>
      <c r="I15" s="41"/>
      <c r="K15" s="44"/>
      <c r="L15" s="20"/>
      <c r="M15" s="41"/>
      <c r="O15" s="44"/>
      <c r="P15" s="20"/>
      <c r="Q15" s="41"/>
      <c r="S15" s="44"/>
      <c r="T15" s="20"/>
      <c r="U15" s="41"/>
    </row>
    <row r="16" spans="1:23" ht="13.5" thickBot="1">
      <c r="A16" s="4" t="s">
        <v>135</v>
      </c>
      <c r="C16" s="44"/>
      <c r="D16" s="18">
        <f>+D10+D14</f>
        <v>491470</v>
      </c>
      <c r="E16" s="41"/>
      <c r="G16" s="44"/>
      <c r="H16" s="18">
        <f>+H10+H14</f>
        <v>1468984.9404761903</v>
      </c>
      <c r="I16" s="41"/>
      <c r="K16" s="44"/>
      <c r="L16" s="18">
        <f>+L10+L14</f>
        <v>1915060.2380952379</v>
      </c>
      <c r="M16" s="41"/>
      <c r="O16" s="44"/>
      <c r="P16" s="18">
        <f>+P10+P14</f>
        <v>1835120.9523809524</v>
      </c>
      <c r="Q16" s="41"/>
      <c r="S16" s="44"/>
      <c r="T16" s="18">
        <f>+T10+T14</f>
        <v>1755181.6666666665</v>
      </c>
      <c r="U16" s="41"/>
      <c r="W16" t="s">
        <v>53</v>
      </c>
    </row>
    <row r="17" spans="1:21" ht="12.75">
      <c r="A17" s="4"/>
      <c r="C17" s="42"/>
      <c r="D17" s="8"/>
      <c r="E17" s="41"/>
      <c r="G17" s="42"/>
      <c r="H17" s="8"/>
      <c r="I17" s="41"/>
      <c r="K17" s="42"/>
      <c r="L17" s="8"/>
      <c r="M17" s="41"/>
      <c r="O17" s="42"/>
      <c r="P17" s="8"/>
      <c r="Q17" s="41"/>
      <c r="S17" s="42"/>
      <c r="T17" s="8"/>
      <c r="U17" s="41"/>
    </row>
    <row r="18" spans="1:21" ht="12.75">
      <c r="A18" s="4" t="s">
        <v>11</v>
      </c>
      <c r="C18" s="45"/>
      <c r="D18" s="46"/>
      <c r="E18" s="41"/>
      <c r="G18" s="45"/>
      <c r="H18" s="46"/>
      <c r="I18" s="41"/>
      <c r="K18" s="45"/>
      <c r="L18" s="46"/>
      <c r="M18" s="41"/>
      <c r="O18" s="45"/>
      <c r="P18" s="46"/>
      <c r="Q18" s="41"/>
      <c r="S18" s="45"/>
      <c r="T18" s="46"/>
      <c r="U18" s="41"/>
    </row>
    <row r="19" spans="1:23" ht="12.75">
      <c r="A19" t="s">
        <v>12</v>
      </c>
      <c r="B19" s="16"/>
      <c r="C19" s="47">
        <v>0.6</v>
      </c>
      <c r="D19" s="20">
        <f>+C19*D16</f>
        <v>294882</v>
      </c>
      <c r="E19" s="48"/>
      <c r="F19" s="16"/>
      <c r="G19" s="47">
        <f>100%-G20-G21</f>
        <v>0.5599999999999999</v>
      </c>
      <c r="H19" s="20">
        <f>+G19*H16</f>
        <v>822631.5666666665</v>
      </c>
      <c r="I19" s="48"/>
      <c r="J19" s="16"/>
      <c r="K19" s="47">
        <f>100%-K20-K21</f>
        <v>0.5599999999999999</v>
      </c>
      <c r="L19" s="20">
        <f>+K19*L16</f>
        <v>1072433.7333333332</v>
      </c>
      <c r="M19" s="48"/>
      <c r="N19" s="16"/>
      <c r="O19" s="47">
        <f>100%-O20-O21</f>
        <v>0.5599999999999999</v>
      </c>
      <c r="P19" s="20">
        <f>+O19*P16</f>
        <v>1027667.7333333333</v>
      </c>
      <c r="Q19" s="48"/>
      <c r="R19" s="16"/>
      <c r="S19" s="47">
        <f>100%-S20-S21</f>
        <v>0.5599999999999999</v>
      </c>
      <c r="T19" s="20">
        <f>+S19*T16</f>
        <v>982901.7333333332</v>
      </c>
      <c r="U19" s="48"/>
      <c r="V19" s="16"/>
      <c r="W19" t="s">
        <v>54</v>
      </c>
    </row>
    <row r="20" spans="1:23" ht="12.75">
      <c r="A20" t="s">
        <v>13</v>
      </c>
      <c r="B20" s="16"/>
      <c r="C20" s="47"/>
      <c r="D20" s="20">
        <f>+C20*D16</f>
        <v>0</v>
      </c>
      <c r="E20" s="48"/>
      <c r="F20" s="16"/>
      <c r="G20" s="47">
        <v>0.04</v>
      </c>
      <c r="H20" s="20">
        <f>+G20*H16</f>
        <v>58759.39761904761</v>
      </c>
      <c r="I20" s="48"/>
      <c r="J20" s="16"/>
      <c r="K20" s="47">
        <v>0.04</v>
      </c>
      <c r="L20" s="20">
        <f>+K20*L16</f>
        <v>76602.40952380952</v>
      </c>
      <c r="M20" s="48"/>
      <c r="N20" s="16"/>
      <c r="O20" s="47">
        <v>0.04</v>
      </c>
      <c r="P20" s="20">
        <f>+O20*P16</f>
        <v>73404.8380952381</v>
      </c>
      <c r="Q20" s="48"/>
      <c r="R20" s="16"/>
      <c r="S20" s="47">
        <v>0.04</v>
      </c>
      <c r="T20" s="20">
        <f>+S20*T16</f>
        <v>70207.26666666666</v>
      </c>
      <c r="U20" s="48"/>
      <c r="V20" s="16"/>
      <c r="W20" t="s">
        <v>55</v>
      </c>
    </row>
    <row r="21" spans="1:23" ht="12.75">
      <c r="A21" s="10" t="s">
        <v>14</v>
      </c>
      <c r="B21" s="16"/>
      <c r="C21" s="47">
        <v>0.4</v>
      </c>
      <c r="D21" s="20">
        <f>+C21*D16</f>
        <v>196588</v>
      </c>
      <c r="E21" s="48"/>
      <c r="F21" s="16"/>
      <c r="G21" s="47">
        <v>0.4</v>
      </c>
      <c r="H21" s="20">
        <f>+G21*H16</f>
        <v>587593.9761904761</v>
      </c>
      <c r="I21" s="48"/>
      <c r="J21" s="16"/>
      <c r="K21" s="47">
        <v>0.4</v>
      </c>
      <c r="L21" s="20">
        <f>+K21*L16</f>
        <v>766024.0952380951</v>
      </c>
      <c r="M21" s="48"/>
      <c r="N21" s="16"/>
      <c r="O21" s="47">
        <v>0.4</v>
      </c>
      <c r="P21" s="20">
        <f>+O21*P16</f>
        <v>734048.3809523811</v>
      </c>
      <c r="Q21" s="48"/>
      <c r="R21" s="16"/>
      <c r="S21" s="47">
        <v>0.4</v>
      </c>
      <c r="T21" s="20">
        <f>+S21*T16</f>
        <v>702072.6666666666</v>
      </c>
      <c r="U21" s="48"/>
      <c r="V21" s="16"/>
      <c r="W21" t="s">
        <v>56</v>
      </c>
    </row>
    <row r="22" spans="2:22" ht="13.5" thickBot="1">
      <c r="B22" s="16"/>
      <c r="C22" s="45"/>
      <c r="D22" s="18">
        <f>SUM(D19:D21)</f>
        <v>491470</v>
      </c>
      <c r="E22" s="48"/>
      <c r="F22" s="16"/>
      <c r="G22" s="45"/>
      <c r="H22" s="18">
        <f>SUM(H19:H21)</f>
        <v>1468984.9404761903</v>
      </c>
      <c r="I22" s="48"/>
      <c r="J22" s="16"/>
      <c r="K22" s="45"/>
      <c r="L22" s="20">
        <f>SUM(L19:L21)</f>
        <v>1915060.2380952379</v>
      </c>
      <c r="M22" s="48"/>
      <c r="N22" s="16"/>
      <c r="O22" s="45"/>
      <c r="P22" s="18">
        <f>SUM(P19:P21)</f>
        <v>1835120.9523809524</v>
      </c>
      <c r="Q22" s="48"/>
      <c r="R22" s="16"/>
      <c r="S22" s="45"/>
      <c r="T22" s="18">
        <f>SUM(T19:T21)</f>
        <v>1755181.6666666665</v>
      </c>
      <c r="U22" s="48"/>
      <c r="V22" s="16"/>
    </row>
    <row r="23" spans="2:22" s="9" customFormat="1" ht="6.75">
      <c r="B23" s="19"/>
      <c r="C23" s="49"/>
      <c r="D23" s="50"/>
      <c r="E23" s="51"/>
      <c r="F23" s="19"/>
      <c r="G23" s="49"/>
      <c r="H23" s="50"/>
      <c r="I23" s="51"/>
      <c r="J23" s="19"/>
      <c r="K23" s="49"/>
      <c r="L23" s="50"/>
      <c r="M23" s="51"/>
      <c r="N23" s="19"/>
      <c r="O23" s="49"/>
      <c r="P23" s="50"/>
      <c r="Q23" s="51"/>
      <c r="R23" s="19"/>
      <c r="S23" s="49"/>
      <c r="T23" s="50"/>
      <c r="U23" s="51"/>
      <c r="V23" s="19"/>
    </row>
    <row r="24" spans="1:23" ht="12.75">
      <c r="A24" t="s">
        <v>15</v>
      </c>
      <c r="B24" s="16"/>
      <c r="C24" s="52">
        <v>0.0685</v>
      </c>
      <c r="D24" s="20">
        <f>+D19*C24</f>
        <v>20199.417</v>
      </c>
      <c r="E24" s="48"/>
      <c r="F24" s="16"/>
      <c r="G24" s="52">
        <v>0.067611</v>
      </c>
      <c r="H24" s="20">
        <f>+H19*G24</f>
        <v>55618.94285389999</v>
      </c>
      <c r="I24" s="48"/>
      <c r="J24" s="16"/>
      <c r="K24" s="52">
        <v>0.067611</v>
      </c>
      <c r="L24" s="20">
        <f>+L19*K24</f>
        <v>72508.31714439999</v>
      </c>
      <c r="M24" s="48"/>
      <c r="N24" s="16"/>
      <c r="O24" s="52">
        <v>0.067611</v>
      </c>
      <c r="P24" s="20">
        <f>+P19*O24</f>
        <v>69481.6431184</v>
      </c>
      <c r="Q24" s="48"/>
      <c r="R24" s="16"/>
      <c r="S24" s="52">
        <v>0.067611</v>
      </c>
      <c r="T24" s="20">
        <f>+T19*S24</f>
        <v>66454.96909239999</v>
      </c>
      <c r="U24" s="48"/>
      <c r="V24" s="16"/>
      <c r="W24" t="s">
        <v>57</v>
      </c>
    </row>
    <row r="25" spans="1:23" ht="12.75">
      <c r="A25" t="s">
        <v>16</v>
      </c>
      <c r="B25" s="16"/>
      <c r="C25" s="52"/>
      <c r="D25" s="20">
        <f>+D20*C25</f>
        <v>0</v>
      </c>
      <c r="E25" s="48"/>
      <c r="F25" s="16"/>
      <c r="G25" s="52">
        <v>0.0207</v>
      </c>
      <c r="H25" s="20">
        <f>+H20*G25</f>
        <v>1216.3195307142855</v>
      </c>
      <c r="I25" s="48"/>
      <c r="J25" s="16"/>
      <c r="K25" s="52">
        <v>0.0207</v>
      </c>
      <c r="L25" s="20">
        <f>+L20*K25</f>
        <v>1585.669877142857</v>
      </c>
      <c r="M25" s="48"/>
      <c r="N25" s="16"/>
      <c r="O25" s="52">
        <v>0.0207</v>
      </c>
      <c r="P25" s="20">
        <f>+P20*O25</f>
        <v>1519.4801485714286</v>
      </c>
      <c r="Q25" s="48"/>
      <c r="R25" s="16"/>
      <c r="S25" s="52">
        <v>0.0207</v>
      </c>
      <c r="T25" s="20">
        <f>+T20*S25</f>
        <v>1453.2904199999998</v>
      </c>
      <c r="U25" s="48"/>
      <c r="V25" s="16"/>
      <c r="W25" t="s">
        <v>58</v>
      </c>
    </row>
    <row r="26" spans="1:23" ht="12.75">
      <c r="A26" t="s">
        <v>17</v>
      </c>
      <c r="B26" s="16"/>
      <c r="C26" s="52">
        <v>0.09</v>
      </c>
      <c r="D26" s="20">
        <f>+D21*C26</f>
        <v>17692.92</v>
      </c>
      <c r="E26" s="48"/>
      <c r="F26" s="16"/>
      <c r="G26" s="52">
        <v>0.0992</v>
      </c>
      <c r="H26" s="20">
        <f>+H21*G26</f>
        <v>58289.32243809522</v>
      </c>
      <c r="I26" s="48"/>
      <c r="J26" s="16"/>
      <c r="K26" s="52">
        <v>0.0992</v>
      </c>
      <c r="L26" s="20">
        <f>+L21*K26</f>
        <v>75989.59024761904</v>
      </c>
      <c r="M26" s="48"/>
      <c r="N26" s="16"/>
      <c r="O26" s="52">
        <v>0.0992</v>
      </c>
      <c r="P26" s="20">
        <f>+P21*O26</f>
        <v>72817.5993904762</v>
      </c>
      <c r="Q26" s="48"/>
      <c r="R26" s="16"/>
      <c r="S26" s="52">
        <v>0.0992</v>
      </c>
      <c r="T26" s="20">
        <f>+T21*S26</f>
        <v>69645.60853333333</v>
      </c>
      <c r="U26" s="48"/>
      <c r="V26" s="16"/>
      <c r="W26" t="s">
        <v>59</v>
      </c>
    </row>
    <row r="27" spans="1:23" ht="13.5" thickBot="1">
      <c r="A27" s="4" t="s">
        <v>18</v>
      </c>
      <c r="B27" s="16"/>
      <c r="C27" s="45"/>
      <c r="D27" s="18">
        <f>SUM(D24:D26)</f>
        <v>37892.337</v>
      </c>
      <c r="E27" s="48">
        <f>+D27</f>
        <v>37892.337</v>
      </c>
      <c r="F27" s="16"/>
      <c r="G27" s="45"/>
      <c r="H27" s="18">
        <f>SUM(H24:H26)</f>
        <v>115124.5848227095</v>
      </c>
      <c r="I27" s="48">
        <f>+H27</f>
        <v>115124.5848227095</v>
      </c>
      <c r="J27" s="16"/>
      <c r="K27" s="45"/>
      <c r="L27" s="20">
        <f>SUM(L24:L26)</f>
        <v>150083.57726916188</v>
      </c>
      <c r="M27" s="48">
        <f>+L27</f>
        <v>150083.57726916188</v>
      </c>
      <c r="N27" s="16"/>
      <c r="O27" s="45"/>
      <c r="P27" s="18">
        <f>SUM(P24:P26)</f>
        <v>143818.72265744762</v>
      </c>
      <c r="Q27" s="48">
        <f>+P27</f>
        <v>143818.72265744762</v>
      </c>
      <c r="R27" s="16"/>
      <c r="S27" s="45"/>
      <c r="T27" s="18">
        <f>SUM(T24:T26)</f>
        <v>137553.8680457333</v>
      </c>
      <c r="U27" s="48">
        <f>+T27</f>
        <v>137553.8680457333</v>
      </c>
      <c r="V27" s="16"/>
      <c r="W27" t="s">
        <v>60</v>
      </c>
    </row>
    <row r="28" spans="1:21" ht="12.75">
      <c r="A28" s="4"/>
      <c r="C28" s="45"/>
      <c r="D28" s="8"/>
      <c r="E28" s="41"/>
      <c r="G28" s="45"/>
      <c r="H28" s="8"/>
      <c r="I28" s="41"/>
      <c r="K28" s="45"/>
      <c r="L28" s="8"/>
      <c r="M28" s="41"/>
      <c r="O28" s="45"/>
      <c r="P28" s="8"/>
      <c r="Q28" s="41"/>
      <c r="S28" s="45"/>
      <c r="T28" s="8"/>
      <c r="U28" s="41"/>
    </row>
    <row r="29" spans="1:21" ht="12.75">
      <c r="A29" s="4" t="s">
        <v>47</v>
      </c>
      <c r="C29" s="45"/>
      <c r="D29" s="8"/>
      <c r="E29" s="41"/>
      <c r="G29" s="45"/>
      <c r="H29" s="8"/>
      <c r="I29" s="41"/>
      <c r="K29" s="45"/>
      <c r="L29" s="8"/>
      <c r="M29" s="41"/>
      <c r="O29" s="45"/>
      <c r="P29" s="8"/>
      <c r="Q29" s="41"/>
      <c r="S29" s="45"/>
      <c r="T29" s="8"/>
      <c r="U29" s="41"/>
    </row>
    <row r="30" spans="1:23" ht="12.75">
      <c r="A30" s="10" t="s">
        <v>48</v>
      </c>
      <c r="B30" s="16"/>
      <c r="C30" s="45"/>
      <c r="D30" s="20"/>
      <c r="E30" s="48">
        <f>C13</f>
        <v>0</v>
      </c>
      <c r="F30" s="16"/>
      <c r="G30" s="45"/>
      <c r="H30" s="20"/>
      <c r="I30" s="48">
        <f>G13</f>
        <v>0</v>
      </c>
      <c r="J30" s="16"/>
      <c r="K30" s="45"/>
      <c r="L30" s="20"/>
      <c r="M30" s="48">
        <f>K13</f>
        <v>0</v>
      </c>
      <c r="N30" s="16"/>
      <c r="O30" s="45"/>
      <c r="P30" s="20"/>
      <c r="Q30" s="48">
        <f>O13</f>
        <v>0</v>
      </c>
      <c r="R30" s="16"/>
      <c r="S30" s="45"/>
      <c r="T30" s="20"/>
      <c r="U30" s="48">
        <f>S13</f>
        <v>0</v>
      </c>
      <c r="V30" s="16"/>
      <c r="W30" t="s">
        <v>64</v>
      </c>
    </row>
    <row r="31" spans="1:22" ht="12.75">
      <c r="A31" s="10"/>
      <c r="B31" s="16"/>
      <c r="C31" s="45"/>
      <c r="D31" s="20"/>
      <c r="E31" s="48"/>
      <c r="F31" s="16"/>
      <c r="G31" s="45"/>
      <c r="H31" s="20"/>
      <c r="I31" s="48"/>
      <c r="J31" s="16"/>
      <c r="K31" s="45"/>
      <c r="L31" s="20"/>
      <c r="M31" s="48"/>
      <c r="N31" s="16"/>
      <c r="O31" s="45"/>
      <c r="P31" s="20"/>
      <c r="Q31" s="48"/>
      <c r="R31" s="16"/>
      <c r="S31" s="45"/>
      <c r="T31" s="20"/>
      <c r="U31" s="48"/>
      <c r="V31" s="16"/>
    </row>
    <row r="32" spans="1:23" ht="12.75">
      <c r="A32" s="4" t="s">
        <v>20</v>
      </c>
      <c r="B32" s="22"/>
      <c r="C32" s="45"/>
      <c r="D32" s="53"/>
      <c r="E32" s="54">
        <f>+'SM FA Continuity'!E12</f>
        <v>20060</v>
      </c>
      <c r="F32" s="22"/>
      <c r="G32" s="45"/>
      <c r="H32" s="53"/>
      <c r="I32" s="54">
        <f>'SM FA Continuity'!E19</f>
        <v>51910.119047619046</v>
      </c>
      <c r="J32" s="22"/>
      <c r="K32" s="45"/>
      <c r="L32" s="53"/>
      <c r="M32" s="54">
        <f>'SM FA Continuity'!E26</f>
        <v>79939.28571428571</v>
      </c>
      <c r="N32" s="22"/>
      <c r="O32" s="45"/>
      <c r="P32" s="53"/>
      <c r="Q32" s="54">
        <f>'SM FA Continuity'!E33</f>
        <v>79939.28571428571</v>
      </c>
      <c r="R32" s="22"/>
      <c r="S32" s="45"/>
      <c r="T32" s="53"/>
      <c r="U32" s="54">
        <f>'SM FA Continuity'!E40</f>
        <v>79939.28571428571</v>
      </c>
      <c r="V32" s="22"/>
      <c r="W32" t="s">
        <v>65</v>
      </c>
    </row>
    <row r="33" spans="1:22" ht="12.75">
      <c r="A33" s="4"/>
      <c r="B33" s="21"/>
      <c r="C33" s="45"/>
      <c r="D33" s="20"/>
      <c r="E33" s="55"/>
      <c r="F33" s="21"/>
      <c r="G33" s="45"/>
      <c r="H33" s="20"/>
      <c r="I33" s="55"/>
      <c r="J33" s="21"/>
      <c r="K33" s="45"/>
      <c r="L33" s="20"/>
      <c r="M33" s="55"/>
      <c r="N33" s="21"/>
      <c r="O33" s="45"/>
      <c r="P33" s="20"/>
      <c r="Q33" s="55"/>
      <c r="R33" s="21"/>
      <c r="S33" s="45"/>
      <c r="T33" s="20"/>
      <c r="U33" s="55"/>
      <c r="V33" s="21"/>
    </row>
    <row r="34" spans="1:23" ht="13.5" thickBot="1">
      <c r="A34" t="s">
        <v>21</v>
      </c>
      <c r="B34" s="20"/>
      <c r="C34" s="45"/>
      <c r="D34" s="53"/>
      <c r="E34" s="56">
        <f>+E27+E30+E32</f>
        <v>57952.337</v>
      </c>
      <c r="F34" s="20"/>
      <c r="G34" s="45"/>
      <c r="H34" s="53"/>
      <c r="I34" s="56">
        <f>+I27+I30+I32</f>
        <v>167034.70387032855</v>
      </c>
      <c r="J34" s="20"/>
      <c r="K34" s="45"/>
      <c r="L34" s="53"/>
      <c r="M34" s="57">
        <f>+M27+M30+M32</f>
        <v>230022.8629834476</v>
      </c>
      <c r="N34" s="20"/>
      <c r="O34" s="45"/>
      <c r="P34" s="53"/>
      <c r="Q34" s="56">
        <f>+Q27+Q30+Q32</f>
        <v>223758.00837173333</v>
      </c>
      <c r="R34" s="20"/>
      <c r="S34" s="45"/>
      <c r="T34" s="53"/>
      <c r="U34" s="56">
        <f>+U27+U30+U32</f>
        <v>217493.15376001902</v>
      </c>
      <c r="V34" s="20"/>
      <c r="W34" t="s">
        <v>19</v>
      </c>
    </row>
    <row r="35" spans="3:21" ht="12.75">
      <c r="C35" s="45"/>
      <c r="D35" s="8"/>
      <c r="E35" s="41"/>
      <c r="G35" s="45"/>
      <c r="H35" s="8"/>
      <c r="I35" s="41"/>
      <c r="K35" s="45"/>
      <c r="L35" s="8"/>
      <c r="M35" s="41"/>
      <c r="O35" s="45"/>
      <c r="P35" s="8"/>
      <c r="Q35" s="41"/>
      <c r="S35" s="45"/>
      <c r="T35" s="8"/>
      <c r="U35" s="41"/>
    </row>
    <row r="36" spans="1:21" ht="12.75">
      <c r="A36" s="4" t="s">
        <v>61</v>
      </c>
      <c r="C36" s="45"/>
      <c r="D36" s="8"/>
      <c r="E36" s="41"/>
      <c r="G36" s="45"/>
      <c r="H36" s="8"/>
      <c r="I36" s="41"/>
      <c r="K36" s="45"/>
      <c r="L36" s="8"/>
      <c r="M36" s="41"/>
      <c r="O36" s="45"/>
      <c r="P36" s="8"/>
      <c r="Q36" s="41"/>
      <c r="S36" s="45"/>
      <c r="T36" s="8"/>
      <c r="U36" s="41"/>
    </row>
    <row r="37" spans="1:23" ht="12.75">
      <c r="A37" t="s">
        <v>62</v>
      </c>
      <c r="B37" s="17"/>
      <c r="C37" s="45"/>
      <c r="D37" s="53"/>
      <c r="E37" s="57">
        <f>-E30</f>
        <v>0</v>
      </c>
      <c r="F37" s="17"/>
      <c r="G37" s="45"/>
      <c r="H37" s="53"/>
      <c r="I37" s="57">
        <f>-I30</f>
        <v>0</v>
      </c>
      <c r="J37" s="17"/>
      <c r="K37" s="45"/>
      <c r="L37" s="53"/>
      <c r="M37" s="57">
        <f>-M30</f>
        <v>0</v>
      </c>
      <c r="N37" s="17"/>
      <c r="O37" s="45"/>
      <c r="P37" s="53"/>
      <c r="Q37" s="57">
        <f>-Q30</f>
        <v>0</v>
      </c>
      <c r="R37" s="17"/>
      <c r="S37" s="45"/>
      <c r="T37" s="53"/>
      <c r="U37" s="57">
        <f>-U30</f>
        <v>0</v>
      </c>
      <c r="V37" s="17"/>
      <c r="W37" t="s">
        <v>64</v>
      </c>
    </row>
    <row r="38" spans="1:23" ht="12.75">
      <c r="A38" t="s">
        <v>22</v>
      </c>
      <c r="B38" s="17"/>
      <c r="C38" s="58"/>
      <c r="D38" s="53"/>
      <c r="E38" s="57">
        <f>-E32</f>
        <v>-20060</v>
      </c>
      <c r="F38" s="17"/>
      <c r="G38" s="58"/>
      <c r="H38" s="53"/>
      <c r="I38" s="57">
        <f>-I32</f>
        <v>-51910.119047619046</v>
      </c>
      <c r="J38" s="17"/>
      <c r="K38" s="58"/>
      <c r="L38" s="53"/>
      <c r="M38" s="57">
        <f>-M32</f>
        <v>-79939.28571428571</v>
      </c>
      <c r="N38" s="17"/>
      <c r="O38" s="58"/>
      <c r="P38" s="53"/>
      <c r="Q38" s="57">
        <f>-Q32</f>
        <v>-79939.28571428571</v>
      </c>
      <c r="R38" s="17"/>
      <c r="S38" s="58"/>
      <c r="T38" s="53"/>
      <c r="U38" s="57">
        <f>-U32</f>
        <v>-79939.28571428571</v>
      </c>
      <c r="V38" s="17"/>
      <c r="W38" t="s">
        <v>65</v>
      </c>
    </row>
    <row r="39" spans="1:23" ht="12.75">
      <c r="A39" t="s">
        <v>24</v>
      </c>
      <c r="B39" s="17"/>
      <c r="C39" s="58"/>
      <c r="D39" s="53"/>
      <c r="E39" s="57">
        <f>-D24-D25</f>
        <v>-20199.417</v>
      </c>
      <c r="F39" s="17"/>
      <c r="G39" s="58"/>
      <c r="H39" s="53"/>
      <c r="I39" s="57">
        <f>-H24-H25</f>
        <v>-56835.26238461428</v>
      </c>
      <c r="J39" s="17"/>
      <c r="K39" s="58"/>
      <c r="L39" s="53"/>
      <c r="M39" s="57">
        <f>-L24-L25</f>
        <v>-74093.98702154285</v>
      </c>
      <c r="N39" s="17"/>
      <c r="O39" s="58"/>
      <c r="P39" s="53"/>
      <c r="Q39" s="57">
        <f>-P24-P25</f>
        <v>-71001.12326697142</v>
      </c>
      <c r="R39" s="17"/>
      <c r="S39" s="58"/>
      <c r="T39" s="53"/>
      <c r="U39" s="57">
        <f>-T24-T25</f>
        <v>-67908.25951239999</v>
      </c>
      <c r="V39" s="17"/>
      <c r="W39" t="s">
        <v>66</v>
      </c>
    </row>
    <row r="40" spans="1:23" ht="13.5" thickBot="1">
      <c r="A40" s="4" t="s">
        <v>63</v>
      </c>
      <c r="B40" s="20"/>
      <c r="C40" s="58"/>
      <c r="D40" s="53"/>
      <c r="E40" s="59">
        <f>SUM(E34:E39)</f>
        <v>17692.92</v>
      </c>
      <c r="F40" s="20"/>
      <c r="G40" s="58"/>
      <c r="H40" s="53"/>
      <c r="I40" s="59">
        <f>SUM(I34:I39)</f>
        <v>58289.322438095216</v>
      </c>
      <c r="J40" s="20"/>
      <c r="K40" s="58"/>
      <c r="L40" s="53"/>
      <c r="M40" s="59">
        <f>SUM(M34:M39)</f>
        <v>75989.59024761902</v>
      </c>
      <c r="N40" s="20"/>
      <c r="O40" s="58"/>
      <c r="P40" s="53"/>
      <c r="Q40" s="59">
        <f>SUM(Q34:Q39)</f>
        <v>72817.5993904762</v>
      </c>
      <c r="R40" s="20"/>
      <c r="S40" s="58"/>
      <c r="T40" s="53"/>
      <c r="U40" s="59">
        <f>SUM(U34:U39)</f>
        <v>69645.60853333332</v>
      </c>
      <c r="V40" s="20"/>
      <c r="W40" t="s">
        <v>67</v>
      </c>
    </row>
    <row r="41" spans="1:21" ht="12.75">
      <c r="A41" s="4"/>
      <c r="C41" s="58"/>
      <c r="D41" s="8"/>
      <c r="E41" s="41"/>
      <c r="G41" s="58"/>
      <c r="H41" s="8"/>
      <c r="I41" s="41"/>
      <c r="K41" s="58"/>
      <c r="L41" s="8"/>
      <c r="M41" s="41"/>
      <c r="O41" s="58"/>
      <c r="P41" s="8"/>
      <c r="Q41" s="41"/>
      <c r="S41" s="58"/>
      <c r="T41" s="8"/>
      <c r="U41" s="41"/>
    </row>
    <row r="42" spans="1:23" ht="13.5" thickBot="1">
      <c r="A42" s="4" t="s">
        <v>25</v>
      </c>
      <c r="B42" s="8"/>
      <c r="C42" s="45"/>
      <c r="D42" s="53"/>
      <c r="E42" s="60">
        <f>+E78</f>
        <v>-817.735724637682</v>
      </c>
      <c r="F42" s="8"/>
      <c r="G42" s="45"/>
      <c r="H42" s="53"/>
      <c r="I42" s="60">
        <f>+I78</f>
        <v>-3067.5202512693036</v>
      </c>
      <c r="J42" s="8"/>
      <c r="K42" s="45"/>
      <c r="L42" s="53"/>
      <c r="M42" s="61">
        <f>+M78</f>
        <v>2284.268935593209</v>
      </c>
      <c r="N42" s="8"/>
      <c r="O42" s="45"/>
      <c r="P42" s="53"/>
      <c r="Q42" s="60">
        <f>+Q78</f>
        <v>5204.947233442004</v>
      </c>
      <c r="R42" s="8"/>
      <c r="S42" s="45"/>
      <c r="T42" s="53"/>
      <c r="U42" s="60">
        <f>+U78</f>
        <v>7679.547217473014</v>
      </c>
      <c r="V42" s="8"/>
      <c r="W42" t="s">
        <v>23</v>
      </c>
    </row>
    <row r="43" spans="1:22" ht="12.75">
      <c r="A43" s="4"/>
      <c r="B43" s="8"/>
      <c r="C43" s="45"/>
      <c r="D43" s="53"/>
      <c r="E43" s="61"/>
      <c r="F43" s="8"/>
      <c r="G43" s="45"/>
      <c r="H43" s="53"/>
      <c r="I43" s="61"/>
      <c r="J43" s="8"/>
      <c r="K43" s="45"/>
      <c r="L43" s="53"/>
      <c r="M43" s="61"/>
      <c r="N43" s="8"/>
      <c r="O43" s="45"/>
      <c r="P43" s="53"/>
      <c r="Q43" s="61"/>
      <c r="R43" s="8"/>
      <c r="S43" s="45"/>
      <c r="T43" s="53"/>
      <c r="U43" s="61"/>
      <c r="V43" s="8"/>
    </row>
    <row r="44" spans="1:23" ht="12.75">
      <c r="A44" s="10" t="s">
        <v>26</v>
      </c>
      <c r="B44" s="11"/>
      <c r="C44" s="45"/>
      <c r="D44" s="53"/>
      <c r="E44" s="61">
        <f>+E34</f>
        <v>57952.337</v>
      </c>
      <c r="F44" s="11"/>
      <c r="G44" s="45"/>
      <c r="H44" s="53"/>
      <c r="I44" s="61">
        <f>+I34</f>
        <v>167034.70387032855</v>
      </c>
      <c r="J44" s="11"/>
      <c r="K44" s="45"/>
      <c r="L44" s="53"/>
      <c r="M44" s="61">
        <f>+M34</f>
        <v>230022.8629834476</v>
      </c>
      <c r="N44" s="11"/>
      <c r="O44" s="45"/>
      <c r="P44" s="53"/>
      <c r="Q44" s="61">
        <f>+Q34</f>
        <v>223758.00837173333</v>
      </c>
      <c r="R44" s="11"/>
      <c r="S44" s="45"/>
      <c r="T44" s="53"/>
      <c r="U44" s="61">
        <f>+U34</f>
        <v>217493.15376001902</v>
      </c>
      <c r="V44" s="11"/>
      <c r="W44" t="s">
        <v>68</v>
      </c>
    </row>
    <row r="45" spans="1:23" ht="12.75">
      <c r="A45" s="10" t="s">
        <v>25</v>
      </c>
      <c r="B45" s="11"/>
      <c r="C45" s="45"/>
      <c r="D45" s="53"/>
      <c r="E45" s="61">
        <f>+E42</f>
        <v>-817.735724637682</v>
      </c>
      <c r="F45" s="11"/>
      <c r="G45" s="45"/>
      <c r="H45" s="53"/>
      <c r="I45" s="61">
        <f>+I42</f>
        <v>-3067.5202512693036</v>
      </c>
      <c r="J45" s="11"/>
      <c r="K45" s="45"/>
      <c r="L45" s="53"/>
      <c r="M45" s="61">
        <f>+M42</f>
        <v>2284.268935593209</v>
      </c>
      <c r="N45" s="11"/>
      <c r="O45" s="45"/>
      <c r="P45" s="53"/>
      <c r="Q45" s="61">
        <f>+Q42</f>
        <v>5204.947233442004</v>
      </c>
      <c r="R45" s="11"/>
      <c r="S45" s="45"/>
      <c r="T45" s="53"/>
      <c r="U45" s="61">
        <f>+U42</f>
        <v>7679.547217473014</v>
      </c>
      <c r="V45" s="11"/>
      <c r="W45" t="s">
        <v>23</v>
      </c>
    </row>
    <row r="46" spans="1:27" ht="13.5" thickBot="1">
      <c r="A46" s="4" t="s">
        <v>136</v>
      </c>
      <c r="B46" s="8"/>
      <c r="C46" s="45"/>
      <c r="D46" s="53"/>
      <c r="E46" s="62">
        <f>+E44+E45</f>
        <v>57134.601275362314</v>
      </c>
      <c r="F46" s="8"/>
      <c r="G46" s="45"/>
      <c r="H46" s="53"/>
      <c r="I46" s="62">
        <f>+I44+I45</f>
        <v>163967.18361905924</v>
      </c>
      <c r="J46" s="8"/>
      <c r="K46" s="45"/>
      <c r="L46" s="53"/>
      <c r="M46" s="61">
        <f>+M44+M45</f>
        <v>232307.1319190408</v>
      </c>
      <c r="N46" s="8"/>
      <c r="O46" s="45"/>
      <c r="P46" s="53"/>
      <c r="Q46" s="62">
        <f>+Q44+Q45</f>
        <v>228962.95560517535</v>
      </c>
      <c r="R46" s="8"/>
      <c r="S46" s="45"/>
      <c r="T46" s="53"/>
      <c r="U46" s="62">
        <f>+U44+U45</f>
        <v>225172.70097749203</v>
      </c>
      <c r="V46" s="8"/>
      <c r="W46" t="s">
        <v>69</v>
      </c>
      <c r="AA46" s="30" t="e">
        <f>+U46+Q46+M46+I46+E46+#REF!+#REF!+#REF!+#REF!</f>
        <v>#REF!</v>
      </c>
    </row>
    <row r="47" spans="1:22" ht="12.75">
      <c r="A47" s="4"/>
      <c r="B47" s="8"/>
      <c r="C47" s="45"/>
      <c r="D47" s="53"/>
      <c r="E47" s="61"/>
      <c r="F47" s="8"/>
      <c r="G47" s="45"/>
      <c r="H47" s="53"/>
      <c r="I47" s="61"/>
      <c r="J47" s="8"/>
      <c r="K47" s="45"/>
      <c r="L47" s="53"/>
      <c r="M47" s="61"/>
      <c r="N47" s="8"/>
      <c r="O47" s="45"/>
      <c r="P47" s="53"/>
      <c r="Q47" s="61"/>
      <c r="R47" s="8"/>
      <c r="S47" s="45"/>
      <c r="T47" s="53"/>
      <c r="U47" s="61"/>
      <c r="V47" s="8"/>
    </row>
    <row r="48" spans="1:22" ht="12.75">
      <c r="A48" s="4" t="s">
        <v>132</v>
      </c>
      <c r="B48" s="8"/>
      <c r="C48" s="45"/>
      <c r="D48" s="53"/>
      <c r="E48" s="61"/>
      <c r="F48" s="8"/>
      <c r="G48" s="45"/>
      <c r="H48" s="53"/>
      <c r="I48" s="61"/>
      <c r="J48" s="8"/>
      <c r="K48" s="45"/>
      <c r="L48" s="53"/>
      <c r="M48" s="61"/>
      <c r="N48" s="8"/>
      <c r="O48" s="45"/>
      <c r="P48" s="53"/>
      <c r="Q48" s="61"/>
      <c r="R48" s="8"/>
      <c r="S48" s="45"/>
      <c r="T48" s="53"/>
      <c r="U48" s="61"/>
      <c r="V48" s="8"/>
    </row>
    <row r="49" spans="1:23" ht="12.75">
      <c r="A49" s="10" t="s">
        <v>134</v>
      </c>
      <c r="B49" s="8"/>
      <c r="C49" s="45"/>
      <c r="D49" s="53"/>
      <c r="E49" s="61">
        <f>+E46</f>
        <v>57134.601275362314</v>
      </c>
      <c r="F49" s="8"/>
      <c r="G49" s="45"/>
      <c r="H49" s="53"/>
      <c r="I49" s="61">
        <f>+I46</f>
        <v>163967.18361905924</v>
      </c>
      <c r="J49" s="8"/>
      <c r="K49" s="45"/>
      <c r="L49" s="53"/>
      <c r="M49" s="61">
        <f>+M46</f>
        <v>232307.1319190408</v>
      </c>
      <c r="N49" s="8"/>
      <c r="O49" s="45"/>
      <c r="P49" s="53"/>
      <c r="Q49" s="61">
        <f>+Q46</f>
        <v>228962.95560517535</v>
      </c>
      <c r="R49" s="8"/>
      <c r="S49" s="45"/>
      <c r="T49" s="53"/>
      <c r="U49" s="61">
        <f>+U46</f>
        <v>225172.70097749203</v>
      </c>
      <c r="V49" s="8"/>
      <c r="W49" t="s">
        <v>70</v>
      </c>
    </row>
    <row r="50" spans="1:23" ht="12.75">
      <c r="A50" s="10" t="s">
        <v>84</v>
      </c>
      <c r="B50" s="23"/>
      <c r="C50" s="45"/>
      <c r="D50" s="53"/>
      <c r="E50" s="63">
        <f>122963+7802+1548+108+6</f>
        <v>132427</v>
      </c>
      <c r="F50" s="23"/>
      <c r="G50" s="45"/>
      <c r="H50" s="53"/>
      <c r="I50" s="63">
        <v>133888</v>
      </c>
      <c r="J50" s="23"/>
      <c r="K50" s="45"/>
      <c r="L50" s="53"/>
      <c r="M50" s="63">
        <v>133888</v>
      </c>
      <c r="N50" s="23"/>
      <c r="O50" s="45"/>
      <c r="P50" s="53"/>
      <c r="Q50" s="63">
        <v>133888</v>
      </c>
      <c r="R50" s="23"/>
      <c r="S50" s="45"/>
      <c r="T50" s="53"/>
      <c r="U50" s="63">
        <v>133888</v>
      </c>
      <c r="V50" s="23"/>
      <c r="W50" t="s">
        <v>83</v>
      </c>
    </row>
    <row r="51" spans="1:23" ht="13.5" thickBot="1">
      <c r="A51" s="10" t="s">
        <v>50</v>
      </c>
      <c r="B51" s="24"/>
      <c r="C51" s="58"/>
      <c r="D51" s="53"/>
      <c r="E51" s="64">
        <f>+E49/E50</f>
        <v>0.43144223817924077</v>
      </c>
      <c r="F51" s="24"/>
      <c r="G51" s="58"/>
      <c r="H51" s="53"/>
      <c r="I51" s="64">
        <f>+I49/I50</f>
        <v>1.2246592944779162</v>
      </c>
      <c r="J51" s="24"/>
      <c r="K51" s="58"/>
      <c r="L51" s="53"/>
      <c r="M51" s="82">
        <f>+M49/M50</f>
        <v>1.7350855335731419</v>
      </c>
      <c r="N51" s="24"/>
      <c r="O51" s="58"/>
      <c r="P51" s="53"/>
      <c r="Q51" s="64">
        <f>+Q49/Q50</f>
        <v>1.7101081172709678</v>
      </c>
      <c r="R51" s="24"/>
      <c r="S51" s="58"/>
      <c r="T51" s="53"/>
      <c r="U51" s="64">
        <f>+U49/U50</f>
        <v>1.68179897360101</v>
      </c>
      <c r="V51" s="24"/>
      <c r="W51" t="s">
        <v>71</v>
      </c>
    </row>
    <row r="52" spans="1:23" ht="13.5" thickTop="1">
      <c r="A52" s="10" t="s">
        <v>51</v>
      </c>
      <c r="B52" s="12"/>
      <c r="C52" s="58"/>
      <c r="D52" s="53"/>
      <c r="E52" s="65">
        <v>12</v>
      </c>
      <c r="F52" s="12"/>
      <c r="G52" s="58"/>
      <c r="H52" s="53"/>
      <c r="I52" s="65">
        <v>12</v>
      </c>
      <c r="J52" s="12"/>
      <c r="K52" s="58"/>
      <c r="L52" s="53"/>
      <c r="M52" s="65">
        <v>12</v>
      </c>
      <c r="N52" s="12"/>
      <c r="O52" s="58"/>
      <c r="P52" s="53"/>
      <c r="Q52" s="65">
        <v>12</v>
      </c>
      <c r="R52" s="12"/>
      <c r="S52" s="58"/>
      <c r="T52" s="53"/>
      <c r="U52" s="65">
        <v>12</v>
      </c>
      <c r="V52" s="12"/>
      <c r="W52" t="s">
        <v>27</v>
      </c>
    </row>
    <row r="53" spans="1:23" ht="13.5" thickBot="1">
      <c r="A53" s="10" t="s">
        <v>132</v>
      </c>
      <c r="B53" s="25"/>
      <c r="C53" s="58"/>
      <c r="D53" s="53"/>
      <c r="E53" s="66">
        <f>+E51/E52</f>
        <v>0.03595351984827006</v>
      </c>
      <c r="F53" s="25"/>
      <c r="G53" s="58"/>
      <c r="H53" s="53"/>
      <c r="I53" s="66">
        <f>+I51/I52</f>
        <v>0.10205494120649301</v>
      </c>
      <c r="J53" s="25"/>
      <c r="K53" s="58"/>
      <c r="L53" s="53"/>
      <c r="M53" s="83">
        <f>+M51/M52</f>
        <v>0.14459046113109517</v>
      </c>
      <c r="N53" s="25"/>
      <c r="O53" s="58"/>
      <c r="P53" s="53"/>
      <c r="Q53" s="66">
        <f>+Q51/Q52</f>
        <v>0.14250900977258066</v>
      </c>
      <c r="R53" s="25"/>
      <c r="S53" s="58"/>
      <c r="T53" s="53"/>
      <c r="U53" s="66">
        <f>+U51/U52</f>
        <v>0.14014991446675082</v>
      </c>
      <c r="V53" s="25"/>
      <c r="W53" t="s">
        <v>28</v>
      </c>
    </row>
    <row r="54" spans="3:21" ht="13.5" thickTop="1">
      <c r="C54" s="58"/>
      <c r="D54" s="53"/>
      <c r="E54" s="41"/>
      <c r="G54" s="58"/>
      <c r="H54" s="53"/>
      <c r="I54" s="41"/>
      <c r="K54" s="58"/>
      <c r="L54" s="53"/>
      <c r="M54" s="41"/>
      <c r="O54" s="58"/>
      <c r="P54" s="53"/>
      <c r="Q54" s="41"/>
      <c r="S54" s="58"/>
      <c r="T54" s="53"/>
      <c r="U54" s="41"/>
    </row>
    <row r="55" spans="3:21" ht="12.75">
      <c r="C55" s="58"/>
      <c r="D55" s="53"/>
      <c r="E55" s="41"/>
      <c r="G55" s="58"/>
      <c r="H55" s="53"/>
      <c r="I55" s="41"/>
      <c r="K55" s="58"/>
      <c r="L55" s="53"/>
      <c r="M55" s="41"/>
      <c r="O55" s="58"/>
      <c r="P55" s="53"/>
      <c r="Q55" s="41"/>
      <c r="S55" s="58"/>
      <c r="T55" s="53"/>
      <c r="U55" s="41"/>
    </row>
    <row r="56" spans="1:21" ht="12.75">
      <c r="A56" s="4" t="s">
        <v>131</v>
      </c>
      <c r="C56" s="58"/>
      <c r="D56" s="53"/>
      <c r="E56" s="41"/>
      <c r="G56" s="58"/>
      <c r="H56" s="53"/>
      <c r="I56" s="41"/>
      <c r="K56" s="58"/>
      <c r="L56" s="53"/>
      <c r="M56" s="41"/>
      <c r="O56" s="58"/>
      <c r="P56" s="53"/>
      <c r="Q56" s="41"/>
      <c r="S56" s="58"/>
      <c r="T56" s="53"/>
      <c r="U56" s="41"/>
    </row>
    <row r="57" spans="3:21" ht="12.75">
      <c r="C57" s="58"/>
      <c r="D57" s="53"/>
      <c r="E57" s="41"/>
      <c r="G57" s="58"/>
      <c r="H57" s="53"/>
      <c r="I57" s="41"/>
      <c r="K57" s="58"/>
      <c r="L57" s="53"/>
      <c r="M57" s="41"/>
      <c r="O57" s="58"/>
      <c r="P57" s="53"/>
      <c r="Q57" s="41"/>
      <c r="S57" s="58"/>
      <c r="T57" s="53"/>
      <c r="U57" s="41"/>
    </row>
    <row r="58" spans="1:21" ht="15">
      <c r="A58" s="13" t="s">
        <v>124</v>
      </c>
      <c r="C58" s="58"/>
      <c r="D58" s="53"/>
      <c r="E58" s="41"/>
      <c r="G58" s="58"/>
      <c r="H58" s="53"/>
      <c r="I58" s="41"/>
      <c r="K58" s="58"/>
      <c r="L58" s="53"/>
      <c r="M58" s="41"/>
      <c r="O58" s="58"/>
      <c r="P58" s="53"/>
      <c r="Q58" s="41"/>
      <c r="S58" s="58"/>
      <c r="T58" s="53"/>
      <c r="U58" s="41"/>
    </row>
    <row r="59" spans="1:21" ht="12.75">
      <c r="A59" t="s">
        <v>29</v>
      </c>
      <c r="C59" s="67">
        <f>+E40</f>
        <v>17692.92</v>
      </c>
      <c r="D59" s="53"/>
      <c r="E59" s="41"/>
      <c r="G59" s="67">
        <f>+I40</f>
        <v>58289.322438095216</v>
      </c>
      <c r="H59" s="53"/>
      <c r="I59" s="41"/>
      <c r="K59" s="67">
        <f>+M40</f>
        <v>75989.59024761902</v>
      </c>
      <c r="L59" s="53"/>
      <c r="M59" s="41"/>
      <c r="O59" s="67">
        <f>+Q40</f>
        <v>72817.5993904762</v>
      </c>
      <c r="P59" s="53"/>
      <c r="Q59" s="41"/>
      <c r="S59" s="67">
        <f>+U40</f>
        <v>69645.60853333332</v>
      </c>
      <c r="T59" s="53"/>
      <c r="U59" s="41"/>
    </row>
    <row r="60" spans="1:21" ht="12.75">
      <c r="A60" t="s">
        <v>0</v>
      </c>
      <c r="C60" s="45">
        <f>+E32</f>
        <v>20060</v>
      </c>
      <c r="D60" s="53"/>
      <c r="E60" s="41"/>
      <c r="G60" s="45">
        <f>+I32</f>
        <v>51910.119047619046</v>
      </c>
      <c r="H60" s="53"/>
      <c r="I60" s="41"/>
      <c r="K60" s="45">
        <f>+M32</f>
        <v>79939.28571428571</v>
      </c>
      <c r="L60" s="53"/>
      <c r="M60" s="41"/>
      <c r="O60" s="45">
        <f>+Q32</f>
        <v>79939.28571428571</v>
      </c>
      <c r="P60" s="53"/>
      <c r="Q60" s="41"/>
      <c r="S60" s="45">
        <f>+U32</f>
        <v>79939.28571428571</v>
      </c>
      <c r="T60" s="53"/>
      <c r="U60" s="41"/>
    </row>
    <row r="61" spans="1:21" ht="12.75">
      <c r="A61" t="s">
        <v>49</v>
      </c>
      <c r="C61" s="68">
        <f>-'SM UCC Continuity'!H11</f>
        <v>-40120</v>
      </c>
      <c r="D61" s="53"/>
      <c r="E61" s="41"/>
      <c r="G61" s="68">
        <f>-'SM UCC Continuity'!H18</f>
        <v>-117990.40000000001</v>
      </c>
      <c r="H61" s="53"/>
      <c r="I61" s="41"/>
      <c r="K61" s="68">
        <f>-'SM UCC Continuity'!H25</f>
        <v>-149511.168</v>
      </c>
      <c r="L61" s="53"/>
      <c r="M61" s="41"/>
      <c r="O61" s="68">
        <f>-'SM UCC Continuity'!H32</f>
        <v>-137550.27456</v>
      </c>
      <c r="P61" s="53"/>
      <c r="Q61" s="41"/>
      <c r="S61" s="68">
        <f>-'SM UCC Continuity'!H39</f>
        <v>-126546.25259519999</v>
      </c>
      <c r="T61" s="53"/>
      <c r="U61" s="41"/>
    </row>
    <row r="62" spans="1:21" ht="12.75">
      <c r="A62" t="s">
        <v>30</v>
      </c>
      <c r="C62" s="69">
        <f>+C59+C60+C61</f>
        <v>-2367.0800000000017</v>
      </c>
      <c r="D62" s="53"/>
      <c r="E62" s="41"/>
      <c r="G62" s="69">
        <f>+G59+G60+G61</f>
        <v>-7790.958514285754</v>
      </c>
      <c r="H62" s="53"/>
      <c r="I62" s="41"/>
      <c r="K62" s="67">
        <f>+K59+K60+K61</f>
        <v>6417.707961904729</v>
      </c>
      <c r="L62" s="53"/>
      <c r="M62" s="41"/>
      <c r="O62" s="69">
        <f>+O59+O60+O61</f>
        <v>15206.610544761934</v>
      </c>
      <c r="P62" s="53"/>
      <c r="Q62" s="41"/>
      <c r="S62" s="69">
        <f>+S59+S60+S61</f>
        <v>23038.641652419043</v>
      </c>
      <c r="T62" s="53"/>
      <c r="U62" s="41"/>
    </row>
    <row r="63" spans="1:21" ht="12.75">
      <c r="A63" t="s">
        <v>31</v>
      </c>
      <c r="C63" s="70">
        <v>0.31</v>
      </c>
      <c r="D63" s="53"/>
      <c r="E63" s="41"/>
      <c r="G63" s="70">
        <v>0.2825</v>
      </c>
      <c r="H63" s="53"/>
      <c r="I63" s="41"/>
      <c r="K63" s="70">
        <v>0.2625</v>
      </c>
      <c r="L63" s="53"/>
      <c r="M63" s="41"/>
      <c r="O63" s="70">
        <v>0.255</v>
      </c>
      <c r="P63" s="53"/>
      <c r="Q63" s="41"/>
      <c r="S63" s="70">
        <v>0.25</v>
      </c>
      <c r="T63" s="53"/>
      <c r="U63" s="41"/>
    </row>
    <row r="64" spans="1:21" ht="13.5" thickBot="1">
      <c r="A64" t="s">
        <v>32</v>
      </c>
      <c r="C64" s="71">
        <f>+C62*C63</f>
        <v>-733.7948000000006</v>
      </c>
      <c r="D64" s="53"/>
      <c r="E64" s="41"/>
      <c r="G64" s="71">
        <f>+G62*G63</f>
        <v>-2200.9457802857255</v>
      </c>
      <c r="H64" s="53"/>
      <c r="I64" s="41"/>
      <c r="K64" s="67">
        <f>+K62*K63</f>
        <v>1684.6483399999915</v>
      </c>
      <c r="L64" s="53"/>
      <c r="M64" s="41"/>
      <c r="O64" s="71">
        <f>+O62*O63</f>
        <v>3877.685688914293</v>
      </c>
      <c r="P64" s="53"/>
      <c r="Q64" s="41"/>
      <c r="S64" s="71">
        <f>+S62*S63</f>
        <v>5759.660413104761</v>
      </c>
      <c r="T64" s="53"/>
      <c r="U64" s="41"/>
    </row>
    <row r="65" spans="3:21" ht="12.75">
      <c r="C65" s="58"/>
      <c r="D65" s="53"/>
      <c r="E65" s="41"/>
      <c r="G65" s="58"/>
      <c r="H65" s="53"/>
      <c r="I65" s="41"/>
      <c r="K65" s="58"/>
      <c r="L65" s="53"/>
      <c r="M65" s="41"/>
      <c r="O65" s="58"/>
      <c r="P65" s="53"/>
      <c r="Q65" s="41"/>
      <c r="S65" s="58"/>
      <c r="T65" s="53"/>
      <c r="U65" s="41"/>
    </row>
    <row r="66" spans="1:21" ht="12.75">
      <c r="A66" s="4" t="s">
        <v>33</v>
      </c>
      <c r="C66" s="58"/>
      <c r="D66" s="53"/>
      <c r="E66" s="41"/>
      <c r="G66" s="58"/>
      <c r="H66" s="53"/>
      <c r="I66" s="41"/>
      <c r="K66" s="58"/>
      <c r="L66" s="53"/>
      <c r="M66" s="41"/>
      <c r="O66" s="58"/>
      <c r="P66" s="53"/>
      <c r="Q66" s="41"/>
      <c r="S66" s="58"/>
      <c r="T66" s="53"/>
      <c r="U66" s="41"/>
    </row>
    <row r="67" spans="1:21" ht="12.75">
      <c r="A67" t="s">
        <v>130</v>
      </c>
      <c r="C67" s="68">
        <f>+'SM FA Continuity'!F12</f>
        <v>982940</v>
      </c>
      <c r="D67" s="53"/>
      <c r="E67" s="41"/>
      <c r="G67" s="68">
        <f>+'SM FA Continuity'!F19</f>
        <v>1955029.8809523808</v>
      </c>
      <c r="H67" s="53"/>
      <c r="I67" s="41"/>
      <c r="K67" s="68">
        <f>+'SM FA Continuity'!F26</f>
        <v>1875090.5952380951</v>
      </c>
      <c r="L67" s="53"/>
      <c r="M67" s="41"/>
      <c r="O67" s="68">
        <f>+'SM FA Continuity'!F33</f>
        <v>1795151.3095238095</v>
      </c>
      <c r="P67" s="53"/>
      <c r="Q67" s="41"/>
      <c r="S67" s="68">
        <f>+'SM FA Continuity'!F40</f>
        <v>1715212.0238095238</v>
      </c>
      <c r="T67" s="53"/>
      <c r="U67" s="41"/>
    </row>
    <row r="68" spans="1:21" ht="12.75">
      <c r="A68" t="s">
        <v>34</v>
      </c>
      <c r="C68" s="45">
        <v>0</v>
      </c>
      <c r="D68" s="53"/>
      <c r="E68" s="41"/>
      <c r="G68" s="45">
        <v>0</v>
      </c>
      <c r="H68" s="53"/>
      <c r="I68" s="41"/>
      <c r="K68" s="45">
        <v>0</v>
      </c>
      <c r="L68" s="53"/>
      <c r="M68" s="41"/>
      <c r="O68" s="45">
        <v>0</v>
      </c>
      <c r="P68" s="53"/>
      <c r="Q68" s="41"/>
      <c r="S68" s="45">
        <v>0</v>
      </c>
      <c r="T68" s="53"/>
      <c r="U68" s="41"/>
    </row>
    <row r="69" spans="1:21" ht="12.75">
      <c r="A69" t="s">
        <v>35</v>
      </c>
      <c r="C69" s="72">
        <f>+C67-C68</f>
        <v>982940</v>
      </c>
      <c r="D69" s="53"/>
      <c r="E69" s="41"/>
      <c r="G69" s="72">
        <f>+G67-G68</f>
        <v>1955029.8809523808</v>
      </c>
      <c r="H69" s="53"/>
      <c r="I69" s="41"/>
      <c r="K69" s="45">
        <f>+K67-K68</f>
        <v>1875090.5952380951</v>
      </c>
      <c r="L69" s="53"/>
      <c r="M69" s="41"/>
      <c r="O69" s="72">
        <f>+O67-O68</f>
        <v>1795151.3095238095</v>
      </c>
      <c r="P69" s="53"/>
      <c r="Q69" s="41"/>
      <c r="S69" s="72">
        <f>+S67-S68</f>
        <v>1715212.0238095238</v>
      </c>
      <c r="T69" s="53"/>
      <c r="U69" s="41"/>
    </row>
    <row r="70" spans="1:21" ht="12.75">
      <c r="A70" t="s">
        <v>36</v>
      </c>
      <c r="C70" s="73">
        <v>0.00075</v>
      </c>
      <c r="D70" s="53"/>
      <c r="E70" s="41"/>
      <c r="G70" s="73">
        <v>0</v>
      </c>
      <c r="H70" s="53"/>
      <c r="I70" s="41"/>
      <c r="K70" s="73">
        <v>0</v>
      </c>
      <c r="L70" s="53"/>
      <c r="M70" s="41"/>
      <c r="O70" s="73">
        <v>0</v>
      </c>
      <c r="P70" s="53"/>
      <c r="Q70" s="41"/>
      <c r="S70" s="73">
        <v>0</v>
      </c>
      <c r="T70" s="53"/>
      <c r="U70" s="41"/>
    </row>
    <row r="71" spans="1:21" ht="13.5" thickBot="1">
      <c r="A71" s="4" t="s">
        <v>37</v>
      </c>
      <c r="C71" s="71">
        <f>+C70*C69/3</f>
        <v>245.735</v>
      </c>
      <c r="D71" s="53"/>
      <c r="E71" s="41"/>
      <c r="G71" s="71">
        <f>+G70*G69/3</f>
        <v>0</v>
      </c>
      <c r="H71" s="53"/>
      <c r="I71" s="41"/>
      <c r="K71" s="67">
        <f>+K70*K69/3</f>
        <v>0</v>
      </c>
      <c r="L71" s="53"/>
      <c r="M71" s="41"/>
      <c r="O71" s="71">
        <f>+O70*O69/3</f>
        <v>0</v>
      </c>
      <c r="P71" s="53"/>
      <c r="Q71" s="41"/>
      <c r="S71" s="71">
        <f>+S70*S69/3</f>
        <v>0</v>
      </c>
      <c r="T71" s="53"/>
      <c r="U71" s="41"/>
    </row>
    <row r="72" spans="3:21" ht="12.75">
      <c r="C72" s="58"/>
      <c r="D72" s="53"/>
      <c r="E72" s="41"/>
      <c r="G72" s="58"/>
      <c r="H72" s="53"/>
      <c r="I72" s="41"/>
      <c r="K72" s="58"/>
      <c r="L72" s="53"/>
      <c r="M72" s="41"/>
      <c r="O72" s="58"/>
      <c r="P72" s="53"/>
      <c r="Q72" s="41"/>
      <c r="S72" s="58"/>
      <c r="T72" s="53"/>
      <c r="U72" s="41"/>
    </row>
    <row r="73" spans="3:21" ht="12.75">
      <c r="C73" s="58"/>
      <c r="D73" s="53"/>
      <c r="E73" s="41"/>
      <c r="G73" s="58"/>
      <c r="H73" s="53"/>
      <c r="I73" s="41"/>
      <c r="K73" s="58"/>
      <c r="L73" s="53"/>
      <c r="M73" s="41"/>
      <c r="O73" s="58"/>
      <c r="P73" s="53"/>
      <c r="Q73" s="41"/>
      <c r="S73" s="58"/>
      <c r="T73" s="53"/>
      <c r="U73" s="41"/>
    </row>
    <row r="74" spans="3:21" ht="12.75">
      <c r="C74" s="58"/>
      <c r="D74" s="53"/>
      <c r="E74" s="41"/>
      <c r="G74" s="58"/>
      <c r="H74" s="53"/>
      <c r="I74" s="41"/>
      <c r="K74" s="58"/>
      <c r="L74" s="53"/>
      <c r="M74" s="41"/>
      <c r="O74" s="58"/>
      <c r="P74" s="53"/>
      <c r="Q74" s="41"/>
      <c r="S74" s="58"/>
      <c r="T74" s="53"/>
      <c r="U74" s="41"/>
    </row>
    <row r="75" spans="2:22" ht="12.75">
      <c r="B75" s="4"/>
      <c r="C75" s="74" t="s">
        <v>38</v>
      </c>
      <c r="D75" s="75" t="s">
        <v>39</v>
      </c>
      <c r="E75" s="76" t="s">
        <v>40</v>
      </c>
      <c r="F75" s="4"/>
      <c r="G75" s="74" t="s">
        <v>38</v>
      </c>
      <c r="H75" s="75" t="s">
        <v>39</v>
      </c>
      <c r="I75" s="76" t="s">
        <v>40</v>
      </c>
      <c r="J75" s="4"/>
      <c r="K75" s="74" t="s">
        <v>38</v>
      </c>
      <c r="L75" s="75" t="s">
        <v>39</v>
      </c>
      <c r="M75" s="76" t="s">
        <v>40</v>
      </c>
      <c r="N75" s="4"/>
      <c r="O75" s="74" t="s">
        <v>38</v>
      </c>
      <c r="P75" s="75" t="s">
        <v>39</v>
      </c>
      <c r="Q75" s="76" t="s">
        <v>40</v>
      </c>
      <c r="R75" s="4"/>
      <c r="S75" s="74" t="s">
        <v>38</v>
      </c>
      <c r="T75" s="75" t="s">
        <v>39</v>
      </c>
      <c r="U75" s="76" t="s">
        <v>40</v>
      </c>
      <c r="V75" s="4"/>
    </row>
    <row r="76" spans="1:22" ht="12.75">
      <c r="A76" t="s">
        <v>41</v>
      </c>
      <c r="B76" s="14"/>
      <c r="C76" s="67">
        <f>+C64</f>
        <v>-733.7948000000006</v>
      </c>
      <c r="D76" s="77">
        <f>+C63</f>
        <v>0.31</v>
      </c>
      <c r="E76" s="78">
        <f>+C76/(1-D76)</f>
        <v>-1063.470724637682</v>
      </c>
      <c r="F76" s="14"/>
      <c r="G76" s="67">
        <f>+G64</f>
        <v>-2200.9457802857255</v>
      </c>
      <c r="H76" s="77">
        <f>+G63</f>
        <v>0.2825</v>
      </c>
      <c r="I76" s="78">
        <f>+G76/(1-H76)</f>
        <v>-3067.5202512693036</v>
      </c>
      <c r="J76" s="14"/>
      <c r="K76" s="67">
        <f>+K64</f>
        <v>1684.6483399999915</v>
      </c>
      <c r="L76" s="77">
        <f>+K63</f>
        <v>0.2625</v>
      </c>
      <c r="M76" s="78">
        <f>+K76/(1-L76)</f>
        <v>2284.268935593209</v>
      </c>
      <c r="N76" s="14"/>
      <c r="O76" s="67">
        <f>+O64</f>
        <v>3877.685688914293</v>
      </c>
      <c r="P76" s="77">
        <f>+O63</f>
        <v>0.255</v>
      </c>
      <c r="Q76" s="78">
        <f>+O76/(1-P76)</f>
        <v>5204.947233442004</v>
      </c>
      <c r="R76" s="14"/>
      <c r="S76" s="67">
        <f>+S64</f>
        <v>5759.660413104761</v>
      </c>
      <c r="T76" s="77">
        <f>+S63</f>
        <v>0.25</v>
      </c>
      <c r="U76" s="78">
        <f>+S76/(1-T76)</f>
        <v>7679.547217473014</v>
      </c>
      <c r="V76" s="14"/>
    </row>
    <row r="77" spans="1:22" ht="12.75">
      <c r="A77" t="s">
        <v>42</v>
      </c>
      <c r="B77" s="15"/>
      <c r="C77" s="45">
        <f>+C71</f>
        <v>245.735</v>
      </c>
      <c r="D77" s="53"/>
      <c r="E77" s="79">
        <f>+C77</f>
        <v>245.735</v>
      </c>
      <c r="F77" s="15"/>
      <c r="G77" s="45">
        <f>+G71</f>
        <v>0</v>
      </c>
      <c r="H77" s="53"/>
      <c r="I77" s="79">
        <f>+G77</f>
        <v>0</v>
      </c>
      <c r="J77" s="15"/>
      <c r="K77" s="45">
        <f>+K71</f>
        <v>0</v>
      </c>
      <c r="L77" s="53"/>
      <c r="M77" s="79">
        <f>+K77</f>
        <v>0</v>
      </c>
      <c r="N77" s="15"/>
      <c r="O77" s="45">
        <f>+O71</f>
        <v>0</v>
      </c>
      <c r="P77" s="53"/>
      <c r="Q77" s="79">
        <f>+O77</f>
        <v>0</v>
      </c>
      <c r="R77" s="15"/>
      <c r="S77" s="45">
        <f>+S71</f>
        <v>0</v>
      </c>
      <c r="T77" s="53"/>
      <c r="U77" s="79">
        <f>+S77</f>
        <v>0</v>
      </c>
      <c r="V77" s="15"/>
    </row>
    <row r="78" spans="1:22" ht="13.5" thickBot="1">
      <c r="A78" s="10" t="s">
        <v>121</v>
      </c>
      <c r="B78" s="26"/>
      <c r="C78" s="71">
        <f>+C76+C77</f>
        <v>-488.05980000000056</v>
      </c>
      <c r="D78" s="80"/>
      <c r="E78" s="81">
        <f>+E76+E77</f>
        <v>-817.735724637682</v>
      </c>
      <c r="F78" s="26"/>
      <c r="G78" s="71">
        <f>+G76+G77</f>
        <v>-2200.9457802857255</v>
      </c>
      <c r="H78" s="80"/>
      <c r="I78" s="81">
        <f>+I76+I77</f>
        <v>-3067.5202512693036</v>
      </c>
      <c r="J78" s="26"/>
      <c r="K78" s="84">
        <f>+K76+K77</f>
        <v>1684.6483399999915</v>
      </c>
      <c r="L78" s="85"/>
      <c r="M78" s="86">
        <f>+M76+M77</f>
        <v>2284.268935593209</v>
      </c>
      <c r="N78" s="26"/>
      <c r="O78" s="71">
        <f>+O76+O77</f>
        <v>3877.685688914293</v>
      </c>
      <c r="P78" s="80"/>
      <c r="Q78" s="81">
        <f>+Q76+Q77</f>
        <v>5204.947233442004</v>
      </c>
      <c r="R78" s="26"/>
      <c r="S78" s="71">
        <f>+S76+S77</f>
        <v>5759.660413104761</v>
      </c>
      <c r="T78" s="80"/>
      <c r="U78" s="81">
        <f>+U76+U77</f>
        <v>7679.547217473014</v>
      </c>
      <c r="V78" s="26"/>
    </row>
  </sheetData>
  <sheetProtection/>
  <mergeCells count="5">
    <mergeCell ref="O6:Q6"/>
    <mergeCell ref="S6:U6"/>
    <mergeCell ref="C6:E6"/>
    <mergeCell ref="G6:I6"/>
    <mergeCell ref="K6:M6"/>
  </mergeCells>
  <printOptions/>
  <pageMargins left="0.75" right="0.75" top="1" bottom="1" header="0.5" footer="0.5"/>
  <pageSetup horizontalDpi="355" verticalDpi="355" orientation="portrait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7.8515625" style="0" customWidth="1"/>
    <col min="4" max="4" width="17.57421875" style="1" customWidth="1"/>
    <col min="5" max="5" width="16.7109375" style="0" customWidth="1"/>
    <col min="6" max="6" width="18.8515625" style="0" bestFit="1" customWidth="1"/>
    <col min="7" max="7" width="18.8515625" style="0" customWidth="1"/>
    <col min="8" max="8" width="18.8515625" style="0" bestFit="1" customWidth="1"/>
  </cols>
  <sheetData>
    <row r="1" spans="1:2" ht="12.75">
      <c r="A1" s="4" t="s">
        <v>126</v>
      </c>
      <c r="B1" s="4"/>
    </row>
    <row r="5" spans="1:2" ht="12.75">
      <c r="A5" s="4" t="s">
        <v>3</v>
      </c>
      <c r="B5" s="4"/>
    </row>
    <row r="6" spans="1:2" ht="12.75">
      <c r="A6" s="4"/>
      <c r="B6" s="4"/>
    </row>
    <row r="7" spans="1:7" ht="38.25">
      <c r="A7" s="93"/>
      <c r="B7" s="93"/>
      <c r="C7" s="92" t="s">
        <v>1</v>
      </c>
      <c r="D7" s="97" t="s">
        <v>74</v>
      </c>
      <c r="E7" s="97" t="s">
        <v>75</v>
      </c>
      <c r="F7" s="95" t="s">
        <v>76</v>
      </c>
      <c r="G7" s="95" t="s">
        <v>77</v>
      </c>
    </row>
    <row r="8" spans="1:7" ht="12.75">
      <c r="A8" s="94" t="s">
        <v>127</v>
      </c>
      <c r="B8" s="94">
        <v>40</v>
      </c>
      <c r="C8" s="92">
        <v>0</v>
      </c>
      <c r="D8" s="92">
        <v>0</v>
      </c>
      <c r="E8" s="92">
        <f>D8/B8/2</f>
        <v>0</v>
      </c>
      <c r="F8" s="92">
        <f>+C8+D8-E8</f>
        <v>0</v>
      </c>
      <c r="G8" s="92">
        <f>(+C8+F8)/2</f>
        <v>0</v>
      </c>
    </row>
    <row r="9" spans="1:7" ht="12.75">
      <c r="A9" s="94" t="s">
        <v>128</v>
      </c>
      <c r="B9" s="94">
        <v>15</v>
      </c>
      <c r="C9" s="92">
        <v>0</v>
      </c>
      <c r="D9" s="99">
        <v>0</v>
      </c>
      <c r="E9" s="92">
        <f>D9/B9/2</f>
        <v>0</v>
      </c>
      <c r="F9" s="92">
        <f>+C9+D9-E9</f>
        <v>0</v>
      </c>
      <c r="G9" s="92">
        <f>(+C9+F9)/2</f>
        <v>0</v>
      </c>
    </row>
    <row r="10" spans="1:7" ht="12.75">
      <c r="A10" s="94" t="s">
        <v>138</v>
      </c>
      <c r="B10" s="94">
        <v>25</v>
      </c>
      <c r="C10" s="92">
        <v>0</v>
      </c>
      <c r="D10" s="99">
        <v>1003000</v>
      </c>
      <c r="E10" s="92">
        <f>D10/B10/2</f>
        <v>20060</v>
      </c>
      <c r="F10" s="92">
        <f>+C10+D10-E10</f>
        <v>982940</v>
      </c>
      <c r="G10" s="92">
        <f>(+C10+F10)/2</f>
        <v>491470</v>
      </c>
    </row>
    <row r="11" spans="1:7" ht="12.75">
      <c r="A11" s="106" t="s">
        <v>129</v>
      </c>
      <c r="B11" s="94">
        <v>15</v>
      </c>
      <c r="C11" s="92">
        <v>0</v>
      </c>
      <c r="D11" s="92">
        <v>0</v>
      </c>
      <c r="E11" s="92">
        <f>D11/B11/2</f>
        <v>0</v>
      </c>
      <c r="F11" s="92">
        <f>+C11+D11-E11</f>
        <v>0</v>
      </c>
      <c r="G11" s="92">
        <f>(+C11+F11)/2</f>
        <v>0</v>
      </c>
    </row>
    <row r="12" spans="1:7" ht="13.5" thickBot="1">
      <c r="A12" s="93"/>
      <c r="B12" s="93"/>
      <c r="C12" s="96">
        <f>SUM(C8:C11)</f>
        <v>0</v>
      </c>
      <c r="D12" s="96">
        <f>SUM(D8:D11)</f>
        <v>1003000</v>
      </c>
      <c r="E12" s="96">
        <f>SUM(E8:E11)</f>
        <v>20060</v>
      </c>
      <c r="F12" s="96">
        <f>SUM(F8:F11)</f>
        <v>982940</v>
      </c>
      <c r="G12" s="96">
        <f>SUM(G8:G11)</f>
        <v>491470</v>
      </c>
    </row>
    <row r="13" spans="1:7" ht="13.5" thickTop="1">
      <c r="A13" s="93"/>
      <c r="B13" s="93"/>
      <c r="C13" s="95"/>
      <c r="D13" s="92"/>
      <c r="E13" s="95"/>
      <c r="F13" s="95"/>
      <c r="G13" s="95"/>
    </row>
    <row r="14" spans="1:7" ht="38.25">
      <c r="A14" s="93"/>
      <c r="B14" s="93"/>
      <c r="C14" s="92" t="s">
        <v>1</v>
      </c>
      <c r="D14" s="98" t="s">
        <v>92</v>
      </c>
      <c r="E14" s="98" t="s">
        <v>88</v>
      </c>
      <c r="F14" s="100" t="s">
        <v>89</v>
      </c>
      <c r="G14" s="100" t="s">
        <v>90</v>
      </c>
    </row>
    <row r="15" spans="1:7" ht="12.75">
      <c r="A15" s="94" t="s">
        <v>127</v>
      </c>
      <c r="B15" s="94">
        <v>40</v>
      </c>
      <c r="C15" s="92">
        <f>+F8</f>
        <v>0</v>
      </c>
      <c r="D15" s="92">
        <v>293000</v>
      </c>
      <c r="E15" s="92">
        <f>D15/B15/2</f>
        <v>3662.5</v>
      </c>
      <c r="F15" s="92">
        <f>+C15+D15-E15</f>
        <v>289337.5</v>
      </c>
      <c r="G15" s="92">
        <f>(+C15+F15)/2</f>
        <v>144668.75</v>
      </c>
    </row>
    <row r="16" spans="1:7" ht="12.75">
      <c r="A16" s="94" t="s">
        <v>128</v>
      </c>
      <c r="B16" s="94">
        <v>15</v>
      </c>
      <c r="C16" s="92">
        <f>+F9</f>
        <v>0</v>
      </c>
      <c r="D16" s="92">
        <v>341000</v>
      </c>
      <c r="E16" s="92">
        <f>D16/B16/2</f>
        <v>11366.666666666666</v>
      </c>
      <c r="F16" s="92">
        <f>+C16+D16-E16</f>
        <v>329633.3333333333</v>
      </c>
      <c r="G16" s="92">
        <f>(+C16+F16)/2</f>
        <v>164816.66666666666</v>
      </c>
    </row>
    <row r="17" spans="1:7" ht="12.75">
      <c r="A17" s="94" t="s">
        <v>138</v>
      </c>
      <c r="B17" s="94">
        <v>42</v>
      </c>
      <c r="C17" s="92">
        <f>+F10</f>
        <v>982940</v>
      </c>
      <c r="D17" s="92">
        <v>0</v>
      </c>
      <c r="E17" s="101">
        <f>(D17/B17/2)+(D10/B17)</f>
        <v>23880.95238095238</v>
      </c>
      <c r="F17" s="92">
        <f>+C17+D17-E17</f>
        <v>959059.0476190476</v>
      </c>
      <c r="G17" s="92">
        <f>(+C17+F17)/2</f>
        <v>970999.5238095238</v>
      </c>
    </row>
    <row r="18" spans="1:7" ht="12.75">
      <c r="A18" s="94" t="s">
        <v>129</v>
      </c>
      <c r="B18" s="94">
        <v>15</v>
      </c>
      <c r="C18" s="92">
        <f>+F11</f>
        <v>0</v>
      </c>
      <c r="D18" s="92">
        <v>390000</v>
      </c>
      <c r="E18" s="92">
        <f>D18/B18/2</f>
        <v>13000</v>
      </c>
      <c r="F18" s="92">
        <f>+C18+D18-E18</f>
        <v>377000</v>
      </c>
      <c r="G18" s="92">
        <f>(+C18+F18)/2</f>
        <v>188500</v>
      </c>
    </row>
    <row r="19" spans="1:7" ht="13.5" thickBot="1">
      <c r="A19" s="93"/>
      <c r="B19" s="93"/>
      <c r="C19" s="96">
        <f>SUM(C15:C18)</f>
        <v>982940</v>
      </c>
      <c r="D19" s="96">
        <f>SUM(D15:D18)</f>
        <v>1024000</v>
      </c>
      <c r="E19" s="96">
        <f>SUM(E15:E18)</f>
        <v>51910.119047619046</v>
      </c>
      <c r="F19" s="96">
        <f>SUM(F15:F18)</f>
        <v>1955029.8809523808</v>
      </c>
      <c r="G19" s="96">
        <f>SUM(G15:G18)</f>
        <v>1468984.9404761903</v>
      </c>
    </row>
    <row r="20" spans="1:7" ht="13.5" thickTop="1">
      <c r="A20" s="93"/>
      <c r="B20" s="93"/>
      <c r="C20" s="95"/>
      <c r="D20" s="92"/>
      <c r="E20" s="95"/>
      <c r="F20" s="95"/>
      <c r="G20" s="95"/>
    </row>
    <row r="21" spans="1:7" ht="38.25">
      <c r="A21" s="93"/>
      <c r="B21" s="93"/>
      <c r="C21" s="92" t="s">
        <v>1</v>
      </c>
      <c r="D21" s="98" t="s">
        <v>91</v>
      </c>
      <c r="E21" s="98" t="s">
        <v>93</v>
      </c>
      <c r="F21" s="100" t="s">
        <v>94</v>
      </c>
      <c r="G21" s="100" t="s">
        <v>95</v>
      </c>
    </row>
    <row r="22" spans="1:7" ht="12.75">
      <c r="A22" s="94" t="s">
        <v>127</v>
      </c>
      <c r="B22" s="94">
        <v>40</v>
      </c>
      <c r="C22" s="92">
        <f>+F15</f>
        <v>289337.5</v>
      </c>
      <c r="D22" s="92"/>
      <c r="E22" s="101">
        <f>(D22/B22/2)+(D15/B22)</f>
        <v>7325</v>
      </c>
      <c r="F22" s="92">
        <f>+C22+D22-E22</f>
        <v>282012.5</v>
      </c>
      <c r="G22" s="92">
        <f>(+C22+F22)/2</f>
        <v>285675</v>
      </c>
    </row>
    <row r="23" spans="1:7" ht="12.75">
      <c r="A23" s="94" t="s">
        <v>128</v>
      </c>
      <c r="B23" s="94">
        <v>15</v>
      </c>
      <c r="C23" s="92">
        <f>+F16</f>
        <v>329633.3333333333</v>
      </c>
      <c r="D23" s="92"/>
      <c r="E23" s="101">
        <f>(D23/B23/2)+(D16/B23)</f>
        <v>22733.333333333332</v>
      </c>
      <c r="F23" s="92">
        <f>+C23+D23-E23</f>
        <v>306900</v>
      </c>
      <c r="G23" s="92">
        <f>(+C23+F23)/2</f>
        <v>318266.6666666666</v>
      </c>
    </row>
    <row r="24" spans="1:7" ht="12.75">
      <c r="A24" s="94" t="s">
        <v>138</v>
      </c>
      <c r="B24" s="94">
        <v>42</v>
      </c>
      <c r="C24" s="92">
        <f>+F17</f>
        <v>959059.0476190476</v>
      </c>
      <c r="D24" s="92"/>
      <c r="E24" s="101">
        <f>(D24/B24/2)+((D17+D10)/B24)</f>
        <v>23880.95238095238</v>
      </c>
      <c r="F24" s="92">
        <f>+C24+D24-E24</f>
        <v>935178.0952380951</v>
      </c>
      <c r="G24" s="92">
        <f>(+C24+F24)/2</f>
        <v>947118.5714285714</v>
      </c>
    </row>
    <row r="25" spans="1:7" ht="12.75">
      <c r="A25" s="94" t="s">
        <v>129</v>
      </c>
      <c r="B25" s="94">
        <v>15</v>
      </c>
      <c r="C25" s="92">
        <f>+F18</f>
        <v>377000</v>
      </c>
      <c r="D25" s="92"/>
      <c r="E25" s="101">
        <f>(D25/B25/2)+(D18/B25)</f>
        <v>26000</v>
      </c>
      <c r="F25" s="92">
        <f>+C25+D25-E25</f>
        <v>351000</v>
      </c>
      <c r="G25" s="92">
        <f>(+C25+F25)/2</f>
        <v>364000</v>
      </c>
    </row>
    <row r="26" spans="1:7" ht="13.5" thickBot="1">
      <c r="A26" s="93"/>
      <c r="B26" s="93"/>
      <c r="C26" s="96">
        <f>SUM(C22:C25)</f>
        <v>1955029.8809523808</v>
      </c>
      <c r="D26" s="96">
        <f>SUM(D22:D25)</f>
        <v>0</v>
      </c>
      <c r="E26" s="96">
        <f>SUM(E22:E25)</f>
        <v>79939.28571428571</v>
      </c>
      <c r="F26" s="96">
        <f>SUM(F22:F25)</f>
        <v>1875090.5952380951</v>
      </c>
      <c r="G26" s="96">
        <f>SUM(G22:G25)</f>
        <v>1915060.2380952379</v>
      </c>
    </row>
    <row r="27" spans="1:7" ht="13.5" thickTop="1">
      <c r="A27" s="93"/>
      <c r="B27" s="93"/>
      <c r="C27" s="95"/>
      <c r="D27" s="92"/>
      <c r="E27" s="95"/>
      <c r="F27" s="95"/>
      <c r="G27" s="95"/>
    </row>
    <row r="28" spans="1:7" ht="38.25">
      <c r="A28" s="93"/>
      <c r="B28" s="93"/>
      <c r="C28" s="92" t="s">
        <v>1</v>
      </c>
      <c r="D28" s="98" t="s">
        <v>96</v>
      </c>
      <c r="E28" s="98" t="s">
        <v>97</v>
      </c>
      <c r="F28" s="100" t="s">
        <v>98</v>
      </c>
      <c r="G28" s="100" t="s">
        <v>99</v>
      </c>
    </row>
    <row r="29" spans="1:7" ht="12.75">
      <c r="A29" s="94" t="s">
        <v>127</v>
      </c>
      <c r="B29" s="94">
        <v>40</v>
      </c>
      <c r="C29" s="92">
        <f>+F22</f>
        <v>282012.5</v>
      </c>
      <c r="D29" s="92">
        <f>D22</f>
        <v>0</v>
      </c>
      <c r="E29" s="101">
        <f>(D29/B29/2)+((D22+D15)/B29)</f>
        <v>7325</v>
      </c>
      <c r="F29" s="92">
        <f>+C29+D29-E29</f>
        <v>274687.5</v>
      </c>
      <c r="G29" s="92">
        <f>(+C29+F29)/2</f>
        <v>278350</v>
      </c>
    </row>
    <row r="30" spans="1:7" ht="12.75">
      <c r="A30" s="94" t="s">
        <v>128</v>
      </c>
      <c r="B30" s="94">
        <v>15</v>
      </c>
      <c r="C30" s="92">
        <f>+F23</f>
        <v>306900</v>
      </c>
      <c r="D30" s="92">
        <f>D23</f>
        <v>0</v>
      </c>
      <c r="E30" s="101">
        <f>(D30/B30/2)+((D23+D16)/B30)</f>
        <v>22733.333333333332</v>
      </c>
      <c r="F30" s="92">
        <f>+C30+D30-E30</f>
        <v>284166.6666666667</v>
      </c>
      <c r="G30" s="92">
        <f>(+C30+F30)/2</f>
        <v>295533.3333333334</v>
      </c>
    </row>
    <row r="31" spans="1:7" ht="12.75">
      <c r="A31" s="94" t="s">
        <v>138</v>
      </c>
      <c r="B31" s="94">
        <v>42</v>
      </c>
      <c r="C31" s="92">
        <f>+F24</f>
        <v>935178.0952380951</v>
      </c>
      <c r="D31" s="92">
        <f>D24</f>
        <v>0</v>
      </c>
      <c r="E31" s="101">
        <f>(D31/B31/2)+((D24+D17+D10)/B31)</f>
        <v>23880.95238095238</v>
      </c>
      <c r="F31" s="92">
        <f>+C31+D31-E31</f>
        <v>911297.1428571427</v>
      </c>
      <c r="G31" s="92">
        <f>(+C31+F31)/2</f>
        <v>923237.6190476189</v>
      </c>
    </row>
    <row r="32" spans="1:7" ht="12.75">
      <c r="A32" s="94" t="s">
        <v>129</v>
      </c>
      <c r="B32" s="94">
        <v>15</v>
      </c>
      <c r="C32" s="92">
        <f>+F25</f>
        <v>351000</v>
      </c>
      <c r="D32" s="92">
        <f>D25</f>
        <v>0</v>
      </c>
      <c r="E32" s="101">
        <f>(D32/B32/2)+((D25+D18)/B32)</f>
        <v>26000</v>
      </c>
      <c r="F32" s="92">
        <f>+C32+D32-E32</f>
        <v>325000</v>
      </c>
      <c r="G32" s="92">
        <f>(+C32+F32)/2</f>
        <v>338000</v>
      </c>
    </row>
    <row r="33" spans="1:7" ht="13.5" thickBot="1">
      <c r="A33" s="93"/>
      <c r="B33" s="93"/>
      <c r="C33" s="96">
        <f>SUM(C29:C32)</f>
        <v>1875090.5952380951</v>
      </c>
      <c r="D33" s="96">
        <f>SUM(D29:D32)</f>
        <v>0</v>
      </c>
      <c r="E33" s="96">
        <f>SUM(E29:E32)</f>
        <v>79939.28571428571</v>
      </c>
      <c r="F33" s="96">
        <f>SUM(F29:F32)</f>
        <v>1795151.3095238095</v>
      </c>
      <c r="G33" s="96">
        <f>SUM(G29:G32)</f>
        <v>1835120.9523809524</v>
      </c>
    </row>
    <row r="34" spans="1:7" ht="13.5" thickTop="1">
      <c r="A34" s="93"/>
      <c r="B34" s="93"/>
      <c r="C34" s="95"/>
      <c r="D34" s="92"/>
      <c r="E34" s="95"/>
      <c r="F34" s="95"/>
      <c r="G34" s="95"/>
    </row>
    <row r="35" spans="1:7" ht="38.25">
      <c r="A35" s="93"/>
      <c r="B35" s="93"/>
      <c r="C35" s="92" t="s">
        <v>1</v>
      </c>
      <c r="D35" s="98" t="s">
        <v>100</v>
      </c>
      <c r="E35" s="98" t="s">
        <v>101</v>
      </c>
      <c r="F35" s="100" t="s">
        <v>102</v>
      </c>
      <c r="G35" s="100" t="s">
        <v>103</v>
      </c>
    </row>
    <row r="36" spans="1:7" ht="12.75">
      <c r="A36" s="94" t="s">
        <v>127</v>
      </c>
      <c r="B36" s="94">
        <v>40</v>
      </c>
      <c r="C36" s="92">
        <f>+F29</f>
        <v>274687.5</v>
      </c>
      <c r="D36" s="92">
        <f>D29</f>
        <v>0</v>
      </c>
      <c r="E36" s="101">
        <f>(D36/B36/2)+((D29+D22+D15)/B36)</f>
        <v>7325</v>
      </c>
      <c r="F36" s="92">
        <f>+C36+D36-E36</f>
        <v>267362.5</v>
      </c>
      <c r="G36" s="92">
        <f>(+C36+F36)/2</f>
        <v>271025</v>
      </c>
    </row>
    <row r="37" spans="1:7" ht="12.75">
      <c r="A37" s="94" t="s">
        <v>128</v>
      </c>
      <c r="B37" s="94">
        <v>15</v>
      </c>
      <c r="C37" s="92">
        <f>+F30</f>
        <v>284166.6666666667</v>
      </c>
      <c r="D37" s="92">
        <f>D30</f>
        <v>0</v>
      </c>
      <c r="E37" s="101">
        <f>(D37/B37/2)+((D30+D23+D16)/B37)</f>
        <v>22733.333333333332</v>
      </c>
      <c r="F37" s="92">
        <f>+C37+D37-E37</f>
        <v>261433.33333333334</v>
      </c>
      <c r="G37" s="92">
        <f>(+C37+F37)/2</f>
        <v>272800</v>
      </c>
    </row>
    <row r="38" spans="1:7" ht="12.75">
      <c r="A38" s="94" t="s">
        <v>138</v>
      </c>
      <c r="B38" s="94">
        <v>42</v>
      </c>
      <c r="C38" s="92">
        <f>+F31</f>
        <v>911297.1428571427</v>
      </c>
      <c r="D38" s="92">
        <f>D31</f>
        <v>0</v>
      </c>
      <c r="E38" s="101">
        <f>(D38/B38/2)+((D31+D24+D17+D10)/B38)</f>
        <v>23880.95238095238</v>
      </c>
      <c r="F38" s="92">
        <f>+C38+D38-E38</f>
        <v>887416.1904761903</v>
      </c>
      <c r="G38" s="92">
        <f>(+C38+F38)/2</f>
        <v>899356.6666666665</v>
      </c>
    </row>
    <row r="39" spans="1:7" ht="12.75">
      <c r="A39" s="94" t="s">
        <v>129</v>
      </c>
      <c r="B39" s="94">
        <v>15</v>
      </c>
      <c r="C39" s="92">
        <f>+F32</f>
        <v>325000</v>
      </c>
      <c r="D39" s="92">
        <f>D32</f>
        <v>0</v>
      </c>
      <c r="E39" s="101">
        <f>(D39/B39/2)+((D32+D25+D18)/B39)</f>
        <v>26000</v>
      </c>
      <c r="F39" s="92">
        <f>+C39+D39-E39</f>
        <v>299000</v>
      </c>
      <c r="G39" s="92">
        <f>(+C39+F39)/2</f>
        <v>312000</v>
      </c>
    </row>
    <row r="40" spans="1:7" ht="13.5" thickBot="1">
      <c r="A40" s="93"/>
      <c r="B40" s="93"/>
      <c r="C40" s="96">
        <f>SUM(C36:C39)</f>
        <v>1795151.3095238095</v>
      </c>
      <c r="D40" s="96">
        <f>SUM(D36:D39)</f>
        <v>0</v>
      </c>
      <c r="E40" s="96">
        <f>SUM(E36:E39)</f>
        <v>79939.28571428571</v>
      </c>
      <c r="F40" s="96">
        <f>SUM(F36:F39)</f>
        <v>1715212.0238095238</v>
      </c>
      <c r="G40" s="96">
        <f>SUM(G36:G39)</f>
        <v>1755181.6666666665</v>
      </c>
    </row>
    <row r="41" ht="13.5" thickTop="1"/>
    <row r="42" spans="3:5" ht="12.75">
      <c r="C42" s="2"/>
      <c r="D42" s="32"/>
      <c r="E42" s="2"/>
    </row>
  </sheetData>
  <sheetProtection/>
  <printOptions/>
  <pageMargins left="0.75" right="0.75" top="1" bottom="1" header="0.5" footer="0.5"/>
  <pageSetup horizontalDpi="525" verticalDpi="525" orientation="portrait" scale="60" r:id="rId1"/>
  <ignoredErrors>
    <ignoredError sqref="E24 E31 E38 E1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C5">
      <selection activeCell="G14" sqref="G14"/>
    </sheetView>
  </sheetViews>
  <sheetFormatPr defaultColWidth="9.140625" defaultRowHeight="12.75"/>
  <cols>
    <col min="1" max="1" width="33.8515625" style="3" customWidth="1"/>
    <col min="2" max="2" width="11.421875" style="0" customWidth="1"/>
    <col min="3" max="3" width="9.28125" style="0" customWidth="1"/>
    <col min="4" max="4" width="21.28125" style="104" customWidth="1"/>
    <col min="5" max="5" width="22.00390625" style="102" customWidth="1"/>
    <col min="6" max="6" width="20.7109375" style="102" customWidth="1"/>
    <col min="7" max="7" width="22.7109375" style="102" customWidth="1"/>
    <col min="8" max="8" width="16.00390625" style="102" customWidth="1"/>
    <col min="9" max="9" width="20.8515625" style="102" customWidth="1"/>
    <col min="10" max="10" width="17.00390625" style="0" customWidth="1"/>
  </cols>
  <sheetData>
    <row r="1" spans="1:3" ht="12.75">
      <c r="A1" s="105" t="s">
        <v>2</v>
      </c>
      <c r="C1" s="4"/>
    </row>
    <row r="2" ht="12.75">
      <c r="A2" s="105"/>
    </row>
    <row r="3" ht="12.75">
      <c r="A3" s="105" t="s">
        <v>4</v>
      </c>
    </row>
    <row r="4" ht="12.75">
      <c r="A4" s="105"/>
    </row>
    <row r="5" spans="2:3" ht="12.75">
      <c r="B5" s="5"/>
      <c r="C5" s="5"/>
    </row>
    <row r="6" spans="2:9" ht="25.5">
      <c r="B6" t="s">
        <v>5</v>
      </c>
      <c r="C6" t="s">
        <v>7</v>
      </c>
      <c r="D6" s="102" t="s">
        <v>8</v>
      </c>
      <c r="E6" s="107" t="s">
        <v>81</v>
      </c>
      <c r="F6" s="102" t="s">
        <v>10</v>
      </c>
      <c r="G6" s="102" t="s">
        <v>73</v>
      </c>
      <c r="H6" s="102" t="s">
        <v>82</v>
      </c>
      <c r="I6" s="102" t="s">
        <v>9</v>
      </c>
    </row>
    <row r="7" spans="1:9" ht="25.5">
      <c r="A7" s="106" t="s">
        <v>127</v>
      </c>
      <c r="B7" t="s">
        <v>6</v>
      </c>
      <c r="C7" s="6">
        <v>0.08</v>
      </c>
      <c r="D7" s="102">
        <v>0</v>
      </c>
      <c r="E7" s="104">
        <f>+'SM FA Continuity'!D8</f>
        <v>0</v>
      </c>
      <c r="F7" s="104">
        <f>+D7*C7</f>
        <v>0</v>
      </c>
      <c r="G7" s="104">
        <f>+E7*C7/2</f>
        <v>0</v>
      </c>
      <c r="H7" s="104">
        <f>+F7+G7</f>
        <v>0</v>
      </c>
      <c r="I7" s="102">
        <f>+D7+E7-H7</f>
        <v>0</v>
      </c>
    </row>
    <row r="8" spans="1:9" ht="12.75">
      <c r="A8" s="106" t="s">
        <v>128</v>
      </c>
      <c r="B8" t="s">
        <v>6</v>
      </c>
      <c r="C8" s="6">
        <v>0.08</v>
      </c>
      <c r="D8" s="102">
        <v>0</v>
      </c>
      <c r="E8" s="104">
        <f>+'SM FA Continuity'!D9</f>
        <v>0</v>
      </c>
      <c r="F8" s="104">
        <f>+D8*C8</f>
        <v>0</v>
      </c>
      <c r="G8" s="104">
        <f>+E8*C8/2</f>
        <v>0</v>
      </c>
      <c r="H8" s="104">
        <f>+F8+G8</f>
        <v>0</v>
      </c>
      <c r="I8" s="102">
        <f>+D8+E8-H8</f>
        <v>0</v>
      </c>
    </row>
    <row r="9" spans="1:9" ht="12.75">
      <c r="A9" s="106" t="s">
        <v>138</v>
      </c>
      <c r="B9" t="s">
        <v>6</v>
      </c>
      <c r="C9" s="6">
        <v>0.08</v>
      </c>
      <c r="D9" s="102">
        <v>0</v>
      </c>
      <c r="E9" s="104">
        <f>+'SM FA Continuity'!D10</f>
        <v>1003000</v>
      </c>
      <c r="F9" s="104">
        <f>+D9*C9</f>
        <v>0</v>
      </c>
      <c r="G9" s="104">
        <f>+E9*C9/2</f>
        <v>40120</v>
      </c>
      <c r="H9" s="104">
        <f>+F9+G9</f>
        <v>40120</v>
      </c>
      <c r="I9" s="102">
        <f>+D9+E9-H9</f>
        <v>962880</v>
      </c>
    </row>
    <row r="10" spans="1:9" ht="12.75">
      <c r="A10" s="106" t="s">
        <v>129</v>
      </c>
      <c r="B10" t="s">
        <v>6</v>
      </c>
      <c r="C10" s="6">
        <v>0.08</v>
      </c>
      <c r="D10" s="102">
        <v>0</v>
      </c>
      <c r="E10" s="104">
        <f>+'SM FA Continuity'!D11</f>
        <v>0</v>
      </c>
      <c r="F10" s="104">
        <f>+D10*C10</f>
        <v>0</v>
      </c>
      <c r="G10" s="104">
        <f>+E10*C10/2</f>
        <v>0</v>
      </c>
      <c r="H10" s="104">
        <f>+F10+G10</f>
        <v>0</v>
      </c>
      <c r="I10" s="102">
        <f>+D10+E10-H10</f>
        <v>0</v>
      </c>
    </row>
    <row r="11" spans="4:9" ht="13.5" thickBot="1">
      <c r="D11" s="103">
        <f aca="true" t="shared" si="0" ref="D11:I11">SUM(D7:D10)</f>
        <v>0</v>
      </c>
      <c r="E11" s="103">
        <f t="shared" si="0"/>
        <v>1003000</v>
      </c>
      <c r="F11" s="103">
        <f t="shared" si="0"/>
        <v>0</v>
      </c>
      <c r="G11" s="103">
        <f t="shared" si="0"/>
        <v>40120</v>
      </c>
      <c r="H11" s="103">
        <f t="shared" si="0"/>
        <v>40120</v>
      </c>
      <c r="I11" s="103">
        <f t="shared" si="0"/>
        <v>962880</v>
      </c>
    </row>
    <row r="12" ht="13.5" thickTop="1"/>
    <row r="13" spans="2:9" ht="25.5">
      <c r="B13" t="s">
        <v>5</v>
      </c>
      <c r="C13" t="s">
        <v>7</v>
      </c>
      <c r="D13" s="102" t="s">
        <v>8</v>
      </c>
      <c r="E13" s="108" t="s">
        <v>104</v>
      </c>
      <c r="F13" s="102" t="s">
        <v>10</v>
      </c>
      <c r="G13" s="109" t="s">
        <v>105</v>
      </c>
      <c r="H13" s="109" t="s">
        <v>106</v>
      </c>
      <c r="I13" s="102" t="s">
        <v>9</v>
      </c>
    </row>
    <row r="14" spans="1:9" ht="25.5">
      <c r="A14" s="106" t="s">
        <v>127</v>
      </c>
      <c r="B14" t="s">
        <v>6</v>
      </c>
      <c r="C14" s="6">
        <v>0.08</v>
      </c>
      <c r="D14" s="102">
        <f>+I7</f>
        <v>0</v>
      </c>
      <c r="E14" s="104">
        <f>+'SM FA Continuity'!D15</f>
        <v>293000</v>
      </c>
      <c r="F14" s="104">
        <f>+D14*C14</f>
        <v>0</v>
      </c>
      <c r="G14" s="104">
        <f>+E14*C14/2</f>
        <v>11720</v>
      </c>
      <c r="H14" s="104">
        <f>+F14+G14</f>
        <v>11720</v>
      </c>
      <c r="I14" s="102">
        <f>+D14+E14-H14</f>
        <v>281280</v>
      </c>
    </row>
    <row r="15" spans="1:9" ht="12.75">
      <c r="A15" s="106" t="s">
        <v>128</v>
      </c>
      <c r="B15" t="s">
        <v>6</v>
      </c>
      <c r="C15" s="6">
        <v>0.08</v>
      </c>
      <c r="D15" s="102">
        <f>+I8</f>
        <v>0</v>
      </c>
      <c r="E15" s="104">
        <f>+'SM FA Continuity'!D16</f>
        <v>341000</v>
      </c>
      <c r="F15" s="104">
        <f>+D15*C15</f>
        <v>0</v>
      </c>
      <c r="G15" s="104">
        <f>+E15*C15/2</f>
        <v>13640</v>
      </c>
      <c r="H15" s="104">
        <f>+F15+G15</f>
        <v>13640</v>
      </c>
      <c r="I15" s="102">
        <f>+D15+E15-H15</f>
        <v>327360</v>
      </c>
    </row>
    <row r="16" spans="1:9" ht="12.75">
      <c r="A16" s="106" t="s">
        <v>138</v>
      </c>
      <c r="B16" s="10" t="s">
        <v>6</v>
      </c>
      <c r="C16" s="6">
        <v>0.08</v>
      </c>
      <c r="D16" s="102">
        <f>+I9</f>
        <v>962880</v>
      </c>
      <c r="E16" s="104">
        <f>+'SM FA Continuity'!D17</f>
        <v>0</v>
      </c>
      <c r="F16" s="104">
        <f>+D16*C16</f>
        <v>77030.40000000001</v>
      </c>
      <c r="G16" s="104">
        <f>+E16*C16/2</f>
        <v>0</v>
      </c>
      <c r="H16" s="104">
        <f>+F16+G16</f>
        <v>77030.40000000001</v>
      </c>
      <c r="I16" s="102">
        <f>+D16+E16-H16</f>
        <v>885849.6</v>
      </c>
    </row>
    <row r="17" spans="1:9" ht="12.75">
      <c r="A17" s="106" t="s">
        <v>129</v>
      </c>
      <c r="B17" t="s">
        <v>6</v>
      </c>
      <c r="C17" s="6">
        <v>0.08</v>
      </c>
      <c r="D17" s="102">
        <f>+I10</f>
        <v>0</v>
      </c>
      <c r="E17" s="104">
        <f>+'SM FA Continuity'!D18</f>
        <v>390000</v>
      </c>
      <c r="F17" s="104">
        <f>+D17*C17</f>
        <v>0</v>
      </c>
      <c r="G17" s="104">
        <f>+E17*C17/2</f>
        <v>15600</v>
      </c>
      <c r="H17" s="104">
        <f>+F17+G17</f>
        <v>15600</v>
      </c>
      <c r="I17" s="102">
        <f>+D17+E17-H17</f>
        <v>374400</v>
      </c>
    </row>
    <row r="18" spans="4:9" ht="13.5" thickBot="1">
      <c r="D18" s="103">
        <f aca="true" t="shared" si="1" ref="D18:I18">SUM(D14:D17)</f>
        <v>962880</v>
      </c>
      <c r="E18" s="103">
        <f t="shared" si="1"/>
        <v>1024000</v>
      </c>
      <c r="F18" s="103">
        <f t="shared" si="1"/>
        <v>77030.40000000001</v>
      </c>
      <c r="G18" s="103">
        <f t="shared" si="1"/>
        <v>40960</v>
      </c>
      <c r="H18" s="103">
        <f t="shared" si="1"/>
        <v>117990.40000000001</v>
      </c>
      <c r="I18" s="103">
        <f t="shared" si="1"/>
        <v>1868889.6</v>
      </c>
    </row>
    <row r="19" ht="13.5" thickTop="1"/>
    <row r="20" spans="2:9" ht="25.5">
      <c r="B20" t="s">
        <v>5</v>
      </c>
      <c r="C20" t="s">
        <v>7</v>
      </c>
      <c r="D20" s="102" t="s">
        <v>8</v>
      </c>
      <c r="E20" s="108" t="s">
        <v>107</v>
      </c>
      <c r="F20" s="102" t="s">
        <v>10</v>
      </c>
      <c r="G20" s="109" t="s">
        <v>108</v>
      </c>
      <c r="H20" s="109" t="s">
        <v>109</v>
      </c>
      <c r="I20" s="102" t="s">
        <v>9</v>
      </c>
    </row>
    <row r="21" spans="1:9" ht="25.5">
      <c r="A21" s="106" t="s">
        <v>127</v>
      </c>
      <c r="B21" t="s">
        <v>6</v>
      </c>
      <c r="C21" s="6">
        <v>0.08</v>
      </c>
      <c r="D21" s="102">
        <f>+I14</f>
        <v>281280</v>
      </c>
      <c r="E21" s="104">
        <f>+'SM FA Continuity'!D22</f>
        <v>0</v>
      </c>
      <c r="F21" s="104">
        <f>+D21*C21</f>
        <v>22502.4</v>
      </c>
      <c r="G21" s="104">
        <f>+E21*C21/2</f>
        <v>0</v>
      </c>
      <c r="H21" s="104">
        <f>+F21+G21</f>
        <v>22502.4</v>
      </c>
      <c r="I21" s="102">
        <f>+D21+E21-H21</f>
        <v>258777.6</v>
      </c>
    </row>
    <row r="22" spans="1:9" ht="12.75">
      <c r="A22" s="106" t="s">
        <v>128</v>
      </c>
      <c r="B22" t="s">
        <v>6</v>
      </c>
      <c r="C22" s="6">
        <v>0.08</v>
      </c>
      <c r="D22" s="102">
        <f>+I15</f>
        <v>327360</v>
      </c>
      <c r="E22" s="104">
        <f>+'SM FA Continuity'!D23</f>
        <v>0</v>
      </c>
      <c r="F22" s="104">
        <f>+D22*C22</f>
        <v>26188.8</v>
      </c>
      <c r="G22" s="104">
        <f>+E22*C22/2</f>
        <v>0</v>
      </c>
      <c r="H22" s="104">
        <f>+F22+G22</f>
        <v>26188.8</v>
      </c>
      <c r="I22" s="102">
        <f>+D22+E22-H22</f>
        <v>301171.2</v>
      </c>
    </row>
    <row r="23" spans="1:9" ht="12.75">
      <c r="A23" s="106" t="s">
        <v>138</v>
      </c>
      <c r="B23" t="s">
        <v>6</v>
      </c>
      <c r="C23" s="6">
        <v>0.08</v>
      </c>
      <c r="D23" s="102">
        <f>+I16</f>
        <v>885849.6</v>
      </c>
      <c r="E23" s="104">
        <f>+'SM FA Continuity'!D24</f>
        <v>0</v>
      </c>
      <c r="F23" s="104">
        <f>+D23*C23</f>
        <v>70867.968</v>
      </c>
      <c r="G23" s="104">
        <f>+E23*C23/2</f>
        <v>0</v>
      </c>
      <c r="H23" s="104">
        <f>+F23+G23</f>
        <v>70867.968</v>
      </c>
      <c r="I23" s="102">
        <f>+D23+E23-H23</f>
        <v>814981.632</v>
      </c>
    </row>
    <row r="24" spans="1:9" ht="12.75">
      <c r="A24" s="106" t="s">
        <v>129</v>
      </c>
      <c r="B24" t="s">
        <v>6</v>
      </c>
      <c r="C24" s="6">
        <v>0.08</v>
      </c>
      <c r="D24" s="102">
        <f>+I17</f>
        <v>374400</v>
      </c>
      <c r="E24" s="104">
        <f>+'SM FA Continuity'!D25</f>
        <v>0</v>
      </c>
      <c r="F24" s="104">
        <f>+D24*C24</f>
        <v>29952</v>
      </c>
      <c r="G24" s="104">
        <f>+E24*C24/2</f>
        <v>0</v>
      </c>
      <c r="H24" s="104">
        <f>+F24+G24</f>
        <v>29952</v>
      </c>
      <c r="I24" s="102">
        <f>+D24+E24-H24</f>
        <v>344448</v>
      </c>
    </row>
    <row r="25" spans="4:9" ht="13.5" thickBot="1">
      <c r="D25" s="103">
        <f aca="true" t="shared" si="2" ref="D25:I25">SUM(D21:D24)</f>
        <v>1868889.6</v>
      </c>
      <c r="E25" s="103">
        <f t="shared" si="2"/>
        <v>0</v>
      </c>
      <c r="F25" s="103">
        <f t="shared" si="2"/>
        <v>149511.168</v>
      </c>
      <c r="G25" s="103">
        <f t="shared" si="2"/>
        <v>0</v>
      </c>
      <c r="H25" s="103">
        <f t="shared" si="2"/>
        <v>149511.168</v>
      </c>
      <c r="I25" s="103">
        <f t="shared" si="2"/>
        <v>1719378.432</v>
      </c>
    </row>
    <row r="26" ht="13.5" thickTop="1"/>
    <row r="27" spans="2:9" ht="25.5">
      <c r="B27" t="s">
        <v>5</v>
      </c>
      <c r="C27" t="s">
        <v>7</v>
      </c>
      <c r="D27" s="102" t="s">
        <v>8</v>
      </c>
      <c r="E27" s="108" t="s">
        <v>110</v>
      </c>
      <c r="F27" s="102" t="s">
        <v>10</v>
      </c>
      <c r="G27" s="109" t="s">
        <v>111</v>
      </c>
      <c r="H27" s="109" t="s">
        <v>112</v>
      </c>
      <c r="I27" s="102" t="s">
        <v>9</v>
      </c>
    </row>
    <row r="28" spans="1:9" ht="25.5">
      <c r="A28" s="106" t="s">
        <v>127</v>
      </c>
      <c r="B28" t="s">
        <v>6</v>
      </c>
      <c r="C28" s="6">
        <v>0.08</v>
      </c>
      <c r="D28" s="102">
        <f>+I21</f>
        <v>258777.6</v>
      </c>
      <c r="E28" s="104">
        <f>+'SM FA Continuity'!D29</f>
        <v>0</v>
      </c>
      <c r="F28" s="104">
        <f>+D28*C28</f>
        <v>20702.208000000002</v>
      </c>
      <c r="G28" s="104">
        <f>+E28*C28/2</f>
        <v>0</v>
      </c>
      <c r="H28" s="104">
        <f>+F28+G28</f>
        <v>20702.208000000002</v>
      </c>
      <c r="I28" s="102">
        <f>+D28+E28-H28</f>
        <v>238075.392</v>
      </c>
    </row>
    <row r="29" spans="1:9" ht="12.75">
      <c r="A29" s="106" t="s">
        <v>128</v>
      </c>
      <c r="B29" t="s">
        <v>6</v>
      </c>
      <c r="C29" s="6">
        <v>0.08</v>
      </c>
      <c r="D29" s="102">
        <f>+I22</f>
        <v>301171.2</v>
      </c>
      <c r="E29" s="104">
        <f>+'SM FA Continuity'!D30</f>
        <v>0</v>
      </c>
      <c r="F29" s="104">
        <f>+D29*C29</f>
        <v>24093.696</v>
      </c>
      <c r="G29" s="104">
        <f>+E29*C29/2</f>
        <v>0</v>
      </c>
      <c r="H29" s="104">
        <f>+F29+G29</f>
        <v>24093.696</v>
      </c>
      <c r="I29" s="102">
        <f>+D29+E29-H29</f>
        <v>277077.504</v>
      </c>
    </row>
    <row r="30" spans="1:9" ht="12.75">
      <c r="A30" s="94" t="s">
        <v>138</v>
      </c>
      <c r="B30" t="s">
        <v>6</v>
      </c>
      <c r="C30" s="6">
        <v>0.08</v>
      </c>
      <c r="D30" s="102">
        <f>+I23</f>
        <v>814981.632</v>
      </c>
      <c r="E30" s="104">
        <f>+'SM FA Continuity'!D31</f>
        <v>0</v>
      </c>
      <c r="F30" s="104">
        <f>+D30*C30</f>
        <v>65198.53056</v>
      </c>
      <c r="G30" s="104">
        <f>+E30*C30/2</f>
        <v>0</v>
      </c>
      <c r="H30" s="104">
        <f>+F30+G30</f>
        <v>65198.53056</v>
      </c>
      <c r="I30" s="102">
        <f>+D30+E30-H30</f>
        <v>749783.10144</v>
      </c>
    </row>
    <row r="31" spans="1:9" ht="12.75">
      <c r="A31" s="106" t="s">
        <v>129</v>
      </c>
      <c r="B31" t="s">
        <v>6</v>
      </c>
      <c r="C31" s="6">
        <v>0.08</v>
      </c>
      <c r="D31" s="102">
        <f>+I24</f>
        <v>344448</v>
      </c>
      <c r="E31" s="104">
        <f>+'SM FA Continuity'!D32</f>
        <v>0</v>
      </c>
      <c r="F31" s="104">
        <f>+D31*C31</f>
        <v>27555.84</v>
      </c>
      <c r="G31" s="104">
        <f>+E31*C31/2</f>
        <v>0</v>
      </c>
      <c r="H31" s="104">
        <f>+F31+G31</f>
        <v>27555.84</v>
      </c>
      <c r="I31" s="102">
        <f>+D31+E31-H31</f>
        <v>316892.16</v>
      </c>
    </row>
    <row r="32" spans="4:9" ht="13.5" thickBot="1">
      <c r="D32" s="103">
        <f aca="true" t="shared" si="3" ref="D32:I32">SUM(D28:D31)</f>
        <v>1719378.432</v>
      </c>
      <c r="E32" s="103">
        <f t="shared" si="3"/>
        <v>0</v>
      </c>
      <c r="F32" s="103">
        <f t="shared" si="3"/>
        <v>137550.27456</v>
      </c>
      <c r="G32" s="103">
        <f t="shared" si="3"/>
        <v>0</v>
      </c>
      <c r="H32" s="103">
        <f t="shared" si="3"/>
        <v>137550.27456</v>
      </c>
      <c r="I32" s="103">
        <f t="shared" si="3"/>
        <v>1581828.15744</v>
      </c>
    </row>
    <row r="33" ht="13.5" thickTop="1"/>
    <row r="34" spans="2:9" ht="25.5">
      <c r="B34" t="s">
        <v>5</v>
      </c>
      <c r="C34" t="s">
        <v>7</v>
      </c>
      <c r="D34" s="102" t="s">
        <v>8</v>
      </c>
      <c r="E34" s="108" t="s">
        <v>113</v>
      </c>
      <c r="F34" s="102" t="s">
        <v>10</v>
      </c>
      <c r="G34" s="109" t="s">
        <v>114</v>
      </c>
      <c r="H34" s="109" t="s">
        <v>115</v>
      </c>
      <c r="I34" s="102" t="s">
        <v>9</v>
      </c>
    </row>
    <row r="35" spans="1:9" ht="25.5">
      <c r="A35" s="106" t="s">
        <v>127</v>
      </c>
      <c r="B35" t="s">
        <v>6</v>
      </c>
      <c r="C35" s="6">
        <v>0.08</v>
      </c>
      <c r="D35" s="102">
        <f>+I28</f>
        <v>238075.392</v>
      </c>
      <c r="E35" s="104">
        <f>+'SM FA Continuity'!D36</f>
        <v>0</v>
      </c>
      <c r="F35" s="104">
        <f>+D35*C35</f>
        <v>19046.03136</v>
      </c>
      <c r="G35" s="104">
        <f>+E35*C35/2</f>
        <v>0</v>
      </c>
      <c r="H35" s="104">
        <f>+F35+G35</f>
        <v>19046.03136</v>
      </c>
      <c r="I35" s="102">
        <f>+D35+E35-H35</f>
        <v>219029.36064</v>
      </c>
    </row>
    <row r="36" spans="1:9" ht="12.75">
      <c r="A36" s="106" t="s">
        <v>128</v>
      </c>
      <c r="B36" t="s">
        <v>6</v>
      </c>
      <c r="C36" s="6">
        <v>0.08</v>
      </c>
      <c r="D36" s="102">
        <f>+I29</f>
        <v>277077.504</v>
      </c>
      <c r="E36" s="104">
        <f>+'SM FA Continuity'!D37</f>
        <v>0</v>
      </c>
      <c r="F36" s="104">
        <f>+D36*C36</f>
        <v>22166.20032</v>
      </c>
      <c r="G36" s="104">
        <f>+E36*C36/2</f>
        <v>0</v>
      </c>
      <c r="H36" s="104">
        <f>+F36+G36</f>
        <v>22166.20032</v>
      </c>
      <c r="I36" s="102">
        <f>+D36+E36-H36</f>
        <v>254911.30368</v>
      </c>
    </row>
    <row r="37" spans="1:9" ht="12.75">
      <c r="A37" s="94" t="s">
        <v>138</v>
      </c>
      <c r="B37" t="s">
        <v>6</v>
      </c>
      <c r="C37" s="6">
        <v>0.08</v>
      </c>
      <c r="D37" s="102">
        <f>+I30</f>
        <v>749783.10144</v>
      </c>
      <c r="E37" s="104">
        <f>+'SM FA Continuity'!D38</f>
        <v>0</v>
      </c>
      <c r="F37" s="104">
        <f>+D37*C37</f>
        <v>59982.6481152</v>
      </c>
      <c r="G37" s="104">
        <f>+E37*C37/2</f>
        <v>0</v>
      </c>
      <c r="H37" s="104">
        <f>+F37+G37</f>
        <v>59982.6481152</v>
      </c>
      <c r="I37" s="102">
        <f>+D37+E37-H37</f>
        <v>689800.4533248</v>
      </c>
    </row>
    <row r="38" spans="1:9" ht="12.75">
      <c r="A38" s="106" t="s">
        <v>129</v>
      </c>
      <c r="B38" t="s">
        <v>6</v>
      </c>
      <c r="C38" s="6">
        <v>0.08</v>
      </c>
      <c r="D38" s="102">
        <f>+I31</f>
        <v>316892.16</v>
      </c>
      <c r="E38" s="104">
        <f>+'SM FA Continuity'!D39</f>
        <v>0</v>
      </c>
      <c r="F38" s="104">
        <f>+D38*C38</f>
        <v>25351.372799999997</v>
      </c>
      <c r="G38" s="104">
        <f>+E38*C38/2</f>
        <v>0</v>
      </c>
      <c r="H38" s="104">
        <f>+F38+G38</f>
        <v>25351.372799999997</v>
      </c>
      <c r="I38" s="102">
        <f>+D38+E38-H38</f>
        <v>291540.78719999996</v>
      </c>
    </row>
    <row r="39" spans="4:9" ht="13.5" thickBot="1">
      <c r="D39" s="103">
        <f aca="true" t="shared" si="4" ref="D39:I39">SUM(D35:D38)</f>
        <v>1581828.15744</v>
      </c>
      <c r="E39" s="103">
        <f t="shared" si="4"/>
        <v>0</v>
      </c>
      <c r="F39" s="103">
        <f t="shared" si="4"/>
        <v>126546.25259519999</v>
      </c>
      <c r="G39" s="103">
        <f t="shared" si="4"/>
        <v>0</v>
      </c>
      <c r="H39" s="103">
        <f t="shared" si="4"/>
        <v>126546.25259519999</v>
      </c>
      <c r="I39" s="103">
        <f t="shared" si="4"/>
        <v>1455281.9048447998</v>
      </c>
    </row>
    <row r="40" ht="13.5" thickTop="1"/>
  </sheetData>
  <sheetProtection/>
  <printOptions/>
  <pageMargins left="0.75" right="0.75" top="1" bottom="1" header="0.5" footer="0.5"/>
  <pageSetup horizontalDpi="600" verticalDpi="600" orientation="landscape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44"/>
  <sheetViews>
    <sheetView zoomScalePageLayoutView="0" workbookViewId="0" topLeftCell="A16">
      <selection activeCell="I41" sqref="I41"/>
    </sheetView>
  </sheetViews>
  <sheetFormatPr defaultColWidth="9.140625" defaultRowHeight="12.75"/>
  <cols>
    <col min="2" max="2" width="34.421875" style="0" bestFit="1" customWidth="1"/>
    <col min="3" max="3" width="10.28125" style="0" bestFit="1" customWidth="1"/>
    <col min="4" max="4" width="12.57421875" style="0" bestFit="1" customWidth="1"/>
    <col min="6" max="8" width="10.28125" style="0" bestFit="1" customWidth="1"/>
  </cols>
  <sheetData>
    <row r="1" ht="12.75">
      <c r="B1" s="4" t="s">
        <v>140</v>
      </c>
    </row>
    <row r="2" spans="3:4" ht="12.75">
      <c r="C2" s="112">
        <v>2010</v>
      </c>
      <c r="D2" s="112">
        <v>2011</v>
      </c>
    </row>
    <row r="3" spans="2:4" ht="12.75">
      <c r="B3" t="s">
        <v>127</v>
      </c>
      <c r="C3" s="111"/>
      <c r="D3" s="111">
        <v>293000</v>
      </c>
    </row>
    <row r="4" spans="2:4" ht="12.75">
      <c r="B4" t="s">
        <v>128</v>
      </c>
      <c r="C4" s="111"/>
      <c r="D4" s="111">
        <v>341000</v>
      </c>
    </row>
    <row r="5" spans="2:4" ht="12.75">
      <c r="B5" t="s">
        <v>138</v>
      </c>
      <c r="C5" s="111">
        <v>1003000</v>
      </c>
      <c r="D5" s="111">
        <v>0</v>
      </c>
    </row>
    <row r="6" spans="2:4" ht="12.75">
      <c r="B6" t="s">
        <v>129</v>
      </c>
      <c r="C6" s="111"/>
      <c r="D6" s="111">
        <v>390000</v>
      </c>
    </row>
    <row r="7" spans="2:5" ht="13.5" thickBot="1">
      <c r="B7" s="4" t="s">
        <v>139</v>
      </c>
      <c r="C7" s="113">
        <f>SUM(C3:C6)</f>
        <v>1003000</v>
      </c>
      <c r="D7" s="113">
        <f>SUM(D3:D6)</f>
        <v>1024000</v>
      </c>
      <c r="E7" s="4" t="s">
        <v>142</v>
      </c>
    </row>
    <row r="8" ht="13.5" thickTop="1"/>
    <row r="10" ht="12.75">
      <c r="B10" s="4" t="s">
        <v>141</v>
      </c>
    </row>
    <row r="11" spans="3:4" ht="12.75">
      <c r="C11" s="112">
        <v>2010</v>
      </c>
      <c r="D11" s="112">
        <v>2011</v>
      </c>
    </row>
    <row r="12" spans="2:5" ht="13.5" thickBot="1">
      <c r="B12" s="4" t="s">
        <v>139</v>
      </c>
      <c r="C12" s="113">
        <v>1033000</v>
      </c>
      <c r="D12" s="113">
        <v>1050000</v>
      </c>
      <c r="E12" s="4" t="s">
        <v>143</v>
      </c>
    </row>
    <row r="13" spans="3:4" ht="13.5" thickTop="1">
      <c r="C13" s="111"/>
      <c r="D13" s="111"/>
    </row>
    <row r="14" spans="3:4" ht="12.75">
      <c r="C14" s="111"/>
      <c r="D14" s="111"/>
    </row>
    <row r="15" spans="2:4" ht="12.75">
      <c r="B15" s="4" t="s">
        <v>144</v>
      </c>
      <c r="C15" s="114">
        <f>C7-C12</f>
        <v>-30000</v>
      </c>
      <c r="D15" s="114">
        <f>D7-D12</f>
        <v>-26000</v>
      </c>
    </row>
    <row r="21" spans="2:8" ht="12.75">
      <c r="B21" s="1"/>
      <c r="C21" s="1"/>
      <c r="D21" s="2"/>
      <c r="F21" s="1"/>
      <c r="G21" s="1"/>
      <c r="H21" s="2"/>
    </row>
    <row r="22" spans="2:8" ht="12.75">
      <c r="B22" s="1"/>
      <c r="C22" s="1"/>
      <c r="D22" s="2"/>
      <c r="F22" s="1"/>
      <c r="G22" s="1"/>
      <c r="H22" s="2"/>
    </row>
    <row r="23" spans="2:8" ht="12.75">
      <c r="B23" s="1"/>
      <c r="C23" s="1"/>
      <c r="D23" s="1"/>
      <c r="F23" s="1"/>
      <c r="G23" s="1"/>
      <c r="H23" s="1"/>
    </row>
    <row r="24" spans="2:6" ht="12.75">
      <c r="B24" s="1"/>
      <c r="F24" s="1"/>
    </row>
    <row r="25" spans="2:8" ht="12.75">
      <c r="B25" s="126"/>
      <c r="C25" s="126"/>
      <c r="D25" s="126"/>
      <c r="F25" s="126"/>
      <c r="G25" s="126"/>
      <c r="H25" s="126"/>
    </row>
    <row r="26" spans="2:8" ht="12.75">
      <c r="B26" s="126"/>
      <c r="C26" s="126"/>
      <c r="D26" s="126"/>
      <c r="F26" s="126"/>
      <c r="G26" s="126"/>
      <c r="H26" s="126"/>
    </row>
    <row r="27" spans="2:6" ht="12.75">
      <c r="B27" s="1"/>
      <c r="F27" s="1"/>
    </row>
    <row r="28" spans="3:8" ht="12.75">
      <c r="C28" s="2"/>
      <c r="D28" s="2"/>
      <c r="G28" s="2"/>
      <c r="H28" s="2"/>
    </row>
    <row r="29" spans="3:8" ht="12.75">
      <c r="C29" s="2"/>
      <c r="D29" s="2"/>
      <c r="G29" s="2"/>
      <c r="H29" s="2"/>
    </row>
    <row r="30" spans="3:8" ht="12.75">
      <c r="C30" s="2"/>
      <c r="D30" s="2"/>
      <c r="G30" s="2"/>
      <c r="H30" s="2"/>
    </row>
    <row r="31" spans="4:10" ht="12.75">
      <c r="D31" s="2"/>
      <c r="H31" s="2"/>
      <c r="J31" s="2"/>
    </row>
    <row r="33" spans="4:8" ht="12.75">
      <c r="D33" s="2"/>
      <c r="H33" s="2"/>
    </row>
    <row r="35" spans="3:8" ht="12.75">
      <c r="C35" s="2"/>
      <c r="D35" s="2"/>
      <c r="H35" s="2"/>
    </row>
    <row r="36" ht="12.75">
      <c r="C36" s="2"/>
    </row>
    <row r="37" spans="4:8" ht="12.75">
      <c r="D37" s="126"/>
      <c r="H37" s="126"/>
    </row>
    <row r="38" ht="12.75">
      <c r="C38" s="2"/>
    </row>
    <row r="39" spans="3:6" ht="12.75">
      <c r="C39" s="2"/>
      <c r="D39" s="126"/>
      <c r="F39" s="2"/>
    </row>
    <row r="40" spans="3:4" ht="12.75">
      <c r="C40" s="2"/>
      <c r="D40" s="2"/>
    </row>
    <row r="41" ht="12.75">
      <c r="D41" s="2"/>
    </row>
    <row r="42" ht="12.75">
      <c r="F42" s="2"/>
    </row>
    <row r="44" ht="12.75">
      <c r="F44" s="2"/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C7:D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Horizon Utilities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dgapic</cp:lastModifiedBy>
  <cp:lastPrinted>2010-10-19T15:37:17Z</cp:lastPrinted>
  <dcterms:created xsi:type="dcterms:W3CDTF">2008-08-08T18:59:42Z</dcterms:created>
  <dcterms:modified xsi:type="dcterms:W3CDTF">2010-11-08T19:23:43Z</dcterms:modified>
  <cp:category/>
  <cp:version/>
  <cp:contentType/>
  <cp:contentStatus/>
</cp:coreProperties>
</file>