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0" yWindow="45" windowWidth="14115" windowHeight="7935" firstSheet="4" activeTab="5"/>
  </bookViews>
  <sheets>
    <sheet name="1. LDC Information" sheetId="1" r:id="rId1"/>
    <sheet name="2. Smart Meter Data" sheetId="2" r:id="rId2"/>
    <sheet name="3.  LDC Assumptions and Data" sheetId="3" r:id="rId3"/>
    <sheet name="4. Smart Meter Rev Req" sheetId="7" r:id="rId4"/>
    <sheet name="5. PILs" sheetId="8" r:id="rId5"/>
    <sheet name="6. Avg Nt Fix Ass &amp;UCC" sheetId="9" r:id="rId6"/>
    <sheet name="7. Funding Adder Collected" sheetId="10" r:id="rId7"/>
    <sheet name="8. Smart Meter Rate  Adder" sheetId="11" r:id="rId8"/>
  </sheets>
  <externalReferences>
    <externalReference r:id="rId9"/>
    <externalReference r:id="rId10"/>
  </externalReferences>
  <definedNames>
    <definedName name="CDM_2007">#REF!</definedName>
    <definedName name="EDR_06_OthInfo">'[1]4. 2006 Smart Meter Information'!#REF!</definedName>
    <definedName name="EDR06Tariffs">'[1]3. 2006 Tariff Sheet'!#REF!</definedName>
    <definedName name="impactdata">'[2]8-7 OTHER CHGS, COMMOD (Input)'!$B$15:$AS$118</definedName>
    <definedName name="Model_Organization">#REF!</definedName>
    <definedName name="OtherRateCharges">#REF!</definedName>
    <definedName name="PriceCapParams">#REF!</definedName>
    <definedName name="_xlnm.Print_Area" localSheetId="0">'1. LDC Information'!$A$1:$G$21</definedName>
    <definedName name="_xlnm.Print_Area" localSheetId="1">'2. Smart Meter Data'!$A$1:$K$148</definedName>
    <definedName name="_xlnm.Print_Titles" localSheetId="1">'2. Smart Meter Data'!$1:$1</definedName>
    <definedName name="_xlnm.Print_Titles" localSheetId="5">'6. Avg Nt Fix Ass &amp;UCC'!$1:$2</definedName>
    <definedName name="Rate_Riders">#REF!</definedName>
    <definedName name="RPP_Data">#REF!</definedName>
    <definedName name="terr_name">'[2]1-1 GENERAL (Input)'!$C$56:$D$59</definedName>
    <definedName name="UtilityInfo">#REF!</definedName>
    <definedName name="Z_Factor_Analysis">#REF!</definedName>
  </definedNames>
  <calcPr calcId="125725"/>
</workbook>
</file>

<file path=xl/calcChain.xml><?xml version="1.0" encoding="utf-8"?>
<calcChain xmlns="http://schemas.openxmlformats.org/spreadsheetml/2006/main">
  <c r="G107" i="9"/>
  <c r="H107"/>
  <c r="G108"/>
  <c r="H108"/>
  <c r="F108"/>
  <c r="F107"/>
  <c r="G104"/>
  <c r="H104"/>
  <c r="F104"/>
  <c r="G103"/>
  <c r="H103"/>
  <c r="F103"/>
  <c r="G102"/>
  <c r="H102"/>
  <c r="F102"/>
  <c r="G101"/>
  <c r="H101"/>
  <c r="F101"/>
  <c r="G100"/>
  <c r="H100"/>
  <c r="F100"/>
  <c r="G99"/>
  <c r="H99"/>
  <c r="F99"/>
  <c r="I105" i="2" l="1"/>
  <c r="I87"/>
  <c r="C23" i="7"/>
  <c r="C28"/>
  <c r="C29"/>
  <c r="C92" i="9"/>
  <c r="C120"/>
  <c r="C14" i="8"/>
  <c r="C37" s="1"/>
  <c r="F23" i="7"/>
  <c r="F28"/>
  <c r="F29"/>
  <c r="D92" i="9"/>
  <c r="D120"/>
  <c r="D14" i="8"/>
  <c r="D37" s="1"/>
  <c r="I23" i="7"/>
  <c r="I28"/>
  <c r="I29"/>
  <c r="E92" i="9"/>
  <c r="E120"/>
  <c r="E14" i="8"/>
  <c r="E37" s="1"/>
  <c r="L23" i="7"/>
  <c r="L28"/>
  <c r="L29"/>
  <c r="F92" i="9"/>
  <c r="F120"/>
  <c r="F14" i="8"/>
  <c r="F37" s="1"/>
  <c r="O23" i="7"/>
  <c r="O28"/>
  <c r="O29"/>
  <c r="G92" i="9"/>
  <c r="G120"/>
  <c r="G14" i="8"/>
  <c r="G37" s="1"/>
  <c r="R23" i="7"/>
  <c r="R28"/>
  <c r="R29"/>
  <c r="H92" i="9"/>
  <c r="H120"/>
  <c r="H14" i="8"/>
  <c r="H37" s="1"/>
  <c r="D4" i="10"/>
  <c r="E4" s="1"/>
  <c r="D5"/>
  <c r="D6"/>
  <c r="C81"/>
  <c r="C13" i="11" s="1"/>
  <c r="D10" i="2"/>
  <c r="K6"/>
  <c r="K8"/>
  <c r="E10"/>
  <c r="E16" s="1"/>
  <c r="F10"/>
  <c r="G10"/>
  <c r="G16"/>
  <c r="E104"/>
  <c r="E84"/>
  <c r="E77"/>
  <c r="E66"/>
  <c r="E52"/>
  <c r="E20"/>
  <c r="E38" s="1"/>
  <c r="F104"/>
  <c r="F84"/>
  <c r="F77"/>
  <c r="F66"/>
  <c r="F52"/>
  <c r="F20"/>
  <c r="F38"/>
  <c r="G104"/>
  <c r="G84"/>
  <c r="G77"/>
  <c r="G66"/>
  <c r="G52"/>
  <c r="G20"/>
  <c r="G38" s="1"/>
  <c r="H104"/>
  <c r="H84"/>
  <c r="H77"/>
  <c r="H66"/>
  <c r="H52"/>
  <c r="H20"/>
  <c r="H38"/>
  <c r="U22" i="7"/>
  <c r="U23"/>
  <c r="U27"/>
  <c r="U28"/>
  <c r="R27"/>
  <c r="R22"/>
  <c r="O27"/>
  <c r="O22"/>
  <c r="L27"/>
  <c r="L22"/>
  <c r="I22"/>
  <c r="I27"/>
  <c r="D16" i="3"/>
  <c r="F24" i="7"/>
  <c r="E16" i="3"/>
  <c r="I24" i="7"/>
  <c r="F16" i="3"/>
  <c r="G16"/>
  <c r="G21" s="1"/>
  <c r="H16"/>
  <c r="H21" s="1"/>
  <c r="I16"/>
  <c r="I21" s="1"/>
  <c r="G26" i="8"/>
  <c r="I14"/>
  <c r="I37" s="1"/>
  <c r="I10"/>
  <c r="I11"/>
  <c r="I12"/>
  <c r="I18"/>
  <c r="I19"/>
  <c r="I20"/>
  <c r="V40" i="7"/>
  <c r="V39"/>
  <c r="V38"/>
  <c r="V37"/>
  <c r="V36"/>
  <c r="W41" s="1"/>
  <c r="W47" s="1"/>
  <c r="I9" i="8" s="1"/>
  <c r="U29" i="7"/>
  <c r="U24"/>
  <c r="B17"/>
  <c r="U12"/>
  <c r="U11"/>
  <c r="U10"/>
  <c r="U9"/>
  <c r="U8"/>
  <c r="U13" s="1"/>
  <c r="V13" s="1"/>
  <c r="U7"/>
  <c r="U6"/>
  <c r="R7"/>
  <c r="R6"/>
  <c r="O7"/>
  <c r="O6"/>
  <c r="L7"/>
  <c r="L6"/>
  <c r="I6"/>
  <c r="F7"/>
  <c r="I7"/>
  <c r="F6"/>
  <c r="C7"/>
  <c r="C6"/>
  <c r="I21" i="8"/>
  <c r="I22"/>
  <c r="I6"/>
  <c r="I7"/>
  <c r="D6"/>
  <c r="E6"/>
  <c r="F6"/>
  <c r="G6"/>
  <c r="H6"/>
  <c r="D7"/>
  <c r="E7"/>
  <c r="F7"/>
  <c r="G7"/>
  <c r="H7"/>
  <c r="C7"/>
  <c r="C6"/>
  <c r="H119" i="9"/>
  <c r="D119"/>
  <c r="E119"/>
  <c r="F119"/>
  <c r="G119"/>
  <c r="C119"/>
  <c r="D5"/>
  <c r="D20" s="1"/>
  <c r="D35" s="1"/>
  <c r="D50" s="1"/>
  <c r="D65" s="1"/>
  <c r="D83" s="1"/>
  <c r="D96" s="1"/>
  <c r="D110" s="1"/>
  <c r="E5"/>
  <c r="E20"/>
  <c r="E35" s="1"/>
  <c r="E50" s="1"/>
  <c r="E65" s="1"/>
  <c r="E83" s="1"/>
  <c r="E96" s="1"/>
  <c r="E110" s="1"/>
  <c r="F5"/>
  <c r="F20" s="1"/>
  <c r="F35" s="1"/>
  <c r="F50" s="1"/>
  <c r="F65" s="1"/>
  <c r="F83" s="1"/>
  <c r="F96" s="1"/>
  <c r="F110" s="1"/>
  <c r="G5"/>
  <c r="G20" s="1"/>
  <c r="G35" s="1"/>
  <c r="G50" s="1"/>
  <c r="G65" s="1"/>
  <c r="G83" s="1"/>
  <c r="G96" s="1"/>
  <c r="G110" s="1"/>
  <c r="H5"/>
  <c r="H20"/>
  <c r="H35" s="1"/>
  <c r="H50" s="1"/>
  <c r="H65" s="1"/>
  <c r="H83" s="1"/>
  <c r="H96" s="1"/>
  <c r="H110" s="1"/>
  <c r="D6"/>
  <c r="D21" s="1"/>
  <c r="D36" s="1"/>
  <c r="D51" s="1"/>
  <c r="D66" s="1"/>
  <c r="D84" s="1"/>
  <c r="D97" s="1"/>
  <c r="D111" s="1"/>
  <c r="E6"/>
  <c r="E21" s="1"/>
  <c r="E36" s="1"/>
  <c r="E51" s="1"/>
  <c r="E66" s="1"/>
  <c r="E84" s="1"/>
  <c r="E97" s="1"/>
  <c r="E111" s="1"/>
  <c r="F6"/>
  <c r="F21" s="1"/>
  <c r="F36" s="1"/>
  <c r="F51" s="1"/>
  <c r="F66" s="1"/>
  <c r="F84" s="1"/>
  <c r="F97" s="1"/>
  <c r="F111" s="1"/>
  <c r="G6"/>
  <c r="G21" s="1"/>
  <c r="G36" s="1"/>
  <c r="G51" s="1"/>
  <c r="G66" s="1"/>
  <c r="G84" s="1"/>
  <c r="G97" s="1"/>
  <c r="G111" s="1"/>
  <c r="H6"/>
  <c r="H21" s="1"/>
  <c r="H36" s="1"/>
  <c r="H51" s="1"/>
  <c r="H66" s="1"/>
  <c r="H84" s="1"/>
  <c r="H97" s="1"/>
  <c r="H111" s="1"/>
  <c r="C6"/>
  <c r="C21" s="1"/>
  <c r="C36" s="1"/>
  <c r="C51" s="1"/>
  <c r="C66" s="1"/>
  <c r="C84" s="1"/>
  <c r="C97" s="1"/>
  <c r="C111" s="1"/>
  <c r="C5"/>
  <c r="C20" s="1"/>
  <c r="C35" s="1"/>
  <c r="C50" s="1"/>
  <c r="C65" s="1"/>
  <c r="C83" s="1"/>
  <c r="C96" s="1"/>
  <c r="C110" s="1"/>
  <c r="D91"/>
  <c r="E91"/>
  <c r="F91"/>
  <c r="G91"/>
  <c r="H91"/>
  <c r="C91"/>
  <c r="B73"/>
  <c r="B58"/>
  <c r="B43"/>
  <c r="B28"/>
  <c r="B13"/>
  <c r="D29" i="3"/>
  <c r="D10" s="1"/>
  <c r="E29"/>
  <c r="F29"/>
  <c r="G29"/>
  <c r="G39" s="1"/>
  <c r="G58" s="1"/>
  <c r="G66" s="1"/>
  <c r="H29"/>
  <c r="H39" s="1"/>
  <c r="H58" s="1"/>
  <c r="H66" s="1"/>
  <c r="I29"/>
  <c r="I39" s="1"/>
  <c r="I58" s="1"/>
  <c r="I66" s="1"/>
  <c r="D30"/>
  <c r="D40" s="1"/>
  <c r="D59" s="1"/>
  <c r="D67" s="1"/>
  <c r="E30"/>
  <c r="E40" s="1"/>
  <c r="E59" s="1"/>
  <c r="E67" s="1"/>
  <c r="F30"/>
  <c r="F40" s="1"/>
  <c r="F59" s="1"/>
  <c r="F67" s="1"/>
  <c r="G30"/>
  <c r="G40" s="1"/>
  <c r="G59" s="1"/>
  <c r="G67" s="1"/>
  <c r="H30"/>
  <c r="H40" s="1"/>
  <c r="H59" s="1"/>
  <c r="H67" s="1"/>
  <c r="I30"/>
  <c r="I40" s="1"/>
  <c r="I59" s="1"/>
  <c r="I67" s="1"/>
  <c r="C30"/>
  <c r="C40" s="1"/>
  <c r="C59" s="1"/>
  <c r="C67" s="1"/>
  <c r="C29"/>
  <c r="C39" s="1"/>
  <c r="C58" s="1"/>
  <c r="C66" s="1"/>
  <c r="G10"/>
  <c r="J39"/>
  <c r="H10" i="2"/>
  <c r="I10"/>
  <c r="I16" s="1"/>
  <c r="J10"/>
  <c r="J16" s="1"/>
  <c r="E145"/>
  <c r="D45" i="3" s="1"/>
  <c r="F145" i="2"/>
  <c r="E45" i="3" s="1"/>
  <c r="G145" i="2"/>
  <c r="F45" i="3" s="1"/>
  <c r="H145" i="2"/>
  <c r="G45" i="3" s="1"/>
  <c r="I145" i="2"/>
  <c r="H45" i="3" s="1"/>
  <c r="J145" i="2"/>
  <c r="E129"/>
  <c r="D44" i="3"/>
  <c r="F129" i="2"/>
  <c r="E44" i="3"/>
  <c r="G129" i="2"/>
  <c r="F44" i="3" s="1"/>
  <c r="H129" i="2"/>
  <c r="G44" i="3" s="1"/>
  <c r="I129" i="2"/>
  <c r="H44" i="3" s="1"/>
  <c r="J129" i="2"/>
  <c r="I44" i="3" s="1"/>
  <c r="E122" i="2"/>
  <c r="D43" i="3" s="1"/>
  <c r="F122" i="2"/>
  <c r="E43" i="3" s="1"/>
  <c r="G122" i="2"/>
  <c r="F43" i="3" s="1"/>
  <c r="H122" i="2"/>
  <c r="G43" i="3" s="1"/>
  <c r="I122" i="2"/>
  <c r="H43" i="3" s="1"/>
  <c r="J122" i="2"/>
  <c r="I43" i="3" s="1"/>
  <c r="E113" i="2"/>
  <c r="D42" i="3" s="1"/>
  <c r="F113" i="2"/>
  <c r="E42" i="3" s="1"/>
  <c r="G113" i="2"/>
  <c r="F42" i="3" s="1"/>
  <c r="H113" i="2"/>
  <c r="G42" i="3" s="1"/>
  <c r="I113" i="2"/>
  <c r="H42" i="3" s="1"/>
  <c r="J113" i="2"/>
  <c r="I42" i="3" s="1"/>
  <c r="K142" i="2"/>
  <c r="K140"/>
  <c r="K138"/>
  <c r="K136"/>
  <c r="K134"/>
  <c r="K132"/>
  <c r="K126"/>
  <c r="K129" s="1"/>
  <c r="K119"/>
  <c r="K116"/>
  <c r="K110"/>
  <c r="K113" s="1"/>
  <c r="E107"/>
  <c r="D41" i="3" s="1"/>
  <c r="D46" s="1"/>
  <c r="F107" i="2"/>
  <c r="G107"/>
  <c r="H107"/>
  <c r="G41" i="3" s="1"/>
  <c r="G46" s="1"/>
  <c r="Q33" i="7" s="1"/>
  <c r="I107" i="2"/>
  <c r="J107"/>
  <c r="I41" i="3"/>
  <c r="K105" i="2"/>
  <c r="K107" s="1"/>
  <c r="E103"/>
  <c r="F103"/>
  <c r="G103"/>
  <c r="H103"/>
  <c r="I103"/>
  <c r="J103"/>
  <c r="I104"/>
  <c r="J104"/>
  <c r="D104"/>
  <c r="D103"/>
  <c r="E97"/>
  <c r="F97"/>
  <c r="G97"/>
  <c r="H97"/>
  <c r="I97"/>
  <c r="J97"/>
  <c r="K95"/>
  <c r="K93"/>
  <c r="K91"/>
  <c r="K89"/>
  <c r="K87"/>
  <c r="K85"/>
  <c r="E83"/>
  <c r="F83"/>
  <c r="G83"/>
  <c r="H83"/>
  <c r="I83"/>
  <c r="J83"/>
  <c r="I84"/>
  <c r="J84"/>
  <c r="D84"/>
  <c r="D83"/>
  <c r="E80"/>
  <c r="F80"/>
  <c r="G80"/>
  <c r="H80"/>
  <c r="I80"/>
  <c r="J80"/>
  <c r="K78"/>
  <c r="K80"/>
  <c r="E76"/>
  <c r="F76"/>
  <c r="G76"/>
  <c r="H76"/>
  <c r="I76"/>
  <c r="J76"/>
  <c r="I77"/>
  <c r="J77"/>
  <c r="D77"/>
  <c r="D76"/>
  <c r="E73"/>
  <c r="F73"/>
  <c r="G73"/>
  <c r="H73"/>
  <c r="I73"/>
  <c r="J73"/>
  <c r="D73"/>
  <c r="K71"/>
  <c r="K69"/>
  <c r="K67"/>
  <c r="E65"/>
  <c r="F65"/>
  <c r="G65"/>
  <c r="H65"/>
  <c r="I65"/>
  <c r="J65"/>
  <c r="I66"/>
  <c r="J66"/>
  <c r="D66"/>
  <c r="D65"/>
  <c r="E62"/>
  <c r="F62"/>
  <c r="G62"/>
  <c r="H62"/>
  <c r="I62"/>
  <c r="J62"/>
  <c r="K59"/>
  <c r="K56"/>
  <c r="K53"/>
  <c r="E51"/>
  <c r="F51"/>
  <c r="G51"/>
  <c r="H51"/>
  <c r="I51"/>
  <c r="J51"/>
  <c r="I52"/>
  <c r="J52"/>
  <c r="D52"/>
  <c r="D51"/>
  <c r="J48"/>
  <c r="K45"/>
  <c r="K43"/>
  <c r="K41"/>
  <c r="K39"/>
  <c r="K32"/>
  <c r="K30"/>
  <c r="K28"/>
  <c r="K26"/>
  <c r="K23"/>
  <c r="K21"/>
  <c r="E19"/>
  <c r="E37"/>
  <c r="F19"/>
  <c r="F37"/>
  <c r="G19"/>
  <c r="G37"/>
  <c r="H19"/>
  <c r="H37"/>
  <c r="I19"/>
  <c r="I37"/>
  <c r="J19"/>
  <c r="J37"/>
  <c r="I20"/>
  <c r="I38"/>
  <c r="J20"/>
  <c r="J38"/>
  <c r="D20"/>
  <c r="D38"/>
  <c r="D19"/>
  <c r="D37"/>
  <c r="K14"/>
  <c r="H16"/>
  <c r="C16" i="3"/>
  <c r="C24" i="7"/>
  <c r="E48" i="2"/>
  <c r="D48"/>
  <c r="G48"/>
  <c r="H48"/>
  <c r="I48"/>
  <c r="D80"/>
  <c r="D97"/>
  <c r="D107"/>
  <c r="C41" i="3" s="1"/>
  <c r="D113" i="2"/>
  <c r="C42" i="3" s="1"/>
  <c r="J42" s="1"/>
  <c r="D122" i="2"/>
  <c r="C43" i="3" s="1"/>
  <c r="J43" s="1"/>
  <c r="D129" i="2"/>
  <c r="D145"/>
  <c r="C45" i="3"/>
  <c r="B53" i="7"/>
  <c r="C16" i="9"/>
  <c r="C31"/>
  <c r="C46"/>
  <c r="C61"/>
  <c r="C76"/>
  <c r="D62" i="2"/>
  <c r="F48"/>
  <c r="F99" s="1"/>
  <c r="I10" i="3"/>
  <c r="F10"/>
  <c r="F39"/>
  <c r="F58" s="1"/>
  <c r="F66" s="1"/>
  <c r="F41"/>
  <c r="E39"/>
  <c r="E58" s="1"/>
  <c r="E66" s="1"/>
  <c r="E10"/>
  <c r="F16" i="2"/>
  <c r="D21" i="3"/>
  <c r="R24" i="7"/>
  <c r="C21" i="3"/>
  <c r="H10"/>
  <c r="C44"/>
  <c r="E147" i="2"/>
  <c r="D99"/>
  <c r="E99"/>
  <c r="L24" i="7"/>
  <c r="F21" i="3"/>
  <c r="K97" i="2"/>
  <c r="D39" i="3"/>
  <c r="D58" s="1"/>
  <c r="D66" s="1"/>
  <c r="H41"/>
  <c r="H46" s="1"/>
  <c r="I147" i="2"/>
  <c r="F147"/>
  <c r="E41" i="3"/>
  <c r="I45"/>
  <c r="D16" i="2"/>
  <c r="K16" s="1"/>
  <c r="K145"/>
  <c r="K122"/>
  <c r="H147"/>
  <c r="G47" i="3" s="1"/>
  <c r="G147" i="2"/>
  <c r="J147"/>
  <c r="K73"/>
  <c r="J99"/>
  <c r="I99"/>
  <c r="G99"/>
  <c r="K62"/>
  <c r="H99"/>
  <c r="K48"/>
  <c r="K10"/>
  <c r="H12" s="1"/>
  <c r="F12"/>
  <c r="K99"/>
  <c r="I12"/>
  <c r="O24" i="7"/>
  <c r="E21" i="3"/>
  <c r="K147" i="2" l="1"/>
  <c r="I46" i="3"/>
  <c r="W33" i="7" s="1"/>
  <c r="E46" i="3"/>
  <c r="K33" i="7" s="1"/>
  <c r="E47" i="3"/>
  <c r="F46"/>
  <c r="N33" i="7" s="1"/>
  <c r="I23" i="8"/>
  <c r="I25" s="1"/>
  <c r="I27" s="1"/>
  <c r="I33" s="1"/>
  <c r="I41" s="1"/>
  <c r="T33" i="7"/>
  <c r="T46" s="1"/>
  <c r="H47" i="3"/>
  <c r="C46"/>
  <c r="E33" i="7" s="1"/>
  <c r="J41" i="3"/>
  <c r="H33" i="7"/>
  <c r="F16" s="1"/>
  <c r="F17" s="1"/>
  <c r="G17" s="1"/>
  <c r="D47" i="3"/>
  <c r="L16" i="7"/>
  <c r="L17" s="1"/>
  <c r="M17" s="1"/>
  <c r="N46"/>
  <c r="J44" i="3"/>
  <c r="J45"/>
  <c r="J12" i="2"/>
  <c r="D50" i="3"/>
  <c r="D51" s="1"/>
  <c r="D52" s="1"/>
  <c r="D55" s="1"/>
  <c r="E12" i="2"/>
  <c r="D12"/>
  <c r="G12"/>
  <c r="D147"/>
  <c r="R16" i="7"/>
  <c r="R17" s="1"/>
  <c r="S17" s="1"/>
  <c r="Q46"/>
  <c r="O16"/>
  <c r="O17" s="1"/>
  <c r="P17" s="1"/>
  <c r="H46"/>
  <c r="F4" i="10"/>
  <c r="B5" s="1"/>
  <c r="D53" i="3"/>
  <c r="D54" s="1"/>
  <c r="I16" i="7"/>
  <c r="I17" s="1"/>
  <c r="J17" s="1"/>
  <c r="K46"/>
  <c r="E46"/>
  <c r="C16"/>
  <c r="C17" s="1"/>
  <c r="D17" s="1"/>
  <c r="C47" i="3" l="1"/>
  <c r="I47"/>
  <c r="W46" i="7"/>
  <c r="U16"/>
  <c r="U17" s="1"/>
  <c r="V17" s="1"/>
  <c r="V19" s="1"/>
  <c r="F47" i="3"/>
  <c r="F32"/>
  <c r="F24" i="9" s="1"/>
  <c r="I34" i="3"/>
  <c r="E33"/>
  <c r="E39" i="9" s="1"/>
  <c r="E101" s="1"/>
  <c r="C34" i="3"/>
  <c r="E35"/>
  <c r="E69" i="9" s="1"/>
  <c r="E115" s="1"/>
  <c r="F31" i="3"/>
  <c r="D33"/>
  <c r="D39" i="9" s="1"/>
  <c r="D101" s="1"/>
  <c r="C31" i="3"/>
  <c r="I32"/>
  <c r="E32"/>
  <c r="E24" i="9" s="1"/>
  <c r="E100" s="1"/>
  <c r="E103" s="1"/>
  <c r="E34" i="3"/>
  <c r="E54" i="9" s="1"/>
  <c r="E114" s="1"/>
  <c r="E117" s="1"/>
  <c r="D35" i="3"/>
  <c r="D69" i="9" s="1"/>
  <c r="D115" s="1"/>
  <c r="G33" i="3"/>
  <c r="G39" i="9" s="1"/>
  <c r="F33" i="3"/>
  <c r="F39" i="9" s="1"/>
  <c r="I35" i="3"/>
  <c r="H35"/>
  <c r="H69" i="9" s="1"/>
  <c r="H115" s="1"/>
  <c r="E31" i="3"/>
  <c r="C32"/>
  <c r="F35"/>
  <c r="F69" i="9" s="1"/>
  <c r="F115" s="1"/>
  <c r="G35" i="3"/>
  <c r="G69" i="9" s="1"/>
  <c r="G115" s="1"/>
  <c r="D32" i="3"/>
  <c r="D24" i="9" s="1"/>
  <c r="D100" s="1"/>
  <c r="D103" s="1"/>
  <c r="H32" i="3"/>
  <c r="H24" i="9" s="1"/>
  <c r="C35" i="3"/>
  <c r="G32"/>
  <c r="G24" i="9" s="1"/>
  <c r="C33" i="3"/>
  <c r="H34"/>
  <c r="H54" i="9" s="1"/>
  <c r="H114" s="1"/>
  <c r="H117" s="1"/>
  <c r="D34" i="3"/>
  <c r="D54" i="9" s="1"/>
  <c r="D114" s="1"/>
  <c r="I33" i="3"/>
  <c r="H31"/>
  <c r="F34"/>
  <c r="F54" i="9" s="1"/>
  <c r="F114" s="1"/>
  <c r="F117" s="1"/>
  <c r="G31" i="3"/>
  <c r="H33"/>
  <c r="H39" i="9" s="1"/>
  <c r="D31" i="3"/>
  <c r="G34"/>
  <c r="G54" i="9" s="1"/>
  <c r="G114" s="1"/>
  <c r="G117" s="1"/>
  <c r="I31" i="3"/>
  <c r="J46"/>
  <c r="V24" i="7"/>
  <c r="V29" s="1"/>
  <c r="V23"/>
  <c r="E5" i="10"/>
  <c r="F5" s="1"/>
  <c r="B6" s="1"/>
  <c r="I36" i="3" l="1"/>
  <c r="I37" s="1"/>
  <c r="D117" i="9"/>
  <c r="D9"/>
  <c r="D87" s="1"/>
  <c r="D89" s="1"/>
  <c r="D36" i="3"/>
  <c r="D37" s="1"/>
  <c r="G36"/>
  <c r="G37" s="1"/>
  <c r="G9" i="9"/>
  <c r="G87" s="1"/>
  <c r="G89" s="1"/>
  <c r="H9"/>
  <c r="H87" s="1"/>
  <c r="H89" s="1"/>
  <c r="H36" i="3"/>
  <c r="H37" s="1"/>
  <c r="C39" i="9"/>
  <c r="J33" i="3"/>
  <c r="E52" s="1"/>
  <c r="C52" s="1"/>
  <c r="C69" i="9"/>
  <c r="J35" i="3"/>
  <c r="E54" s="1"/>
  <c r="C54" s="1"/>
  <c r="E36"/>
  <c r="E37" s="1"/>
  <c r="E9" i="9"/>
  <c r="E87" s="1"/>
  <c r="E89" s="1"/>
  <c r="E55" i="3"/>
  <c r="C55" s="1"/>
  <c r="J47"/>
  <c r="J32"/>
  <c r="E51" s="1"/>
  <c r="C51" s="1"/>
  <c r="C24" i="9"/>
  <c r="C9"/>
  <c r="J31" i="3"/>
  <c r="C36"/>
  <c r="C37" s="1"/>
  <c r="F9" i="9"/>
  <c r="F87" s="1"/>
  <c r="F89" s="1"/>
  <c r="F36" i="3"/>
  <c r="F37" s="1"/>
  <c r="C54" i="9"/>
  <c r="J34" i="3"/>
  <c r="E53" s="1"/>
  <c r="C53" s="1"/>
  <c r="E6" i="10"/>
  <c r="F6" s="1"/>
  <c r="B7" s="1"/>
  <c r="V28" i="7"/>
  <c r="V25"/>
  <c r="C55" i="9" l="1"/>
  <c r="C114"/>
  <c r="C58"/>
  <c r="E50" i="3"/>
  <c r="J36"/>
  <c r="J37" s="1"/>
  <c r="C100" i="9"/>
  <c r="C25"/>
  <c r="C115"/>
  <c r="C117" s="1"/>
  <c r="C118" s="1"/>
  <c r="C121" s="1"/>
  <c r="C12" i="8" s="1"/>
  <c r="C70" i="9"/>
  <c r="C40"/>
  <c r="C101"/>
  <c r="C43"/>
  <c r="C10"/>
  <c r="C87"/>
  <c r="C13"/>
  <c r="E7" i="10"/>
  <c r="F7" s="1"/>
  <c r="B8" s="1"/>
  <c r="W48" i="7"/>
  <c r="V30"/>
  <c r="W30" s="1"/>
  <c r="W43" s="1"/>
  <c r="C89" i="9" l="1"/>
  <c r="C90" s="1"/>
  <c r="C93" s="1"/>
  <c r="C10" i="8" s="1"/>
  <c r="C88" i="9"/>
  <c r="C73"/>
  <c r="D68"/>
  <c r="D70" s="1"/>
  <c r="E68" s="1"/>
  <c r="E70" s="1"/>
  <c r="F68" s="1"/>
  <c r="F70" s="1"/>
  <c r="G68" s="1"/>
  <c r="G70" s="1"/>
  <c r="C28"/>
  <c r="D23"/>
  <c r="D25" s="1"/>
  <c r="E23" s="1"/>
  <c r="E25" s="1"/>
  <c r="D39" i="7"/>
  <c r="C59" i="9"/>
  <c r="D57" s="1"/>
  <c r="D53"/>
  <c r="D55" s="1"/>
  <c r="E53" s="1"/>
  <c r="E55" s="1"/>
  <c r="F53" s="1"/>
  <c r="F55" s="1"/>
  <c r="G53" s="1"/>
  <c r="G55" s="1"/>
  <c r="D36" i="7"/>
  <c r="C14" i="9"/>
  <c r="D12" s="1"/>
  <c r="D8"/>
  <c r="D10" s="1"/>
  <c r="C44"/>
  <c r="D42" s="1"/>
  <c r="D38" i="7"/>
  <c r="D38" i="9"/>
  <c r="D40" s="1"/>
  <c r="C102"/>
  <c r="C103"/>
  <c r="C104" s="1"/>
  <c r="C107" s="1"/>
  <c r="C11" i="8" s="1"/>
  <c r="C50" i="3"/>
  <c r="C56" s="1"/>
  <c r="E56"/>
  <c r="C116" i="9"/>
  <c r="C122" s="1"/>
  <c r="D113" s="1"/>
  <c r="W53" i="7"/>
  <c r="W49"/>
  <c r="I8" i="8" s="1"/>
  <c r="I13" s="1"/>
  <c r="I15" s="1"/>
  <c r="I32" s="1"/>
  <c r="E8" i="10"/>
  <c r="F8" s="1"/>
  <c r="B9" s="1"/>
  <c r="F23" i="9"/>
  <c r="F25" s="1"/>
  <c r="H53"/>
  <c r="H55" s="1"/>
  <c r="D58" l="1"/>
  <c r="I34" i="8"/>
  <c r="I40"/>
  <c r="I42" s="1"/>
  <c r="W51" i="7" s="1"/>
  <c r="W54" s="1"/>
  <c r="W55" s="1"/>
  <c r="C62" i="9"/>
  <c r="C21" i="8" s="1"/>
  <c r="C47" i="9"/>
  <c r="C20" i="8" s="1"/>
  <c r="C17" i="9"/>
  <c r="C18" i="8" s="1"/>
  <c r="D116" i="9"/>
  <c r="D118"/>
  <c r="D121" s="1"/>
  <c r="D12" i="8" s="1"/>
  <c r="E38" i="9"/>
  <c r="E40" s="1"/>
  <c r="D43"/>
  <c r="G38" i="7" s="1"/>
  <c r="D13" i="9"/>
  <c r="G36" i="7" s="1"/>
  <c r="E8" i="9"/>
  <c r="E10" s="1"/>
  <c r="D40" i="7"/>
  <c r="C74" i="9"/>
  <c r="C108"/>
  <c r="D99" s="1"/>
  <c r="F52" i="3"/>
  <c r="F50"/>
  <c r="F55"/>
  <c r="F54"/>
  <c r="F53"/>
  <c r="F51"/>
  <c r="D16" i="9"/>
  <c r="D37" i="7"/>
  <c r="C29" i="9"/>
  <c r="C94"/>
  <c r="D86"/>
  <c r="E9" i="10"/>
  <c r="F9" s="1"/>
  <c r="B10" s="1"/>
  <c r="G23" i="9"/>
  <c r="G25" s="1"/>
  <c r="H68"/>
  <c r="H70" s="1"/>
  <c r="C63" l="1"/>
  <c r="C11" i="7" s="1"/>
  <c r="G39"/>
  <c r="D59" i="9"/>
  <c r="C18"/>
  <c r="C8" i="7" s="1"/>
  <c r="D14" i="9"/>
  <c r="E12" s="1"/>
  <c r="E41" i="7"/>
  <c r="E47" s="1"/>
  <c r="C9" i="8" s="1"/>
  <c r="C48" i="9"/>
  <c r="C10" i="7" s="1"/>
  <c r="D61" i="9"/>
  <c r="D44"/>
  <c r="E42" s="1"/>
  <c r="E43" s="1"/>
  <c r="J38" i="7" s="1"/>
  <c r="D46" i="9"/>
  <c r="E13"/>
  <c r="J36" i="7" s="1"/>
  <c r="D88" i="9"/>
  <c r="D90"/>
  <c r="D93" s="1"/>
  <c r="D10" i="8" s="1"/>
  <c r="D27" i="9"/>
  <c r="C32"/>
  <c r="D72"/>
  <c r="C77"/>
  <c r="F38"/>
  <c r="F40" s="1"/>
  <c r="D17"/>
  <c r="D122"/>
  <c r="E113" s="1"/>
  <c r="D104"/>
  <c r="D107" s="1"/>
  <c r="D11" i="8" s="1"/>
  <c r="D102" i="9"/>
  <c r="F8"/>
  <c r="F10" s="1"/>
  <c r="G8" s="1"/>
  <c r="G10" s="1"/>
  <c r="H8" s="1"/>
  <c r="H10" s="1"/>
  <c r="F56" i="3"/>
  <c r="E10" i="10"/>
  <c r="F10" s="1"/>
  <c r="B11" s="1"/>
  <c r="H23" i="9"/>
  <c r="H25" s="1"/>
  <c r="E57" l="1"/>
  <c r="E58" s="1"/>
  <c r="J39" i="7" s="1"/>
  <c r="D62" i="9"/>
  <c r="D47"/>
  <c r="E46" s="1"/>
  <c r="E14"/>
  <c r="F12" s="1"/>
  <c r="F13" s="1"/>
  <c r="E44"/>
  <c r="F42" s="1"/>
  <c r="F43" s="1"/>
  <c r="M38" i="7" s="1"/>
  <c r="E17" i="9"/>
  <c r="F16" s="1"/>
  <c r="D108"/>
  <c r="E99" s="1"/>
  <c r="G38"/>
  <c r="G40" s="1"/>
  <c r="H38" s="1"/>
  <c r="H40" s="1"/>
  <c r="D73"/>
  <c r="G40" i="7" s="1"/>
  <c r="D28" i="9"/>
  <c r="G37" i="7" s="1"/>
  <c r="E86" i="9"/>
  <c r="D94"/>
  <c r="E118"/>
  <c r="E121" s="1"/>
  <c r="E12" i="8" s="1"/>
  <c r="E116" i="9"/>
  <c r="D18" i="8"/>
  <c r="E16" i="9"/>
  <c r="D18"/>
  <c r="F8" i="7" s="1"/>
  <c r="C78" i="9"/>
  <c r="C12" i="7" s="1"/>
  <c r="D76" i="9"/>
  <c r="C22" i="8"/>
  <c r="D31" i="9"/>
  <c r="C33"/>
  <c r="C9" i="7" s="1"/>
  <c r="C19" i="8"/>
  <c r="C23" s="1"/>
  <c r="C25" s="1"/>
  <c r="C27" s="1"/>
  <c r="C33" s="1"/>
  <c r="C41" s="1"/>
  <c r="E11" i="10"/>
  <c r="F11" s="1"/>
  <c r="B12" s="1"/>
  <c r="E59" i="9"/>
  <c r="C13" i="7" l="1"/>
  <c r="D13" s="1"/>
  <c r="D19" s="1"/>
  <c r="D24" s="1"/>
  <c r="D29" s="1"/>
  <c r="D48" i="9"/>
  <c r="F10" i="7" s="1"/>
  <c r="D20" i="8"/>
  <c r="D21"/>
  <c r="E61" i="9"/>
  <c r="D63"/>
  <c r="F11" i="7" s="1"/>
  <c r="H41"/>
  <c r="H47" s="1"/>
  <c r="D9" i="8" s="1"/>
  <c r="E47" i="9"/>
  <c r="E20" i="8" s="1"/>
  <c r="D29" i="9"/>
  <c r="E27" s="1"/>
  <c r="D74"/>
  <c r="D77" s="1"/>
  <c r="E18" i="8"/>
  <c r="E104" i="9"/>
  <c r="E107" s="1"/>
  <c r="E11" i="8" s="1"/>
  <c r="E102" i="9"/>
  <c r="E18"/>
  <c r="I8" i="7" s="1"/>
  <c r="F44" i="9"/>
  <c r="G42" s="1"/>
  <c r="G43" s="1"/>
  <c r="P38" i="7" s="1"/>
  <c r="M36"/>
  <c r="F14" i="9"/>
  <c r="E88"/>
  <c r="E90"/>
  <c r="E93" s="1"/>
  <c r="E10" i="8" s="1"/>
  <c r="E122" i="9"/>
  <c r="F113" s="1"/>
  <c r="E12" i="10"/>
  <c r="F12" s="1"/>
  <c r="B13" s="1"/>
  <c r="F57" i="9"/>
  <c r="E62"/>
  <c r="D32" l="1"/>
  <c r="E31" s="1"/>
  <c r="D23" i="7"/>
  <c r="D28" s="1"/>
  <c r="E72" i="9"/>
  <c r="E73" s="1"/>
  <c r="J40" i="7" s="1"/>
  <c r="E48" i="9"/>
  <c r="I10" i="7" s="1"/>
  <c r="F46" i="9"/>
  <c r="F47"/>
  <c r="E108"/>
  <c r="D25" i="7"/>
  <c r="G12" i="9"/>
  <c r="G13" s="1"/>
  <c r="P36" i="7" s="1"/>
  <c r="F17" i="9"/>
  <c r="G44"/>
  <c r="D78"/>
  <c r="F12" i="7" s="1"/>
  <c r="E76" i="9"/>
  <c r="D22" i="8"/>
  <c r="E28" i="9"/>
  <c r="J37" i="7" s="1"/>
  <c r="F118" i="9"/>
  <c r="F121" s="1"/>
  <c r="F12" i="8" s="1"/>
  <c r="F116" i="9"/>
  <c r="F86"/>
  <c r="E94"/>
  <c r="E13" i="10"/>
  <c r="F13" s="1"/>
  <c r="B14" s="1"/>
  <c r="F58" i="9"/>
  <c r="M39" i="7" s="1"/>
  <c r="E21" i="8"/>
  <c r="E63" i="9"/>
  <c r="I11" i="7" s="1"/>
  <c r="F61" i="9"/>
  <c r="G14"/>
  <c r="D33" l="1"/>
  <c r="F9" i="7" s="1"/>
  <c r="F13" s="1"/>
  <c r="G13" s="1"/>
  <c r="G19" s="1"/>
  <c r="D19" i="8"/>
  <c r="D23" s="1"/>
  <c r="D25" s="1"/>
  <c r="D27" s="1"/>
  <c r="D33" s="1"/>
  <c r="D41" s="1"/>
  <c r="F48" i="9"/>
  <c r="L10" i="7" s="1"/>
  <c r="G46" i="9"/>
  <c r="F20" i="8"/>
  <c r="F11"/>
  <c r="K41" i="7"/>
  <c r="K47" s="1"/>
  <c r="E9" i="8" s="1"/>
  <c r="F122" i="9"/>
  <c r="G113" s="1"/>
  <c r="G116" s="1"/>
  <c r="E29"/>
  <c r="F27" s="1"/>
  <c r="F90"/>
  <c r="F93" s="1"/>
  <c r="F10" i="8" s="1"/>
  <c r="F88" i="9"/>
  <c r="F18" i="8"/>
  <c r="F18" i="9"/>
  <c r="L8" i="7" s="1"/>
  <c r="G16" i="9"/>
  <c r="E74"/>
  <c r="G118"/>
  <c r="G121" s="1"/>
  <c r="G12" i="8" s="1"/>
  <c r="E32" i="9"/>
  <c r="H42"/>
  <c r="G47"/>
  <c r="D30" i="7"/>
  <c r="E30" s="1"/>
  <c r="E43" s="1"/>
  <c r="E48"/>
  <c r="E14" i="10"/>
  <c r="F14" s="1"/>
  <c r="B15" s="1"/>
  <c r="H12" i="9"/>
  <c r="G17"/>
  <c r="F59"/>
  <c r="G122" l="1"/>
  <c r="H113" s="1"/>
  <c r="H118" s="1"/>
  <c r="H121" s="1"/>
  <c r="H12" i="8" s="1"/>
  <c r="G11"/>
  <c r="G23" i="7"/>
  <c r="G24"/>
  <c r="G29" s="1"/>
  <c r="E49"/>
  <c r="C8" i="8" s="1"/>
  <c r="C13" s="1"/>
  <c r="C15" s="1"/>
  <c r="C32" s="1"/>
  <c r="E53" i="7"/>
  <c r="H43" i="9"/>
  <c r="S38" i="7" s="1"/>
  <c r="F28" i="9"/>
  <c r="M37" i="7" s="1"/>
  <c r="H46" i="9"/>
  <c r="G20" i="8"/>
  <c r="G48" i="9"/>
  <c r="O10" i="7" s="1"/>
  <c r="E19" i="8"/>
  <c r="E23" s="1"/>
  <c r="E25" s="1"/>
  <c r="E27" s="1"/>
  <c r="E33" s="1"/>
  <c r="E41" s="1"/>
  <c r="F31" i="9"/>
  <c r="E33"/>
  <c r="I9" i="7" s="1"/>
  <c r="F72" i="9"/>
  <c r="E77"/>
  <c r="G86"/>
  <c r="F94"/>
  <c r="E15" i="10"/>
  <c r="F15" s="1"/>
  <c r="B16" s="1"/>
  <c r="G57" i="9"/>
  <c r="F62"/>
  <c r="H13"/>
  <c r="S36" i="7" s="1"/>
  <c r="H16" i="9"/>
  <c r="G18"/>
  <c r="O8" i="7" s="1"/>
  <c r="G18" i="8"/>
  <c r="H116" i="9" l="1"/>
  <c r="H122" s="1"/>
  <c r="F29"/>
  <c r="G27" s="1"/>
  <c r="H44"/>
  <c r="H47" s="1"/>
  <c r="H20" i="8" s="1"/>
  <c r="E22"/>
  <c r="E78" i="9"/>
  <c r="I12" i="7" s="1"/>
  <c r="I13" s="1"/>
  <c r="J13" s="1"/>
  <c r="J19" s="1"/>
  <c r="F76" i="9"/>
  <c r="C40" i="8"/>
  <c r="C42" s="1"/>
  <c r="E51" i="7" s="1"/>
  <c r="E54" s="1"/>
  <c r="E55" s="1"/>
  <c r="C5" i="11" s="1"/>
  <c r="C34" i="8"/>
  <c r="G28" i="7"/>
  <c r="G25"/>
  <c r="G88" i="9"/>
  <c r="G90"/>
  <c r="G93" s="1"/>
  <c r="G10" i="8" s="1"/>
  <c r="F73" i="9"/>
  <c r="M40" i="7" s="1"/>
  <c r="N41" s="1"/>
  <c r="N47" s="1"/>
  <c r="F9" i="8" s="1"/>
  <c r="E16" i="10"/>
  <c r="F16" s="1"/>
  <c r="B17" s="1"/>
  <c r="G58" i="9"/>
  <c r="P39" i="7" s="1"/>
  <c r="G61" i="9"/>
  <c r="F21" i="8"/>
  <c r="F63" i="9"/>
  <c r="L11" i="7" s="1"/>
  <c r="H14" i="9"/>
  <c r="H17" s="1"/>
  <c r="H48" l="1"/>
  <c r="R10" i="7" s="1"/>
  <c r="F32" i="9"/>
  <c r="F33" s="1"/>
  <c r="L9" i="7" s="1"/>
  <c r="H11" i="8"/>
  <c r="F74" i="9"/>
  <c r="G72" s="1"/>
  <c r="J23" i="7"/>
  <c r="J24"/>
  <c r="J29" s="1"/>
  <c r="G28" i="9"/>
  <c r="P37" i="7" s="1"/>
  <c r="G94" i="9"/>
  <c r="H86"/>
  <c r="G30" i="7"/>
  <c r="H30" s="1"/>
  <c r="H43" s="1"/>
  <c r="H48"/>
  <c r="E17" i="10"/>
  <c r="F17" s="1"/>
  <c r="B18" s="1"/>
  <c r="H18" i="9"/>
  <c r="R8" i="7" s="1"/>
  <c r="H18" i="8"/>
  <c r="G59" i="9"/>
  <c r="G31" l="1"/>
  <c r="F19" i="8"/>
  <c r="F23" s="1"/>
  <c r="F25" s="1"/>
  <c r="F27" s="1"/>
  <c r="F33" s="1"/>
  <c r="F41" s="1"/>
  <c r="F77" i="9"/>
  <c r="F22" i="8" s="1"/>
  <c r="H53" i="7"/>
  <c r="H49"/>
  <c r="D8" i="8" s="1"/>
  <c r="D13" s="1"/>
  <c r="D15" s="1"/>
  <c r="D32" s="1"/>
  <c r="H88" i="9"/>
  <c r="H90"/>
  <c r="H93" s="1"/>
  <c r="H10" i="8" s="1"/>
  <c r="G73" i="9"/>
  <c r="P40" i="7" s="1"/>
  <c r="Q41" s="1"/>
  <c r="Q47" s="1"/>
  <c r="G9" i="8" s="1"/>
  <c r="J25" i="7"/>
  <c r="J28"/>
  <c r="G29" i="9"/>
  <c r="E18" i="10"/>
  <c r="F18" s="1"/>
  <c r="B19" s="1"/>
  <c r="H57" i="9"/>
  <c r="G62"/>
  <c r="F78" l="1"/>
  <c r="L12" i="7" s="1"/>
  <c r="L13" s="1"/>
  <c r="M13" s="1"/>
  <c r="M19" s="1"/>
  <c r="M24" s="1"/>
  <c r="M29" s="1"/>
  <c r="G76" i="9"/>
  <c r="G74"/>
  <c r="G77" s="1"/>
  <c r="M23" i="7"/>
  <c r="K48"/>
  <c r="J30"/>
  <c r="K30" s="1"/>
  <c r="K43" s="1"/>
  <c r="H27" i="9"/>
  <c r="G32"/>
  <c r="H94"/>
  <c r="H72"/>
  <c r="D40" i="8"/>
  <c r="D42" s="1"/>
  <c r="H51" i="7" s="1"/>
  <c r="H54" s="1"/>
  <c r="H55" s="1"/>
  <c r="C6" i="11" s="1"/>
  <c r="D34" i="8"/>
  <c r="E19" i="10"/>
  <c r="F19"/>
  <c r="B20" s="1"/>
  <c r="H58" i="9"/>
  <c r="S39" i="7" s="1"/>
  <c r="H61" i="9"/>
  <c r="G63"/>
  <c r="O11" i="7" s="1"/>
  <c r="G21" i="8"/>
  <c r="H73" i="9" l="1"/>
  <c r="S40" i="7" s="1"/>
  <c r="H28" i="9"/>
  <c r="S37" i="7" s="1"/>
  <c r="H76" i="9"/>
  <c r="G22" i="8"/>
  <c r="G78" i="9"/>
  <c r="O12" i="7" s="1"/>
  <c r="H31" i="9"/>
  <c r="G19" i="8"/>
  <c r="G23" s="1"/>
  <c r="G25" s="1"/>
  <c r="G27" s="1"/>
  <c r="G33" s="1"/>
  <c r="G41" s="1"/>
  <c r="G33" i="9"/>
  <c r="O9" i="7" s="1"/>
  <c r="K49"/>
  <c r="E8" i="8" s="1"/>
  <c r="E13" s="1"/>
  <c r="E15" s="1"/>
  <c r="E32" s="1"/>
  <c r="K53" i="7"/>
  <c r="M25"/>
  <c r="M28"/>
  <c r="E20" i="10"/>
  <c r="F20" s="1"/>
  <c r="B21" s="1"/>
  <c r="H59" i="9"/>
  <c r="H62" s="1"/>
  <c r="T41" i="7" l="1"/>
  <c r="T47" s="1"/>
  <c r="H9" i="8" s="1"/>
  <c r="H74" i="9"/>
  <c r="H77" s="1"/>
  <c r="H22" i="8" s="1"/>
  <c r="H29" i="9"/>
  <c r="H32" s="1"/>
  <c r="H19" i="8" s="1"/>
  <c r="H23" s="1"/>
  <c r="H25" s="1"/>
  <c r="H27" s="1"/>
  <c r="H33" s="1"/>
  <c r="O13" i="7"/>
  <c r="P13" s="1"/>
  <c r="P19" s="1"/>
  <c r="P24" s="1"/>
  <c r="E40" i="8"/>
  <c r="E42" s="1"/>
  <c r="K51" i="7" s="1"/>
  <c r="K54" s="1"/>
  <c r="K55" s="1"/>
  <c r="C7" i="11" s="1"/>
  <c r="E34" i="8"/>
  <c r="M30" i="7"/>
  <c r="N30" s="1"/>
  <c r="N43" s="1"/>
  <c r="N48"/>
  <c r="E21" i="10"/>
  <c r="F21" s="1"/>
  <c r="B22" s="1"/>
  <c r="H63" i="9"/>
  <c r="R11" i="7" s="1"/>
  <c r="H21" i="8"/>
  <c r="H78" i="9" l="1"/>
  <c r="R12" i="7" s="1"/>
  <c r="P23"/>
  <c r="P28" s="1"/>
  <c r="Q48" s="1"/>
  <c r="H33" i="9"/>
  <c r="R9" i="7" s="1"/>
  <c r="R13" s="1"/>
  <c r="S13" s="1"/>
  <c r="S19" s="1"/>
  <c r="S24" s="1"/>
  <c r="S29" s="1"/>
  <c r="P29"/>
  <c r="H41" i="8"/>
  <c r="N49" i="7"/>
  <c r="F8" i="8" s="1"/>
  <c r="F13" s="1"/>
  <c r="F15" s="1"/>
  <c r="F32" s="1"/>
  <c r="N53" i="7"/>
  <c r="E22" i="10"/>
  <c r="F22" s="1"/>
  <c r="B23" s="1"/>
  <c r="P30" i="7" l="1"/>
  <c r="Q30" s="1"/>
  <c r="Q43" s="1"/>
  <c r="Q53" s="1"/>
  <c r="P25"/>
  <c r="S23"/>
  <c r="S25" s="1"/>
  <c r="F40" i="8"/>
  <c r="F42" s="1"/>
  <c r="N51" i="7" s="1"/>
  <c r="N54" s="1"/>
  <c r="N55" s="1"/>
  <c r="C8" i="11" s="1"/>
  <c r="F34" i="8"/>
  <c r="E23" i="10"/>
  <c r="F23" s="1"/>
  <c r="B24" s="1"/>
  <c r="Q49" i="7"/>
  <c r="G8" i="8" s="1"/>
  <c r="G13" s="1"/>
  <c r="G15" s="1"/>
  <c r="G32" s="1"/>
  <c r="S28" i="7" l="1"/>
  <c r="S30" s="1"/>
  <c r="T30" s="1"/>
  <c r="T43" s="1"/>
  <c r="E24" i="10"/>
  <c r="F24" s="1"/>
  <c r="B25" s="1"/>
  <c r="T48" i="7"/>
  <c r="G40" i="8"/>
  <c r="G42" s="1"/>
  <c r="Q51" i="7" s="1"/>
  <c r="Q54" s="1"/>
  <c r="Q55" s="1"/>
  <c r="C9" i="11" s="1"/>
  <c r="G34" i="8"/>
  <c r="E25" i="10" l="1"/>
  <c r="F25"/>
  <c r="B26" s="1"/>
  <c r="T53" i="7"/>
  <c r="T49"/>
  <c r="H8" i="8" s="1"/>
  <c r="H13" s="1"/>
  <c r="H15" s="1"/>
  <c r="H32" s="1"/>
  <c r="H40" l="1"/>
  <c r="H42" s="1"/>
  <c r="T51" i="7" s="1"/>
  <c r="T54" s="1"/>
  <c r="T55" s="1"/>
  <c r="C10" i="11" s="1"/>
  <c r="C11" s="1"/>
  <c r="H34" i="8"/>
  <c r="E26" i="10"/>
  <c r="F26" s="1"/>
  <c r="B27" s="1"/>
  <c r="E27" l="1"/>
  <c r="F27" s="1"/>
  <c r="B28" s="1"/>
  <c r="E28" l="1"/>
  <c r="F28" s="1"/>
  <c r="B29" s="1"/>
  <c r="E29" l="1"/>
  <c r="F29"/>
  <c r="B30" s="1"/>
  <c r="E30" l="1"/>
  <c r="F30" s="1"/>
  <c r="B31" s="1"/>
  <c r="E31" l="1"/>
  <c r="F31"/>
  <c r="B32" s="1"/>
  <c r="E32" l="1"/>
  <c r="F32" s="1"/>
  <c r="B33" s="1"/>
  <c r="E33" l="1"/>
  <c r="F33" s="1"/>
  <c r="B34" s="1"/>
  <c r="E34" l="1"/>
  <c r="F34" s="1"/>
  <c r="B35" s="1"/>
  <c r="E35" l="1"/>
  <c r="F35" s="1"/>
  <c r="B36" s="1"/>
  <c r="E36" l="1"/>
  <c r="F36" s="1"/>
  <c r="B37" s="1"/>
  <c r="E37" l="1"/>
  <c r="F37" s="1"/>
  <c r="B38" s="1"/>
  <c r="E38" l="1"/>
  <c r="F38" s="1"/>
  <c r="B39" s="1"/>
  <c r="E39" l="1"/>
  <c r="F39" s="1"/>
  <c r="B40" s="1"/>
  <c r="E40" l="1"/>
  <c r="F40" s="1"/>
  <c r="B41" s="1"/>
  <c r="E41" l="1"/>
  <c r="F41"/>
  <c r="B42" s="1"/>
  <c r="E42" l="1"/>
  <c r="F42" s="1"/>
  <c r="B43" s="1"/>
  <c r="E43" l="1"/>
  <c r="F43" s="1"/>
  <c r="B44" s="1"/>
  <c r="E44" l="1"/>
  <c r="F44" s="1"/>
  <c r="B45" s="1"/>
  <c r="E45" l="1"/>
  <c r="F45"/>
  <c r="B46" s="1"/>
  <c r="E46" l="1"/>
  <c r="F46" s="1"/>
  <c r="B47" s="1"/>
  <c r="E47" l="1"/>
  <c r="F47"/>
  <c r="B48" s="1"/>
  <c r="E48" l="1"/>
  <c r="F48" s="1"/>
  <c r="B49" s="1"/>
  <c r="E49" l="1"/>
  <c r="F49"/>
  <c r="B50" s="1"/>
  <c r="E50" l="1"/>
  <c r="F50" s="1"/>
  <c r="B51" s="1"/>
  <c r="E51" l="1"/>
  <c r="F51"/>
  <c r="B52" s="1"/>
  <c r="E52" l="1"/>
  <c r="F52" s="1"/>
  <c r="B53" s="1"/>
  <c r="E53" l="1"/>
  <c r="F53"/>
  <c r="B54" s="1"/>
  <c r="E54" l="1"/>
  <c r="F54" s="1"/>
  <c r="B55" s="1"/>
  <c r="E55" l="1"/>
  <c r="F55"/>
  <c r="B56" s="1"/>
  <c r="E56" l="1"/>
  <c r="F56" s="1"/>
  <c r="B57" s="1"/>
  <c r="E57" l="1"/>
  <c r="F57"/>
  <c r="B58" s="1"/>
  <c r="E58" l="1"/>
  <c r="F58" s="1"/>
  <c r="B59" s="1"/>
  <c r="E59" l="1"/>
  <c r="F59"/>
  <c r="B60" s="1"/>
  <c r="E60" l="1"/>
  <c r="F60" s="1"/>
  <c r="B61" s="1"/>
  <c r="E61" l="1"/>
  <c r="F61"/>
  <c r="B62" s="1"/>
  <c r="E62" l="1"/>
  <c r="F62" s="1"/>
  <c r="B63" s="1"/>
  <c r="E63" l="1"/>
  <c r="F63" s="1"/>
  <c r="B64" s="1"/>
  <c r="E64" l="1"/>
  <c r="F64" s="1"/>
  <c r="B65" s="1"/>
  <c r="E65" l="1"/>
  <c r="F65" s="1"/>
  <c r="B66" s="1"/>
  <c r="E66" l="1"/>
  <c r="F66" s="1"/>
  <c r="B67" s="1"/>
  <c r="E67" l="1"/>
  <c r="F67"/>
  <c r="B68" s="1"/>
  <c r="E68" l="1"/>
  <c r="F68" s="1"/>
  <c r="B69" s="1"/>
  <c r="E69" l="1"/>
  <c r="F69"/>
  <c r="B70" s="1"/>
  <c r="E70" l="1"/>
  <c r="F70" s="1"/>
  <c r="B71" s="1"/>
  <c r="E71" l="1"/>
  <c r="F71"/>
  <c r="B72" s="1"/>
  <c r="E72" l="1"/>
  <c r="F72" s="1"/>
  <c r="B73" s="1"/>
  <c r="E73" l="1"/>
  <c r="F73" s="1"/>
  <c r="B74" s="1"/>
  <c r="E74" l="1"/>
  <c r="F74" s="1"/>
  <c r="B75" s="1"/>
  <c r="E75" l="1"/>
  <c r="F75"/>
  <c r="B76" s="1"/>
  <c r="E76" l="1"/>
  <c r="F76" s="1"/>
  <c r="B77" s="1"/>
  <c r="E77" l="1"/>
  <c r="F77"/>
  <c r="B78" s="1"/>
  <c r="E78" l="1"/>
  <c r="F78" s="1"/>
  <c r="B79" s="1"/>
  <c r="E79" l="1"/>
  <c r="F79"/>
  <c r="B80" s="1"/>
  <c r="E80" l="1"/>
  <c r="E81" s="1"/>
  <c r="C14" i="11" s="1"/>
  <c r="C16" s="1"/>
  <c r="C20" s="1"/>
  <c r="F80" i="10" l="1"/>
</calcChain>
</file>

<file path=xl/sharedStrings.xml><?xml version="1.0" encoding="utf-8"?>
<sst xmlns="http://schemas.openxmlformats.org/spreadsheetml/2006/main" count="439" uniqueCount="288">
  <si>
    <t>Name of LDC:</t>
  </si>
  <si>
    <t>Licence Number:</t>
  </si>
  <si>
    <t>Date of Submission:</t>
  </si>
  <si>
    <t>Contact Information</t>
  </si>
  <si>
    <t>Name:</t>
  </si>
  <si>
    <t>Title:</t>
  </si>
  <si>
    <t>Phone Number:</t>
  </si>
  <si>
    <t>E-Mail Address:</t>
  </si>
  <si>
    <t>Smart Meter</t>
  </si>
  <si>
    <t>Comp. Hard.</t>
  </si>
  <si>
    <t>Comp. Soft.</t>
  </si>
  <si>
    <t>Tools &amp; Equipment</t>
  </si>
  <si>
    <t>Sheet 2.  Smart Meter Capital Cost and Operational Expense Data</t>
  </si>
  <si>
    <t>Other Equipment</t>
  </si>
  <si>
    <t xml:space="preserve">Smart Meter Unit Installation Plan: </t>
  </si>
  <si>
    <t>assume calendar year installation</t>
  </si>
  <si>
    <t>Total</t>
  </si>
  <si>
    <t>Planned number of Residential smart meters to be installed</t>
  </si>
  <si>
    <t>Planned number of General Service Less Than 50 kW smart meters</t>
  </si>
  <si>
    <t>Planned number of General Service Greater Than 50 kW smart meters</t>
  </si>
  <si>
    <t>Planned Meter Installation (Residential and Less Than 50 kW only)</t>
  </si>
  <si>
    <t xml:space="preserve">Other Unit Installation Plan: </t>
  </si>
  <si>
    <t>Planned number of Collectors to be installed</t>
  </si>
  <si>
    <t>Planned number of Repeaters to be installed</t>
  </si>
  <si>
    <t>Other : Please specify</t>
  </si>
  <si>
    <t>Capital Costs</t>
  </si>
  <si>
    <t>1.1 ADVANCED METERING COMMUNICATION DEVICE (AMCD)</t>
  </si>
  <si>
    <t>Asset Type</t>
  </si>
  <si>
    <t xml:space="preserve">1.1.1 Smart Meter  </t>
  </si>
  <si>
    <t>may include new meters and modules, etc.</t>
  </si>
  <si>
    <t xml:space="preserve">1.1.2 Installation Cost </t>
  </si>
  <si>
    <t>may include socket kits plus shipping, labour, benefits, vehicle, etc.</t>
  </si>
  <si>
    <t>1.1.3a Workforce Automation Hardware</t>
  </si>
  <si>
    <t>may include fieldworker handhelds, barcode hardware, etc.</t>
  </si>
  <si>
    <t>1.1.3b Workforce Automation Software</t>
  </si>
  <si>
    <t>Total Advanced Metering Communication Device (AMCD)</t>
  </si>
  <si>
    <t>1.2 ADVANCED METERING REGIONAL COLLECTOR (AMRC) (includes LAN)</t>
  </si>
  <si>
    <t>1.2.1 Collectors</t>
  </si>
  <si>
    <t>1.2.2 Repeaters</t>
  </si>
  <si>
    <t>may include radio licence, etc.</t>
  </si>
  <si>
    <t>1.2.3 Installation</t>
  </si>
  <si>
    <t>may include meter seals and rings, collector computer hardware, etc.</t>
  </si>
  <si>
    <t>Total Advanced Metering Regional Collector (AMRC) (includes LAN)</t>
  </si>
  <si>
    <t>1.3 ADVANCED METERING CONTROL COMPUTER (AMCC)</t>
  </si>
  <si>
    <t>1.3.1 Computer Hardware</t>
  </si>
  <si>
    <t>1.3.2 Computer Software</t>
  </si>
  <si>
    <t>1.3.3 Computer Software Licence &amp; Installation (includes hardware &amp; software)</t>
  </si>
  <si>
    <t>may include AS/400 disc space, backup &amp; recovery computer, UPS, etc</t>
  </si>
  <si>
    <t>Total Advanced Metering Control Computer (AMCC)</t>
  </si>
  <si>
    <t>1.4 WIDE AREA NETWORK (WAN)</t>
  </si>
  <si>
    <t>1.4.1 Activation Fees</t>
  </si>
  <si>
    <t>Total Wide Area Network (WAN)</t>
  </si>
  <si>
    <t>1.5 OTHER AMI CAPITAL COSTS RELATED TO MINIMUM FUNCTIONALITY</t>
  </si>
  <si>
    <t>1.5.1 Customer equipment (including repair of damaged equipment)</t>
  </si>
  <si>
    <t>1.5.2 AMI Interface to CIS</t>
  </si>
  <si>
    <t>1.5.3 Professional Fees</t>
  </si>
  <si>
    <t>1.5.4 Integration</t>
  </si>
  <si>
    <t>1.5.5 Program Management</t>
  </si>
  <si>
    <t>1.5.6 Other AMI Capital</t>
  </si>
  <si>
    <t>Total Other AMI Capital Costs Related To Minimum Functionality</t>
  </si>
  <si>
    <t>Total Capital Costs</t>
  </si>
  <si>
    <t>O M &amp; A</t>
  </si>
  <si>
    <t>2.1 ADVANCED METERING COMMUNICATION DEVICE (AMCD)</t>
  </si>
  <si>
    <t>2.1.1 Maintenance</t>
  </si>
  <si>
    <t>may include meter reverification costs, etc.</t>
  </si>
  <si>
    <t>Total Incremental AMI Operation Expenses</t>
  </si>
  <si>
    <t>2.2 ADVANCED METERING REGIONAL COLLECTOR (AMRC) (includes LAN)</t>
  </si>
  <si>
    <t>2.2.1 Maintenance</t>
  </si>
  <si>
    <t>2.3 ADVANCED METERING CONTROL COMPUTER (AMCC)</t>
  </si>
  <si>
    <t>2.3.1 Hardware Maintenance</t>
  </si>
  <si>
    <t>may include server support, etc</t>
  </si>
  <si>
    <t>2.3.2 Software Maintenance</t>
  </si>
  <si>
    <t>may include maintenance support, etc.</t>
  </si>
  <si>
    <t>2.4 WIDE AREA NETWORK (WAN)</t>
  </si>
  <si>
    <t>2.4.1 WIDE AREA NETWORK (WAN)</t>
  </si>
  <si>
    <t>may include serial to Ethernet hardware, etc.</t>
  </si>
  <si>
    <t>Total Incremental Other Operation Expenses</t>
  </si>
  <si>
    <t>2.5 OTHER AMI OM&amp;A COSTS RELATED TO MINIMUM FUNCTIONALITY</t>
  </si>
  <si>
    <t>2.5.1 Business Process Redesign</t>
  </si>
  <si>
    <t>2.5.2 Customer Communication</t>
  </si>
  <si>
    <t>may include project communication. etc.</t>
  </si>
  <si>
    <t>2.5.3 Program Management</t>
  </si>
  <si>
    <t>2.5.4 Change Management</t>
  </si>
  <si>
    <t>may include training, etc.</t>
  </si>
  <si>
    <t>2.5.5 Administration Cost</t>
  </si>
  <si>
    <t>2.5.6 Other AMI Expenses</t>
  </si>
  <si>
    <t>Total 2.5 Other AMI OM&amp;A Costs Related To Minimum Functionality</t>
  </si>
  <si>
    <t>Total O M &amp; A Costs</t>
  </si>
  <si>
    <t>Sheet 3.  LDC Assumptions and Data</t>
  </si>
  <si>
    <t>Assumptions:</t>
  </si>
  <si>
    <t>1. Planned meter installations occur evenly through the year.</t>
  </si>
  <si>
    <t>2. Year assumed January to December</t>
  </si>
  <si>
    <t>3. Amortization is straight line and has half year rule applied in first year</t>
  </si>
  <si>
    <t>2006 EDR Data Information</t>
  </si>
  <si>
    <t>Weighted Average Cost of Capital</t>
  </si>
  <si>
    <t>Working Capital Allowance %</t>
  </si>
  <si>
    <t>2006 EDR Tax Rate</t>
  </si>
  <si>
    <r>
      <t>Corporate Income Tax Rate</t>
    </r>
    <r>
      <rPr>
        <sz val="10"/>
        <rFont val="Arial"/>
      </rPr>
      <t xml:space="preserve"> </t>
    </r>
  </si>
  <si>
    <t>Computer Hardware</t>
  </si>
  <si>
    <t>Computer Software</t>
  </si>
  <si>
    <t>Operating Expense Data:</t>
  </si>
  <si>
    <t>2.1 Advanced Metering Communication Device (AMCD)</t>
  </si>
  <si>
    <t>2.2 Advanced Metering Regional Collector (AMRC) (includes LAN)</t>
  </si>
  <si>
    <t>2.3 Advanced Metering Control Computer (AMCC)</t>
  </si>
  <si>
    <t>2.4 Wide Area Network (WAN)</t>
  </si>
  <si>
    <t>2.5 Other AMI OM&amp;A Costs Related To Minimum Functionality</t>
  </si>
  <si>
    <t>Per Meter Cost Split:</t>
  </si>
  <si>
    <t>Per Meter</t>
  </si>
  <si>
    <t>Installed</t>
  </si>
  <si>
    <t>Investment</t>
  </si>
  <si>
    <t>% of Invest</t>
  </si>
  <si>
    <t>Smart meter including installation</t>
  </si>
  <si>
    <t>Computer Hardware Costs</t>
  </si>
  <si>
    <t>Computer Software Costs</t>
  </si>
  <si>
    <t>Smart meter incremental operating expenses</t>
  </si>
  <si>
    <t>Total Smart Meter Capital Costs per meter</t>
  </si>
  <si>
    <t>Smart Meters</t>
  </si>
  <si>
    <t>Operation Expense</t>
  </si>
  <si>
    <t>Return on Rate Base</t>
  </si>
  <si>
    <t>Operating Expenses</t>
  </si>
  <si>
    <t>Incremental Operating Expenses</t>
  </si>
  <si>
    <t>Amortization Expenses</t>
  </si>
  <si>
    <t>Revenue Requirement Before PILs</t>
  </si>
  <si>
    <t>Revenue Requirement for Smart Meters</t>
  </si>
  <si>
    <t xml:space="preserve">Opening </t>
  </si>
  <si>
    <t>Int. Rate</t>
  </si>
  <si>
    <t>Interest</t>
  </si>
  <si>
    <t>Closing</t>
  </si>
  <si>
    <t>Average Asset Values</t>
  </si>
  <si>
    <t>Net Fixed Assets Smart Meters</t>
  </si>
  <si>
    <t>Net Fixed Assets Computer Hardware</t>
  </si>
  <si>
    <t>Net Fixed Assets Computer Software</t>
  </si>
  <si>
    <t>Net Fixed Assets Tools &amp; Equipment</t>
  </si>
  <si>
    <t>Net Fixed Assets Other Equipment</t>
  </si>
  <si>
    <t>Total Net Fixed Assets</t>
  </si>
  <si>
    <t>Working Capital</t>
  </si>
  <si>
    <t>Smart Meters included in Rate Base</t>
  </si>
  <si>
    <t>Amortization Expenses - Smart Meters</t>
  </si>
  <si>
    <t>Amortization Expenses - Computer Hardware</t>
  </si>
  <si>
    <t>Amortization Expenses - Computer Software</t>
  </si>
  <si>
    <t>Amortization Expenses -  Tools &amp; Equipment</t>
  </si>
  <si>
    <t>Amortization Expenses - Other Equipment</t>
  </si>
  <si>
    <t>Total Amortization Expenses</t>
  </si>
  <si>
    <t>Calculation of Taxable Income</t>
  </si>
  <si>
    <t>Depreciation Expenses</t>
  </si>
  <si>
    <t>Interest Expense</t>
  </si>
  <si>
    <t>Taxable Income For PILs</t>
  </si>
  <si>
    <r>
      <t>Grossed up PILs</t>
    </r>
    <r>
      <rPr>
        <i/>
        <sz val="8"/>
        <rFont val="Arial"/>
        <family val="2"/>
      </rPr>
      <t xml:space="preserve"> (5. PILs)</t>
    </r>
  </si>
  <si>
    <t>Sheet 5. PILs</t>
  </si>
  <si>
    <t>PILs Calculation</t>
  </si>
  <si>
    <t>INCOME TAX</t>
  </si>
  <si>
    <t>Net Income</t>
  </si>
  <si>
    <t>Change in taxable income</t>
  </si>
  <si>
    <t>Income Taxes Payable</t>
  </si>
  <si>
    <t>ONTARIO CAPITAL TAX</t>
  </si>
  <si>
    <t>Rate Base</t>
  </si>
  <si>
    <t>Less: Exemption</t>
  </si>
  <si>
    <t>Deemed Taxable Capital</t>
  </si>
  <si>
    <t>Ontario Capital Tax Rate</t>
  </si>
  <si>
    <t>Net Amount (Taxable Capital x Rate)</t>
  </si>
  <si>
    <t>Gross Up</t>
  </si>
  <si>
    <t>PILs Payable</t>
  </si>
  <si>
    <t>Change in Income Taxes Payable</t>
  </si>
  <si>
    <t>Change in OCT</t>
  </si>
  <si>
    <t>PIL's</t>
  </si>
  <si>
    <t>Grossed Up PILs</t>
  </si>
  <si>
    <t>Smart Meter Average Net Fixed Assets</t>
  </si>
  <si>
    <t>Net Fixed Assets - Smart Meters</t>
  </si>
  <si>
    <t>Opening Capital Investment</t>
  </si>
  <si>
    <t>Closing Capital Investment</t>
  </si>
  <si>
    <t>Opening Accumulated Amortization</t>
  </si>
  <si>
    <t>Closing Accumulated Amortization</t>
  </si>
  <si>
    <t>Opening Net Fixed Assets</t>
  </si>
  <si>
    <t>Closing Net Fixed Assets</t>
  </si>
  <si>
    <t>Average Net Fixed Assets</t>
  </si>
  <si>
    <t>Net Fixed Assets - Computer Hardware</t>
  </si>
  <si>
    <t>Net Fixed Assets - Computer Software</t>
  </si>
  <si>
    <t>Net Fixed Assets - Tools &amp; Equipment</t>
  </si>
  <si>
    <t>Net Fixed Assets - Other Equipment</t>
  </si>
  <si>
    <t>For PILs Calculation</t>
  </si>
  <si>
    <t>UCC - Smart Meters</t>
  </si>
  <si>
    <t>Opening UCC</t>
  </si>
  <si>
    <t>Capital Additions</t>
  </si>
  <si>
    <t>UCC Before Half Year Rule</t>
  </si>
  <si>
    <t>Half Year Rule (1/2 Additions - Disposals)</t>
  </si>
  <si>
    <t>Reduced UCC</t>
  </si>
  <si>
    <t>CCA</t>
  </si>
  <si>
    <t>Closing UCC</t>
  </si>
  <si>
    <t>UCC - Computer Equipment</t>
  </si>
  <si>
    <t>Capital Additions Computer Hardware</t>
  </si>
  <si>
    <t>Capital Additions Computer Software</t>
  </si>
  <si>
    <t>UCC - General Equipment</t>
  </si>
  <si>
    <t>Capital Additions Tools &amp; Equipment</t>
  </si>
  <si>
    <t>Capital Additions Other Equipment</t>
  </si>
  <si>
    <r>
      <t>Sheet 1</t>
    </r>
    <r>
      <rPr>
        <b/>
        <sz val="20"/>
        <rFont val="Cooper Black"/>
        <family val="1"/>
      </rPr>
      <t xml:space="preserve"> Utility Information Sheet</t>
    </r>
  </si>
  <si>
    <r>
      <t>Capital Data:</t>
    </r>
    <r>
      <rPr>
        <i/>
        <sz val="8"/>
        <rFont val="Arial"/>
        <family val="2"/>
      </rPr>
      <t xml:space="preserve"> </t>
    </r>
  </si>
  <si>
    <r>
      <t>Weighted Debt Rate</t>
    </r>
    <r>
      <rPr>
        <i/>
        <sz val="8"/>
        <rFont val="Arial"/>
        <family val="2"/>
      </rPr>
      <t xml:space="preserve"> (3.  LDC Assumptions and Data)</t>
    </r>
  </si>
  <si>
    <r>
      <t>Proposed ROE</t>
    </r>
    <r>
      <rPr>
        <i/>
        <sz val="8"/>
        <rFont val="Arial"/>
        <family val="2"/>
      </rPr>
      <t xml:space="preserve"> (3.  LDC Assumptions and Data)</t>
    </r>
  </si>
  <si>
    <r>
      <t xml:space="preserve">Incremental Operating Expenses </t>
    </r>
    <r>
      <rPr>
        <i/>
        <sz val="8"/>
        <rFont val="Arial"/>
        <family val="2"/>
      </rPr>
      <t>(3.  LDC Assumptions and Data)</t>
    </r>
  </si>
  <si>
    <r>
      <t>Grossed up PILs</t>
    </r>
    <r>
      <rPr>
        <b/>
        <i/>
        <sz val="8"/>
        <rFont val="Arial"/>
        <family val="2"/>
      </rPr>
      <t xml:space="preserve"> (5. PILs)</t>
    </r>
  </si>
  <si>
    <r>
      <t>Amortization</t>
    </r>
    <r>
      <rPr>
        <i/>
        <sz val="8"/>
        <rFont val="Arial"/>
        <family val="2"/>
      </rPr>
      <t xml:space="preserve"> </t>
    </r>
  </si>
  <si>
    <r>
      <t xml:space="preserve">Tax Rate </t>
    </r>
    <r>
      <rPr>
        <i/>
        <sz val="8"/>
        <rFont val="Arial"/>
        <family val="2"/>
      </rPr>
      <t>(3.  LDC Assumptions and Data)</t>
    </r>
  </si>
  <si>
    <r>
      <t xml:space="preserve">Capital Investment </t>
    </r>
    <r>
      <rPr>
        <i/>
        <sz val="8"/>
        <rFont val="Arial"/>
        <family val="2"/>
      </rPr>
      <t>(3.  LDC Assumptions and Data)</t>
    </r>
  </si>
  <si>
    <r>
      <t>Capital Investment</t>
    </r>
    <r>
      <rPr>
        <i/>
        <sz val="8"/>
        <rFont val="Arial"/>
        <family val="2"/>
      </rPr>
      <t xml:space="preserve"> (3.  LDC Assumptions and Data)</t>
    </r>
  </si>
  <si>
    <t>Actual</t>
  </si>
  <si>
    <t>Audited Actual</t>
  </si>
  <si>
    <t>Forecasted</t>
  </si>
  <si>
    <t>Later</t>
  </si>
  <si>
    <t>Planned / Actual Meter Installations</t>
  </si>
  <si>
    <t>Percentage of Completion</t>
  </si>
  <si>
    <t>Other Equip.</t>
  </si>
  <si>
    <t>Tools &amp; Equip</t>
  </si>
  <si>
    <t>Depreciation Rates</t>
  </si>
  <si>
    <t>Smart Meter (years)</t>
  </si>
  <si>
    <t>Computer Hardware  (years)</t>
  </si>
  <si>
    <t>Computer Software  (years)</t>
  </si>
  <si>
    <t>Tools &amp; Equipment  (years)</t>
  </si>
  <si>
    <t>Other Equipment  (years)</t>
  </si>
  <si>
    <t>CCA Rates</t>
  </si>
  <si>
    <t>Sheet 6. Avg Net Fixed Assets &amp;UCC</t>
  </si>
  <si>
    <t>Computer Equipment</t>
  </si>
  <si>
    <t>CCA Class</t>
  </si>
  <si>
    <t>General Equipment</t>
  </si>
  <si>
    <t>CCA Rate Class</t>
  </si>
  <si>
    <t xml:space="preserve">CCA Rate </t>
  </si>
  <si>
    <t>CCA - Smart Meters</t>
  </si>
  <si>
    <t>CCA -  Other Equipment</t>
  </si>
  <si>
    <t>CCA -  Computers</t>
  </si>
  <si>
    <t>Smart Meter Revenue Requirement Calculation</t>
  </si>
  <si>
    <t>Sheet 4. Smart Meter Rev Req Calc</t>
  </si>
  <si>
    <t>Fund Adder</t>
  </si>
  <si>
    <t xml:space="preserve"> Approved Deferral and Variance Accounts </t>
  </si>
  <si>
    <t>Prescribed Interest Rate (per the Bankers' Acceptances-3 months Plus 0.25 Spread)</t>
  </si>
  <si>
    <t xml:space="preserve"> CWIP Account</t>
  </si>
  <si>
    <t>Prescribed Interest Rate (per the DEX Mid Term Corporate Bond Index Yield 2)</t>
  </si>
  <si>
    <t xml:space="preserve"> </t>
  </si>
  <si>
    <t xml:space="preserve">Q4 2008 </t>
  </si>
  <si>
    <t xml:space="preserve">Q3 2008 </t>
  </si>
  <si>
    <t xml:space="preserve">Q2 2008 </t>
  </si>
  <si>
    <t xml:space="preserve">Q1 2008 </t>
  </si>
  <si>
    <t xml:space="preserve">Q4 2007 </t>
  </si>
  <si>
    <t xml:space="preserve">Q3 2007 </t>
  </si>
  <si>
    <t xml:space="preserve">Q2 2007 </t>
  </si>
  <si>
    <t xml:space="preserve">Q1 2007 </t>
  </si>
  <si>
    <t xml:space="preserve">Q4 2006 </t>
  </si>
  <si>
    <t xml:space="preserve">Q3 2006 </t>
  </si>
  <si>
    <t xml:space="preserve">Q2 2006 </t>
  </si>
  <si>
    <t>Deemed Long Term Debt %</t>
  </si>
  <si>
    <t>Deemed Equity %</t>
  </si>
  <si>
    <t>Deemed Short Term Debt %</t>
  </si>
  <si>
    <t>Deemed Short Term Debt  Rate%</t>
  </si>
  <si>
    <t>Deemed Short Term Debt Rate%</t>
  </si>
  <si>
    <t>Q1 2009</t>
  </si>
  <si>
    <t>Q2 2009</t>
  </si>
  <si>
    <t>Q3 2009</t>
  </si>
  <si>
    <t>Q3 2010</t>
  </si>
  <si>
    <t>Q4 2009</t>
  </si>
  <si>
    <t>Q1 2010</t>
  </si>
  <si>
    <t>Q2 2010</t>
  </si>
  <si>
    <t>Sheet 7. Smart Meter Funding Adder Collected</t>
  </si>
  <si>
    <t>Sheet 8 Applied for Smart Meter Rate Adder</t>
  </si>
  <si>
    <t>Revenue Requirement - 2006</t>
  </si>
  <si>
    <t>Revenue Requirement - 2007</t>
  </si>
  <si>
    <t>Revenue Requirement - 2008</t>
  </si>
  <si>
    <t>Revenue Requirement - 2009</t>
  </si>
  <si>
    <t>Revenue Requirement - 2010</t>
  </si>
  <si>
    <t>Revenue Requirement - 2011</t>
  </si>
  <si>
    <t>Total Revenue Requirement</t>
  </si>
  <si>
    <t>Amount</t>
  </si>
  <si>
    <t>Description</t>
  </si>
  <si>
    <t>Smart Meter Rate Adder Collected</t>
  </si>
  <si>
    <t>Carrying Cost / Interest</t>
  </si>
  <si>
    <t>Proposed Smart Meter Recovery</t>
  </si>
  <si>
    <t>Date</t>
  </si>
  <si>
    <t>2011 Expected Metered Customers</t>
  </si>
  <si>
    <t>Proposed Smart Meter Rate Adder</t>
  </si>
  <si>
    <r>
      <t>Deemed Debt</t>
    </r>
    <r>
      <rPr>
        <sz val="10"/>
        <rFont val="Arial"/>
      </rPr>
      <t/>
    </r>
  </si>
  <si>
    <r>
      <t>Deemed Equity</t>
    </r>
    <r>
      <rPr>
        <sz val="10"/>
        <rFont val="Arial"/>
      </rPr>
      <t xml:space="preserve"> </t>
    </r>
  </si>
  <si>
    <r>
      <t>Weighted Debt Rate</t>
    </r>
    <r>
      <rPr>
        <sz val="10"/>
        <rFont val="Arial"/>
      </rPr>
      <t/>
    </r>
  </si>
  <si>
    <t>Proposed ROE</t>
  </si>
  <si>
    <t xml:space="preserve">Canadian Niagara Power Inc - Eastern Ontario Power </t>
  </si>
  <si>
    <t>ED-2002-0572</t>
  </si>
  <si>
    <t>Douglas Bradbury</t>
  </si>
  <si>
    <t>Director Regulatory Affairs</t>
  </si>
  <si>
    <t>(905) - 994-3634</t>
  </si>
  <si>
    <t>doug.bradbury@cnpower.com</t>
  </si>
  <si>
    <t>(Sum of CCA Rate Class 12 and CCA Rate Class 50 shown below)</t>
  </si>
  <si>
    <t>Gananoque</t>
  </si>
</sst>
</file>

<file path=xl/styles.xml><?xml version="1.0" encoding="utf-8"?>
<styleSheet xmlns="http://schemas.openxmlformats.org/spreadsheetml/2006/main">
  <numFmts count="7">
    <numFmt numFmtId="164" formatCode="_-&quot;$&quot;* #,##0.00_-;\-&quot;$&quot;* #,##0.00_-;_-&quot;$&quot;* &quot;-&quot;??_-;_-@_-"/>
    <numFmt numFmtId="165" formatCode="_-* #,##0.00_-;\-* #,##0.00_-;_-* &quot;-&quot;??_-;_-@_-"/>
    <numFmt numFmtId="166" formatCode="_-&quot;$&quot;* #,##0_-;\-&quot;$&quot;* #,##0_-;_-&quot;$&quot;* &quot;-&quot;??_-;_-@_-"/>
    <numFmt numFmtId="167" formatCode="0.0%"/>
    <numFmt numFmtId="168" formatCode="_-* #,##0_-;\-* #,##0_-;_-* &quot;-&quot;??_-;_-@_-"/>
    <numFmt numFmtId="169" formatCode="0.000%"/>
    <numFmt numFmtId="170" formatCode="[$-409]mmmm\ d\,\ yyyy;@"/>
  </numFmts>
  <fonts count="31">
    <font>
      <sz val="10"/>
      <name val="Arial"/>
    </font>
    <font>
      <sz val="10"/>
      <name val="Arial"/>
    </font>
    <font>
      <u/>
      <sz val="7.5"/>
      <color indexed="12"/>
      <name val="Arial"/>
      <family val="2"/>
    </font>
    <font>
      <sz val="12"/>
      <name val="Arial"/>
      <family val="2"/>
    </font>
    <font>
      <sz val="8"/>
      <name val="Arial"/>
      <family val="2"/>
    </font>
    <font>
      <b/>
      <sz val="20"/>
      <name val="Cooper Black"/>
      <family val="1"/>
    </font>
    <font>
      <b/>
      <sz val="20"/>
      <color indexed="10"/>
      <name val="Cooper Black"/>
      <family val="1"/>
    </font>
    <font>
      <b/>
      <sz val="10"/>
      <name val="Arial"/>
      <family val="2"/>
    </font>
    <font>
      <sz val="10"/>
      <color indexed="12"/>
      <name val="Arial"/>
      <family val="2"/>
    </font>
    <font>
      <sz val="10"/>
      <color indexed="10"/>
      <name val="Arial"/>
      <family val="2"/>
    </font>
    <font>
      <b/>
      <sz val="8"/>
      <color indexed="9"/>
      <name val="Arial"/>
      <family val="2"/>
    </font>
    <font>
      <sz val="12"/>
      <color indexed="18"/>
      <name val="Cooper Black"/>
      <family val="1"/>
    </font>
    <font>
      <sz val="11"/>
      <name val="Arial"/>
      <family val="2"/>
    </font>
    <font>
      <b/>
      <sz val="8"/>
      <name val="Arial"/>
      <family val="2"/>
    </font>
    <font>
      <b/>
      <sz val="12"/>
      <name val="Arial"/>
      <family val="2"/>
    </font>
    <font>
      <b/>
      <sz val="11"/>
      <name val="Arial"/>
      <family val="2"/>
    </font>
    <font>
      <b/>
      <u/>
      <sz val="12"/>
      <name val="Cooper Black"/>
      <family val="1"/>
    </font>
    <font>
      <sz val="8"/>
      <color indexed="18"/>
      <name val="Cooper Black"/>
      <family val="1"/>
    </font>
    <font>
      <sz val="10"/>
      <name val="Arial"/>
      <family val="2"/>
    </font>
    <font>
      <b/>
      <sz val="16"/>
      <color indexed="10"/>
      <name val="Cooper Black"/>
      <family val="1"/>
    </font>
    <font>
      <b/>
      <sz val="14"/>
      <name val="Arial"/>
      <family val="2"/>
    </font>
    <font>
      <i/>
      <sz val="8"/>
      <name val="Arial"/>
      <family val="2"/>
    </font>
    <font>
      <b/>
      <sz val="18"/>
      <name val="Arial"/>
      <family val="2"/>
    </font>
    <font>
      <b/>
      <sz val="12"/>
      <name val="Arial"/>
      <family val="2"/>
    </font>
    <font>
      <b/>
      <sz val="20"/>
      <name val="Arial"/>
      <family val="2"/>
    </font>
    <font>
      <sz val="10"/>
      <color indexed="10"/>
      <name val="Arial"/>
      <family val="2"/>
    </font>
    <font>
      <b/>
      <i/>
      <sz val="8"/>
      <name val="Arial"/>
      <family val="2"/>
    </font>
    <font>
      <b/>
      <sz val="10"/>
      <color indexed="10"/>
      <name val="Arial"/>
      <family val="2"/>
    </font>
    <font>
      <b/>
      <sz val="24"/>
      <color indexed="10"/>
      <name val="Cooper Black"/>
      <family val="1"/>
    </font>
    <font>
      <sz val="16"/>
      <name val="Arial"/>
      <family val="2"/>
    </font>
    <font>
      <b/>
      <sz val="11"/>
      <color theme="1"/>
      <name val="Arial"/>
      <family val="2"/>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indexed="42"/>
        <bgColor indexed="42"/>
      </patternFill>
    </fill>
    <fill>
      <patternFill patternType="solid">
        <fgColor rgb="FFFFFF00"/>
        <bgColor indexed="64"/>
      </patternFill>
    </fill>
  </fills>
  <borders count="21">
    <border>
      <left/>
      <right/>
      <top/>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style="medium">
        <color indexed="22"/>
      </right>
      <top style="medium">
        <color indexed="8"/>
      </top>
      <bottom style="medium">
        <color indexed="22"/>
      </bottom>
      <diagonal/>
    </border>
    <border>
      <left style="medium">
        <color indexed="8"/>
      </left>
      <right/>
      <top style="medium">
        <color indexed="8"/>
      </top>
      <bottom style="medium">
        <color indexed="22"/>
      </bottom>
      <diagonal/>
    </border>
    <border>
      <left/>
      <right style="medium">
        <color indexed="22"/>
      </right>
      <top style="medium">
        <color indexed="8"/>
      </top>
      <bottom style="medium">
        <color indexed="22"/>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1" fillId="0" borderId="0"/>
    <xf numFmtId="9" fontId="1" fillId="0" borderId="0" applyFont="0" applyFill="0" applyBorder="0" applyAlignment="0" applyProtection="0"/>
  </cellStyleXfs>
  <cellXfs count="197">
    <xf numFmtId="0" fontId="0" fillId="0" borderId="0" xfId="0"/>
    <xf numFmtId="0" fontId="4" fillId="2" borderId="0" xfId="0" applyFont="1" applyFill="1" applyProtection="1"/>
    <xf numFmtId="0" fontId="0" fillId="0" borderId="0" xfId="0" applyProtection="1"/>
    <xf numFmtId="0" fontId="4" fillId="2" borderId="0" xfId="0" applyFont="1" applyFill="1"/>
    <xf numFmtId="0" fontId="6" fillId="2" borderId="0" xfId="0" applyFont="1" applyFill="1" applyProtection="1"/>
    <xf numFmtId="0" fontId="0" fillId="2" borderId="0" xfId="0" applyFill="1" applyProtection="1"/>
    <xf numFmtId="0" fontId="0" fillId="2" borderId="0" xfId="0" applyFill="1" applyBorder="1" applyProtection="1"/>
    <xf numFmtId="0" fontId="0" fillId="2" borderId="0" xfId="0" applyFill="1"/>
    <xf numFmtId="0" fontId="4" fillId="3" borderId="0" xfId="0" applyFont="1" applyFill="1" applyBorder="1" applyProtection="1"/>
    <xf numFmtId="0" fontId="10" fillId="2" borderId="0" xfId="0" applyFont="1" applyFill="1" applyProtection="1"/>
    <xf numFmtId="0" fontId="3" fillId="2" borderId="0" xfId="0" applyFont="1" applyFill="1" applyProtection="1"/>
    <xf numFmtId="0" fontId="11" fillId="2" borderId="0" xfId="0" applyFont="1" applyFill="1" applyAlignment="1" applyProtection="1">
      <alignment horizontal="right" indent="1"/>
    </xf>
    <xf numFmtId="0" fontId="13" fillId="2" borderId="0" xfId="0" applyFont="1" applyFill="1" applyAlignment="1" applyProtection="1">
      <alignment horizontal="left" indent="4"/>
    </xf>
    <xf numFmtId="0" fontId="12" fillId="2" borderId="0" xfId="0" applyFont="1" applyFill="1" applyBorder="1" applyAlignment="1" applyProtection="1">
      <alignment horizontal="left"/>
    </xf>
    <xf numFmtId="0" fontId="11" fillId="2" borderId="0" xfId="0" applyFont="1" applyFill="1" applyAlignment="1" applyProtection="1"/>
    <xf numFmtId="0" fontId="14" fillId="2" borderId="0" xfId="0" applyFont="1" applyFill="1" applyBorder="1" applyAlignment="1" applyProtection="1"/>
    <xf numFmtId="0" fontId="15" fillId="2" borderId="0" xfId="0" applyFont="1" applyFill="1" applyBorder="1" applyAlignment="1" applyProtection="1"/>
    <xf numFmtId="0" fontId="12" fillId="4" borderId="0" xfId="0" applyFont="1" applyFill="1" applyBorder="1" applyAlignment="1" applyProtection="1"/>
    <xf numFmtId="0" fontId="11" fillId="2" borderId="0" xfId="0" applyFont="1" applyFill="1" applyBorder="1" applyAlignment="1" applyProtection="1">
      <alignment horizontal="right" indent="1"/>
    </xf>
    <xf numFmtId="0" fontId="12" fillId="2" borderId="0" xfId="0" applyFont="1" applyFill="1" applyBorder="1" applyAlignment="1" applyProtection="1"/>
    <xf numFmtId="0" fontId="11" fillId="2" borderId="0" xfId="0" applyFont="1" applyFill="1" applyBorder="1" applyAlignment="1" applyProtection="1"/>
    <xf numFmtId="0" fontId="17" fillId="2" borderId="0" xfId="0" applyFont="1" applyFill="1" applyProtection="1"/>
    <xf numFmtId="0" fontId="12" fillId="2" borderId="0" xfId="0" applyFont="1" applyFill="1" applyProtection="1"/>
    <xf numFmtId="0" fontId="0" fillId="2" borderId="0" xfId="0" applyFill="1" applyAlignment="1" applyProtection="1">
      <alignment horizontal="center"/>
    </xf>
    <xf numFmtId="0" fontId="3" fillId="2" borderId="0" xfId="0" applyFont="1" applyFill="1"/>
    <xf numFmtId="0" fontId="19" fillId="2" borderId="0" xfId="0" applyFont="1" applyFill="1" applyAlignment="1" applyProtection="1"/>
    <xf numFmtId="0" fontId="4" fillId="3" borderId="0" xfId="0" applyFont="1" applyFill="1" applyProtection="1"/>
    <xf numFmtId="0" fontId="20" fillId="2" borderId="0" xfId="0" applyFont="1" applyFill="1" applyProtection="1"/>
    <xf numFmtId="0" fontId="21" fillId="2" borderId="0" xfId="0" applyFont="1" applyFill="1" applyAlignment="1" applyProtection="1">
      <alignment horizontal="left" vertical="top" indent="2"/>
    </xf>
    <xf numFmtId="0" fontId="0" fillId="2" borderId="0" xfId="0" applyFill="1" applyAlignment="1" applyProtection="1">
      <alignment horizontal="right"/>
    </xf>
    <xf numFmtId="0" fontId="0" fillId="2" borderId="0" xfId="0" applyFill="1" applyAlignment="1" applyProtection="1">
      <alignment horizontal="left" indent="1"/>
    </xf>
    <xf numFmtId="168" fontId="1" fillId="5" borderId="0" xfId="1" applyNumberFormat="1" applyFill="1" applyProtection="1">
      <protection locked="0"/>
    </xf>
    <xf numFmtId="168" fontId="0" fillId="2" borderId="0" xfId="0" applyNumberFormat="1" applyFill="1" applyProtection="1"/>
    <xf numFmtId="0" fontId="7" fillId="2" borderId="0" xfId="0" applyFont="1" applyFill="1" applyProtection="1"/>
    <xf numFmtId="168" fontId="1" fillId="2" borderId="1" xfId="1" applyNumberFormat="1" applyFill="1" applyBorder="1" applyProtection="1"/>
    <xf numFmtId="168" fontId="1" fillId="2" borderId="2" xfId="1" applyNumberFormat="1" applyFont="1" applyFill="1" applyBorder="1" applyProtection="1"/>
    <xf numFmtId="0" fontId="0" fillId="5" borderId="0" xfId="0" applyFill="1"/>
    <xf numFmtId="0" fontId="22" fillId="2" borderId="0" xfId="0" applyFont="1" applyFill="1" applyProtection="1"/>
    <xf numFmtId="0" fontId="20" fillId="2" borderId="0" xfId="0" applyFont="1" applyFill="1" applyAlignment="1" applyProtection="1">
      <alignment horizontal="left" indent="2"/>
    </xf>
    <xf numFmtId="0" fontId="0" fillId="2" borderId="0" xfId="0" applyFill="1" applyAlignment="1" applyProtection="1">
      <alignment horizontal="left" indent="2"/>
    </xf>
    <xf numFmtId="0" fontId="7" fillId="2" borderId="0" xfId="0" applyFont="1" applyFill="1" applyAlignment="1" applyProtection="1">
      <alignment horizontal="left" indent="2"/>
    </xf>
    <xf numFmtId="166" fontId="9" fillId="5" borderId="3" xfId="2" applyNumberFormat="1" applyFont="1" applyFill="1" applyBorder="1" applyProtection="1">
      <protection locked="0"/>
    </xf>
    <xf numFmtId="166" fontId="0" fillId="2" borderId="0" xfId="0" applyNumberFormat="1" applyFill="1" applyProtection="1"/>
    <xf numFmtId="0" fontId="21" fillId="2" borderId="0" xfId="0" applyFont="1" applyFill="1" applyAlignment="1" applyProtection="1">
      <alignment horizontal="left" wrapText="1" indent="2"/>
    </xf>
    <xf numFmtId="166" fontId="7" fillId="2" borderId="2" xfId="2" applyNumberFormat="1" applyFont="1" applyFill="1" applyBorder="1" applyProtection="1"/>
    <xf numFmtId="166" fontId="1" fillId="2" borderId="0" xfId="2" applyNumberFormat="1" applyFill="1" applyProtection="1"/>
    <xf numFmtId="166" fontId="7" fillId="2" borderId="0" xfId="2" applyNumberFormat="1" applyFont="1" applyFill="1" applyBorder="1" applyProtection="1"/>
    <xf numFmtId="0" fontId="0" fillId="2" borderId="0" xfId="0" applyFill="1" applyAlignment="1">
      <alignment horizontal="left" indent="2"/>
    </xf>
    <xf numFmtId="166" fontId="7" fillId="2" borderId="4" xfId="2" applyNumberFormat="1" applyFont="1" applyFill="1" applyBorder="1" applyProtection="1"/>
    <xf numFmtId="165" fontId="7" fillId="2" borderId="0" xfId="1" applyFont="1" applyFill="1" applyBorder="1" applyProtection="1"/>
    <xf numFmtId="166" fontId="7" fillId="2" borderId="4" xfId="0" applyNumberFormat="1" applyFont="1" applyFill="1" applyBorder="1"/>
    <xf numFmtId="0" fontId="23" fillId="2" borderId="0" xfId="0" applyFont="1" applyFill="1" applyProtection="1"/>
    <xf numFmtId="0" fontId="0" fillId="2" borderId="0" xfId="0" applyFill="1" applyAlignment="1" applyProtection="1">
      <alignment wrapText="1"/>
    </xf>
    <xf numFmtId="0" fontId="7" fillId="2" borderId="0" xfId="0" applyFont="1" applyFill="1" applyAlignment="1" applyProtection="1">
      <alignment horizontal="left" indent="1"/>
    </xf>
    <xf numFmtId="0" fontId="7" fillId="2" borderId="0" xfId="0" applyFont="1" applyFill="1" applyAlignment="1" applyProtection="1">
      <alignment horizontal="left"/>
    </xf>
    <xf numFmtId="10" fontId="1" fillId="2" borderId="0" xfId="6" applyNumberFormat="1" applyFont="1" applyFill="1" applyAlignment="1" applyProtection="1">
      <alignment horizontal="center"/>
    </xf>
    <xf numFmtId="0" fontId="18" fillId="2" borderId="0" xfId="0" applyFont="1" applyFill="1" applyAlignment="1" applyProtection="1">
      <alignment horizontal="left" indent="1"/>
    </xf>
    <xf numFmtId="0" fontId="3" fillId="0" borderId="0" xfId="4"/>
    <xf numFmtId="0" fontId="1" fillId="2" borderId="0" xfId="0" applyFont="1" applyFill="1" applyProtection="1"/>
    <xf numFmtId="0" fontId="24" fillId="2" borderId="0" xfId="0" applyFont="1" applyFill="1" applyProtection="1"/>
    <xf numFmtId="0" fontId="18" fillId="2" borderId="0" xfId="0" applyFont="1" applyFill="1" applyProtection="1"/>
    <xf numFmtId="0" fontId="0" fillId="2" borderId="5" xfId="0" applyFill="1" applyBorder="1" applyProtection="1"/>
    <xf numFmtId="166" fontId="0" fillId="2" borderId="0" xfId="0" applyNumberFormat="1" applyFill="1" applyBorder="1" applyProtection="1"/>
    <xf numFmtId="164" fontId="1" fillId="2" borderId="0" xfId="2" applyFill="1" applyBorder="1" applyProtection="1"/>
    <xf numFmtId="0" fontId="0" fillId="2" borderId="6" xfId="0" applyFill="1" applyBorder="1" applyProtection="1"/>
    <xf numFmtId="164" fontId="1" fillId="2" borderId="6" xfId="2" applyFill="1" applyBorder="1" applyProtection="1"/>
    <xf numFmtId="164" fontId="1" fillId="2" borderId="5" xfId="2" applyFill="1" applyBorder="1" applyProtection="1"/>
    <xf numFmtId="167" fontId="8" fillId="2" borderId="6" xfId="6" applyNumberFormat="1" applyFont="1" applyFill="1" applyBorder="1" applyAlignment="1" applyProtection="1">
      <alignment horizontal="center"/>
    </xf>
    <xf numFmtId="9" fontId="0" fillId="2" borderId="6" xfId="0" applyNumberFormat="1" applyFill="1" applyBorder="1" applyProtection="1"/>
    <xf numFmtId="166" fontId="0" fillId="2" borderId="5" xfId="0" applyNumberFormat="1" applyFill="1" applyBorder="1" applyProtection="1"/>
    <xf numFmtId="164" fontId="18" fillId="2" borderId="5" xfId="2" applyFont="1" applyFill="1" applyBorder="1" applyProtection="1"/>
    <xf numFmtId="0" fontId="0" fillId="2" borderId="7" xfId="0" applyFill="1" applyBorder="1" applyProtection="1"/>
    <xf numFmtId="164" fontId="1" fillId="2" borderId="8" xfId="2" applyFill="1" applyBorder="1" applyProtection="1"/>
    <xf numFmtId="0" fontId="1" fillId="2" borderId="0" xfId="0" applyFont="1" applyFill="1"/>
    <xf numFmtId="0" fontId="23" fillId="2" borderId="0" xfId="0" applyFont="1" applyFill="1" applyAlignment="1" applyProtection="1">
      <alignment horizontal="left"/>
    </xf>
    <xf numFmtId="10" fontId="0" fillId="2" borderId="0" xfId="0" applyNumberFormat="1" applyFill="1" applyAlignment="1" applyProtection="1">
      <alignment horizontal="center"/>
    </xf>
    <xf numFmtId="0" fontId="0" fillId="2" borderId="0" xfId="0" applyFill="1" applyAlignment="1" applyProtection="1">
      <alignment horizontal="center" wrapText="1"/>
    </xf>
    <xf numFmtId="167" fontId="1" fillId="2" borderId="0" xfId="6" applyNumberFormat="1" applyFill="1" applyProtection="1"/>
    <xf numFmtId="0" fontId="28" fillId="2" borderId="0" xfId="0" applyFont="1" applyFill="1" applyAlignment="1" applyProtection="1"/>
    <xf numFmtId="0" fontId="21" fillId="2" borderId="0" xfId="0" applyFont="1" applyFill="1" applyBorder="1" applyAlignment="1" applyProtection="1">
      <alignment horizontal="center" vertical="top"/>
    </xf>
    <xf numFmtId="0" fontId="0" fillId="6" borderId="0" xfId="0" applyFill="1" applyAlignment="1" applyProtection="1">
      <alignment horizontal="center"/>
    </xf>
    <xf numFmtId="0" fontId="18" fillId="2" borderId="0" xfId="0" applyFont="1" applyFill="1" applyAlignment="1" applyProtection="1">
      <alignment horizontal="center"/>
    </xf>
    <xf numFmtId="0" fontId="29" fillId="2" borderId="0" xfId="0" applyFont="1" applyFill="1"/>
    <xf numFmtId="168" fontId="1" fillId="2" borderId="0" xfId="1" applyNumberFormat="1" applyFill="1" applyBorder="1" applyProtection="1"/>
    <xf numFmtId="9" fontId="1" fillId="2" borderId="0" xfId="6" applyFill="1" applyBorder="1" applyProtection="1"/>
    <xf numFmtId="0" fontId="23" fillId="6" borderId="0" xfId="0" applyFont="1" applyFill="1" applyAlignment="1" applyProtection="1">
      <alignment horizontal="left" indent="2"/>
    </xf>
    <xf numFmtId="0" fontId="21" fillId="2" borderId="1" xfId="0" applyFont="1" applyFill="1" applyBorder="1" applyAlignment="1" applyProtection="1">
      <alignment vertical="top"/>
    </xf>
    <xf numFmtId="0" fontId="21" fillId="2" borderId="9" xfId="0" applyFont="1" applyFill="1" applyBorder="1" applyAlignment="1" applyProtection="1">
      <alignment vertical="top"/>
    </xf>
    <xf numFmtId="9" fontId="1" fillId="5" borderId="0" xfId="6" applyFont="1" applyFill="1" applyAlignment="1" applyProtection="1">
      <alignment horizontal="center"/>
      <protection locked="0"/>
    </xf>
    <xf numFmtId="9" fontId="1" fillId="7" borderId="0" xfId="6" applyFont="1" applyFill="1" applyAlignment="1" applyProtection="1">
      <alignment horizontal="center"/>
    </xf>
    <xf numFmtId="10" fontId="1" fillId="5" borderId="0" xfId="6" applyNumberFormat="1" applyFont="1" applyFill="1" applyAlignment="1" applyProtection="1">
      <alignment horizontal="center"/>
      <protection locked="0"/>
    </xf>
    <xf numFmtId="168" fontId="1" fillId="5" borderId="0" xfId="1" applyNumberFormat="1" applyFill="1" applyAlignment="1" applyProtection="1">
      <alignment horizontal="center"/>
      <protection locked="0"/>
    </xf>
    <xf numFmtId="165" fontId="21" fillId="2" borderId="10" xfId="1" applyFont="1" applyFill="1" applyBorder="1" applyAlignment="1" applyProtection="1"/>
    <xf numFmtId="165" fontId="0" fillId="2" borderId="0" xfId="1" applyFont="1" applyFill="1" applyProtection="1"/>
    <xf numFmtId="10" fontId="1" fillId="7" borderId="0" xfId="6" applyNumberFormat="1" applyFont="1" applyFill="1" applyAlignment="1" applyProtection="1">
      <alignment horizontal="center"/>
    </xf>
    <xf numFmtId="166" fontId="1" fillId="7" borderId="0" xfId="2" applyNumberFormat="1" applyFont="1" applyFill="1" applyProtection="1"/>
    <xf numFmtId="166" fontId="0" fillId="7" borderId="0" xfId="0" applyNumberFormat="1" applyFill="1" applyProtection="1"/>
    <xf numFmtId="166" fontId="0" fillId="7" borderId="2" xfId="0" applyNumberFormat="1" applyFill="1" applyBorder="1" applyProtection="1"/>
    <xf numFmtId="166" fontId="1" fillId="7" borderId="0" xfId="2" applyNumberFormat="1" applyFill="1" applyProtection="1"/>
    <xf numFmtId="166" fontId="1" fillId="7" borderId="2" xfId="2" applyNumberFormat="1" applyFont="1" applyFill="1" applyBorder="1" applyProtection="1"/>
    <xf numFmtId="166" fontId="1" fillId="7" borderId="2" xfId="2" applyNumberFormat="1" applyFill="1" applyBorder="1" applyProtection="1"/>
    <xf numFmtId="164" fontId="1" fillId="7" borderId="0" xfId="2" applyFill="1" applyProtection="1"/>
    <xf numFmtId="168" fontId="1" fillId="7" borderId="0" xfId="1" applyNumberFormat="1" applyFill="1" applyProtection="1"/>
    <xf numFmtId="9" fontId="1" fillId="7" borderId="0" xfId="6" applyFill="1" applyProtection="1"/>
    <xf numFmtId="164" fontId="0" fillId="7" borderId="1" xfId="0" applyNumberFormat="1" applyFill="1" applyBorder="1" applyProtection="1"/>
    <xf numFmtId="0" fontId="0" fillId="7" borderId="0" xfId="0" applyFill="1" applyProtection="1"/>
    <xf numFmtId="166" fontId="0" fillId="7" borderId="1" xfId="0" applyNumberFormat="1" applyFill="1" applyBorder="1" applyProtection="1"/>
    <xf numFmtId="9" fontId="0" fillId="7" borderId="1" xfId="0" applyNumberFormat="1" applyFill="1" applyBorder="1" applyProtection="1"/>
    <xf numFmtId="0" fontId="23" fillId="2" borderId="0" xfId="0" applyFont="1" applyFill="1" applyAlignment="1" applyProtection="1">
      <alignment horizontal="center" wrapText="1"/>
    </xf>
    <xf numFmtId="0" fontId="23" fillId="0" borderId="0" xfId="0" applyFont="1" applyFill="1" applyProtection="1"/>
    <xf numFmtId="0" fontId="0" fillId="2" borderId="0" xfId="0" applyFill="1" applyAlignment="1">
      <alignment horizontal="center"/>
    </xf>
    <xf numFmtId="0" fontId="0" fillId="5" borderId="0" xfId="0" applyFill="1" applyAlignment="1">
      <alignment horizontal="center"/>
    </xf>
    <xf numFmtId="9" fontId="0" fillId="5" borderId="0" xfId="0" applyNumberFormat="1" applyFill="1" applyAlignment="1">
      <alignment horizontal="center"/>
    </xf>
    <xf numFmtId="0" fontId="1" fillId="2" borderId="0" xfId="2" applyNumberFormat="1" applyFill="1" applyBorder="1" applyAlignment="1" applyProtection="1">
      <alignment horizontal="center"/>
    </xf>
    <xf numFmtId="9" fontId="1" fillId="2" borderId="0" xfId="6" applyFill="1" applyBorder="1" applyAlignment="1" applyProtection="1">
      <alignment horizontal="center"/>
    </xf>
    <xf numFmtId="164" fontId="1" fillId="2" borderId="11" xfId="2" applyFill="1" applyBorder="1" applyProtection="1"/>
    <xf numFmtId="166" fontId="3" fillId="5" borderId="0" xfId="2" applyNumberFormat="1" applyFont="1" applyFill="1"/>
    <xf numFmtId="166" fontId="3" fillId="7" borderId="0" xfId="2" applyNumberFormat="1" applyFont="1" applyFill="1"/>
    <xf numFmtId="166" fontId="3" fillId="7" borderId="0" xfId="4" applyNumberFormat="1" applyFill="1"/>
    <xf numFmtId="0" fontId="23" fillId="7" borderId="0" xfId="4" applyFont="1" applyFill="1"/>
    <xf numFmtId="0" fontId="23" fillId="7" borderId="0" xfId="4" applyFont="1" applyFill="1" applyAlignment="1">
      <alignment horizontal="center" wrapText="1"/>
    </xf>
    <xf numFmtId="0" fontId="23" fillId="7" borderId="0" xfId="4" applyFont="1" applyFill="1" applyAlignment="1">
      <alignment horizontal="center"/>
    </xf>
    <xf numFmtId="9" fontId="1" fillId="7" borderId="0" xfId="6" applyFont="1" applyFill="1" applyAlignment="1" applyProtection="1">
      <alignment horizontal="center"/>
      <protection locked="0"/>
    </xf>
    <xf numFmtId="10" fontId="1" fillId="7" borderId="0" xfId="6" applyNumberFormat="1" applyFont="1" applyFill="1" applyAlignment="1" applyProtection="1">
      <alignment horizontal="center"/>
      <protection locked="0"/>
    </xf>
    <xf numFmtId="4" fontId="23" fillId="7" borderId="0" xfId="4" applyNumberFormat="1" applyFont="1" applyFill="1" applyAlignment="1">
      <alignment horizontal="center"/>
    </xf>
    <xf numFmtId="166" fontId="3" fillId="7" borderId="2" xfId="4" applyNumberFormat="1" applyFill="1" applyBorder="1"/>
    <xf numFmtId="0" fontId="7" fillId="2" borderId="0" xfId="0" applyFont="1" applyFill="1"/>
    <xf numFmtId="0" fontId="0" fillId="2" borderId="0" xfId="0" applyFill="1" applyAlignment="1">
      <alignment horizontal="left" indent="1"/>
    </xf>
    <xf numFmtId="164" fontId="0" fillId="7" borderId="0" xfId="0" applyNumberFormat="1" applyFill="1"/>
    <xf numFmtId="164" fontId="0" fillId="7" borderId="2" xfId="0" applyNumberFormat="1" applyFill="1" applyBorder="1"/>
    <xf numFmtId="164" fontId="0" fillId="7" borderId="0" xfId="2" applyFont="1" applyFill="1"/>
    <xf numFmtId="0" fontId="3" fillId="2" borderId="0" xfId="4" applyFill="1" applyAlignment="1">
      <alignment horizontal="center"/>
    </xf>
    <xf numFmtId="0" fontId="3" fillId="2" borderId="0" xfId="4" applyFill="1"/>
    <xf numFmtId="0" fontId="23" fillId="2" borderId="0" xfId="4" applyFont="1" applyFill="1" applyAlignment="1">
      <alignment horizontal="center"/>
    </xf>
    <xf numFmtId="17" fontId="3" fillId="2" borderId="0" xfId="4" applyNumberFormat="1" applyFill="1" applyAlignment="1">
      <alignment horizontal="center"/>
    </xf>
    <xf numFmtId="10" fontId="3" fillId="2" borderId="0" xfId="4" applyNumberFormat="1" applyFill="1"/>
    <xf numFmtId="10" fontId="3" fillId="2" borderId="0" xfId="6" applyNumberFormat="1" applyFont="1" applyFill="1"/>
    <xf numFmtId="164" fontId="7" fillId="7" borderId="0" xfId="2" applyFont="1" applyFill="1"/>
    <xf numFmtId="164" fontId="8" fillId="7" borderId="0" xfId="2" applyFont="1" applyFill="1" applyProtection="1"/>
    <xf numFmtId="164" fontId="1" fillId="7" borderId="1" xfId="2" applyFill="1" applyBorder="1" applyProtection="1"/>
    <xf numFmtId="10" fontId="8" fillId="7" borderId="0" xfId="0" applyNumberFormat="1" applyFont="1" applyFill="1" applyAlignment="1" applyProtection="1">
      <alignment horizontal="center"/>
    </xf>
    <xf numFmtId="164" fontId="8" fillId="7" borderId="0" xfId="2" applyFont="1" applyFill="1" applyBorder="1" applyProtection="1"/>
    <xf numFmtId="164" fontId="8" fillId="7" borderId="12" xfId="2" applyFont="1" applyFill="1" applyBorder="1" applyProtection="1"/>
    <xf numFmtId="169" fontId="1" fillId="7" borderId="0" xfId="6" applyNumberFormat="1" applyFill="1" applyProtection="1"/>
    <xf numFmtId="169" fontId="1" fillId="7" borderId="0" xfId="5" applyNumberFormat="1" applyFill="1"/>
    <xf numFmtId="164" fontId="27" fillId="7" borderId="1" xfId="2" applyFont="1" applyFill="1" applyBorder="1" applyProtection="1"/>
    <xf numFmtId="164" fontId="1" fillId="7" borderId="2" xfId="2" applyFill="1" applyBorder="1" applyProtection="1"/>
    <xf numFmtId="164" fontId="9" fillId="7" borderId="1" xfId="2" applyFont="1" applyFill="1" applyBorder="1" applyProtection="1"/>
    <xf numFmtId="164" fontId="9" fillId="7" borderId="2" xfId="2" applyFont="1" applyFill="1" applyBorder="1" applyProtection="1"/>
    <xf numFmtId="164" fontId="8" fillId="7" borderId="6" xfId="2" applyFont="1" applyFill="1" applyBorder="1" applyProtection="1"/>
    <xf numFmtId="164" fontId="1" fillId="7" borderId="13" xfId="2" applyFill="1" applyBorder="1" applyProtection="1"/>
    <xf numFmtId="164" fontId="1" fillId="7" borderId="0" xfId="2" applyFill="1" applyBorder="1" applyProtection="1"/>
    <xf numFmtId="164" fontId="1" fillId="7" borderId="6" xfId="2" applyFill="1" applyBorder="1" applyProtection="1"/>
    <xf numFmtId="164" fontId="1" fillId="7" borderId="5" xfId="2" applyFill="1" applyBorder="1" applyProtection="1"/>
    <xf numFmtId="164" fontId="8" fillId="7" borderId="5" xfId="2" applyFont="1" applyFill="1" applyBorder="1" applyProtection="1"/>
    <xf numFmtId="164" fontId="9" fillId="7" borderId="5" xfId="2" applyFont="1" applyFill="1" applyBorder="1" applyProtection="1"/>
    <xf numFmtId="164" fontId="1" fillId="7" borderId="14" xfId="2" applyFill="1" applyBorder="1" applyProtection="1"/>
    <xf numFmtId="164" fontId="25" fillId="7" borderId="14" xfId="2" applyFont="1" applyFill="1" applyBorder="1" applyProtection="1"/>
    <xf numFmtId="164" fontId="18" fillId="7" borderId="5" xfId="2" applyFont="1" applyFill="1" applyBorder="1" applyProtection="1"/>
    <xf numFmtId="164" fontId="7" fillId="7" borderId="15" xfId="2" applyFont="1" applyFill="1" applyBorder="1" applyProtection="1"/>
    <xf numFmtId="166" fontId="0" fillId="2" borderId="0" xfId="2" applyNumberFormat="1" applyFont="1" applyFill="1" applyProtection="1"/>
    <xf numFmtId="0" fontId="18" fillId="5" borderId="0" xfId="0" applyFont="1" applyFill="1"/>
    <xf numFmtId="170" fontId="12" fillId="8" borderId="16" xfId="0" applyNumberFormat="1" applyFont="1" applyFill="1" applyBorder="1" applyAlignment="1" applyProtection="1">
      <alignment horizontal="left"/>
      <protection locked="0"/>
    </xf>
    <xf numFmtId="164" fontId="1" fillId="7" borderId="1" xfId="2" applyNumberFormat="1" applyFont="1" applyFill="1" applyBorder="1" applyProtection="1"/>
    <xf numFmtId="0" fontId="1" fillId="9" borderId="0" xfId="2" applyNumberFormat="1" applyFont="1" applyFill="1" applyBorder="1" applyAlignment="1" applyProtection="1">
      <alignment horizontal="center"/>
    </xf>
    <xf numFmtId="9" fontId="1" fillId="2" borderId="0" xfId="6" applyFont="1" applyFill="1" applyBorder="1" applyAlignment="1" applyProtection="1">
      <alignment horizontal="center"/>
    </xf>
    <xf numFmtId="164" fontId="1" fillId="7" borderId="2" xfId="2" applyNumberFormat="1" applyFont="1" applyFill="1" applyBorder="1" applyProtection="1"/>
    <xf numFmtId="0" fontId="0" fillId="0" borderId="6" xfId="0" applyBorder="1"/>
    <xf numFmtId="0" fontId="0" fillId="0" borderId="0" xfId="0" applyBorder="1"/>
    <xf numFmtId="0" fontId="0" fillId="0" borderId="5" xfId="0" applyBorder="1"/>
    <xf numFmtId="0" fontId="20" fillId="2" borderId="6" xfId="0" applyFont="1" applyFill="1" applyBorder="1" applyProtection="1"/>
    <xf numFmtId="0" fontId="0" fillId="2" borderId="0" xfId="0" applyFill="1" applyBorder="1" applyAlignment="1" applyProtection="1">
      <alignment horizontal="center"/>
    </xf>
    <xf numFmtId="0" fontId="0" fillId="2" borderId="5" xfId="0" applyFill="1" applyBorder="1" applyAlignment="1" applyProtection="1">
      <alignment horizontal="center"/>
    </xf>
    <xf numFmtId="164" fontId="1" fillId="7" borderId="14" xfId="2" applyNumberFormat="1" applyFont="1" applyFill="1" applyBorder="1" applyProtection="1"/>
    <xf numFmtId="164" fontId="1" fillId="7" borderId="0" xfId="2" applyNumberFormat="1" applyFont="1" applyFill="1" applyBorder="1" applyProtection="1"/>
    <xf numFmtId="164" fontId="1" fillId="7" borderId="5" xfId="2" applyNumberFormat="1" applyFont="1" applyFill="1" applyBorder="1" applyProtection="1"/>
    <xf numFmtId="0" fontId="1" fillId="9" borderId="5" xfId="2" applyNumberFormat="1" applyFont="1" applyFill="1" applyBorder="1" applyAlignment="1" applyProtection="1">
      <alignment horizontal="center"/>
    </xf>
    <xf numFmtId="9" fontId="1" fillId="2" borderId="5" xfId="6" applyFont="1" applyFill="1" applyBorder="1" applyAlignment="1" applyProtection="1">
      <alignment horizontal="center"/>
    </xf>
    <xf numFmtId="164" fontId="1" fillId="7" borderId="15" xfId="2" applyNumberFormat="1" applyFont="1" applyFill="1" applyBorder="1" applyProtection="1"/>
    <xf numFmtId="0" fontId="2" fillId="8" borderId="17" xfId="3" applyFill="1" applyBorder="1" applyAlignment="1" applyProtection="1">
      <alignment horizontal="left"/>
      <protection locked="0"/>
    </xf>
    <xf numFmtId="0" fontId="18" fillId="8" borderId="18" xfId="0" applyFont="1" applyFill="1" applyBorder="1" applyAlignment="1" applyProtection="1">
      <alignment horizontal="left"/>
      <protection locked="0"/>
    </xf>
    <xf numFmtId="0" fontId="16" fillId="2" borderId="0" xfId="0" applyFont="1" applyFill="1" applyBorder="1" applyAlignment="1" applyProtection="1">
      <alignment horizontal="right" indent="1"/>
    </xf>
    <xf numFmtId="0" fontId="12" fillId="8" borderId="17" xfId="0" applyFont="1" applyFill="1" applyBorder="1" applyAlignment="1" applyProtection="1">
      <alignment horizontal="left"/>
      <protection locked="0"/>
    </xf>
    <xf numFmtId="0" fontId="12" fillId="8" borderId="18" xfId="0" applyFont="1" applyFill="1" applyBorder="1" applyAlignment="1" applyProtection="1">
      <alignment horizontal="left"/>
      <protection locked="0"/>
    </xf>
    <xf numFmtId="0" fontId="21" fillId="2" borderId="9" xfId="0" applyFont="1" applyFill="1" applyBorder="1" applyAlignment="1" applyProtection="1">
      <alignment horizontal="center" vertical="top"/>
    </xf>
    <xf numFmtId="0" fontId="28" fillId="2" borderId="0" xfId="0" applyFont="1" applyFill="1" applyAlignment="1" applyProtection="1"/>
    <xf numFmtId="0" fontId="19" fillId="2" borderId="0" xfId="0" applyFont="1" applyFill="1" applyAlignment="1" applyProtection="1"/>
    <xf numFmtId="0" fontId="19" fillId="2" borderId="0" xfId="0" applyFont="1" applyFill="1" applyAlignment="1" applyProtection="1">
      <alignment horizontal="left"/>
    </xf>
    <xf numFmtId="0" fontId="20" fillId="2" borderId="7" xfId="0" applyFont="1" applyFill="1" applyBorder="1" applyAlignment="1" applyProtection="1">
      <alignment horizontal="center"/>
    </xf>
    <xf numFmtId="0" fontId="20" fillId="2" borderId="8" xfId="0" applyFont="1" applyFill="1" applyBorder="1" applyAlignment="1" applyProtection="1">
      <alignment horizontal="center"/>
    </xf>
    <xf numFmtId="0" fontId="20" fillId="2" borderId="11" xfId="0" applyFont="1" applyFill="1" applyBorder="1" applyAlignment="1" applyProtection="1">
      <alignment horizontal="center"/>
    </xf>
    <xf numFmtId="0" fontId="20" fillId="2" borderId="19" xfId="0" applyFont="1" applyFill="1" applyBorder="1" applyAlignment="1" applyProtection="1">
      <alignment horizontal="center"/>
    </xf>
    <xf numFmtId="0" fontId="20" fillId="2" borderId="10" xfId="0" applyFont="1" applyFill="1" applyBorder="1" applyAlignment="1" applyProtection="1">
      <alignment horizontal="center"/>
    </xf>
    <xf numFmtId="0" fontId="20" fillId="2" borderId="20" xfId="0" applyFont="1" applyFill="1" applyBorder="1" applyAlignment="1" applyProtection="1">
      <alignment horizontal="center"/>
    </xf>
    <xf numFmtId="0" fontId="30" fillId="0" borderId="19" xfId="0" applyFont="1" applyBorder="1" applyAlignment="1">
      <alignment horizontal="center"/>
    </xf>
    <xf numFmtId="0" fontId="30" fillId="0" borderId="10" xfId="0" applyFont="1" applyBorder="1" applyAlignment="1">
      <alignment horizontal="center"/>
    </xf>
    <xf numFmtId="0" fontId="30" fillId="0" borderId="20" xfId="0" applyFont="1" applyBorder="1" applyAlignment="1">
      <alignment horizontal="center"/>
    </xf>
  </cellXfs>
  <cellStyles count="7">
    <cellStyle name="Comma" xfId="1" builtinId="3"/>
    <cellStyle name="Currency" xfId="2" builtinId="4"/>
    <cellStyle name="Hyperlink" xfId="3" builtinId="8"/>
    <cellStyle name="Normal" xfId="0" builtinId="0"/>
    <cellStyle name="Normal_Calculation of Revenue Requirement" xfId="4"/>
    <cellStyle name="Normal_Tax Rates for 2006-2012_Sep42008"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114300</xdr:colOff>
      <xdr:row>1</xdr:row>
      <xdr:rowOff>0</xdr:rowOff>
    </xdr:from>
    <xdr:to>
      <xdr:col>5</xdr:col>
      <xdr:colOff>142875</xdr:colOff>
      <xdr:row>1</xdr:row>
      <xdr:rowOff>0</xdr:rowOff>
    </xdr:to>
    <xdr:sp macro="" textlink="">
      <xdr:nvSpPr>
        <xdr:cNvPr id="1092" name="Rectangle 1"/>
        <xdr:cNvSpPr>
          <a:spLocks noChangeArrowheads="1"/>
        </xdr:cNvSpPr>
      </xdr:nvSpPr>
      <xdr:spPr bwMode="auto">
        <a:xfrm>
          <a:off x="1352550" y="323850"/>
          <a:ext cx="5876925" cy="0"/>
        </a:xfrm>
        <a:prstGeom prst="rect">
          <a:avLst/>
        </a:prstGeom>
        <a:noFill/>
        <a:ln w="28575" algn="ctr">
          <a:solidFill>
            <a:srgbClr val="00FF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bradbury@cnpowe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dimension ref="A1:H21"/>
  <sheetViews>
    <sheetView showGridLines="0" zoomScale="85" zoomScaleNormal="85" workbookViewId="0">
      <selection activeCell="C43" sqref="C43"/>
    </sheetView>
  </sheetViews>
  <sheetFormatPr defaultRowHeight="12.75"/>
  <cols>
    <col min="1" max="1" width="18.5703125" style="7" customWidth="1"/>
    <col min="2" max="2" width="15.28515625" style="7" customWidth="1"/>
    <col min="3" max="3" width="23.7109375" style="7" customWidth="1"/>
    <col min="4" max="4" width="29.5703125" style="7" customWidth="1"/>
    <col min="5" max="5" width="19.140625" style="7" customWidth="1"/>
    <col min="6" max="6" width="11.85546875" style="7" customWidth="1"/>
    <col min="7" max="7" width="9.85546875" style="7" customWidth="1"/>
    <col min="8" max="8" width="13" style="7" customWidth="1"/>
    <col min="9" max="9" width="8.85546875" customWidth="1"/>
    <col min="245" max="245" width="51.140625" customWidth="1"/>
    <col min="246" max="246" width="7.85546875" customWidth="1"/>
    <col min="247" max="247" width="13.42578125" customWidth="1"/>
    <col min="248" max="249" width="12.7109375" customWidth="1"/>
  </cols>
  <sheetData>
    <row r="1" spans="1:8" ht="25.5">
      <c r="A1" s="1"/>
      <c r="B1" s="4" t="s">
        <v>194</v>
      </c>
      <c r="C1" s="1"/>
      <c r="D1" s="1"/>
      <c r="E1" s="1"/>
      <c r="F1" s="1"/>
      <c r="G1" s="1"/>
      <c r="H1" s="1"/>
    </row>
    <row r="2" spans="1:8">
      <c r="A2" s="8"/>
      <c r="B2" s="8"/>
      <c r="C2" s="8"/>
      <c r="D2" s="8"/>
      <c r="E2" s="8"/>
      <c r="F2" s="8"/>
      <c r="G2" s="8"/>
      <c r="H2" s="8"/>
    </row>
    <row r="3" spans="1:8">
      <c r="A3" s="9"/>
      <c r="B3" s="1"/>
      <c r="C3" s="1"/>
      <c r="D3" s="1"/>
      <c r="E3" s="1"/>
      <c r="F3" s="1"/>
      <c r="G3" s="1"/>
      <c r="H3" s="1"/>
    </row>
    <row r="4" spans="1:8" ht="15.75">
      <c r="A4" s="10"/>
      <c r="B4" s="11" t="s">
        <v>0</v>
      </c>
      <c r="C4" s="161" t="s">
        <v>280</v>
      </c>
      <c r="D4"/>
      <c r="E4" s="12"/>
      <c r="F4" s="1"/>
      <c r="G4" s="1"/>
      <c r="H4" s="1"/>
    </row>
    <row r="5" spans="1:8" ht="15.75">
      <c r="A5" s="10"/>
      <c r="B5" s="11"/>
      <c r="C5" s="13"/>
      <c r="D5" s="13"/>
      <c r="E5" s="13"/>
      <c r="F5" s="1"/>
      <c r="G5" s="1"/>
      <c r="H5" s="1"/>
    </row>
    <row r="6" spans="1:8" ht="15.75">
      <c r="A6" s="10"/>
      <c r="B6" s="11" t="s">
        <v>1</v>
      </c>
      <c r="C6" s="36" t="s">
        <v>281</v>
      </c>
      <c r="D6"/>
      <c r="E6"/>
      <c r="F6"/>
      <c r="G6" s="1"/>
      <c r="H6" s="1"/>
    </row>
    <row r="7" spans="1:8" ht="15.75">
      <c r="A7" s="10"/>
      <c r="B7" s="11"/>
      <c r="C7" s="13"/>
      <c r="D7" s="14"/>
      <c r="E7" s="13"/>
      <c r="F7" s="1"/>
      <c r="G7" s="1"/>
      <c r="H7" s="1"/>
    </row>
    <row r="8" spans="1:8" ht="16.5" thickBot="1">
      <c r="A8" s="15"/>
      <c r="B8" s="15"/>
      <c r="C8" s="16"/>
      <c r="D8" s="14"/>
      <c r="E8" s="16"/>
      <c r="F8" s="15"/>
      <c r="G8" s="15"/>
      <c r="H8" s="15"/>
    </row>
    <row r="9" spans="1:8" ht="16.5" thickBot="1">
      <c r="A9" s="15"/>
      <c r="B9" s="11" t="s">
        <v>2</v>
      </c>
      <c r="C9" s="162">
        <v>40480</v>
      </c>
      <c r="D9"/>
      <c r="E9"/>
      <c r="F9" s="17"/>
      <c r="G9" s="15"/>
      <c r="H9" s="15"/>
    </row>
    <row r="10" spans="1:8" ht="15.75">
      <c r="A10" s="15"/>
      <c r="B10" s="15"/>
      <c r="C10" s="16"/>
      <c r="D10" s="16"/>
      <c r="E10" s="16"/>
      <c r="F10" s="15"/>
      <c r="G10" s="15"/>
      <c r="H10" s="15"/>
    </row>
    <row r="11" spans="1:8">
      <c r="A11"/>
      <c r="B11"/>
      <c r="C11"/>
      <c r="D11"/>
      <c r="E11"/>
      <c r="F11"/>
      <c r="G11"/>
      <c r="H11"/>
    </row>
    <row r="12" spans="1:8" ht="15.75">
      <c r="A12" s="15"/>
      <c r="B12" s="15"/>
      <c r="C12" s="16"/>
      <c r="D12" s="16"/>
      <c r="E12" s="16"/>
      <c r="F12" s="15"/>
      <c r="G12" s="15"/>
      <c r="H12" s="15"/>
    </row>
    <row r="13" spans="1:8" ht="16.5" thickBot="1">
      <c r="A13" s="181" t="s">
        <v>3</v>
      </c>
      <c r="B13" s="181"/>
      <c r="C13" s="16"/>
      <c r="D13" s="16"/>
      <c r="E13" s="16"/>
      <c r="F13" s="15"/>
      <c r="G13" s="15"/>
      <c r="H13" s="15"/>
    </row>
    <row r="14" spans="1:8" ht="16.5" thickBot="1">
      <c r="A14" s="15"/>
      <c r="B14" s="18" t="s">
        <v>4</v>
      </c>
      <c r="C14" s="182" t="s">
        <v>282</v>
      </c>
      <c r="D14" s="183"/>
      <c r="E14" s="19"/>
      <c r="F14" s="15"/>
      <c r="G14" s="15"/>
      <c r="H14" s="15"/>
    </row>
    <row r="15" spans="1:8" ht="16.5" thickBot="1">
      <c r="A15" s="15"/>
      <c r="B15" s="20"/>
      <c r="C15" s="16"/>
      <c r="D15" s="16"/>
      <c r="E15" s="16"/>
      <c r="F15" s="15"/>
      <c r="G15" s="15"/>
      <c r="H15" s="15"/>
    </row>
    <row r="16" spans="1:8" ht="16.5" thickBot="1">
      <c r="A16" s="15"/>
      <c r="B16" s="18" t="s">
        <v>5</v>
      </c>
      <c r="C16" s="182" t="s">
        <v>283</v>
      </c>
      <c r="D16" s="183"/>
      <c r="E16" s="19"/>
      <c r="F16" s="2"/>
      <c r="G16" s="15"/>
      <c r="H16" s="15"/>
    </row>
    <row r="17" spans="1:8" ht="16.5" thickBot="1">
      <c r="A17" s="15"/>
      <c r="B17" s="20"/>
      <c r="C17" s="16"/>
      <c r="D17" s="16"/>
      <c r="E17" s="16"/>
      <c r="F17" s="15"/>
      <c r="G17" s="15"/>
      <c r="H17" s="15"/>
    </row>
    <row r="18" spans="1:8" ht="16.5" thickBot="1">
      <c r="A18" s="15"/>
      <c r="B18" s="18" t="s">
        <v>6</v>
      </c>
      <c r="C18" s="182" t="s">
        <v>284</v>
      </c>
      <c r="D18" s="183"/>
      <c r="E18" s="19"/>
      <c r="F18" s="15"/>
      <c r="G18" s="15"/>
      <c r="H18" s="15"/>
    </row>
    <row r="19" spans="1:8" ht="15" thickBot="1">
      <c r="A19" s="1"/>
      <c r="B19" s="21"/>
      <c r="C19" s="22"/>
      <c r="D19" s="22"/>
      <c r="E19" s="22"/>
      <c r="F19" s="1"/>
      <c r="G19" s="1"/>
      <c r="H19" s="1"/>
    </row>
    <row r="20" spans="1:8" ht="16.5" thickBot="1">
      <c r="A20" s="1"/>
      <c r="B20" s="18" t="s">
        <v>7</v>
      </c>
      <c r="C20" s="179" t="s">
        <v>285</v>
      </c>
      <c r="D20" s="180"/>
      <c r="E20" s="19"/>
      <c r="F20" s="1"/>
      <c r="G20" s="1"/>
      <c r="H20" s="1"/>
    </row>
    <row r="21" spans="1:8">
      <c r="A21" s="1"/>
      <c r="B21" s="1"/>
      <c r="C21" s="1"/>
      <c r="D21" s="1"/>
      <c r="E21" s="1"/>
      <c r="F21" s="1"/>
      <c r="G21" s="1"/>
      <c r="H21" s="1"/>
    </row>
  </sheetData>
  <sheetProtection formatColumns="0" selectLockedCells="1"/>
  <mergeCells count="5">
    <mergeCell ref="C20:D20"/>
    <mergeCell ref="A13:B13"/>
    <mergeCell ref="C14:D14"/>
    <mergeCell ref="C16:D16"/>
    <mergeCell ref="C18:D18"/>
  </mergeCells>
  <phoneticPr fontId="4" type="noConversion"/>
  <hyperlinks>
    <hyperlink ref="C20" r:id="rId1"/>
  </hyperlinks>
  <pageMargins left="0.75" right="0.75" top="1" bottom="1" header="0.5" footer="0.5"/>
  <pageSetup scale="67" orientation="portrait" r:id="rId2"/>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sheetPr codeName="Sheet6">
    <pageSetUpPr fitToPage="1"/>
  </sheetPr>
  <dimension ref="A1:U148"/>
  <sheetViews>
    <sheetView showGridLines="0" topLeftCell="B1" zoomScale="70" zoomScaleNormal="70" workbookViewId="0">
      <selection activeCell="I36" sqref="I36"/>
    </sheetView>
  </sheetViews>
  <sheetFormatPr defaultRowHeight="12.75"/>
  <cols>
    <col min="1" max="1" width="17.5703125" style="7" hidden="1" customWidth="1"/>
    <col min="2" max="2" width="102.85546875" style="7" bestFit="1" customWidth="1"/>
    <col min="3" max="3" width="20.5703125" style="7" customWidth="1"/>
    <col min="4" max="4" width="17.42578125" style="7" customWidth="1"/>
    <col min="5" max="5" width="15.28515625" style="7" customWidth="1"/>
    <col min="6" max="10" width="17.28515625" style="7" customWidth="1"/>
    <col min="11" max="11" width="15.42578125" style="7" customWidth="1"/>
    <col min="12" max="16384" width="9.140625" style="7"/>
  </cols>
  <sheetData>
    <row r="1" spans="1:11" s="3" customFormat="1" ht="30">
      <c r="A1" s="1"/>
      <c r="B1" s="185" t="s">
        <v>12</v>
      </c>
      <c r="C1" s="185"/>
      <c r="D1" s="185"/>
      <c r="E1" s="185"/>
      <c r="F1" s="185"/>
      <c r="G1" s="185"/>
      <c r="H1" s="185"/>
      <c r="I1" s="185"/>
      <c r="J1" s="78"/>
      <c r="K1" s="1"/>
    </row>
    <row r="2" spans="1:11" s="3" customFormat="1" ht="11.25">
      <c r="A2" s="26"/>
      <c r="B2" s="26"/>
      <c r="C2" s="26"/>
      <c r="D2" s="26"/>
      <c r="E2" s="26"/>
      <c r="F2" s="26"/>
      <c r="G2" s="26"/>
      <c r="H2" s="26"/>
      <c r="I2" s="26"/>
      <c r="J2" s="26"/>
      <c r="K2" s="26"/>
    </row>
    <row r="3" spans="1:11" ht="18">
      <c r="A3" s="5"/>
      <c r="B3" s="27" t="s">
        <v>14</v>
      </c>
      <c r="C3" s="27"/>
      <c r="D3" s="5"/>
      <c r="E3" s="5"/>
      <c r="F3" s="5"/>
      <c r="G3" s="5"/>
      <c r="H3" s="5"/>
      <c r="I3" s="5"/>
      <c r="J3" s="5"/>
      <c r="K3" s="5"/>
    </row>
    <row r="4" spans="1:11">
      <c r="A4" s="5"/>
      <c r="B4" s="28" t="s">
        <v>15</v>
      </c>
      <c r="C4" s="28"/>
      <c r="D4" s="23">
        <v>2006</v>
      </c>
      <c r="E4" s="23">
        <v>2007</v>
      </c>
      <c r="F4" s="23">
        <v>2008</v>
      </c>
      <c r="G4" s="23">
        <v>2009</v>
      </c>
      <c r="H4" s="23">
        <v>2010</v>
      </c>
      <c r="I4" s="23">
        <v>2011</v>
      </c>
      <c r="J4" s="81" t="s">
        <v>207</v>
      </c>
      <c r="K4" s="23" t="s">
        <v>16</v>
      </c>
    </row>
    <row r="5" spans="1:11">
      <c r="A5" s="5"/>
      <c r="B5" s="28"/>
      <c r="C5" s="28"/>
      <c r="D5" s="80" t="s">
        <v>205</v>
      </c>
      <c r="E5" s="80" t="s">
        <v>205</v>
      </c>
      <c r="F5" s="80" t="s">
        <v>205</v>
      </c>
      <c r="G5" s="80" t="s">
        <v>205</v>
      </c>
      <c r="H5" s="80" t="s">
        <v>204</v>
      </c>
      <c r="I5" s="80" t="s">
        <v>206</v>
      </c>
      <c r="J5" s="80" t="s">
        <v>206</v>
      </c>
      <c r="K5" s="29"/>
    </row>
    <row r="6" spans="1:11">
      <c r="A6" s="5"/>
      <c r="B6" s="30" t="s">
        <v>17</v>
      </c>
      <c r="C6" s="30"/>
      <c r="D6" s="91">
        <v>0</v>
      </c>
      <c r="E6" s="91">
        <v>0</v>
      </c>
      <c r="F6" s="91">
        <v>0</v>
      </c>
      <c r="G6" s="91">
        <v>0</v>
      </c>
      <c r="H6" s="91">
        <v>3099</v>
      </c>
      <c r="I6" s="91">
        <v>0</v>
      </c>
      <c r="J6" s="91">
        <v>0</v>
      </c>
      <c r="K6" s="32">
        <f>SUM(D6:J6)</f>
        <v>3099</v>
      </c>
    </row>
    <row r="7" spans="1:11" customFormat="1"/>
    <row r="8" spans="1:11">
      <c r="A8" s="5"/>
      <c r="B8" s="30" t="s">
        <v>18</v>
      </c>
      <c r="C8" s="30"/>
      <c r="D8" s="31">
        <v>0</v>
      </c>
      <c r="E8" s="31">
        <v>0</v>
      </c>
      <c r="F8" s="31">
        <v>0</v>
      </c>
      <c r="G8" s="31">
        <v>0</v>
      </c>
      <c r="H8" s="31">
        <v>998</v>
      </c>
      <c r="I8" s="31">
        <v>0</v>
      </c>
      <c r="J8" s="31">
        <v>0</v>
      </c>
      <c r="K8" s="32">
        <f>SUM(D8:J8)</f>
        <v>998</v>
      </c>
    </row>
    <row r="9" spans="1:11">
      <c r="A9" s="5"/>
      <c r="B9" s="5"/>
      <c r="C9" s="5"/>
      <c r="D9" s="5"/>
      <c r="E9" s="5"/>
      <c r="F9" s="5"/>
      <c r="G9" s="5"/>
      <c r="H9" s="5"/>
      <c r="I9" s="5"/>
      <c r="J9" s="5"/>
      <c r="K9" s="5"/>
    </row>
    <row r="10" spans="1:11">
      <c r="A10" s="5"/>
      <c r="B10" s="33" t="s">
        <v>20</v>
      </c>
      <c r="C10" s="33"/>
      <c r="D10" s="34">
        <f>SUM(D6,D8)</f>
        <v>0</v>
      </c>
      <c r="E10" s="34">
        <f t="shared" ref="E10:K10" si="0">SUM(E6,E8)</f>
        <v>0</v>
      </c>
      <c r="F10" s="34">
        <f t="shared" si="0"/>
        <v>0</v>
      </c>
      <c r="G10" s="34">
        <f t="shared" si="0"/>
        <v>0</v>
      </c>
      <c r="H10" s="34">
        <f t="shared" si="0"/>
        <v>4097</v>
      </c>
      <c r="I10" s="34">
        <f t="shared" si="0"/>
        <v>0</v>
      </c>
      <c r="J10" s="34">
        <f t="shared" si="0"/>
        <v>0</v>
      </c>
      <c r="K10" s="34">
        <f t="shared" si="0"/>
        <v>4097</v>
      </c>
    </row>
    <row r="11" spans="1:11">
      <c r="A11" s="5"/>
      <c r="B11" s="33"/>
      <c r="C11" s="33"/>
      <c r="D11" s="83"/>
      <c r="E11" s="83"/>
      <c r="F11" s="83"/>
      <c r="G11" s="83"/>
      <c r="H11" s="83"/>
      <c r="I11" s="83"/>
      <c r="J11" s="83"/>
      <c r="K11" s="83"/>
    </row>
    <row r="12" spans="1:11">
      <c r="A12" s="5"/>
      <c r="B12" s="33" t="s">
        <v>209</v>
      </c>
      <c r="C12" s="33"/>
      <c r="D12" s="84">
        <f>IF(ISERROR(SUM($D10:D10)/$K10),0,SUM($D10:D10)/$K10)</f>
        <v>0</v>
      </c>
      <c r="E12" s="84">
        <f>IF(ISERROR(SUM($D10:E10)/$K10),0,SUM($D10:E10)/$K10)</f>
        <v>0</v>
      </c>
      <c r="F12" s="84">
        <f>IF(ISERROR(SUM($D10:F10)/$K10),0,SUM($D10:F10)/$K10)</f>
        <v>0</v>
      </c>
      <c r="G12" s="84">
        <f>IF(ISERROR(SUM($D10:G10)/$K10),0,SUM($D10:G10)/$K10)</f>
        <v>0</v>
      </c>
      <c r="H12" s="84">
        <f>IF(ISERROR(SUM($D10:H10)/$K10),0,SUM($D10:H10)/$K10)</f>
        <v>1</v>
      </c>
      <c r="I12" s="84">
        <f>IF(ISERROR(SUM($D10:I10)/$K10),0,SUM($D10:I10)/$K10)</f>
        <v>1</v>
      </c>
      <c r="J12" s="84">
        <f>IF(ISERROR(SUM($D10:J10)/$K10),0,SUM($D10:J10)/$K10)</f>
        <v>1</v>
      </c>
      <c r="K12" s="83"/>
    </row>
    <row r="13" spans="1:11">
      <c r="A13" s="5"/>
      <c r="B13" s="5"/>
      <c r="C13" s="5"/>
      <c r="D13" s="5"/>
      <c r="E13" s="5"/>
      <c r="F13" s="5"/>
      <c r="G13" s="5"/>
      <c r="H13" s="5"/>
      <c r="I13" s="5"/>
      <c r="J13" s="5"/>
      <c r="K13" s="5"/>
    </row>
    <row r="14" spans="1:11">
      <c r="A14" s="5"/>
      <c r="B14" s="56" t="s">
        <v>19</v>
      </c>
      <c r="C14" s="30"/>
      <c r="D14" s="31">
        <v>0</v>
      </c>
      <c r="E14" s="31">
        <v>0</v>
      </c>
      <c r="F14" s="31">
        <v>0</v>
      </c>
      <c r="G14" s="31">
        <v>0</v>
      </c>
      <c r="H14" s="31">
        <v>0</v>
      </c>
      <c r="I14" s="31">
        <v>71</v>
      </c>
      <c r="J14" s="31">
        <v>0</v>
      </c>
      <c r="K14" s="32">
        <f>SUM(D14:J14)</f>
        <v>71</v>
      </c>
    </row>
    <row r="16" spans="1:11" ht="13.5" thickBot="1">
      <c r="A16" s="5"/>
      <c r="B16" s="56" t="s">
        <v>208</v>
      </c>
      <c r="C16" s="30"/>
      <c r="D16" s="35">
        <f t="shared" ref="D16:J16" si="1">SUM(D10,D14)</f>
        <v>0</v>
      </c>
      <c r="E16" s="35">
        <f t="shared" si="1"/>
        <v>0</v>
      </c>
      <c r="F16" s="35">
        <f t="shared" si="1"/>
        <v>0</v>
      </c>
      <c r="G16" s="35">
        <f t="shared" si="1"/>
        <v>0</v>
      </c>
      <c r="H16" s="35">
        <f t="shared" si="1"/>
        <v>4097</v>
      </c>
      <c r="I16" s="35">
        <f t="shared" si="1"/>
        <v>71</v>
      </c>
      <c r="J16" s="35">
        <f t="shared" si="1"/>
        <v>0</v>
      </c>
      <c r="K16" s="35">
        <f>SUM(D16:J16)</f>
        <v>4168</v>
      </c>
    </row>
    <row r="17" spans="1:21">
      <c r="A17" s="5"/>
      <c r="B17" s="5"/>
      <c r="C17" s="5"/>
      <c r="D17" s="5"/>
      <c r="E17" s="5"/>
      <c r="F17" s="5"/>
      <c r="G17" s="5"/>
      <c r="H17" s="5"/>
      <c r="I17" s="5"/>
      <c r="J17" s="5"/>
      <c r="K17" s="5"/>
    </row>
    <row r="18" spans="1:21" ht="18">
      <c r="A18" s="5"/>
      <c r="B18" s="27" t="s">
        <v>21</v>
      </c>
      <c r="C18" s="27"/>
      <c r="D18" s="5"/>
      <c r="E18" s="5"/>
      <c r="F18" s="5"/>
      <c r="G18" s="5"/>
      <c r="H18" s="5"/>
      <c r="I18" s="5"/>
      <c r="J18" s="5"/>
      <c r="K18" s="5"/>
    </row>
    <row r="19" spans="1:21">
      <c r="A19" s="5"/>
      <c r="B19" s="28" t="s">
        <v>15</v>
      </c>
      <c r="C19" s="28"/>
      <c r="D19" s="23">
        <f>D4</f>
        <v>2006</v>
      </c>
      <c r="E19" s="23">
        <f t="shared" ref="E19:J19" si="2">E4</f>
        <v>2007</v>
      </c>
      <c r="F19" s="23">
        <f t="shared" si="2"/>
        <v>2008</v>
      </c>
      <c r="G19" s="23">
        <f t="shared" si="2"/>
        <v>2009</v>
      </c>
      <c r="H19" s="23">
        <f t="shared" si="2"/>
        <v>2010</v>
      </c>
      <c r="I19" s="23">
        <f t="shared" si="2"/>
        <v>2011</v>
      </c>
      <c r="J19" s="23" t="str">
        <f t="shared" si="2"/>
        <v>Later</v>
      </c>
      <c r="K19" s="29" t="s">
        <v>16</v>
      </c>
    </row>
    <row r="20" spans="1:21">
      <c r="A20" s="5"/>
      <c r="B20" s="28"/>
      <c r="C20" s="28"/>
      <c r="D20" s="23" t="str">
        <f>D5</f>
        <v>Audited Actual</v>
      </c>
      <c r="E20" s="23" t="str">
        <f t="shared" ref="E20:J20" si="3">E5</f>
        <v>Audited Actual</v>
      </c>
      <c r="F20" s="23" t="str">
        <f t="shared" si="3"/>
        <v>Audited Actual</v>
      </c>
      <c r="G20" s="23" t="str">
        <f t="shared" si="3"/>
        <v>Audited Actual</v>
      </c>
      <c r="H20" s="23" t="str">
        <f t="shared" si="3"/>
        <v>Actual</v>
      </c>
      <c r="I20" s="23" t="str">
        <f t="shared" si="3"/>
        <v>Forecasted</v>
      </c>
      <c r="J20" s="23" t="str">
        <f t="shared" si="3"/>
        <v>Forecasted</v>
      </c>
      <c r="K20" s="29"/>
    </row>
    <row r="21" spans="1:21">
      <c r="A21" s="5"/>
      <c r="B21" s="30" t="s">
        <v>22</v>
      </c>
      <c r="C21" s="30"/>
      <c r="D21" s="31">
        <v>0</v>
      </c>
      <c r="E21" s="31">
        <v>0</v>
      </c>
      <c r="F21" s="31">
        <v>0</v>
      </c>
      <c r="G21" s="31">
        <v>0</v>
      </c>
      <c r="H21" s="31">
        <v>1</v>
      </c>
      <c r="I21" s="31">
        <v>0</v>
      </c>
      <c r="J21" s="31">
        <v>0</v>
      </c>
      <c r="K21" s="32">
        <f>SUM(D21:J21)</f>
        <v>1</v>
      </c>
    </row>
    <row r="22" spans="1:21" customFormat="1">
      <c r="U22" s="7"/>
    </row>
    <row r="23" spans="1:21">
      <c r="A23" s="5"/>
      <c r="B23" s="30" t="s">
        <v>23</v>
      </c>
      <c r="C23" s="30"/>
      <c r="D23" s="31">
        <v>0</v>
      </c>
      <c r="E23" s="31">
        <v>0</v>
      </c>
      <c r="F23" s="31">
        <v>0</v>
      </c>
      <c r="G23" s="31">
        <v>0</v>
      </c>
      <c r="H23" s="31">
        <v>3</v>
      </c>
      <c r="I23" s="31">
        <v>0</v>
      </c>
      <c r="J23" s="31">
        <v>0</v>
      </c>
      <c r="K23" s="32">
        <f>SUM(D23:J23)</f>
        <v>3</v>
      </c>
    </row>
    <row r="24" spans="1:21">
      <c r="A24" s="5"/>
      <c r="B24" s="5"/>
      <c r="C24" s="5"/>
      <c r="D24" s="5"/>
      <c r="E24" s="5"/>
      <c r="F24" s="5"/>
      <c r="G24" s="5"/>
      <c r="H24" s="5"/>
      <c r="I24" s="5"/>
      <c r="J24" s="5"/>
      <c r="K24" s="5"/>
    </row>
    <row r="25" spans="1:21">
      <c r="A25" s="5"/>
      <c r="B25" s="30" t="s">
        <v>24</v>
      </c>
      <c r="C25" s="30"/>
    </row>
    <row r="26" spans="1:21" customFormat="1">
      <c r="B26" s="36"/>
      <c r="D26" s="31"/>
      <c r="E26" s="31"/>
      <c r="F26" s="31"/>
      <c r="G26" s="31"/>
      <c r="H26" s="31"/>
      <c r="I26" s="31"/>
      <c r="J26" s="31"/>
      <c r="K26" s="32">
        <f>SUM(D26:J26)</f>
        <v>0</v>
      </c>
    </row>
    <row r="27" spans="1:21" customFormat="1"/>
    <row r="28" spans="1:21" customFormat="1">
      <c r="B28" s="36"/>
      <c r="D28" s="31"/>
      <c r="E28" s="31"/>
      <c r="F28" s="31"/>
      <c r="G28" s="31"/>
      <c r="H28" s="31"/>
      <c r="I28" s="31"/>
      <c r="J28" s="31"/>
      <c r="K28" s="32">
        <f>SUM(D28:J28)</f>
        <v>0</v>
      </c>
    </row>
    <row r="29" spans="1:21">
      <c r="A29" s="5"/>
      <c r="B29" s="5"/>
      <c r="C29" s="5"/>
      <c r="D29" s="5"/>
      <c r="E29" s="5"/>
      <c r="F29" s="5"/>
      <c r="G29" s="5"/>
      <c r="H29" s="5"/>
      <c r="I29" s="5"/>
      <c r="J29" s="5"/>
      <c r="K29" s="5"/>
    </row>
    <row r="30" spans="1:21" customFormat="1">
      <c r="B30" s="36"/>
      <c r="D30" s="31"/>
      <c r="E30" s="31"/>
      <c r="F30" s="31"/>
      <c r="G30" s="31"/>
      <c r="H30" s="31"/>
      <c r="I30" s="31"/>
      <c r="J30" s="31"/>
      <c r="K30" s="32">
        <f>SUM(D30:J30)</f>
        <v>0</v>
      </c>
    </row>
    <row r="31" spans="1:21">
      <c r="A31" s="5"/>
      <c r="B31" s="5"/>
      <c r="C31" s="5"/>
      <c r="D31" s="5"/>
      <c r="E31" s="5"/>
      <c r="F31" s="5"/>
      <c r="G31" s="5"/>
      <c r="H31" s="5"/>
      <c r="I31" s="5"/>
      <c r="J31" s="5"/>
      <c r="K31" s="5"/>
    </row>
    <row r="32" spans="1:21" customFormat="1">
      <c r="B32" s="36"/>
      <c r="D32" s="31"/>
      <c r="E32" s="31"/>
      <c r="F32" s="31"/>
      <c r="G32" s="31"/>
      <c r="H32" s="31"/>
      <c r="I32" s="31"/>
      <c r="J32" s="31"/>
      <c r="K32" s="32">
        <f>SUM(D32:J32)</f>
        <v>0</v>
      </c>
    </row>
    <row r="33" spans="1:21">
      <c r="A33" s="5"/>
      <c r="B33" s="5"/>
      <c r="C33" s="5"/>
      <c r="D33" s="5"/>
      <c r="E33" s="5"/>
      <c r="F33" s="5"/>
      <c r="G33" s="5"/>
      <c r="H33" s="5"/>
      <c r="I33" s="5"/>
      <c r="J33" s="5"/>
      <c r="K33" s="5"/>
    </row>
    <row r="34" spans="1:21">
      <c r="A34" s="5"/>
      <c r="B34" s="5"/>
      <c r="C34" s="5"/>
      <c r="D34" s="5"/>
      <c r="E34" s="5"/>
      <c r="F34" s="5"/>
      <c r="G34" s="5"/>
      <c r="H34" s="5"/>
      <c r="I34" s="5"/>
      <c r="J34" s="5"/>
      <c r="K34" s="5"/>
    </row>
    <row r="35" spans="1:21" ht="23.25">
      <c r="B35" s="37" t="s">
        <v>25</v>
      </c>
      <c r="C35" s="37"/>
      <c r="D35" s="5"/>
      <c r="E35" s="5"/>
      <c r="F35" s="5"/>
      <c r="G35" s="5"/>
      <c r="H35" s="5"/>
      <c r="I35" s="5"/>
      <c r="J35" s="5"/>
      <c r="K35" s="5"/>
    </row>
    <row r="36" spans="1:21" ht="18">
      <c r="A36" s="5"/>
      <c r="B36" s="38" t="s">
        <v>26</v>
      </c>
      <c r="C36" s="38" t="s">
        <v>27</v>
      </c>
      <c r="D36" s="5"/>
      <c r="E36" s="5"/>
      <c r="F36" s="5"/>
      <c r="G36" s="5"/>
      <c r="H36" s="5"/>
      <c r="I36" s="5"/>
      <c r="J36" s="5"/>
      <c r="K36" s="5"/>
    </row>
    <row r="37" spans="1:21">
      <c r="A37" s="5"/>
      <c r="B37" s="39"/>
      <c r="C37" s="39"/>
      <c r="D37" s="23">
        <f>D19</f>
        <v>2006</v>
      </c>
      <c r="E37" s="23">
        <f t="shared" ref="E37:J37" si="4">E19</f>
        <v>2007</v>
      </c>
      <c r="F37" s="23">
        <f t="shared" si="4"/>
        <v>2008</v>
      </c>
      <c r="G37" s="23">
        <f t="shared" si="4"/>
        <v>2009</v>
      </c>
      <c r="H37" s="23">
        <f t="shared" si="4"/>
        <v>2010</v>
      </c>
      <c r="I37" s="23">
        <f t="shared" si="4"/>
        <v>2011</v>
      </c>
      <c r="J37" s="23" t="str">
        <f t="shared" si="4"/>
        <v>Later</v>
      </c>
      <c r="K37" s="23" t="s">
        <v>16</v>
      </c>
    </row>
    <row r="38" spans="1:21">
      <c r="A38" s="5"/>
      <c r="B38" s="39"/>
      <c r="C38" s="39"/>
      <c r="D38" s="23" t="str">
        <f>D20</f>
        <v>Audited Actual</v>
      </c>
      <c r="E38" s="23" t="str">
        <f t="shared" ref="E38:J38" si="5">E20</f>
        <v>Audited Actual</v>
      </c>
      <c r="F38" s="23" t="str">
        <f t="shared" si="5"/>
        <v>Audited Actual</v>
      </c>
      <c r="G38" s="23" t="str">
        <f t="shared" si="5"/>
        <v>Audited Actual</v>
      </c>
      <c r="H38" s="23" t="str">
        <f t="shared" si="5"/>
        <v>Actual</v>
      </c>
      <c r="I38" s="23" t="str">
        <f t="shared" si="5"/>
        <v>Forecasted</v>
      </c>
      <c r="J38" s="23" t="str">
        <f t="shared" si="5"/>
        <v>Forecasted</v>
      </c>
      <c r="K38" s="23"/>
    </row>
    <row r="39" spans="1:21" ht="20.25">
      <c r="A39" s="5"/>
      <c r="B39" s="40" t="s">
        <v>28</v>
      </c>
      <c r="C39" s="85" t="s">
        <v>8</v>
      </c>
      <c r="D39" s="41">
        <v>0</v>
      </c>
      <c r="E39" s="41">
        <v>0</v>
      </c>
      <c r="F39" s="41">
        <v>0</v>
      </c>
      <c r="G39" s="41">
        <v>839.41000000000008</v>
      </c>
      <c r="H39" s="41">
        <v>357976.25613439997</v>
      </c>
      <c r="I39" s="41">
        <v>0</v>
      </c>
      <c r="J39" s="41">
        <v>0</v>
      </c>
      <c r="K39" s="42">
        <f>SUM(D39:J39)</f>
        <v>358815.66613439994</v>
      </c>
      <c r="U39" s="82"/>
    </row>
    <row r="40" spans="1:21" ht="20.25">
      <c r="A40" s="5"/>
      <c r="B40" s="43" t="s">
        <v>29</v>
      </c>
      <c r="C40" s="43"/>
      <c r="D40" s="87"/>
      <c r="E40" s="87"/>
      <c r="F40" s="87"/>
      <c r="G40" s="87"/>
      <c r="H40" s="87"/>
      <c r="I40" s="87"/>
      <c r="J40" s="79"/>
      <c r="K40" s="5"/>
      <c r="U40" s="82"/>
    </row>
    <row r="41" spans="1:21" ht="20.25">
      <c r="A41" s="5"/>
      <c r="B41" s="40" t="s">
        <v>30</v>
      </c>
      <c r="C41" s="85" t="s">
        <v>8</v>
      </c>
      <c r="D41" s="41">
        <v>0</v>
      </c>
      <c r="E41" s="41">
        <v>0</v>
      </c>
      <c r="F41" s="41">
        <v>0</v>
      </c>
      <c r="G41" s="41">
        <v>6413.75</v>
      </c>
      <c r="H41" s="41">
        <v>85642.89</v>
      </c>
      <c r="I41" s="41">
        <v>0</v>
      </c>
      <c r="J41" s="41">
        <v>0</v>
      </c>
      <c r="K41" s="42">
        <f>SUM(D41:J41)</f>
        <v>92056.639999999999</v>
      </c>
      <c r="U41" s="82"/>
    </row>
    <row r="42" spans="1:21">
      <c r="A42" s="5"/>
      <c r="B42" s="43" t="s">
        <v>31</v>
      </c>
      <c r="C42" s="43"/>
      <c r="D42" s="184"/>
      <c r="E42" s="184"/>
      <c r="F42" s="184"/>
      <c r="G42" s="184"/>
      <c r="H42" s="184"/>
      <c r="I42" s="184"/>
      <c r="J42" s="79"/>
      <c r="K42" s="5"/>
    </row>
    <row r="43" spans="1:21" ht="15.75">
      <c r="A43" s="5"/>
      <c r="B43" s="40" t="s">
        <v>32</v>
      </c>
      <c r="C43" s="85" t="s">
        <v>9</v>
      </c>
      <c r="D43" s="41">
        <v>0</v>
      </c>
      <c r="E43" s="41">
        <v>0</v>
      </c>
      <c r="F43" s="41">
        <v>0</v>
      </c>
      <c r="G43" s="41">
        <v>468.5581402597403</v>
      </c>
      <c r="H43" s="41">
        <v>46.757480000000001</v>
      </c>
      <c r="I43" s="41">
        <v>0</v>
      </c>
      <c r="J43" s="41">
        <v>0</v>
      </c>
      <c r="K43" s="42">
        <f>SUM(D43:J43)</f>
        <v>515.31562025974029</v>
      </c>
    </row>
    <row r="44" spans="1:21">
      <c r="A44" s="5"/>
      <c r="B44" s="43" t="s">
        <v>33</v>
      </c>
      <c r="C44" s="43"/>
      <c r="D44" s="184"/>
      <c r="E44" s="184"/>
      <c r="F44" s="184"/>
      <c r="G44" s="184"/>
      <c r="H44" s="184"/>
      <c r="I44" s="184"/>
      <c r="J44" s="79"/>
      <c r="K44" s="5"/>
    </row>
    <row r="45" spans="1:21" ht="15.75">
      <c r="A45" s="5"/>
      <c r="B45" s="40" t="s">
        <v>34</v>
      </c>
      <c r="C45" s="85" t="s">
        <v>10</v>
      </c>
      <c r="D45" s="41">
        <v>0</v>
      </c>
      <c r="E45" s="41">
        <v>0</v>
      </c>
      <c r="F45" s="41">
        <v>0</v>
      </c>
      <c r="G45" s="41">
        <v>7010.9518536555688</v>
      </c>
      <c r="H45" s="41">
        <v>426.70686456400745</v>
      </c>
      <c r="I45" s="41">
        <v>0</v>
      </c>
      <c r="J45" s="41">
        <v>0</v>
      </c>
      <c r="K45" s="42">
        <f>SUM(D45:J45)</f>
        <v>7437.6587182195763</v>
      </c>
    </row>
    <row r="46" spans="1:21">
      <c r="A46" s="5"/>
      <c r="B46" s="43" t="s">
        <v>33</v>
      </c>
      <c r="C46" s="43"/>
      <c r="D46" s="184"/>
      <c r="E46" s="184"/>
      <c r="F46" s="184"/>
      <c r="G46" s="184"/>
      <c r="H46" s="184"/>
      <c r="I46" s="184"/>
      <c r="J46" s="79"/>
      <c r="K46" s="5"/>
    </row>
    <row r="47" spans="1:21">
      <c r="A47" s="5"/>
      <c r="B47" s="39"/>
      <c r="C47" s="39"/>
      <c r="D47" s="5"/>
      <c r="E47" s="23"/>
      <c r="F47" s="23"/>
      <c r="G47" s="5"/>
      <c r="H47" s="5"/>
      <c r="I47" s="5"/>
      <c r="J47" s="5"/>
      <c r="K47" s="5"/>
    </row>
    <row r="48" spans="1:21" ht="13.5" thickBot="1">
      <c r="A48" s="5"/>
      <c r="B48" s="40" t="s">
        <v>35</v>
      </c>
      <c r="C48" s="40"/>
      <c r="D48" s="44">
        <f t="shared" ref="D48:K48" si="6">SUM(D39,D41,D43,D45)</f>
        <v>0</v>
      </c>
      <c r="E48" s="44">
        <f t="shared" si="6"/>
        <v>0</v>
      </c>
      <c r="F48" s="44">
        <f t="shared" si="6"/>
        <v>0</v>
      </c>
      <c r="G48" s="44">
        <f t="shared" si="6"/>
        <v>14732.669993915308</v>
      </c>
      <c r="H48" s="44">
        <f t="shared" si="6"/>
        <v>444092.61047896394</v>
      </c>
      <c r="I48" s="44">
        <f t="shared" si="6"/>
        <v>0</v>
      </c>
      <c r="J48" s="44">
        <f t="shared" si="6"/>
        <v>0</v>
      </c>
      <c r="K48" s="44">
        <f t="shared" si="6"/>
        <v>458825.28047287924</v>
      </c>
    </row>
    <row r="49" spans="1:11">
      <c r="A49" s="5"/>
      <c r="B49" s="39"/>
      <c r="C49" s="39"/>
      <c r="D49" s="5"/>
      <c r="E49" s="5"/>
      <c r="F49" s="5"/>
      <c r="G49" s="5"/>
      <c r="H49" s="5"/>
      <c r="I49" s="5"/>
      <c r="J49" s="5"/>
      <c r="K49" s="5"/>
    </row>
    <row r="50" spans="1:11" ht="18">
      <c r="A50" s="5"/>
      <c r="B50" s="38" t="s">
        <v>36</v>
      </c>
      <c r="C50" s="38"/>
      <c r="D50" s="5"/>
      <c r="E50" s="5"/>
      <c r="F50" s="5"/>
      <c r="G50" s="5"/>
      <c r="H50" s="5"/>
      <c r="I50" s="5"/>
      <c r="J50" s="5"/>
      <c r="K50" s="5"/>
    </row>
    <row r="51" spans="1:11">
      <c r="A51" s="5"/>
      <c r="B51" s="39"/>
      <c r="C51" s="39"/>
      <c r="D51" s="23">
        <f>D4</f>
        <v>2006</v>
      </c>
      <c r="E51" s="23">
        <f t="shared" ref="E51:J51" si="7">E4</f>
        <v>2007</v>
      </c>
      <c r="F51" s="23">
        <f t="shared" si="7"/>
        <v>2008</v>
      </c>
      <c r="G51" s="23">
        <f t="shared" si="7"/>
        <v>2009</v>
      </c>
      <c r="H51" s="23">
        <f t="shared" si="7"/>
        <v>2010</v>
      </c>
      <c r="I51" s="23">
        <f t="shared" si="7"/>
        <v>2011</v>
      </c>
      <c r="J51" s="23" t="str">
        <f t="shared" si="7"/>
        <v>Later</v>
      </c>
      <c r="K51" s="23" t="s">
        <v>16</v>
      </c>
    </row>
    <row r="52" spans="1:11">
      <c r="A52" s="5"/>
      <c r="B52" s="39"/>
      <c r="C52" s="39"/>
      <c r="D52" s="23" t="str">
        <f>D5</f>
        <v>Audited Actual</v>
      </c>
      <c r="E52" s="23" t="str">
        <f t="shared" ref="E52:J52" si="8">E5</f>
        <v>Audited Actual</v>
      </c>
      <c r="F52" s="23" t="str">
        <f t="shared" si="8"/>
        <v>Audited Actual</v>
      </c>
      <c r="G52" s="23" t="str">
        <f t="shared" si="8"/>
        <v>Audited Actual</v>
      </c>
      <c r="H52" s="23" t="str">
        <f t="shared" si="8"/>
        <v>Actual</v>
      </c>
      <c r="I52" s="23" t="str">
        <f t="shared" si="8"/>
        <v>Forecasted</v>
      </c>
      <c r="J52" s="23" t="str">
        <f t="shared" si="8"/>
        <v>Forecasted</v>
      </c>
      <c r="K52" s="23"/>
    </row>
    <row r="53" spans="1:11" ht="15.75">
      <c r="A53" s="5"/>
      <c r="B53" s="40" t="s">
        <v>37</v>
      </c>
      <c r="C53" s="85" t="s">
        <v>8</v>
      </c>
      <c r="D53" s="41">
        <v>0</v>
      </c>
      <c r="E53" s="41">
        <v>0</v>
      </c>
      <c r="F53" s="41">
        <v>0</v>
      </c>
      <c r="G53" s="41">
        <v>0</v>
      </c>
      <c r="H53" s="41">
        <v>123862.06</v>
      </c>
      <c r="I53" s="41">
        <v>0</v>
      </c>
      <c r="J53" s="41">
        <v>0</v>
      </c>
      <c r="K53" s="45">
        <f>SUM(D53:J53)</f>
        <v>123862.06</v>
      </c>
    </row>
    <row r="54" spans="1:11">
      <c r="A54" s="5"/>
      <c r="B54" s="43"/>
      <c r="C54" s="43"/>
      <c r="D54" s="184"/>
      <c r="E54" s="184"/>
      <c r="F54" s="184"/>
      <c r="G54" s="184"/>
      <c r="H54" s="184"/>
      <c r="I54" s="184"/>
      <c r="J54" s="79"/>
      <c r="K54" s="5"/>
    </row>
    <row r="55" spans="1:11">
      <c r="A55" s="5"/>
      <c r="B55" s="39"/>
      <c r="C55" s="39"/>
      <c r="D55" s="23"/>
      <c r="E55" s="23"/>
      <c r="F55" s="23"/>
      <c r="G55" s="23"/>
      <c r="H55" s="23"/>
      <c r="I55" s="23"/>
      <c r="J55" s="23"/>
      <c r="K55" s="23"/>
    </row>
    <row r="56" spans="1:11" ht="15.75">
      <c r="A56" s="5"/>
      <c r="B56" s="40" t="s">
        <v>38</v>
      </c>
      <c r="C56" s="85" t="s">
        <v>8</v>
      </c>
      <c r="D56" s="41">
        <v>0</v>
      </c>
      <c r="E56" s="41">
        <v>0</v>
      </c>
      <c r="F56" s="41">
        <v>0</v>
      </c>
      <c r="G56" s="41">
        <v>0</v>
      </c>
      <c r="H56" s="41">
        <v>15213.16</v>
      </c>
      <c r="I56" s="41">
        <v>0</v>
      </c>
      <c r="J56" s="41">
        <v>0</v>
      </c>
      <c r="K56" s="45">
        <f>SUM(D56:J56)</f>
        <v>15213.16</v>
      </c>
    </row>
    <row r="57" spans="1:11">
      <c r="A57" s="5"/>
      <c r="B57" s="43" t="s">
        <v>39</v>
      </c>
      <c r="C57" s="43"/>
      <c r="D57" s="184"/>
      <c r="E57" s="184"/>
      <c r="F57" s="184"/>
      <c r="G57" s="184"/>
      <c r="H57" s="184"/>
      <c r="I57" s="184"/>
      <c r="J57" s="79"/>
      <c r="K57" s="5"/>
    </row>
    <row r="58" spans="1:11">
      <c r="A58" s="5"/>
      <c r="B58" s="39"/>
      <c r="C58" s="39"/>
      <c r="D58" s="23"/>
      <c r="E58" s="23"/>
      <c r="F58" s="23"/>
      <c r="G58" s="23"/>
      <c r="H58" s="23"/>
      <c r="I58" s="23"/>
      <c r="J58" s="23"/>
      <c r="K58" s="23"/>
    </row>
    <row r="59" spans="1:11" ht="15.75">
      <c r="A59" s="5"/>
      <c r="B59" s="40" t="s">
        <v>40</v>
      </c>
      <c r="C59" s="85" t="s">
        <v>8</v>
      </c>
      <c r="D59" s="41">
        <v>0</v>
      </c>
      <c r="E59" s="41">
        <v>0</v>
      </c>
      <c r="F59" s="41">
        <v>0</v>
      </c>
      <c r="G59" s="41">
        <v>10557.220000000001</v>
      </c>
      <c r="H59" s="41">
        <v>28163.83</v>
      </c>
      <c r="I59" s="41">
        <v>0</v>
      </c>
      <c r="J59" s="41">
        <v>0</v>
      </c>
      <c r="K59" s="45">
        <f>SUM(D59:J59)</f>
        <v>38721.050000000003</v>
      </c>
    </row>
    <row r="60" spans="1:11">
      <c r="A60" s="5"/>
      <c r="B60" s="43" t="s">
        <v>41</v>
      </c>
      <c r="C60" s="43"/>
      <c r="D60" s="184"/>
      <c r="E60" s="184"/>
      <c r="F60" s="184"/>
      <c r="G60" s="184"/>
      <c r="H60" s="184"/>
      <c r="I60" s="184"/>
      <c r="J60" s="79"/>
      <c r="K60" s="5"/>
    </row>
    <row r="61" spans="1:11">
      <c r="A61" s="5"/>
      <c r="B61" s="39"/>
      <c r="C61" s="39"/>
      <c r="D61" s="5"/>
      <c r="E61" s="23"/>
      <c r="F61" s="23"/>
      <c r="G61" s="5"/>
      <c r="H61" s="5"/>
      <c r="I61" s="5"/>
      <c r="J61" s="5"/>
      <c r="K61" s="5"/>
    </row>
    <row r="62" spans="1:11" ht="13.5" thickBot="1">
      <c r="A62" s="5"/>
      <c r="B62" s="40" t="s">
        <v>42</v>
      </c>
      <c r="C62" s="40"/>
      <c r="D62" s="44">
        <f t="shared" ref="D62:K62" si="9">SUM(D53,D56,D59)</f>
        <v>0</v>
      </c>
      <c r="E62" s="44">
        <f t="shared" si="9"/>
        <v>0</v>
      </c>
      <c r="F62" s="44">
        <f t="shared" si="9"/>
        <v>0</v>
      </c>
      <c r="G62" s="44">
        <f t="shared" si="9"/>
        <v>10557.220000000001</v>
      </c>
      <c r="H62" s="44">
        <f t="shared" si="9"/>
        <v>167239.04999999999</v>
      </c>
      <c r="I62" s="44">
        <f t="shared" si="9"/>
        <v>0</v>
      </c>
      <c r="J62" s="44">
        <f t="shared" si="9"/>
        <v>0</v>
      </c>
      <c r="K62" s="44">
        <f t="shared" si="9"/>
        <v>177796.27000000002</v>
      </c>
    </row>
    <row r="63" spans="1:11">
      <c r="A63" s="5"/>
      <c r="B63" s="40"/>
      <c r="C63" s="40"/>
      <c r="D63" s="46"/>
      <c r="E63" s="46"/>
      <c r="F63" s="46"/>
      <c r="G63" s="46"/>
      <c r="H63" s="46"/>
      <c r="I63" s="46"/>
      <c r="J63" s="46"/>
      <c r="K63" s="46"/>
    </row>
    <row r="64" spans="1:11" ht="18">
      <c r="A64" s="5"/>
      <c r="B64" s="38" t="s">
        <v>43</v>
      </c>
      <c r="C64" s="38"/>
      <c r="D64" s="5"/>
      <c r="E64" s="5"/>
      <c r="F64" s="5"/>
      <c r="G64" s="5"/>
      <c r="H64" s="5"/>
      <c r="I64" s="5"/>
      <c r="J64" s="5"/>
      <c r="K64" s="5"/>
    </row>
    <row r="65" spans="1:11">
      <c r="A65" s="5"/>
      <c r="B65" s="39"/>
      <c r="C65" s="39"/>
      <c r="D65" s="23">
        <f>D4</f>
        <v>2006</v>
      </c>
      <c r="E65" s="23">
        <f t="shared" ref="E65:J65" si="10">E4</f>
        <v>2007</v>
      </c>
      <c r="F65" s="23">
        <f t="shared" si="10"/>
        <v>2008</v>
      </c>
      <c r="G65" s="23">
        <f t="shared" si="10"/>
        <v>2009</v>
      </c>
      <c r="H65" s="23">
        <f t="shared" si="10"/>
        <v>2010</v>
      </c>
      <c r="I65" s="23">
        <f t="shared" si="10"/>
        <v>2011</v>
      </c>
      <c r="J65" s="23" t="str">
        <f t="shared" si="10"/>
        <v>Later</v>
      </c>
      <c r="K65" s="23" t="s">
        <v>16</v>
      </c>
    </row>
    <row r="66" spans="1:11">
      <c r="A66" s="5"/>
      <c r="B66" s="39"/>
      <c r="C66" s="39"/>
      <c r="D66" s="23" t="str">
        <f>D5</f>
        <v>Audited Actual</v>
      </c>
      <c r="E66" s="23" t="str">
        <f t="shared" ref="E66:J66" si="11">E5</f>
        <v>Audited Actual</v>
      </c>
      <c r="F66" s="23" t="str">
        <f t="shared" si="11"/>
        <v>Audited Actual</v>
      </c>
      <c r="G66" s="23" t="str">
        <f t="shared" si="11"/>
        <v>Audited Actual</v>
      </c>
      <c r="H66" s="23" t="str">
        <f t="shared" si="11"/>
        <v>Actual</v>
      </c>
      <c r="I66" s="23" t="str">
        <f t="shared" si="11"/>
        <v>Forecasted</v>
      </c>
      <c r="J66" s="23" t="str">
        <f t="shared" si="11"/>
        <v>Forecasted</v>
      </c>
      <c r="K66" s="23"/>
    </row>
    <row r="67" spans="1:11" ht="15.75">
      <c r="A67" s="5"/>
      <c r="B67" s="40" t="s">
        <v>44</v>
      </c>
      <c r="C67" s="85" t="s">
        <v>9</v>
      </c>
      <c r="D67" s="41">
        <v>0</v>
      </c>
      <c r="E67" s="41">
        <v>0</v>
      </c>
      <c r="F67" s="41">
        <v>0</v>
      </c>
      <c r="G67" s="41">
        <v>0</v>
      </c>
      <c r="H67" s="41">
        <v>0</v>
      </c>
      <c r="I67" s="41">
        <v>0</v>
      </c>
      <c r="J67" s="41">
        <v>0</v>
      </c>
      <c r="K67" s="45">
        <f>SUM(D67:J67)</f>
        <v>0</v>
      </c>
    </row>
    <row r="68" spans="1:11">
      <c r="A68" s="5"/>
      <c r="B68" s="43"/>
      <c r="C68" s="43"/>
      <c r="D68" s="86"/>
      <c r="E68" s="86"/>
      <c r="F68" s="86"/>
      <c r="G68" s="86"/>
      <c r="H68" s="86"/>
      <c r="I68" s="86"/>
      <c r="J68" s="79"/>
      <c r="K68" s="5"/>
    </row>
    <row r="69" spans="1:11" ht="15.75">
      <c r="A69" s="5"/>
      <c r="B69" s="40" t="s">
        <v>45</v>
      </c>
      <c r="C69" s="85" t="s">
        <v>10</v>
      </c>
      <c r="D69" s="41">
        <v>0</v>
      </c>
      <c r="E69" s="41">
        <v>0</v>
      </c>
      <c r="F69" s="41">
        <v>0</v>
      </c>
      <c r="G69" s="41">
        <v>0</v>
      </c>
      <c r="H69" s="41">
        <v>0</v>
      </c>
      <c r="I69" s="41">
        <v>0</v>
      </c>
      <c r="J69" s="41">
        <v>0</v>
      </c>
      <c r="K69" s="45">
        <f>SUM(D69:J69)</f>
        <v>0</v>
      </c>
    </row>
    <row r="70" spans="1:11">
      <c r="A70" s="5"/>
      <c r="B70" s="43"/>
      <c r="C70" s="43"/>
      <c r="D70" s="184"/>
      <c r="E70" s="184"/>
      <c r="F70" s="184"/>
      <c r="G70" s="184"/>
      <c r="H70" s="184"/>
      <c r="I70" s="184"/>
      <c r="J70" s="79"/>
      <c r="K70" s="5"/>
    </row>
    <row r="71" spans="1:11" ht="15.75">
      <c r="A71" s="5"/>
      <c r="B71" s="40" t="s">
        <v>46</v>
      </c>
      <c r="C71" s="85" t="s">
        <v>10</v>
      </c>
      <c r="D71" s="41">
        <v>0</v>
      </c>
      <c r="E71" s="41">
        <v>0</v>
      </c>
      <c r="F71" s="41">
        <v>0</v>
      </c>
      <c r="G71" s="41">
        <v>0</v>
      </c>
      <c r="H71" s="41">
        <v>13996.6</v>
      </c>
      <c r="I71" s="41">
        <v>0</v>
      </c>
      <c r="J71" s="41">
        <v>0</v>
      </c>
      <c r="K71" s="45">
        <f>SUM(D71:J71)</f>
        <v>13996.6</v>
      </c>
    </row>
    <row r="72" spans="1:11">
      <c r="A72" s="5"/>
      <c r="B72" s="43" t="s">
        <v>47</v>
      </c>
      <c r="C72" s="43"/>
      <c r="D72" s="184"/>
      <c r="E72" s="184"/>
      <c r="F72" s="184"/>
      <c r="G72" s="184"/>
      <c r="H72" s="184"/>
      <c r="I72" s="184"/>
      <c r="J72" s="79"/>
      <c r="K72" s="5"/>
    </row>
    <row r="73" spans="1:11" ht="13.5" thickBot="1">
      <c r="A73" s="5"/>
      <c r="B73" s="40" t="s">
        <v>48</v>
      </c>
      <c r="C73" s="40"/>
      <c r="D73" s="44">
        <f t="shared" ref="D73:K73" si="12">SUM(D67,D69,D71)</f>
        <v>0</v>
      </c>
      <c r="E73" s="44">
        <f t="shared" si="12"/>
        <v>0</v>
      </c>
      <c r="F73" s="44">
        <f t="shared" si="12"/>
        <v>0</v>
      </c>
      <c r="G73" s="44">
        <f t="shared" si="12"/>
        <v>0</v>
      </c>
      <c r="H73" s="44">
        <f t="shared" si="12"/>
        <v>13996.6</v>
      </c>
      <c r="I73" s="44">
        <f t="shared" si="12"/>
        <v>0</v>
      </c>
      <c r="J73" s="44">
        <f t="shared" si="12"/>
        <v>0</v>
      </c>
      <c r="K73" s="44">
        <f t="shared" si="12"/>
        <v>13996.6</v>
      </c>
    </row>
    <row r="74" spans="1:11">
      <c r="A74" s="5"/>
      <c r="B74" s="40"/>
      <c r="C74" s="40"/>
      <c r="D74" s="46"/>
      <c r="E74" s="46"/>
      <c r="F74" s="46"/>
      <c r="G74" s="46"/>
      <c r="H74" s="46"/>
      <c r="I74" s="46"/>
      <c r="J74" s="46"/>
      <c r="K74" s="46"/>
    </row>
    <row r="75" spans="1:11">
      <c r="A75" s="5"/>
      <c r="B75" s="47"/>
      <c r="C75" s="47"/>
      <c r="D75" s="5"/>
      <c r="E75" s="5"/>
      <c r="F75" s="5"/>
      <c r="G75" s="5"/>
      <c r="H75" s="5"/>
      <c r="I75" s="5"/>
      <c r="J75" s="5"/>
      <c r="K75" s="5"/>
    </row>
    <row r="76" spans="1:11" ht="18">
      <c r="A76" s="5"/>
      <c r="B76" s="38" t="s">
        <v>49</v>
      </c>
      <c r="C76" s="38"/>
      <c r="D76" s="23">
        <f>D4</f>
        <v>2006</v>
      </c>
      <c r="E76" s="23">
        <f t="shared" ref="E76:J76" si="13">E4</f>
        <v>2007</v>
      </c>
      <c r="F76" s="23">
        <f t="shared" si="13"/>
        <v>2008</v>
      </c>
      <c r="G76" s="23">
        <f t="shared" si="13"/>
        <v>2009</v>
      </c>
      <c r="H76" s="23">
        <f t="shared" si="13"/>
        <v>2010</v>
      </c>
      <c r="I76" s="23">
        <f t="shared" si="13"/>
        <v>2011</v>
      </c>
      <c r="J76" s="23" t="str">
        <f t="shared" si="13"/>
        <v>Later</v>
      </c>
      <c r="K76" s="23" t="s">
        <v>16</v>
      </c>
    </row>
    <row r="77" spans="1:11" ht="18">
      <c r="A77" s="5"/>
      <c r="B77" s="38"/>
      <c r="C77" s="38"/>
      <c r="D77" s="23" t="str">
        <f>D5</f>
        <v>Audited Actual</v>
      </c>
      <c r="E77" s="23" t="str">
        <f t="shared" ref="E77:J77" si="14">E5</f>
        <v>Audited Actual</v>
      </c>
      <c r="F77" s="23" t="str">
        <f t="shared" si="14"/>
        <v>Audited Actual</v>
      </c>
      <c r="G77" s="23" t="str">
        <f t="shared" si="14"/>
        <v>Audited Actual</v>
      </c>
      <c r="H77" s="23" t="str">
        <f t="shared" si="14"/>
        <v>Actual</v>
      </c>
      <c r="I77" s="23" t="str">
        <f t="shared" si="14"/>
        <v>Forecasted</v>
      </c>
      <c r="J77" s="23" t="str">
        <f t="shared" si="14"/>
        <v>Forecasted</v>
      </c>
      <c r="K77" s="23"/>
    </row>
    <row r="78" spans="1:11" ht="15.75">
      <c r="A78" s="5"/>
      <c r="B78" s="40" t="s">
        <v>50</v>
      </c>
      <c r="C78" s="85" t="s">
        <v>211</v>
      </c>
      <c r="D78" s="41">
        <v>0</v>
      </c>
      <c r="E78" s="41">
        <v>0</v>
      </c>
      <c r="F78" s="41">
        <v>0</v>
      </c>
      <c r="G78" s="41">
        <v>0</v>
      </c>
      <c r="H78" s="41">
        <v>0</v>
      </c>
      <c r="I78" s="41">
        <v>0</v>
      </c>
      <c r="J78" s="41">
        <v>0</v>
      </c>
      <c r="K78" s="45">
        <f>SUM(D78:J78)</f>
        <v>0</v>
      </c>
    </row>
    <row r="79" spans="1:11">
      <c r="A79" s="5"/>
      <c r="B79" s="39"/>
      <c r="C79" s="39"/>
      <c r="D79" s="5"/>
      <c r="E79" s="23"/>
      <c r="F79" s="23"/>
      <c r="G79" s="5"/>
      <c r="H79" s="5"/>
      <c r="I79" s="5"/>
      <c r="J79" s="5"/>
      <c r="K79" s="5"/>
    </row>
    <row r="80" spans="1:11" ht="13.5" thickBot="1">
      <c r="A80" s="5"/>
      <c r="B80" s="40" t="s">
        <v>51</v>
      </c>
      <c r="C80" s="40"/>
      <c r="D80" s="44">
        <f t="shared" ref="D80:K80" si="15">SUM(D78)</f>
        <v>0</v>
      </c>
      <c r="E80" s="44">
        <f t="shared" si="15"/>
        <v>0</v>
      </c>
      <c r="F80" s="44">
        <f t="shared" si="15"/>
        <v>0</v>
      </c>
      <c r="G80" s="44">
        <f t="shared" si="15"/>
        <v>0</v>
      </c>
      <c r="H80" s="44">
        <f t="shared" si="15"/>
        <v>0</v>
      </c>
      <c r="I80" s="44">
        <f t="shared" si="15"/>
        <v>0</v>
      </c>
      <c r="J80" s="44">
        <f t="shared" si="15"/>
        <v>0</v>
      </c>
      <c r="K80" s="44">
        <f t="shared" si="15"/>
        <v>0</v>
      </c>
    </row>
    <row r="81" spans="1:11">
      <c r="A81" s="5"/>
      <c r="B81" s="40"/>
      <c r="C81" s="40"/>
      <c r="D81" s="46"/>
      <c r="E81" s="46"/>
      <c r="F81" s="46"/>
      <c r="G81" s="46"/>
      <c r="H81" s="46"/>
      <c r="I81" s="46"/>
      <c r="J81" s="46"/>
      <c r="K81" s="46"/>
    </row>
    <row r="82" spans="1:11">
      <c r="A82" s="5"/>
      <c r="B82" s="47"/>
      <c r="C82" s="47"/>
      <c r="D82" s="5"/>
      <c r="E82" s="5"/>
      <c r="F82" s="5"/>
      <c r="G82" s="5"/>
      <c r="H82" s="5"/>
      <c r="I82" s="5"/>
      <c r="J82" s="5"/>
      <c r="K82" s="5"/>
    </row>
    <row r="83" spans="1:11" ht="18">
      <c r="A83" s="5"/>
      <c r="B83" s="38" t="s">
        <v>52</v>
      </c>
      <c r="C83" s="38"/>
      <c r="D83" s="23">
        <f>D4</f>
        <v>2006</v>
      </c>
      <c r="E83" s="23">
        <f t="shared" ref="E83:J83" si="16">E4</f>
        <v>2007</v>
      </c>
      <c r="F83" s="23">
        <f t="shared" si="16"/>
        <v>2008</v>
      </c>
      <c r="G83" s="23">
        <f t="shared" si="16"/>
        <v>2009</v>
      </c>
      <c r="H83" s="23">
        <f t="shared" si="16"/>
        <v>2010</v>
      </c>
      <c r="I83" s="23">
        <f t="shared" si="16"/>
        <v>2011</v>
      </c>
      <c r="J83" s="23" t="str">
        <f t="shared" si="16"/>
        <v>Later</v>
      </c>
      <c r="K83" s="23" t="s">
        <v>16</v>
      </c>
    </row>
    <row r="84" spans="1:11" ht="18">
      <c r="A84" s="5"/>
      <c r="B84" s="38"/>
      <c r="C84" s="38"/>
      <c r="D84" s="23" t="str">
        <f>D5</f>
        <v>Audited Actual</v>
      </c>
      <c r="E84" s="23" t="str">
        <f t="shared" ref="E84:J84" si="17">E5</f>
        <v>Audited Actual</v>
      </c>
      <c r="F84" s="23" t="str">
        <f t="shared" si="17"/>
        <v>Audited Actual</v>
      </c>
      <c r="G84" s="23" t="str">
        <f t="shared" si="17"/>
        <v>Audited Actual</v>
      </c>
      <c r="H84" s="23" t="str">
        <f t="shared" si="17"/>
        <v>Actual</v>
      </c>
      <c r="I84" s="23" t="str">
        <f t="shared" si="17"/>
        <v>Forecasted</v>
      </c>
      <c r="J84" s="23" t="str">
        <f t="shared" si="17"/>
        <v>Forecasted</v>
      </c>
      <c r="K84" s="23"/>
    </row>
    <row r="85" spans="1:11" ht="15.75">
      <c r="A85" s="5"/>
      <c r="B85" s="40" t="s">
        <v>53</v>
      </c>
      <c r="C85" s="85" t="s">
        <v>210</v>
      </c>
      <c r="D85" s="41">
        <v>0</v>
      </c>
      <c r="E85" s="41">
        <v>0</v>
      </c>
      <c r="F85" s="41">
        <v>0</v>
      </c>
      <c r="G85" s="41">
        <v>0</v>
      </c>
      <c r="H85" s="41">
        <v>1431.02</v>
      </c>
      <c r="I85" s="41">
        <v>0</v>
      </c>
      <c r="J85" s="41">
        <v>0</v>
      </c>
      <c r="K85" s="45">
        <f>SUM(D85:J85)</f>
        <v>1431.02</v>
      </c>
    </row>
    <row r="86" spans="1:11">
      <c r="A86" s="5"/>
      <c r="B86" s="43"/>
      <c r="C86" s="43"/>
      <c r="D86" s="184"/>
      <c r="E86" s="184"/>
      <c r="F86" s="184"/>
      <c r="G86" s="184"/>
      <c r="H86" s="184"/>
      <c r="I86" s="184"/>
      <c r="J86" s="79"/>
      <c r="K86" s="5"/>
    </row>
    <row r="87" spans="1:11" ht="15.75">
      <c r="A87" s="5"/>
      <c r="B87" s="40" t="s">
        <v>54</v>
      </c>
      <c r="C87" s="85" t="s">
        <v>10</v>
      </c>
      <c r="D87" s="41">
        <v>0</v>
      </c>
      <c r="E87" s="41">
        <v>0</v>
      </c>
      <c r="F87" s="41">
        <v>0</v>
      </c>
      <c r="G87" s="41">
        <v>482.07716008481316</v>
      </c>
      <c r="H87" s="41">
        <v>85.341372912801489</v>
      </c>
      <c r="I87" s="41">
        <f>30813+27386</f>
        <v>58199</v>
      </c>
      <c r="J87" s="41">
        <v>0</v>
      </c>
      <c r="K87" s="45">
        <f>SUM(D87:J87)</f>
        <v>58766.418532997617</v>
      </c>
    </row>
    <row r="88" spans="1:11">
      <c r="A88" s="5"/>
      <c r="B88" s="43"/>
      <c r="C88" s="43"/>
      <c r="D88" s="184"/>
      <c r="E88" s="184"/>
      <c r="F88" s="184"/>
      <c r="G88" s="184"/>
      <c r="H88" s="184"/>
      <c r="I88" s="184"/>
      <c r="J88" s="79"/>
      <c r="K88" s="5"/>
    </row>
    <row r="89" spans="1:11" ht="15.75">
      <c r="A89" s="5"/>
      <c r="B89" s="40" t="s">
        <v>55</v>
      </c>
      <c r="C89" s="85" t="s">
        <v>10</v>
      </c>
      <c r="D89" s="41">
        <v>0</v>
      </c>
      <c r="E89" s="41">
        <v>0</v>
      </c>
      <c r="F89" s="41">
        <v>0</v>
      </c>
      <c r="G89" s="41">
        <v>3321.7224000000001</v>
      </c>
      <c r="H89" s="41">
        <v>2081.5183999999999</v>
      </c>
      <c r="I89" s="41">
        <v>0</v>
      </c>
      <c r="J89" s="41">
        <v>0</v>
      </c>
      <c r="K89" s="45">
        <f>SUM(D89:J89)</f>
        <v>5403.2407999999996</v>
      </c>
    </row>
    <row r="90" spans="1:11">
      <c r="A90" s="5"/>
      <c r="B90" s="43"/>
      <c r="C90" s="43"/>
      <c r="D90" s="184"/>
      <c r="E90" s="184"/>
      <c r="F90" s="184"/>
      <c r="G90" s="184"/>
      <c r="H90" s="184"/>
      <c r="I90" s="184"/>
      <c r="J90" s="79"/>
      <c r="K90" s="5"/>
    </row>
    <row r="91" spans="1:11" ht="15.75">
      <c r="A91" s="5"/>
      <c r="B91" s="40" t="s">
        <v>56</v>
      </c>
      <c r="C91" s="85" t="s">
        <v>10</v>
      </c>
      <c r="D91" s="41">
        <v>0</v>
      </c>
      <c r="E91" s="41">
        <v>0</v>
      </c>
      <c r="F91" s="41">
        <v>0</v>
      </c>
      <c r="G91" s="41">
        <v>778.80840312748478</v>
      </c>
      <c r="H91" s="41">
        <v>1307.600345825603</v>
      </c>
      <c r="I91" s="41">
        <v>53063</v>
      </c>
      <c r="J91" s="41">
        <v>0</v>
      </c>
      <c r="K91" s="45">
        <f>SUM(D91:J91)</f>
        <v>55149.408748953087</v>
      </c>
    </row>
    <row r="92" spans="1:11">
      <c r="A92" s="5"/>
      <c r="B92" s="43"/>
      <c r="C92" s="43"/>
      <c r="D92" s="184"/>
      <c r="E92" s="184"/>
      <c r="F92" s="184"/>
      <c r="G92" s="184"/>
      <c r="H92" s="184"/>
      <c r="I92" s="184"/>
      <c r="J92" s="79"/>
      <c r="K92" s="5"/>
    </row>
    <row r="93" spans="1:11" ht="15.75">
      <c r="A93" s="5"/>
      <c r="B93" s="40" t="s">
        <v>57</v>
      </c>
      <c r="C93" s="85" t="s">
        <v>10</v>
      </c>
      <c r="D93" s="41">
        <v>0</v>
      </c>
      <c r="E93" s="41">
        <v>0</v>
      </c>
      <c r="F93" s="41">
        <v>0</v>
      </c>
      <c r="G93" s="41">
        <v>4428</v>
      </c>
      <c r="H93" s="41">
        <v>13589.29</v>
      </c>
      <c r="I93" s="41">
        <v>0</v>
      </c>
      <c r="J93" s="41">
        <v>0</v>
      </c>
      <c r="K93" s="45">
        <f>SUM(D93:J93)</f>
        <v>18017.29</v>
      </c>
    </row>
    <row r="94" spans="1:11">
      <c r="A94" s="5"/>
      <c r="B94" s="43"/>
      <c r="D94" s="184"/>
      <c r="E94" s="184"/>
      <c r="F94" s="184"/>
      <c r="G94" s="184"/>
      <c r="H94" s="184"/>
      <c r="I94" s="184"/>
      <c r="J94" s="79"/>
      <c r="K94" s="5"/>
    </row>
    <row r="95" spans="1:11" ht="15.75">
      <c r="A95" s="5"/>
      <c r="B95" s="40" t="s">
        <v>58</v>
      </c>
      <c r="C95" s="85" t="s">
        <v>10</v>
      </c>
      <c r="D95" s="41">
        <v>0</v>
      </c>
      <c r="E95" s="41">
        <v>0</v>
      </c>
      <c r="F95" s="41">
        <v>0</v>
      </c>
      <c r="G95" s="41">
        <v>0</v>
      </c>
      <c r="H95" s="41">
        <v>0</v>
      </c>
      <c r="I95" s="41">
        <v>0</v>
      </c>
      <c r="J95" s="41">
        <v>0</v>
      </c>
      <c r="K95" s="45">
        <f>SUM(D95:J95)</f>
        <v>0</v>
      </c>
    </row>
    <row r="96" spans="1:11">
      <c r="A96" s="5"/>
      <c r="B96" s="43"/>
      <c r="D96" s="184"/>
      <c r="E96" s="184"/>
      <c r="F96" s="184"/>
      <c r="G96" s="184"/>
      <c r="H96" s="184"/>
      <c r="I96" s="184"/>
      <c r="J96" s="79"/>
      <c r="K96" s="5"/>
    </row>
    <row r="97" spans="1:11" ht="13.5" thickBot="1">
      <c r="A97" s="5"/>
      <c r="B97" s="40" t="s">
        <v>59</v>
      </c>
      <c r="C97" s="40"/>
      <c r="D97" s="44">
        <f t="shared" ref="D97:K97" si="18">SUM(D85,D87,D89,D91,D95,D93)</f>
        <v>0</v>
      </c>
      <c r="E97" s="44">
        <f t="shared" si="18"/>
        <v>0</v>
      </c>
      <c r="F97" s="44">
        <f t="shared" si="18"/>
        <v>0</v>
      </c>
      <c r="G97" s="44">
        <f t="shared" si="18"/>
        <v>9010.6079632122983</v>
      </c>
      <c r="H97" s="44">
        <f t="shared" si="18"/>
        <v>18494.770118738405</v>
      </c>
      <c r="I97" s="44">
        <f t="shared" si="18"/>
        <v>111262</v>
      </c>
      <c r="J97" s="44">
        <f t="shared" si="18"/>
        <v>0</v>
      </c>
      <c r="K97" s="44">
        <f t="shared" si="18"/>
        <v>138767.37808195071</v>
      </c>
    </row>
    <row r="98" spans="1:11">
      <c r="A98" s="5"/>
      <c r="B98" s="33"/>
      <c r="C98" s="33"/>
      <c r="D98" s="46"/>
      <c r="E98" s="46"/>
      <c r="F98" s="46"/>
      <c r="G98" s="46"/>
      <c r="H98" s="46"/>
      <c r="I98" s="46"/>
      <c r="J98" s="46"/>
      <c r="K98" s="46"/>
    </row>
    <row r="99" spans="1:11" ht="18.75" thickBot="1">
      <c r="A99" s="5"/>
      <c r="B99" s="27" t="s">
        <v>60</v>
      </c>
      <c r="C99" s="27"/>
      <c r="D99" s="48">
        <f t="shared" ref="D99:K99" si="19">SUM(D48,D62,D80,D97,D73)</f>
        <v>0</v>
      </c>
      <c r="E99" s="48">
        <f t="shared" si="19"/>
        <v>0</v>
      </c>
      <c r="F99" s="48">
        <f t="shared" si="19"/>
        <v>0</v>
      </c>
      <c r="G99" s="48">
        <f t="shared" si="19"/>
        <v>34300.497957127605</v>
      </c>
      <c r="H99" s="48">
        <f t="shared" si="19"/>
        <v>643823.03059770237</v>
      </c>
      <c r="I99" s="48">
        <f t="shared" si="19"/>
        <v>111262</v>
      </c>
      <c r="J99" s="48">
        <f t="shared" si="19"/>
        <v>0</v>
      </c>
      <c r="K99" s="48">
        <f t="shared" si="19"/>
        <v>789385.52855483</v>
      </c>
    </row>
    <row r="100" spans="1:11" ht="13.5" thickTop="1">
      <c r="A100" s="5"/>
      <c r="B100" s="33"/>
      <c r="C100" s="33"/>
      <c r="D100" s="49"/>
      <c r="E100" s="46"/>
      <c r="F100" s="46"/>
      <c r="G100" s="46"/>
      <c r="H100" s="46"/>
      <c r="I100" s="46"/>
      <c r="J100" s="46"/>
      <c r="K100" s="46"/>
    </row>
    <row r="101" spans="1:11" ht="23.25">
      <c r="B101" s="37" t="s">
        <v>61</v>
      </c>
      <c r="C101" s="37"/>
      <c r="D101" s="5"/>
      <c r="E101" s="5"/>
      <c r="F101" s="5"/>
      <c r="G101" s="5"/>
      <c r="H101" s="5"/>
      <c r="I101" s="5"/>
      <c r="J101" s="5"/>
      <c r="K101" s="5"/>
    </row>
    <row r="102" spans="1:11" ht="18">
      <c r="A102" s="5"/>
      <c r="B102" s="38" t="s">
        <v>62</v>
      </c>
      <c r="C102" s="38"/>
      <c r="D102" s="5"/>
      <c r="E102" s="5"/>
      <c r="F102" s="5"/>
      <c r="G102" s="5"/>
      <c r="H102" s="5"/>
      <c r="I102" s="5"/>
      <c r="J102" s="5"/>
      <c r="K102" s="5"/>
    </row>
    <row r="103" spans="1:11">
      <c r="A103" s="5"/>
      <c r="B103" s="39"/>
      <c r="C103" s="39"/>
      <c r="D103" s="23">
        <f>D4</f>
        <v>2006</v>
      </c>
      <c r="E103" s="23">
        <f t="shared" ref="E103:J103" si="20">E4</f>
        <v>2007</v>
      </c>
      <c r="F103" s="23">
        <f t="shared" si="20"/>
        <v>2008</v>
      </c>
      <c r="G103" s="23">
        <f t="shared" si="20"/>
        <v>2009</v>
      </c>
      <c r="H103" s="23">
        <f t="shared" si="20"/>
        <v>2010</v>
      </c>
      <c r="I103" s="23">
        <f t="shared" si="20"/>
        <v>2011</v>
      </c>
      <c r="J103" s="23" t="str">
        <f t="shared" si="20"/>
        <v>Later</v>
      </c>
      <c r="K103" s="23" t="s">
        <v>16</v>
      </c>
    </row>
    <row r="104" spans="1:11">
      <c r="A104" s="5"/>
      <c r="B104" s="39"/>
      <c r="C104" s="39"/>
      <c r="D104" s="23" t="str">
        <f>D5</f>
        <v>Audited Actual</v>
      </c>
      <c r="E104" s="23" t="str">
        <f t="shared" ref="E104:J104" si="21">E5</f>
        <v>Audited Actual</v>
      </c>
      <c r="F104" s="23" t="str">
        <f t="shared" si="21"/>
        <v>Audited Actual</v>
      </c>
      <c r="G104" s="23" t="str">
        <f t="shared" si="21"/>
        <v>Audited Actual</v>
      </c>
      <c r="H104" s="23" t="str">
        <f t="shared" si="21"/>
        <v>Actual</v>
      </c>
      <c r="I104" s="23" t="str">
        <f t="shared" si="21"/>
        <v>Forecasted</v>
      </c>
      <c r="J104" s="23" t="str">
        <f t="shared" si="21"/>
        <v>Forecasted</v>
      </c>
      <c r="K104" s="23"/>
    </row>
    <row r="105" spans="1:11">
      <c r="A105" s="5"/>
      <c r="B105" s="40" t="s">
        <v>63</v>
      </c>
      <c r="C105" s="40"/>
      <c r="D105" s="41">
        <v>0</v>
      </c>
      <c r="E105" s="41">
        <v>0</v>
      </c>
      <c r="F105" s="41">
        <v>0</v>
      </c>
      <c r="G105" s="41">
        <v>0</v>
      </c>
      <c r="H105" s="41">
        <v>0</v>
      </c>
      <c r="I105" s="41">
        <f>79851-10471-5672</f>
        <v>63708</v>
      </c>
      <c r="J105" s="41">
        <v>0</v>
      </c>
      <c r="K105" s="45">
        <f>SUM(D105:J105)</f>
        <v>63708</v>
      </c>
    </row>
    <row r="106" spans="1:11">
      <c r="A106" s="5"/>
      <c r="B106" s="43" t="s">
        <v>64</v>
      </c>
      <c r="C106" s="43"/>
      <c r="D106" s="184"/>
      <c r="E106" s="184"/>
      <c r="F106" s="184"/>
      <c r="G106" s="184"/>
      <c r="H106" s="184"/>
      <c r="I106" s="184"/>
      <c r="J106" s="79"/>
      <c r="K106" s="5"/>
    </row>
    <row r="107" spans="1:11" ht="13.5" thickBot="1">
      <c r="A107" s="5"/>
      <c r="B107" s="40" t="s">
        <v>65</v>
      </c>
      <c r="C107" s="40"/>
      <c r="D107" s="44">
        <f t="shared" ref="D107:K107" si="22">SUM(D105)</f>
        <v>0</v>
      </c>
      <c r="E107" s="44">
        <f t="shared" si="22"/>
        <v>0</v>
      </c>
      <c r="F107" s="44">
        <f t="shared" si="22"/>
        <v>0</v>
      </c>
      <c r="G107" s="44">
        <f t="shared" si="22"/>
        <v>0</v>
      </c>
      <c r="H107" s="44">
        <f t="shared" si="22"/>
        <v>0</v>
      </c>
      <c r="I107" s="44">
        <f t="shared" si="22"/>
        <v>63708</v>
      </c>
      <c r="J107" s="44">
        <f t="shared" si="22"/>
        <v>0</v>
      </c>
      <c r="K107" s="44">
        <f t="shared" si="22"/>
        <v>63708</v>
      </c>
    </row>
    <row r="108" spans="1:11">
      <c r="A108" s="5"/>
      <c r="B108" s="39"/>
      <c r="C108" s="39"/>
      <c r="D108" s="5"/>
      <c r="E108" s="5"/>
      <c r="F108" s="5"/>
      <c r="G108" s="5"/>
      <c r="H108" s="5"/>
      <c r="I108" s="5"/>
      <c r="J108" s="5"/>
      <c r="K108" s="5"/>
    </row>
    <row r="109" spans="1:11" ht="18">
      <c r="A109" s="5"/>
      <c r="B109" s="38" t="s">
        <v>66</v>
      </c>
      <c r="C109" s="38"/>
      <c r="D109" s="5"/>
      <c r="E109" s="5"/>
      <c r="F109" s="5"/>
      <c r="G109" s="5"/>
      <c r="H109" s="5"/>
      <c r="I109" s="5"/>
      <c r="J109" s="5"/>
      <c r="K109" s="5"/>
    </row>
    <row r="110" spans="1:11">
      <c r="A110" s="5"/>
      <c r="B110" s="40" t="s">
        <v>67</v>
      </c>
      <c r="C110" s="40"/>
      <c r="D110" s="41">
        <v>0</v>
      </c>
      <c r="E110" s="41">
        <v>0</v>
      </c>
      <c r="F110" s="41">
        <v>0</v>
      </c>
      <c r="G110" s="41">
        <v>0</v>
      </c>
      <c r="H110" s="41">
        <v>0</v>
      </c>
      <c r="I110" s="41">
        <v>0</v>
      </c>
      <c r="J110" s="41">
        <v>0</v>
      </c>
      <c r="K110" s="45">
        <f>SUM(D110:J110)</f>
        <v>0</v>
      </c>
    </row>
    <row r="111" spans="1:11">
      <c r="A111" s="5"/>
      <c r="B111" s="43"/>
      <c r="C111" s="43"/>
      <c r="D111" s="184"/>
      <c r="E111" s="184"/>
      <c r="F111" s="184"/>
      <c r="G111" s="184"/>
      <c r="H111" s="184"/>
      <c r="I111" s="184"/>
      <c r="J111" s="79"/>
      <c r="K111" s="5"/>
    </row>
    <row r="112" spans="1:11">
      <c r="A112" s="5"/>
      <c r="B112" s="39"/>
      <c r="C112" s="39"/>
      <c r="D112" s="5"/>
      <c r="E112" s="23"/>
      <c r="F112" s="23"/>
      <c r="G112" s="5"/>
      <c r="H112" s="5"/>
      <c r="I112" s="5"/>
      <c r="J112" s="5"/>
      <c r="K112" s="5"/>
    </row>
    <row r="113" spans="1:11" ht="13.5" thickBot="1">
      <c r="A113" s="5"/>
      <c r="B113" s="40" t="s">
        <v>42</v>
      </c>
      <c r="C113" s="40"/>
      <c r="D113" s="44">
        <f t="shared" ref="D113:K113" si="23">SUM(D110)</f>
        <v>0</v>
      </c>
      <c r="E113" s="44">
        <f t="shared" si="23"/>
        <v>0</v>
      </c>
      <c r="F113" s="44">
        <f t="shared" si="23"/>
        <v>0</v>
      </c>
      <c r="G113" s="44">
        <f t="shared" si="23"/>
        <v>0</v>
      </c>
      <c r="H113" s="44">
        <f t="shared" si="23"/>
        <v>0</v>
      </c>
      <c r="I113" s="44">
        <f t="shared" si="23"/>
        <v>0</v>
      </c>
      <c r="J113" s="44">
        <f t="shared" si="23"/>
        <v>0</v>
      </c>
      <c r="K113" s="44">
        <f t="shared" si="23"/>
        <v>0</v>
      </c>
    </row>
    <row r="114" spans="1:11">
      <c r="A114" s="5"/>
      <c r="B114" s="40"/>
      <c r="C114" s="40"/>
      <c r="D114" s="46"/>
      <c r="E114" s="46"/>
      <c r="F114" s="46"/>
      <c r="G114" s="46"/>
      <c r="H114" s="46"/>
      <c r="I114" s="46"/>
      <c r="J114" s="46"/>
      <c r="K114" s="46"/>
    </row>
    <row r="115" spans="1:11" ht="18">
      <c r="A115" s="5"/>
      <c r="B115" s="38" t="s">
        <v>68</v>
      </c>
      <c r="C115" s="38"/>
      <c r="D115" s="5"/>
      <c r="E115" s="5"/>
      <c r="F115" s="5"/>
      <c r="G115" s="5"/>
      <c r="H115" s="5"/>
      <c r="I115" s="5"/>
      <c r="J115" s="5"/>
      <c r="K115" s="5"/>
    </row>
    <row r="116" spans="1:11">
      <c r="A116" s="5"/>
      <c r="B116" s="40" t="s">
        <v>69</v>
      </c>
      <c r="C116" s="40"/>
      <c r="D116" s="41">
        <v>0</v>
      </c>
      <c r="E116" s="41">
        <v>0</v>
      </c>
      <c r="F116" s="41">
        <v>0</v>
      </c>
      <c r="G116" s="41">
        <v>0</v>
      </c>
      <c r="H116" s="41">
        <v>0</v>
      </c>
      <c r="I116" s="41">
        <v>0</v>
      </c>
      <c r="J116" s="41">
        <v>0</v>
      </c>
      <c r="K116" s="45">
        <f>SUM(D116:J116)</f>
        <v>0</v>
      </c>
    </row>
    <row r="117" spans="1:11">
      <c r="A117" s="5"/>
      <c r="B117" s="43" t="s">
        <v>70</v>
      </c>
      <c r="C117" s="43"/>
      <c r="D117" s="184"/>
      <c r="E117" s="184"/>
      <c r="F117" s="184"/>
      <c r="G117" s="184"/>
      <c r="H117" s="184"/>
      <c r="I117" s="184"/>
      <c r="J117" s="79"/>
      <c r="K117" s="5"/>
    </row>
    <row r="118" spans="1:11">
      <c r="A118" s="5"/>
      <c r="B118" s="39"/>
      <c r="C118" s="39"/>
      <c r="D118" s="23"/>
      <c r="E118" s="23"/>
      <c r="F118" s="23"/>
      <c r="G118" s="23"/>
      <c r="H118" s="23"/>
      <c r="I118" s="23"/>
      <c r="J118" s="23"/>
      <c r="K118" s="5"/>
    </row>
    <row r="119" spans="1:11">
      <c r="A119" s="5"/>
      <c r="B119" s="40" t="s">
        <v>71</v>
      </c>
      <c r="C119" s="40"/>
      <c r="D119" s="41">
        <v>0</v>
      </c>
      <c r="E119" s="41">
        <v>0</v>
      </c>
      <c r="F119" s="41">
        <v>0</v>
      </c>
      <c r="G119" s="41">
        <v>228</v>
      </c>
      <c r="H119" s="41">
        <v>12229.538716239513</v>
      </c>
      <c r="I119" s="41">
        <v>10471.337432479026</v>
      </c>
      <c r="J119" s="41">
        <v>0</v>
      </c>
      <c r="K119" s="45">
        <f>SUM(D119:J119)</f>
        <v>22928.87614871854</v>
      </c>
    </row>
    <row r="120" spans="1:11">
      <c r="A120" s="5"/>
      <c r="B120" s="43" t="s">
        <v>72</v>
      </c>
      <c r="C120" s="43"/>
      <c r="D120" s="184"/>
      <c r="E120" s="184"/>
      <c r="F120" s="184"/>
      <c r="G120" s="184"/>
      <c r="H120" s="184"/>
      <c r="I120" s="184"/>
      <c r="J120" s="79"/>
      <c r="K120" s="5"/>
    </row>
    <row r="121" spans="1:11">
      <c r="A121" s="5"/>
      <c r="B121" s="39"/>
      <c r="C121" s="39"/>
      <c r="D121" s="5"/>
      <c r="E121" s="23"/>
      <c r="F121" s="23"/>
      <c r="G121" s="5"/>
      <c r="H121" s="5"/>
      <c r="I121" s="5"/>
      <c r="J121" s="5"/>
      <c r="K121" s="5"/>
    </row>
    <row r="122" spans="1:11" ht="13.5" thickBot="1">
      <c r="A122" s="5"/>
      <c r="B122" s="40" t="s">
        <v>48</v>
      </c>
      <c r="C122" s="40"/>
      <c r="D122" s="44">
        <f t="shared" ref="D122:K122" si="24">SUM(D116,D119)</f>
        <v>0</v>
      </c>
      <c r="E122" s="44">
        <f t="shared" si="24"/>
        <v>0</v>
      </c>
      <c r="F122" s="44">
        <f t="shared" si="24"/>
        <v>0</v>
      </c>
      <c r="G122" s="44">
        <f t="shared" si="24"/>
        <v>228</v>
      </c>
      <c r="H122" s="44">
        <f t="shared" si="24"/>
        <v>12229.538716239513</v>
      </c>
      <c r="I122" s="44">
        <f t="shared" si="24"/>
        <v>10471.337432479026</v>
      </c>
      <c r="J122" s="44">
        <f t="shared" si="24"/>
        <v>0</v>
      </c>
      <c r="K122" s="44">
        <f t="shared" si="24"/>
        <v>22928.87614871854</v>
      </c>
    </row>
    <row r="123" spans="1:11">
      <c r="A123" s="5"/>
      <c r="B123" s="40"/>
      <c r="C123" s="40"/>
      <c r="D123" s="46"/>
      <c r="E123" s="46"/>
      <c r="F123" s="46"/>
      <c r="G123" s="46"/>
      <c r="H123" s="46"/>
      <c r="I123" s="46"/>
      <c r="J123" s="46"/>
      <c r="K123" s="46"/>
    </row>
    <row r="124" spans="1:11" ht="18">
      <c r="A124" s="5"/>
      <c r="B124" s="38" t="s">
        <v>73</v>
      </c>
      <c r="C124" s="38"/>
      <c r="D124" s="5"/>
      <c r="E124" s="5"/>
      <c r="F124" s="5"/>
      <c r="G124" s="5"/>
      <c r="H124" s="5"/>
      <c r="I124" s="5"/>
      <c r="J124" s="5"/>
      <c r="K124" s="5"/>
    </row>
    <row r="125" spans="1:11">
      <c r="A125" s="5"/>
      <c r="B125" s="39"/>
      <c r="C125" s="39"/>
      <c r="D125" s="23"/>
      <c r="E125" s="23"/>
      <c r="F125" s="23"/>
      <c r="G125" s="23"/>
      <c r="H125" s="23"/>
      <c r="I125" s="23"/>
      <c r="J125" s="23"/>
      <c r="K125" s="23"/>
    </row>
    <row r="126" spans="1:11">
      <c r="A126" s="5"/>
      <c r="B126" s="40" t="s">
        <v>74</v>
      </c>
      <c r="C126" s="40"/>
      <c r="D126" s="41">
        <v>0</v>
      </c>
      <c r="E126" s="41">
        <v>0</v>
      </c>
      <c r="F126" s="41">
        <v>0</v>
      </c>
      <c r="G126" s="41">
        <v>0</v>
      </c>
      <c r="H126" s="41">
        <v>0</v>
      </c>
      <c r="I126" s="41">
        <v>0</v>
      </c>
      <c r="J126" s="41">
        <v>0</v>
      </c>
      <c r="K126" s="45">
        <f>SUM(D126:J126)</f>
        <v>0</v>
      </c>
    </row>
    <row r="127" spans="1:11">
      <c r="A127" s="5"/>
      <c r="B127" s="43" t="s">
        <v>75</v>
      </c>
      <c r="C127" s="43"/>
      <c r="D127" s="184"/>
      <c r="E127" s="184"/>
      <c r="F127" s="184"/>
      <c r="G127" s="184"/>
      <c r="H127" s="184"/>
      <c r="I127" s="184"/>
      <c r="J127" s="79"/>
      <c r="K127" s="5"/>
    </row>
    <row r="128" spans="1:11">
      <c r="A128" s="5"/>
      <c r="B128" s="39"/>
      <c r="C128" s="39"/>
      <c r="D128" s="5"/>
      <c r="E128" s="23"/>
      <c r="F128" s="23"/>
      <c r="G128" s="5"/>
      <c r="H128" s="5"/>
      <c r="I128" s="5"/>
      <c r="J128" s="5"/>
      <c r="K128" s="5"/>
    </row>
    <row r="129" spans="1:11" ht="13.5" thickBot="1">
      <c r="A129" s="5"/>
      <c r="B129" s="40" t="s">
        <v>76</v>
      </c>
      <c r="C129" s="40"/>
      <c r="D129" s="44">
        <f t="shared" ref="D129:K129" si="25">SUM(D126)</f>
        <v>0</v>
      </c>
      <c r="E129" s="44">
        <f t="shared" si="25"/>
        <v>0</v>
      </c>
      <c r="F129" s="44">
        <f t="shared" si="25"/>
        <v>0</v>
      </c>
      <c r="G129" s="44">
        <f t="shared" si="25"/>
        <v>0</v>
      </c>
      <c r="H129" s="44">
        <f t="shared" si="25"/>
        <v>0</v>
      </c>
      <c r="I129" s="44">
        <f t="shared" si="25"/>
        <v>0</v>
      </c>
      <c r="J129" s="44">
        <f t="shared" si="25"/>
        <v>0</v>
      </c>
      <c r="K129" s="44">
        <f t="shared" si="25"/>
        <v>0</v>
      </c>
    </row>
    <row r="130" spans="1:11">
      <c r="A130" s="5"/>
      <c r="B130" s="40"/>
      <c r="C130" s="40"/>
      <c r="D130" s="46"/>
      <c r="E130" s="46"/>
      <c r="F130" s="46"/>
      <c r="G130" s="46"/>
      <c r="H130" s="46"/>
      <c r="I130" s="46"/>
      <c r="J130" s="46"/>
      <c r="K130" s="46"/>
    </row>
    <row r="131" spans="1:11" ht="18">
      <c r="A131" s="5"/>
      <c r="B131" s="38" t="s">
        <v>77</v>
      </c>
      <c r="C131" s="38"/>
      <c r="D131" s="5"/>
      <c r="E131" s="5"/>
      <c r="F131" s="5"/>
      <c r="G131" s="5"/>
      <c r="H131" s="5"/>
      <c r="I131" s="5"/>
      <c r="J131" s="5"/>
      <c r="K131" s="5"/>
    </row>
    <row r="132" spans="1:11">
      <c r="A132" s="5"/>
      <c r="B132" s="40" t="s">
        <v>78</v>
      </c>
      <c r="C132" s="40"/>
      <c r="D132" s="41">
        <v>0</v>
      </c>
      <c r="E132" s="41">
        <v>0</v>
      </c>
      <c r="F132" s="41">
        <v>0</v>
      </c>
      <c r="G132" s="41">
        <v>0</v>
      </c>
      <c r="H132" s="41">
        <v>0</v>
      </c>
      <c r="I132" s="41">
        <v>0</v>
      </c>
      <c r="J132" s="41">
        <v>0</v>
      </c>
      <c r="K132" s="45">
        <f>SUM(D132:J132)</f>
        <v>0</v>
      </c>
    </row>
    <row r="133" spans="1:11">
      <c r="A133" s="5"/>
      <c r="B133" s="43"/>
      <c r="C133" s="43"/>
      <c r="D133" s="184"/>
      <c r="E133" s="184"/>
      <c r="F133" s="184"/>
      <c r="G133" s="184"/>
      <c r="H133" s="184"/>
      <c r="I133" s="184"/>
      <c r="J133" s="79"/>
      <c r="K133" s="5"/>
    </row>
    <row r="134" spans="1:11">
      <c r="A134" s="5"/>
      <c r="B134" s="40" t="s">
        <v>79</v>
      </c>
      <c r="C134" s="40"/>
      <c r="D134" s="41">
        <v>0</v>
      </c>
      <c r="E134" s="41">
        <v>0</v>
      </c>
      <c r="F134" s="41">
        <v>0</v>
      </c>
      <c r="G134" s="41">
        <v>6994.91</v>
      </c>
      <c r="H134" s="41">
        <v>653.4</v>
      </c>
      <c r="I134" s="41">
        <v>0</v>
      </c>
      <c r="J134" s="41">
        <v>0</v>
      </c>
      <c r="K134" s="45">
        <f>SUM(D134:J134)</f>
        <v>7648.3099999999995</v>
      </c>
    </row>
    <row r="135" spans="1:11">
      <c r="A135" s="5"/>
      <c r="B135" s="43" t="s">
        <v>80</v>
      </c>
      <c r="C135" s="43"/>
      <c r="D135" s="184"/>
      <c r="E135" s="184"/>
      <c r="F135" s="184"/>
      <c r="G135" s="184"/>
      <c r="H135" s="184"/>
      <c r="I135" s="184"/>
      <c r="J135" s="79"/>
      <c r="K135" s="5"/>
    </row>
    <row r="136" spans="1:11">
      <c r="A136" s="5"/>
      <c r="B136" s="40" t="s">
        <v>81</v>
      </c>
      <c r="C136" s="40"/>
      <c r="D136" s="41">
        <v>0</v>
      </c>
      <c r="E136" s="41">
        <v>0</v>
      </c>
      <c r="F136" s="41">
        <v>0</v>
      </c>
      <c r="G136" s="41">
        <v>0</v>
      </c>
      <c r="H136" s="41">
        <v>0</v>
      </c>
      <c r="I136" s="41">
        <v>0</v>
      </c>
      <c r="J136" s="41">
        <v>0</v>
      </c>
      <c r="K136" s="45">
        <f>SUM(D136:J136)</f>
        <v>0</v>
      </c>
    </row>
    <row r="137" spans="1:11">
      <c r="A137" s="5"/>
      <c r="B137" s="43"/>
      <c r="C137" s="43"/>
      <c r="D137" s="184"/>
      <c r="E137" s="184"/>
      <c r="F137" s="184"/>
      <c r="G137" s="184"/>
      <c r="H137" s="184"/>
      <c r="I137" s="184"/>
      <c r="J137" s="79"/>
      <c r="K137" s="5"/>
    </row>
    <row r="138" spans="1:11">
      <c r="A138" s="5"/>
      <c r="B138" s="40" t="s">
        <v>82</v>
      </c>
      <c r="C138" s="40"/>
      <c r="D138" s="41">
        <v>0</v>
      </c>
      <c r="E138" s="41">
        <v>0</v>
      </c>
      <c r="F138" s="41">
        <v>0</v>
      </c>
      <c r="G138" s="41">
        <v>0</v>
      </c>
      <c r="H138" s="41">
        <v>2958.9503999999997</v>
      </c>
      <c r="I138" s="41">
        <v>5671.6379220779218</v>
      </c>
      <c r="J138" s="41">
        <v>0</v>
      </c>
      <c r="K138" s="45">
        <f>SUM(D138:J138)</f>
        <v>8630.5883220779215</v>
      </c>
    </row>
    <row r="139" spans="1:11">
      <c r="A139" s="5"/>
      <c r="B139" s="43" t="s">
        <v>83</v>
      </c>
      <c r="C139" s="43"/>
      <c r="D139" s="184"/>
      <c r="E139" s="184"/>
      <c r="F139" s="184"/>
      <c r="G139" s="184"/>
      <c r="H139" s="184"/>
      <c r="I139" s="184"/>
      <c r="J139" s="79"/>
      <c r="K139" s="5"/>
    </row>
    <row r="140" spans="1:11">
      <c r="A140" s="5"/>
      <c r="B140" s="40" t="s">
        <v>84</v>
      </c>
      <c r="C140" s="40"/>
      <c r="D140" s="41">
        <v>0</v>
      </c>
      <c r="E140" s="41">
        <v>0</v>
      </c>
      <c r="F140" s="41">
        <v>0</v>
      </c>
      <c r="G140" s="41">
        <v>0</v>
      </c>
      <c r="H140" s="41">
        <v>336</v>
      </c>
      <c r="I140" s="41">
        <v>0</v>
      </c>
      <c r="J140" s="41">
        <v>0</v>
      </c>
      <c r="K140" s="45">
        <f>SUM(D140:J140)</f>
        <v>336</v>
      </c>
    </row>
    <row r="141" spans="1:11">
      <c r="A141" s="5"/>
      <c r="B141" s="43"/>
      <c r="C141" s="43"/>
      <c r="D141" s="184"/>
      <c r="E141" s="184"/>
      <c r="F141" s="184"/>
      <c r="G141" s="184"/>
      <c r="H141" s="184"/>
      <c r="I141" s="184"/>
      <c r="J141" s="79"/>
      <c r="K141" s="5"/>
    </row>
    <row r="142" spans="1:11">
      <c r="A142" s="5"/>
      <c r="B142" s="40" t="s">
        <v>85</v>
      </c>
      <c r="C142" s="40"/>
      <c r="D142" s="41">
        <v>0</v>
      </c>
      <c r="E142" s="41">
        <v>0</v>
      </c>
      <c r="F142" s="41">
        <v>0</v>
      </c>
      <c r="G142" s="41">
        <v>0</v>
      </c>
      <c r="H142" s="41">
        <v>0</v>
      </c>
      <c r="I142" s="41">
        <v>0</v>
      </c>
      <c r="J142" s="41">
        <v>0</v>
      </c>
      <c r="K142" s="45">
        <f>SUM(D142:J142)</f>
        <v>0</v>
      </c>
    </row>
    <row r="143" spans="1:11">
      <c r="A143" s="5"/>
      <c r="B143" s="43"/>
      <c r="C143" s="43"/>
      <c r="D143" s="184"/>
      <c r="E143" s="184"/>
      <c r="F143" s="184"/>
      <c r="G143" s="184"/>
      <c r="H143" s="184"/>
      <c r="I143" s="184"/>
      <c r="J143" s="79"/>
      <c r="K143" s="5"/>
    </row>
    <row r="144" spans="1:11">
      <c r="A144" s="5"/>
      <c r="B144" s="39"/>
      <c r="C144" s="39"/>
      <c r="D144" s="5"/>
      <c r="E144" s="23"/>
      <c r="F144" s="23"/>
      <c r="G144" s="5"/>
      <c r="H144" s="5"/>
      <c r="I144" s="5"/>
      <c r="J144" s="5"/>
      <c r="K144" s="5"/>
    </row>
    <row r="145" spans="1:11" ht="13.5" thickBot="1">
      <c r="A145" s="5"/>
      <c r="B145" s="40" t="s">
        <v>86</v>
      </c>
      <c r="C145" s="40"/>
      <c r="D145" s="44">
        <f t="shared" ref="D145:K145" si="26">SUM(D132,D134,D136,D138,D140,D142)</f>
        <v>0</v>
      </c>
      <c r="E145" s="44">
        <f t="shared" si="26"/>
        <v>0</v>
      </c>
      <c r="F145" s="44">
        <f t="shared" si="26"/>
        <v>0</v>
      </c>
      <c r="G145" s="44">
        <f t="shared" si="26"/>
        <v>6994.91</v>
      </c>
      <c r="H145" s="44">
        <f t="shared" si="26"/>
        <v>3948.3503999999998</v>
      </c>
      <c r="I145" s="44">
        <f t="shared" si="26"/>
        <v>5671.6379220779218</v>
      </c>
      <c r="J145" s="44">
        <f t="shared" si="26"/>
        <v>0</v>
      </c>
      <c r="K145" s="44">
        <f t="shared" si="26"/>
        <v>16614.898322077919</v>
      </c>
    </row>
    <row r="147" spans="1:11" ht="18.75" thickBot="1">
      <c r="B147" s="27" t="s">
        <v>87</v>
      </c>
      <c r="C147" s="27"/>
      <c r="D147" s="50">
        <f t="shared" ref="D147:K147" si="27">SUM(D107,D113,D122,D129,D145)</f>
        <v>0</v>
      </c>
      <c r="E147" s="50">
        <f t="shared" si="27"/>
        <v>0</v>
      </c>
      <c r="F147" s="50">
        <f t="shared" si="27"/>
        <v>0</v>
      </c>
      <c r="G147" s="50">
        <f t="shared" si="27"/>
        <v>7222.91</v>
      </c>
      <c r="H147" s="50">
        <f t="shared" si="27"/>
        <v>16177.889116239512</v>
      </c>
      <c r="I147" s="50">
        <f t="shared" si="27"/>
        <v>79850.97535455694</v>
      </c>
      <c r="J147" s="50">
        <f t="shared" si="27"/>
        <v>0</v>
      </c>
      <c r="K147" s="50">
        <f t="shared" si="27"/>
        <v>103251.77447079646</v>
      </c>
    </row>
    <row r="148" spans="1:11" ht="13.5" thickTop="1"/>
  </sheetData>
  <sheetProtection formatColumns="0" selectLockedCells="1"/>
  <mergeCells count="26">
    <mergeCell ref="D86:I86"/>
    <mergeCell ref="D46:I46"/>
    <mergeCell ref="D60:I60"/>
    <mergeCell ref="D70:I70"/>
    <mergeCell ref="D72:I72"/>
    <mergeCell ref="B1:I1"/>
    <mergeCell ref="D42:I42"/>
    <mergeCell ref="D54:I54"/>
    <mergeCell ref="D57:I57"/>
    <mergeCell ref="D44:I44"/>
    <mergeCell ref="D88:I88"/>
    <mergeCell ref="D143:I143"/>
    <mergeCell ref="D135:I135"/>
    <mergeCell ref="D137:I137"/>
    <mergeCell ref="D120:I120"/>
    <mergeCell ref="D127:I127"/>
    <mergeCell ref="D133:I133"/>
    <mergeCell ref="D139:I139"/>
    <mergeCell ref="D141:I141"/>
    <mergeCell ref="D117:I117"/>
    <mergeCell ref="D106:I106"/>
    <mergeCell ref="D111:I111"/>
    <mergeCell ref="D94:I94"/>
    <mergeCell ref="D90:I90"/>
    <mergeCell ref="D92:I92"/>
    <mergeCell ref="D96:I96"/>
  </mergeCells>
  <phoneticPr fontId="4" type="noConversion"/>
  <dataValidations count="2">
    <dataValidation type="list" allowBlank="1" showInputMessage="1" showErrorMessage="1" sqref="C95 C93 C89 C85 C87 C91 C78 C71 C69 C45 C53 C56 C59 C67 C43 C41 C39">
      <formula1>"Smart Meter,Comp. Hard.,Comp. Soft.,Tools &amp; Equip,Other Equip."</formula1>
    </dataValidation>
    <dataValidation type="list" allowBlank="1" showInputMessage="1" showErrorMessage="1" sqref="D5:J5">
      <formula1>"Actual,Audited Actual,Forecasted"</formula1>
    </dataValidation>
  </dataValidations>
  <pageMargins left="0.74803149606299202" right="0.74803149606299202" top="0.45" bottom="0.23" header="0.46" footer="0.25"/>
  <pageSetup scale="48"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1" manualBreakCount="1">
    <brk id="100" max="8" man="1"/>
  </rowBreaks>
</worksheet>
</file>

<file path=xl/worksheets/sheet3.xml><?xml version="1.0" encoding="utf-8"?>
<worksheet xmlns="http://schemas.openxmlformats.org/spreadsheetml/2006/main" xmlns:r="http://schemas.openxmlformats.org/officeDocument/2006/relationships">
  <sheetPr codeName="Sheet1">
    <pageSetUpPr fitToPage="1"/>
  </sheetPr>
  <dimension ref="A1:M75"/>
  <sheetViews>
    <sheetView showGridLines="0" topLeftCell="B16" workbookViewId="0">
      <selection activeCell="H27" sqref="H27"/>
    </sheetView>
  </sheetViews>
  <sheetFormatPr defaultRowHeight="12.75"/>
  <cols>
    <col min="1" max="1" width="15.5703125" style="7" customWidth="1"/>
    <col min="2" max="2" width="78" style="7" customWidth="1"/>
    <col min="3" max="3" width="14.5703125" style="7" customWidth="1"/>
    <col min="4" max="4" width="12.28515625" style="7" bestFit="1" customWidth="1"/>
    <col min="5" max="5" width="13.42578125" style="7" bestFit="1" customWidth="1"/>
    <col min="6" max="6" width="12.28515625" style="7" bestFit="1" customWidth="1"/>
    <col min="7" max="7" width="13.7109375" style="7" customWidth="1"/>
    <col min="8" max="8" width="13.42578125" style="7" bestFit="1" customWidth="1"/>
    <col min="9" max="9" width="13.42578125" style="7" customWidth="1"/>
    <col min="10" max="10" width="11.28515625" style="7" bestFit="1" customWidth="1"/>
    <col min="11" max="16384" width="9.140625" style="7"/>
  </cols>
  <sheetData>
    <row r="1" spans="1:12" s="3" customFormat="1" ht="21" customHeight="1">
      <c r="A1" s="1"/>
      <c r="B1" s="186" t="s">
        <v>88</v>
      </c>
      <c r="C1" s="186"/>
      <c r="D1" s="186"/>
      <c r="E1" s="186"/>
      <c r="F1" s="186"/>
      <c r="G1" s="186"/>
      <c r="H1" s="1"/>
      <c r="I1" s="1"/>
      <c r="J1" s="1"/>
      <c r="K1" s="1"/>
      <c r="L1" s="1"/>
    </row>
    <row r="2" spans="1:12" s="3" customFormat="1" ht="6" customHeight="1">
      <c r="A2" s="26"/>
      <c r="B2" s="26"/>
      <c r="C2" s="26"/>
      <c r="D2" s="26"/>
      <c r="E2" s="26"/>
      <c r="F2" s="26"/>
      <c r="G2" s="26"/>
      <c r="H2" s="26"/>
      <c r="I2" s="26"/>
      <c r="J2" s="1"/>
      <c r="K2" s="1"/>
      <c r="L2" s="1"/>
    </row>
    <row r="3" spans="1:12">
      <c r="A3" s="5"/>
      <c r="B3" s="5"/>
      <c r="C3" s="5"/>
      <c r="D3" s="5"/>
      <c r="E3" s="5"/>
      <c r="F3" s="5"/>
      <c r="G3" s="5"/>
      <c r="H3" s="5"/>
      <c r="I3" s="5"/>
      <c r="J3" s="5"/>
      <c r="K3" s="5"/>
      <c r="L3" s="5"/>
    </row>
    <row r="4" spans="1:12" ht="15.75">
      <c r="A4" s="5"/>
      <c r="B4" s="51" t="s">
        <v>89</v>
      </c>
      <c r="C4" s="5"/>
      <c r="D4" s="5"/>
      <c r="E4" s="5"/>
      <c r="F4" s="5"/>
      <c r="G4" s="5"/>
      <c r="H4" s="45"/>
      <c r="I4" s="45"/>
      <c r="J4" s="45"/>
      <c r="K4" s="45"/>
      <c r="L4" s="45"/>
    </row>
    <row r="5" spans="1:12">
      <c r="A5" s="5"/>
      <c r="B5" s="52" t="s">
        <v>90</v>
      </c>
      <c r="C5" s="5"/>
      <c r="D5" s="5"/>
      <c r="E5" s="5"/>
      <c r="F5" s="5"/>
      <c r="G5" s="5"/>
      <c r="H5" s="45"/>
      <c r="I5" s="45"/>
      <c r="J5" s="45"/>
      <c r="K5" s="45"/>
      <c r="L5" s="45"/>
    </row>
    <row r="6" spans="1:12">
      <c r="A6" s="5"/>
      <c r="B6" s="52" t="s">
        <v>91</v>
      </c>
      <c r="C6" s="5"/>
      <c r="D6" s="5"/>
      <c r="E6" s="5"/>
      <c r="F6" s="5"/>
      <c r="G6" s="5"/>
      <c r="H6" s="45"/>
      <c r="I6" s="45"/>
      <c r="J6" s="45"/>
      <c r="K6" s="45"/>
      <c r="L6" s="45"/>
    </row>
    <row r="7" spans="1:12">
      <c r="A7" s="5"/>
      <c r="B7" s="52" t="s">
        <v>92</v>
      </c>
      <c r="C7" s="5"/>
      <c r="D7" s="5"/>
      <c r="E7" s="5"/>
      <c r="F7" s="5"/>
      <c r="G7" s="5"/>
      <c r="H7" s="45"/>
      <c r="I7" s="45"/>
      <c r="J7" s="45"/>
      <c r="K7" s="45"/>
      <c r="L7" s="45"/>
    </row>
    <row r="8" spans="1:12">
      <c r="A8" s="5"/>
      <c r="B8" s="5"/>
      <c r="C8" s="5"/>
      <c r="D8" s="5"/>
      <c r="E8" s="5"/>
      <c r="F8" s="5"/>
      <c r="G8" s="5"/>
      <c r="H8" s="45"/>
      <c r="I8" s="45"/>
      <c r="J8" s="45"/>
      <c r="K8" s="45"/>
      <c r="L8" s="45"/>
    </row>
    <row r="9" spans="1:12">
      <c r="A9" s="5"/>
      <c r="B9" s="5"/>
      <c r="C9" s="5"/>
      <c r="D9" s="5"/>
      <c r="E9" s="5"/>
      <c r="F9" s="5"/>
      <c r="G9" s="5"/>
      <c r="H9" s="45"/>
      <c r="I9" s="45"/>
      <c r="J9" s="45"/>
      <c r="K9" s="45"/>
      <c r="L9" s="45"/>
    </row>
    <row r="10" spans="1:12" ht="47.25">
      <c r="A10" s="5"/>
      <c r="B10" s="51"/>
      <c r="C10" s="108" t="s">
        <v>93</v>
      </c>
      <c r="D10" s="108">
        <f t="shared" ref="D10:I10" si="0">D29</f>
        <v>2007</v>
      </c>
      <c r="E10" s="108">
        <f t="shared" si="0"/>
        <v>2008</v>
      </c>
      <c r="F10" s="108">
        <f t="shared" si="0"/>
        <v>2009</v>
      </c>
      <c r="G10" s="108">
        <f t="shared" si="0"/>
        <v>2010</v>
      </c>
      <c r="H10" s="108">
        <f t="shared" si="0"/>
        <v>2011</v>
      </c>
      <c r="I10" s="108" t="str">
        <f t="shared" si="0"/>
        <v>Later</v>
      </c>
      <c r="J10" s="45"/>
      <c r="K10" s="45"/>
      <c r="L10" s="45"/>
    </row>
    <row r="11" spans="1:12" ht="15.75">
      <c r="A11" s="5"/>
      <c r="B11" s="51"/>
      <c r="C11" s="5"/>
      <c r="D11" s="5"/>
      <c r="E11" s="5"/>
      <c r="F11" s="5"/>
      <c r="G11" s="5"/>
      <c r="H11" s="45"/>
      <c r="I11" s="45"/>
      <c r="J11" s="45"/>
      <c r="K11" s="45"/>
      <c r="L11" s="45"/>
    </row>
    <row r="12" spans="1:12" ht="15.75">
      <c r="A12" s="5"/>
      <c r="B12" s="109" t="s">
        <v>155</v>
      </c>
      <c r="C12" s="160"/>
      <c r="D12" s="160"/>
      <c r="E12" s="160"/>
      <c r="F12" s="160"/>
      <c r="G12" s="160"/>
      <c r="H12" s="160"/>
      <c r="I12" s="160"/>
      <c r="J12" s="45"/>
      <c r="K12" s="45"/>
      <c r="L12" s="45"/>
    </row>
    <row r="13" spans="1:12" customFormat="1"/>
    <row r="14" spans="1:12">
      <c r="A14" s="5"/>
      <c r="B14" s="53" t="s">
        <v>249</v>
      </c>
      <c r="C14" s="5"/>
      <c r="D14"/>
      <c r="E14" s="122">
        <v>0.04</v>
      </c>
      <c r="F14" s="122">
        <v>0.04</v>
      </c>
      <c r="G14" s="122">
        <v>0.04</v>
      </c>
      <c r="H14" s="122">
        <v>0.04</v>
      </c>
      <c r="I14" s="122">
        <v>0.04</v>
      </c>
      <c r="J14" s="45"/>
      <c r="K14" s="45"/>
      <c r="L14" s="45"/>
    </row>
    <row r="15" spans="1:12">
      <c r="A15" s="5"/>
      <c r="B15" s="53" t="s">
        <v>276</v>
      </c>
      <c r="C15" s="88">
        <v>0.5</v>
      </c>
      <c r="D15" s="88">
        <v>0.5</v>
      </c>
      <c r="E15" s="88">
        <v>0.49299999999999999</v>
      </c>
      <c r="F15" s="88">
        <v>0.53300000000000003</v>
      </c>
      <c r="G15" s="88">
        <v>0.56000000000000005</v>
      </c>
      <c r="H15" s="88">
        <v>0.56000000000000005</v>
      </c>
      <c r="I15" s="88">
        <v>0.56000000000000005</v>
      </c>
      <c r="J15" s="45"/>
      <c r="K15" s="45"/>
      <c r="L15" s="5"/>
    </row>
    <row r="16" spans="1:12">
      <c r="A16" s="5"/>
      <c r="B16" s="53" t="s">
        <v>277</v>
      </c>
      <c r="C16" s="89">
        <f>1-C15</f>
        <v>0.5</v>
      </c>
      <c r="D16" s="89">
        <f>1-D15</f>
        <v>0.5</v>
      </c>
      <c r="E16" s="89">
        <f>1-E15-E14</f>
        <v>0.46700000000000003</v>
      </c>
      <c r="F16" s="89">
        <f>1-F15-F14</f>
        <v>0.42699999999999999</v>
      </c>
      <c r="G16" s="89">
        <f>1-G15-G14</f>
        <v>0.39999999999999997</v>
      </c>
      <c r="H16" s="89">
        <f>1-H15-H14</f>
        <v>0.39999999999999997</v>
      </c>
      <c r="I16" s="89">
        <f>1-I15-I14</f>
        <v>0.39999999999999997</v>
      </c>
      <c r="J16" s="45"/>
      <c r="K16" s="45"/>
      <c r="L16" s="5"/>
    </row>
    <row r="17" spans="1:13" customFormat="1"/>
    <row r="18" spans="1:13">
      <c r="A18" s="5"/>
      <c r="B18" s="53" t="s">
        <v>250</v>
      </c>
      <c r="C18" s="89"/>
      <c r="D18" s="89"/>
      <c r="E18" s="123">
        <v>4.4699999999999997E-2</v>
      </c>
      <c r="F18" s="123">
        <v>1.3299999999999999E-2</v>
      </c>
      <c r="G18" s="123">
        <v>1.3299999999999999E-2</v>
      </c>
      <c r="H18" s="123">
        <v>1.3299999999999999E-2</v>
      </c>
      <c r="I18" s="123">
        <v>1.3299999999999999E-2</v>
      </c>
      <c r="J18" s="45"/>
      <c r="K18" s="45"/>
      <c r="L18" s="5"/>
    </row>
    <row r="19" spans="1:13">
      <c r="A19" s="5"/>
      <c r="B19" s="53" t="s">
        <v>278</v>
      </c>
      <c r="C19" s="90">
        <v>7.0900000000000005E-2</v>
      </c>
      <c r="D19" s="90">
        <v>7.0900000000000005E-2</v>
      </c>
      <c r="E19" s="90">
        <v>7.0900000000000005E-2</v>
      </c>
      <c r="F19" s="90">
        <v>6.88E-2</v>
      </c>
      <c r="G19" s="90">
        <v>6.88E-2</v>
      </c>
      <c r="H19" s="90">
        <v>6.88E-2</v>
      </c>
      <c r="I19" s="90">
        <v>6.88E-2</v>
      </c>
      <c r="J19" s="45"/>
      <c r="K19" s="45"/>
      <c r="L19" s="5"/>
    </row>
    <row r="20" spans="1:13" ht="13.5" customHeight="1">
      <c r="A20" s="5"/>
      <c r="B20" s="53" t="s">
        <v>279</v>
      </c>
      <c r="C20" s="90">
        <v>0.09</v>
      </c>
      <c r="D20" s="90">
        <v>0.09</v>
      </c>
      <c r="E20" s="90">
        <v>8.5699999999999998E-2</v>
      </c>
      <c r="F20" s="90">
        <v>8.0100000000000005E-2</v>
      </c>
      <c r="G20" s="90">
        <v>8.0100000000000005E-2</v>
      </c>
      <c r="H20" s="90">
        <v>8.0100000000000005E-2</v>
      </c>
      <c r="I20" s="90">
        <v>8.0100000000000005E-2</v>
      </c>
      <c r="J20" s="5"/>
      <c r="K20" s="5"/>
      <c r="L20" s="5"/>
    </row>
    <row r="21" spans="1:13" ht="18" customHeight="1">
      <c r="A21" s="5"/>
      <c r="B21" s="54" t="s">
        <v>94</v>
      </c>
      <c r="C21" s="94">
        <f>(C19*C15)+(C16*C20)</f>
        <v>8.0449999999999994E-2</v>
      </c>
      <c r="D21" s="94">
        <f>(D19*D15)+(D16*D20)</f>
        <v>8.0449999999999994E-2</v>
      </c>
      <c r="E21" s="94">
        <f>(E14*E18)+(E15*E19)+(E16*E20)</f>
        <v>7.6763600000000001E-2</v>
      </c>
      <c r="F21" s="94">
        <f>(F14*F18)+(F15*F19)+(F16*F20)</f>
        <v>7.1405099999999999E-2</v>
      </c>
      <c r="G21" s="94">
        <f>(G14*G18)+(G15*G19)+(G16*G20)</f>
        <v>7.1099999999999997E-2</v>
      </c>
      <c r="H21" s="94">
        <f>(H14*H18)+(H15*H19)+(H16*H20)</f>
        <v>7.1099999999999997E-2</v>
      </c>
      <c r="I21" s="94">
        <f>(I14*I18)+(I15*I19)+(I16*I20)</f>
        <v>7.1099999999999997E-2</v>
      </c>
      <c r="J21" s="5"/>
      <c r="K21" s="5"/>
      <c r="L21" s="5"/>
    </row>
    <row r="22" spans="1:13" ht="18" customHeight="1">
      <c r="A22" s="5"/>
      <c r="B22" s="54"/>
      <c r="C22" s="55"/>
      <c r="D22" s="55"/>
      <c r="E22" s="55"/>
      <c r="F22" s="55"/>
      <c r="G22" s="55"/>
      <c r="H22" s="55"/>
      <c r="I22" s="55"/>
      <c r="J22" s="5"/>
      <c r="K22" s="5"/>
      <c r="L22" s="5"/>
    </row>
    <row r="23" spans="1:13" ht="18" customHeight="1">
      <c r="A23" s="5"/>
      <c r="B23" s="51" t="s">
        <v>95</v>
      </c>
      <c r="C23" s="90">
        <v>0.15</v>
      </c>
      <c r="D23" s="90">
        <v>0.15</v>
      </c>
      <c r="E23" s="90">
        <v>0.15</v>
      </c>
      <c r="F23" s="90">
        <v>0.15</v>
      </c>
      <c r="G23" s="90">
        <v>0.15</v>
      </c>
      <c r="H23" s="90">
        <v>0.15</v>
      </c>
      <c r="I23" s="90">
        <v>0.15</v>
      </c>
      <c r="J23" s="5"/>
      <c r="K23" s="5"/>
      <c r="L23" s="5"/>
    </row>
    <row r="24" spans="1:13" ht="18" customHeight="1">
      <c r="A24" s="5"/>
      <c r="B24" s="54"/>
      <c r="C24" s="55"/>
      <c r="D24" s="55"/>
      <c r="E24" s="55"/>
      <c r="F24" s="55"/>
      <c r="G24" s="55"/>
      <c r="H24" s="55"/>
      <c r="I24" s="55"/>
      <c r="J24" s="5"/>
      <c r="K24" s="5"/>
      <c r="L24" s="5"/>
    </row>
    <row r="25" spans="1:13">
      <c r="A25" s="5"/>
      <c r="B25" s="33" t="s">
        <v>96</v>
      </c>
      <c r="C25" s="58"/>
      <c r="D25" s="58"/>
      <c r="E25" s="58"/>
      <c r="F25" s="58"/>
      <c r="G25" s="58"/>
      <c r="H25" s="58"/>
      <c r="I25" s="58"/>
      <c r="J25" s="5"/>
      <c r="K25" s="5"/>
      <c r="L25" s="5"/>
    </row>
    <row r="26" spans="1:13">
      <c r="A26" s="5"/>
      <c r="B26" s="53" t="s">
        <v>97</v>
      </c>
      <c r="C26" s="90">
        <v>0.36120000000000002</v>
      </c>
      <c r="D26" s="90">
        <v>0.36120000000000002</v>
      </c>
      <c r="E26" s="90">
        <v>0.33500000000000002</v>
      </c>
      <c r="F26" s="90">
        <v>0.33</v>
      </c>
      <c r="G26" s="90">
        <v>0.31</v>
      </c>
      <c r="H26" s="90">
        <v>0.28249999999999997</v>
      </c>
      <c r="I26" s="90">
        <v>0.26250000000000001</v>
      </c>
      <c r="J26" s="5"/>
      <c r="K26" s="5"/>
      <c r="L26" s="5"/>
    </row>
    <row r="27" spans="1:13">
      <c r="A27" s="5"/>
      <c r="B27" s="28"/>
      <c r="C27" s="5"/>
      <c r="D27" s="5"/>
      <c r="E27" s="5"/>
      <c r="F27" s="5"/>
      <c r="G27" s="5"/>
      <c r="H27" s="5"/>
      <c r="I27" s="5"/>
      <c r="J27" s="5"/>
      <c r="K27" s="5"/>
      <c r="L27" s="5"/>
    </row>
    <row r="28" spans="1:13">
      <c r="A28" s="5"/>
      <c r="B28" s="5"/>
      <c r="C28" s="5"/>
      <c r="D28" s="5"/>
      <c r="E28" s="5"/>
      <c r="F28" s="5"/>
      <c r="G28" s="5"/>
      <c r="H28" s="5"/>
      <c r="I28" s="5"/>
      <c r="J28" s="5"/>
      <c r="K28" s="5"/>
      <c r="L28" s="5"/>
    </row>
    <row r="29" spans="1:13" ht="15.75">
      <c r="A29" s="5"/>
      <c r="B29" s="51" t="s">
        <v>195</v>
      </c>
      <c r="C29" s="23">
        <f>'2. Smart Meter Data'!D4</f>
        <v>2006</v>
      </c>
      <c r="D29" s="23">
        <f>'2. Smart Meter Data'!E4</f>
        <v>2007</v>
      </c>
      <c r="E29" s="23">
        <f>'2. Smart Meter Data'!F4</f>
        <v>2008</v>
      </c>
      <c r="F29" s="23">
        <f>'2. Smart Meter Data'!G4</f>
        <v>2009</v>
      </c>
      <c r="G29" s="23">
        <f>'2. Smart Meter Data'!H4</f>
        <v>2010</v>
      </c>
      <c r="H29" s="23">
        <f>'2. Smart Meter Data'!I4</f>
        <v>2011</v>
      </c>
      <c r="I29" s="23" t="str">
        <f>'2. Smart Meter Data'!J4</f>
        <v>Later</v>
      </c>
      <c r="J29" s="23" t="s">
        <v>16</v>
      </c>
      <c r="K29" s="5"/>
      <c r="L29" s="5"/>
      <c r="M29" s="5"/>
    </row>
    <row r="30" spans="1:13" ht="15.75">
      <c r="A30" s="5"/>
      <c r="B30" s="51"/>
      <c r="C30" s="23" t="str">
        <f>'2. Smart Meter Data'!D5</f>
        <v>Audited Actual</v>
      </c>
      <c r="D30" s="23" t="str">
        <f>'2. Smart Meter Data'!E5</f>
        <v>Audited Actual</v>
      </c>
      <c r="E30" s="23" t="str">
        <f>'2. Smart Meter Data'!F5</f>
        <v>Audited Actual</v>
      </c>
      <c r="F30" s="23" t="str">
        <f>'2. Smart Meter Data'!G5</f>
        <v>Audited Actual</v>
      </c>
      <c r="G30" s="23" t="str">
        <f>'2. Smart Meter Data'!H5</f>
        <v>Actual</v>
      </c>
      <c r="H30" s="23" t="str">
        <f>'2. Smart Meter Data'!I5</f>
        <v>Forecasted</v>
      </c>
      <c r="I30" s="23" t="str">
        <f>'2. Smart Meter Data'!J5</f>
        <v>Forecasted</v>
      </c>
      <c r="J30" s="23"/>
      <c r="K30" s="5"/>
      <c r="L30" s="5"/>
      <c r="M30" s="5"/>
    </row>
    <row r="31" spans="1:13">
      <c r="A31" s="5"/>
      <c r="B31" s="30" t="s">
        <v>8</v>
      </c>
      <c r="C31" s="95">
        <f ca="1">SUMIF('2. Smart Meter Data'!$C:$J,"Smart Meter",'2. Smart Meter Data'!D:D)</f>
        <v>0</v>
      </c>
      <c r="D31" s="95">
        <f ca="1">SUMIF('2. Smart Meter Data'!$C:$J,"Smart Meter",'2. Smart Meter Data'!E:E)</f>
        <v>0</v>
      </c>
      <c r="E31" s="95">
        <f ca="1">SUMIF('2. Smart Meter Data'!$C:$J,"Smart Meter",'2. Smart Meter Data'!F:F)</f>
        <v>0</v>
      </c>
      <c r="F31" s="95">
        <f ca="1">SUMIF('2. Smart Meter Data'!$C:$J,"Smart Meter",'2. Smart Meter Data'!G:G)</f>
        <v>17810.38</v>
      </c>
      <c r="G31" s="95">
        <f ca="1">SUMIF('2. Smart Meter Data'!$C:$J,"Smart Meter",'2. Smart Meter Data'!H:H)</f>
        <v>610858.19613439997</v>
      </c>
      <c r="H31" s="95">
        <f ca="1">SUMIF('2. Smart Meter Data'!$C:$J,"Smart Meter",'2. Smart Meter Data'!I:I)</f>
        <v>0</v>
      </c>
      <c r="I31" s="95">
        <f ca="1">SUMIF('2. Smart Meter Data'!$C:$J,"Smart Meter",'2. Smart Meter Data'!J:J)</f>
        <v>0</v>
      </c>
      <c r="J31" s="96">
        <f ca="1">SUM(C31:H31)</f>
        <v>628668.57613439998</v>
      </c>
      <c r="K31" s="5"/>
      <c r="L31" s="5"/>
      <c r="M31" s="5"/>
    </row>
    <row r="32" spans="1:13">
      <c r="A32" s="5"/>
      <c r="B32" s="30" t="s">
        <v>98</v>
      </c>
      <c r="C32" s="95">
        <f ca="1">SUMIF('2. Smart Meter Data'!$C:$J,"Comp. Hard.",'2. Smart Meter Data'!D:D)</f>
        <v>0</v>
      </c>
      <c r="D32" s="95">
        <f ca="1">SUMIF('2. Smart Meter Data'!$C:$J,"Comp. Hard.",'2. Smart Meter Data'!E:E)</f>
        <v>0</v>
      </c>
      <c r="E32" s="95">
        <f ca="1">SUMIF('2. Smart Meter Data'!$C:$J,"Comp. Hard.",'2. Smart Meter Data'!F:F)</f>
        <v>0</v>
      </c>
      <c r="F32" s="95">
        <f ca="1">SUMIF('2. Smart Meter Data'!$C:$J,"Comp. Hard.",'2. Smart Meter Data'!G:G)</f>
        <v>468.5581402597403</v>
      </c>
      <c r="G32" s="95">
        <f ca="1">SUMIF('2. Smart Meter Data'!$C:$J,"Comp. Hard.",'2. Smart Meter Data'!H:H)</f>
        <v>46.757480000000001</v>
      </c>
      <c r="H32" s="95">
        <f ca="1">SUMIF('2. Smart Meter Data'!$C:$J,"Comp. Hard.",'2. Smart Meter Data'!I:I)</f>
        <v>0</v>
      </c>
      <c r="I32" s="95">
        <f ca="1">SUMIF('2. Smart Meter Data'!$C:$J,"Comp. Hard.",'2. Smart Meter Data'!J:J)</f>
        <v>0</v>
      </c>
      <c r="J32" s="96">
        <f ca="1">SUM(C32:H32)</f>
        <v>515.31562025974029</v>
      </c>
      <c r="K32" s="5"/>
      <c r="L32" s="5"/>
      <c r="M32" s="5"/>
    </row>
    <row r="33" spans="1:13">
      <c r="A33" s="5"/>
      <c r="B33" s="30" t="s">
        <v>99</v>
      </c>
      <c r="C33" s="95">
        <f ca="1">SUMIF('2. Smart Meter Data'!$C:$J,"Comp. Soft.",'2. Smart Meter Data'!D:D)</f>
        <v>0</v>
      </c>
      <c r="D33" s="95">
        <f ca="1">SUMIF('2. Smart Meter Data'!$C:$J,"Comp. Soft.",'2. Smart Meter Data'!E:E)</f>
        <v>0</v>
      </c>
      <c r="E33" s="95">
        <f ca="1">SUMIF('2. Smart Meter Data'!$C:$J,"Comp. Soft.",'2. Smart Meter Data'!F:F)</f>
        <v>0</v>
      </c>
      <c r="F33" s="95">
        <f ca="1">SUMIF('2. Smart Meter Data'!$C:$J,"Comp. Soft.",'2. Smart Meter Data'!G:G)</f>
        <v>16021.559816867866</v>
      </c>
      <c r="G33" s="95">
        <f ca="1">SUMIF('2. Smart Meter Data'!$C:$J,"Comp. Soft.",'2. Smart Meter Data'!H:H)</f>
        <v>31487.056983302413</v>
      </c>
      <c r="H33" s="95">
        <f ca="1">SUMIF('2. Smart Meter Data'!$C:$J,"Comp. Soft.",'2. Smart Meter Data'!I:I)</f>
        <v>111262</v>
      </c>
      <c r="I33" s="95">
        <f ca="1">SUMIF('2. Smart Meter Data'!$C:$J,"Comp. Soft.",'2. Smart Meter Data'!J:J)</f>
        <v>0</v>
      </c>
      <c r="J33" s="96">
        <f ca="1">SUM(C33:H33)</f>
        <v>158770.61680017028</v>
      </c>
      <c r="K33" s="5"/>
      <c r="L33" s="5"/>
      <c r="M33" s="5"/>
    </row>
    <row r="34" spans="1:13">
      <c r="A34" s="5"/>
      <c r="B34" s="30" t="s">
        <v>11</v>
      </c>
      <c r="C34" s="95">
        <f ca="1">SUMIF('2. Smart Meter Data'!$C:$J,"Tools &amp; Equip",'2. Smart Meter Data'!D:D)</f>
        <v>0</v>
      </c>
      <c r="D34" s="95">
        <f ca="1">SUMIF('2. Smart Meter Data'!$C:$J,"Tools &amp; Equip",'2. Smart Meter Data'!E:E)</f>
        <v>0</v>
      </c>
      <c r="E34" s="95">
        <f ca="1">SUMIF('2. Smart Meter Data'!$C:$J,"Tools &amp; Equip",'2. Smart Meter Data'!F:F)</f>
        <v>0</v>
      </c>
      <c r="F34" s="95">
        <f ca="1">SUMIF('2. Smart Meter Data'!$C:$J,"Tools &amp; Equip",'2. Smart Meter Data'!G:G)</f>
        <v>0</v>
      </c>
      <c r="G34" s="95">
        <f ca="1">SUMIF('2. Smart Meter Data'!$C:$J,"Tools &amp; Equip",'2. Smart Meter Data'!H:H)</f>
        <v>0</v>
      </c>
      <c r="H34" s="95">
        <f ca="1">SUMIF('2. Smart Meter Data'!$C:$J,"Tools &amp; Equip",'2. Smart Meter Data'!I:I)</f>
        <v>0</v>
      </c>
      <c r="I34" s="95">
        <f ca="1">SUMIF('2. Smart Meter Data'!$C:$J,"Tools &amp; Equip",'2. Smart Meter Data'!J:J)</f>
        <v>0</v>
      </c>
      <c r="J34" s="96">
        <f ca="1">SUM(C34:H34)</f>
        <v>0</v>
      </c>
      <c r="K34" s="5"/>
      <c r="L34" s="5"/>
      <c r="M34" s="5"/>
    </row>
    <row r="35" spans="1:13">
      <c r="A35" s="5"/>
      <c r="B35" s="30" t="s">
        <v>13</v>
      </c>
      <c r="C35" s="95">
        <f ca="1">SUMIF('2. Smart Meter Data'!$C:$J,"Other Equip.",'2. Smart Meter Data'!D:D)</f>
        <v>0</v>
      </c>
      <c r="D35" s="95">
        <f ca="1">SUMIF('2. Smart Meter Data'!$C:$J,"Other Equip.",'2. Smart Meter Data'!E:E)</f>
        <v>0</v>
      </c>
      <c r="E35" s="95">
        <f ca="1">SUMIF('2. Smart Meter Data'!$C:$J,"Other Equip.",'2. Smart Meter Data'!F:F)</f>
        <v>0</v>
      </c>
      <c r="F35" s="95">
        <f ca="1">SUMIF('2. Smart Meter Data'!$C:$J,"Other Equip.",'2. Smart Meter Data'!G:G)</f>
        <v>0</v>
      </c>
      <c r="G35" s="95">
        <f ca="1">SUMIF('2. Smart Meter Data'!$C:$J,"Other Equip.",'2. Smart Meter Data'!H:H)</f>
        <v>1431.02</v>
      </c>
      <c r="H35" s="95">
        <f ca="1">SUMIF('2. Smart Meter Data'!$C:$J,"Other Equip.",'2. Smart Meter Data'!I:I)</f>
        <v>0</v>
      </c>
      <c r="I35" s="95">
        <f ca="1">SUMIF('2. Smart Meter Data'!$C:$J,"Other Equip.",'2. Smart Meter Data'!J:J)</f>
        <v>0</v>
      </c>
      <c r="J35" s="96">
        <f ca="1">SUM(C35:H35)</f>
        <v>1431.02</v>
      </c>
      <c r="K35" s="5"/>
      <c r="L35" s="5"/>
      <c r="M35" s="5"/>
    </row>
    <row r="36" spans="1:13" ht="13.5" thickBot="1">
      <c r="A36" s="5"/>
      <c r="B36" s="54" t="s">
        <v>60</v>
      </c>
      <c r="C36" s="97">
        <f t="shared" ref="C36:J36" ca="1" si="1">SUM(C31:C33)</f>
        <v>0</v>
      </c>
      <c r="D36" s="97">
        <f t="shared" ca="1" si="1"/>
        <v>0</v>
      </c>
      <c r="E36" s="97">
        <f t="shared" ca="1" si="1"/>
        <v>0</v>
      </c>
      <c r="F36" s="97">
        <f t="shared" ca="1" si="1"/>
        <v>34300.497957127605</v>
      </c>
      <c r="G36" s="97">
        <f t="shared" ca="1" si="1"/>
        <v>642392.01059770247</v>
      </c>
      <c r="H36" s="97">
        <f t="shared" ca="1" si="1"/>
        <v>111262</v>
      </c>
      <c r="I36" s="97">
        <f t="shared" ca="1" si="1"/>
        <v>0</v>
      </c>
      <c r="J36" s="97">
        <f t="shared" ca="1" si="1"/>
        <v>787954.50855482998</v>
      </c>
      <c r="K36" s="5"/>
      <c r="L36" s="5"/>
      <c r="M36" s="5"/>
    </row>
    <row r="37" spans="1:13">
      <c r="A37" s="5"/>
      <c r="B37" s="5"/>
      <c r="C37" s="92">
        <f ca="1">'2. Smart Meter Data'!D99-C36</f>
        <v>0</v>
      </c>
      <c r="D37" s="92">
        <f ca="1">'2. Smart Meter Data'!E99-D36</f>
        <v>0</v>
      </c>
      <c r="E37" s="92">
        <f ca="1">'2. Smart Meter Data'!F99-E36</f>
        <v>0</v>
      </c>
      <c r="F37" s="92">
        <f ca="1">'2. Smart Meter Data'!G99-F36</f>
        <v>0</v>
      </c>
      <c r="G37" s="92">
        <f ca="1">'2. Smart Meter Data'!H99-G36</f>
        <v>1431.0199999999022</v>
      </c>
      <c r="H37" s="92">
        <f ca="1">'2. Smart Meter Data'!I99-H36</f>
        <v>0</v>
      </c>
      <c r="I37" s="92">
        <f ca="1">'2. Smart Meter Data'!J99-I36</f>
        <v>0</v>
      </c>
      <c r="J37" s="92">
        <f ca="1">'2. Smart Meter Data'!K99-J36</f>
        <v>1431.0200000000186</v>
      </c>
      <c r="K37" s="5"/>
      <c r="L37" s="5"/>
      <c r="M37" s="5"/>
    </row>
    <row r="38" spans="1:13">
      <c r="A38" s="5"/>
      <c r="E38" s="5"/>
      <c r="F38" s="5"/>
      <c r="G38" s="5"/>
      <c r="H38" s="5"/>
      <c r="I38" s="5"/>
      <c r="J38" s="5"/>
      <c r="K38" s="5"/>
      <c r="L38" s="5"/>
    </row>
    <row r="39" spans="1:13">
      <c r="A39" s="5"/>
      <c r="B39" s="5"/>
      <c r="C39" s="23">
        <f>C29</f>
        <v>2006</v>
      </c>
      <c r="D39" s="23">
        <f t="shared" ref="D39:J39" si="2">D29</f>
        <v>2007</v>
      </c>
      <c r="E39" s="23">
        <f t="shared" si="2"/>
        <v>2008</v>
      </c>
      <c r="F39" s="23">
        <f t="shared" si="2"/>
        <v>2009</v>
      </c>
      <c r="G39" s="23">
        <f t="shared" si="2"/>
        <v>2010</v>
      </c>
      <c r="H39" s="23">
        <f t="shared" si="2"/>
        <v>2011</v>
      </c>
      <c r="I39" s="23" t="str">
        <f t="shared" si="2"/>
        <v>Later</v>
      </c>
      <c r="J39" s="23" t="str">
        <f t="shared" si="2"/>
        <v>Total</v>
      </c>
      <c r="K39" s="5"/>
      <c r="L39" s="5"/>
    </row>
    <row r="40" spans="1:13" ht="15.75">
      <c r="A40" s="5"/>
      <c r="B40" s="51" t="s">
        <v>100</v>
      </c>
      <c r="C40" s="23" t="str">
        <f>C30</f>
        <v>Audited Actual</v>
      </c>
      <c r="D40" s="23" t="str">
        <f t="shared" ref="D40:I40" si="3">D30</f>
        <v>Audited Actual</v>
      </c>
      <c r="E40" s="23" t="str">
        <f t="shared" si="3"/>
        <v>Audited Actual</v>
      </c>
      <c r="F40" s="23" t="str">
        <f t="shared" si="3"/>
        <v>Audited Actual</v>
      </c>
      <c r="G40" s="23" t="str">
        <f t="shared" si="3"/>
        <v>Actual</v>
      </c>
      <c r="H40" s="23" t="str">
        <f t="shared" si="3"/>
        <v>Forecasted</v>
      </c>
      <c r="I40" s="23" t="str">
        <f t="shared" si="3"/>
        <v>Forecasted</v>
      </c>
      <c r="J40" s="23"/>
      <c r="K40" s="5"/>
      <c r="L40" s="5"/>
      <c r="M40" s="5"/>
    </row>
    <row r="41" spans="1:13">
      <c r="A41" s="5"/>
      <c r="B41" s="56" t="s">
        <v>101</v>
      </c>
      <c r="C41" s="98">
        <f>'2. Smart Meter Data'!D107</f>
        <v>0</v>
      </c>
      <c r="D41" s="98">
        <f>'2. Smart Meter Data'!E107</f>
        <v>0</v>
      </c>
      <c r="E41" s="98">
        <f>'2. Smart Meter Data'!F107</f>
        <v>0</v>
      </c>
      <c r="F41" s="98">
        <f>'2. Smart Meter Data'!G107</f>
        <v>0</v>
      </c>
      <c r="G41" s="98">
        <f>'2. Smart Meter Data'!H107</f>
        <v>0</v>
      </c>
      <c r="H41" s="98">
        <f>'2. Smart Meter Data'!I107</f>
        <v>63708</v>
      </c>
      <c r="I41" s="98">
        <f>'2. Smart Meter Data'!J107</f>
        <v>0</v>
      </c>
      <c r="J41" s="96">
        <f>SUM(C41:H41)</f>
        <v>63708</v>
      </c>
      <c r="K41" s="5"/>
      <c r="L41" s="5"/>
      <c r="M41" s="5"/>
    </row>
    <row r="42" spans="1:13">
      <c r="A42" s="5"/>
      <c r="B42" s="56" t="s">
        <v>102</v>
      </c>
      <c r="C42" s="98">
        <f>'2. Smart Meter Data'!D113</f>
        <v>0</v>
      </c>
      <c r="D42" s="98">
        <f>'2. Smart Meter Data'!E113</f>
        <v>0</v>
      </c>
      <c r="E42" s="98">
        <f>'2. Smart Meter Data'!F113</f>
        <v>0</v>
      </c>
      <c r="F42" s="98">
        <f>'2. Smart Meter Data'!G113</f>
        <v>0</v>
      </c>
      <c r="G42" s="98">
        <f>'2. Smart Meter Data'!H113</f>
        <v>0</v>
      </c>
      <c r="H42" s="98">
        <f>'2. Smart Meter Data'!I113</f>
        <v>0</v>
      </c>
      <c r="I42" s="98">
        <f>'2. Smart Meter Data'!J113</f>
        <v>0</v>
      </c>
      <c r="J42" s="96">
        <f>SUM(C42:H42)</f>
        <v>0</v>
      </c>
      <c r="K42" s="5"/>
      <c r="L42" s="5"/>
      <c r="M42" s="5"/>
    </row>
    <row r="43" spans="1:13">
      <c r="A43" s="5"/>
      <c r="B43" s="56" t="s">
        <v>103</v>
      </c>
      <c r="C43" s="98">
        <f>'2. Smart Meter Data'!D122</f>
        <v>0</v>
      </c>
      <c r="D43" s="98">
        <f>'2. Smart Meter Data'!E122</f>
        <v>0</v>
      </c>
      <c r="E43" s="98">
        <f>'2. Smart Meter Data'!F122</f>
        <v>0</v>
      </c>
      <c r="F43" s="98">
        <f>'2. Smart Meter Data'!G122</f>
        <v>228</v>
      </c>
      <c r="G43" s="98">
        <f>'2. Smart Meter Data'!H122</f>
        <v>12229.538716239513</v>
      </c>
      <c r="H43" s="98">
        <f>'2. Smart Meter Data'!I122</f>
        <v>10471.337432479026</v>
      </c>
      <c r="I43" s="98">
        <f>'2. Smart Meter Data'!J122</f>
        <v>0</v>
      </c>
      <c r="J43" s="96">
        <f>SUM(C43:H43)</f>
        <v>22928.87614871854</v>
      </c>
      <c r="K43" s="5"/>
      <c r="L43" s="5"/>
      <c r="M43" s="5"/>
    </row>
    <row r="44" spans="1:13">
      <c r="A44" s="5"/>
      <c r="B44" s="56" t="s">
        <v>104</v>
      </c>
      <c r="C44" s="98">
        <f>'2. Smart Meter Data'!D129</f>
        <v>0</v>
      </c>
      <c r="D44" s="98">
        <f>'2. Smart Meter Data'!E129</f>
        <v>0</v>
      </c>
      <c r="E44" s="98">
        <f>'2. Smart Meter Data'!F129</f>
        <v>0</v>
      </c>
      <c r="F44" s="98">
        <f>'2. Smart Meter Data'!G129</f>
        <v>0</v>
      </c>
      <c r="G44" s="98">
        <f>'2. Smart Meter Data'!H129</f>
        <v>0</v>
      </c>
      <c r="H44" s="98">
        <f>'2. Smart Meter Data'!I129</f>
        <v>0</v>
      </c>
      <c r="I44" s="98">
        <f>'2. Smart Meter Data'!J129</f>
        <v>0</v>
      </c>
      <c r="J44" s="96">
        <f>SUM(C44:H44)</f>
        <v>0</v>
      </c>
      <c r="K44" s="5"/>
      <c r="L44" s="5"/>
      <c r="M44" s="5"/>
    </row>
    <row r="45" spans="1:13">
      <c r="A45" s="5"/>
      <c r="B45" s="56" t="s">
        <v>105</v>
      </c>
      <c r="C45" s="98">
        <f>'2. Smart Meter Data'!D145</f>
        <v>0</v>
      </c>
      <c r="D45" s="98">
        <f>'2. Smart Meter Data'!E145</f>
        <v>0</v>
      </c>
      <c r="E45" s="98">
        <f>'2. Smart Meter Data'!F145</f>
        <v>0</v>
      </c>
      <c r="F45" s="98">
        <f>'2. Smart Meter Data'!G145</f>
        <v>6994.91</v>
      </c>
      <c r="G45" s="98">
        <f>'2. Smart Meter Data'!H145</f>
        <v>3948.3503999999998</v>
      </c>
      <c r="H45" s="98">
        <f>'2. Smart Meter Data'!I145</f>
        <v>5671.6379220779218</v>
      </c>
      <c r="I45" s="98">
        <f>'2. Smart Meter Data'!J145</f>
        <v>0</v>
      </c>
      <c r="J45" s="96">
        <f>SUM(C45:H45)</f>
        <v>16614.898322077919</v>
      </c>
      <c r="K45" s="5"/>
      <c r="L45" s="5"/>
      <c r="M45" s="5"/>
    </row>
    <row r="46" spans="1:13" ht="13.5" thickBot="1">
      <c r="A46" s="5"/>
      <c r="B46" s="53" t="s">
        <v>87</v>
      </c>
      <c r="C46" s="99">
        <f t="shared" ref="C46:J46" si="4">SUM(C41:C45)</f>
        <v>0</v>
      </c>
      <c r="D46" s="99">
        <f t="shared" si="4"/>
        <v>0</v>
      </c>
      <c r="E46" s="99">
        <f t="shared" si="4"/>
        <v>0</v>
      </c>
      <c r="F46" s="100">
        <f t="shared" si="4"/>
        <v>7222.91</v>
      </c>
      <c r="G46" s="100">
        <f t="shared" si="4"/>
        <v>16177.889116239512</v>
      </c>
      <c r="H46" s="100">
        <f t="shared" si="4"/>
        <v>79850.97535455694</v>
      </c>
      <c r="I46" s="100">
        <f t="shared" si="4"/>
        <v>0</v>
      </c>
      <c r="J46" s="100">
        <f t="shared" si="4"/>
        <v>103251.77447079646</v>
      </c>
      <c r="K46" s="5"/>
      <c r="L46" s="5"/>
      <c r="M46" s="5"/>
    </row>
    <row r="47" spans="1:13">
      <c r="A47" s="5"/>
      <c r="B47" s="5"/>
      <c r="C47" s="93">
        <f>'2. Smart Meter Data'!D147-C46</f>
        <v>0</v>
      </c>
      <c r="D47" s="93">
        <f>'2. Smart Meter Data'!E147-D46</f>
        <v>0</v>
      </c>
      <c r="E47" s="93">
        <f>'2. Smart Meter Data'!F147-E46</f>
        <v>0</v>
      </c>
      <c r="F47" s="93">
        <f>'2. Smart Meter Data'!G147-F46</f>
        <v>0</v>
      </c>
      <c r="G47" s="93">
        <f>'2. Smart Meter Data'!H147-G46</f>
        <v>0</v>
      </c>
      <c r="H47" s="93">
        <f>'2. Smart Meter Data'!I147-H46</f>
        <v>0</v>
      </c>
      <c r="I47" s="93">
        <f>'2. Smart Meter Data'!J147-I46</f>
        <v>0</v>
      </c>
      <c r="J47" s="93">
        <f>'2. Smart Meter Data'!K147-J46</f>
        <v>0</v>
      </c>
      <c r="K47" s="5"/>
      <c r="L47" s="5"/>
    </row>
    <row r="48" spans="1:13">
      <c r="A48" s="5"/>
      <c r="B48" s="5"/>
      <c r="C48" s="5"/>
      <c r="D48" s="5"/>
      <c r="E48" s="5"/>
      <c r="F48" s="5"/>
      <c r="G48" s="5"/>
      <c r="H48" s="5"/>
      <c r="I48" s="5"/>
      <c r="J48" s="5"/>
      <c r="K48" s="5"/>
      <c r="L48" s="5"/>
    </row>
    <row r="49" spans="1:12" ht="15.75">
      <c r="A49" s="5"/>
      <c r="B49" s="51" t="s">
        <v>106</v>
      </c>
      <c r="C49" s="29" t="s">
        <v>107</v>
      </c>
      <c r="D49" s="29" t="s">
        <v>108</v>
      </c>
      <c r="E49" s="29" t="s">
        <v>109</v>
      </c>
      <c r="F49" s="29" t="s">
        <v>110</v>
      </c>
      <c r="G49" s="5"/>
      <c r="H49" s="5"/>
      <c r="I49" s="5"/>
      <c r="J49" s="5"/>
      <c r="K49" s="5"/>
      <c r="L49" s="5"/>
    </row>
    <row r="50" spans="1:12">
      <c r="A50" s="5"/>
      <c r="B50" s="30" t="s">
        <v>111</v>
      </c>
      <c r="C50" s="101">
        <f t="shared" ref="C50:C55" ca="1" si="5">IF(ISERROR(E50/D50),0,E50/D50)</f>
        <v>153.44607667424944</v>
      </c>
      <c r="D50" s="102">
        <f>'2. Smart Meter Data'!K10</f>
        <v>4097</v>
      </c>
      <c r="E50" s="96">
        <f ca="1">J31</f>
        <v>628668.57613439998</v>
      </c>
      <c r="F50" s="103">
        <f t="shared" ref="F50:F55" ca="1" si="6">IF(ISERROR(E50/$E$56),0,E50/$E$56)</f>
        <v>0.70428221406780234</v>
      </c>
      <c r="G50" s="5"/>
      <c r="H50" s="5"/>
      <c r="I50" s="5"/>
      <c r="J50" s="5"/>
      <c r="K50" s="5"/>
      <c r="L50" s="5"/>
    </row>
    <row r="51" spans="1:12">
      <c r="A51" s="5"/>
      <c r="B51" s="30" t="s">
        <v>112</v>
      </c>
      <c r="C51" s="101">
        <f t="shared" ca="1" si="5"/>
        <v>0.12577876989498177</v>
      </c>
      <c r="D51" s="102">
        <f>D50</f>
        <v>4097</v>
      </c>
      <c r="E51" s="96">
        <f ca="1">J32</f>
        <v>515.31562025974029</v>
      </c>
      <c r="F51" s="103">
        <f t="shared" ca="1" si="6"/>
        <v>5.7729563677549585E-4</v>
      </c>
      <c r="G51" s="5"/>
      <c r="H51" s="5"/>
      <c r="I51" s="5"/>
      <c r="J51" s="5"/>
      <c r="K51" s="5"/>
      <c r="L51" s="5"/>
    </row>
    <row r="52" spans="1:12">
      <c r="A52" s="5"/>
      <c r="B52" s="30" t="s">
        <v>113</v>
      </c>
      <c r="C52" s="101">
        <f t="shared" ca="1" si="5"/>
        <v>38.752896460866552</v>
      </c>
      <c r="D52" s="102">
        <f>D51</f>
        <v>4097</v>
      </c>
      <c r="E52" s="96">
        <f ca="1">J33</f>
        <v>158770.61680017028</v>
      </c>
      <c r="F52" s="103">
        <f t="shared" ca="1" si="6"/>
        <v>0.17786688530942132</v>
      </c>
      <c r="G52" s="5"/>
      <c r="H52" s="5"/>
      <c r="I52" s="5"/>
      <c r="J52" s="5"/>
      <c r="K52" s="5"/>
      <c r="L52" s="5"/>
    </row>
    <row r="53" spans="1:12">
      <c r="A53" s="5"/>
      <c r="B53" s="30" t="s">
        <v>11</v>
      </c>
      <c r="C53" s="101">
        <f t="shared" ca="1" si="5"/>
        <v>0</v>
      </c>
      <c r="D53" s="102">
        <f>D52</f>
        <v>4097</v>
      </c>
      <c r="E53" s="96">
        <f ca="1">J34</f>
        <v>0</v>
      </c>
      <c r="F53" s="103">
        <f t="shared" ca="1" si="6"/>
        <v>0</v>
      </c>
      <c r="G53" s="5"/>
      <c r="H53" s="5"/>
      <c r="I53" s="5"/>
      <c r="J53" s="5"/>
      <c r="K53" s="5"/>
      <c r="L53" s="5"/>
    </row>
    <row r="54" spans="1:12">
      <c r="A54" s="5"/>
      <c r="B54" s="30" t="s">
        <v>13</v>
      </c>
      <c r="C54" s="101">
        <f t="shared" ca="1" si="5"/>
        <v>0.34928484256773246</v>
      </c>
      <c r="D54" s="102">
        <f>D53</f>
        <v>4097</v>
      </c>
      <c r="E54" s="96">
        <f ca="1">J35</f>
        <v>1431.02</v>
      </c>
      <c r="F54" s="103">
        <f t="shared" ca="1" si="6"/>
        <v>1.6031371254030119E-3</v>
      </c>
      <c r="G54" s="5"/>
      <c r="H54" s="5"/>
      <c r="I54" s="5"/>
      <c r="J54" s="5"/>
      <c r="K54" s="5"/>
      <c r="L54" s="5"/>
    </row>
    <row r="55" spans="1:12">
      <c r="A55" s="5"/>
      <c r="B55" s="30" t="s">
        <v>114</v>
      </c>
      <c r="C55" s="101">
        <f t="shared" si="5"/>
        <v>25.201799968463867</v>
      </c>
      <c r="D55" s="102">
        <f>D52</f>
        <v>4097</v>
      </c>
      <c r="E55" s="96">
        <f>J46</f>
        <v>103251.77447079646</v>
      </c>
      <c r="F55" s="103">
        <f t="shared" ca="1" si="6"/>
        <v>0.11567046786059784</v>
      </c>
      <c r="G55" s="5"/>
      <c r="H55" s="5"/>
      <c r="I55" s="5"/>
      <c r="J55" s="5"/>
      <c r="K55" s="5"/>
      <c r="L55" s="5"/>
    </row>
    <row r="56" spans="1:12">
      <c r="A56" s="5"/>
      <c r="B56" s="5" t="s">
        <v>115</v>
      </c>
      <c r="C56" s="104">
        <f ca="1">SUM(C50:C55)</f>
        <v>217.87583671604258</v>
      </c>
      <c r="D56" s="105"/>
      <c r="E56" s="106">
        <f ca="1">SUM(E50:E55)</f>
        <v>892637.30302562646</v>
      </c>
      <c r="F56" s="107">
        <f ca="1">SUM(F50:F55)</f>
        <v>1</v>
      </c>
      <c r="G56" s="5"/>
      <c r="H56" s="5"/>
      <c r="I56" s="5"/>
      <c r="J56" s="5"/>
      <c r="K56" s="5"/>
      <c r="L56" s="5"/>
    </row>
    <row r="57" spans="1:12" ht="15" customHeight="1"/>
    <row r="58" spans="1:12">
      <c r="C58" s="110">
        <f>C39</f>
        <v>2006</v>
      </c>
      <c r="D58" s="110">
        <f t="shared" ref="D58:I58" si="7">D39</f>
        <v>2007</v>
      </c>
      <c r="E58" s="110">
        <f t="shared" si="7"/>
        <v>2008</v>
      </c>
      <c r="F58" s="110">
        <f t="shared" si="7"/>
        <v>2009</v>
      </c>
      <c r="G58" s="110">
        <f t="shared" si="7"/>
        <v>2010</v>
      </c>
      <c r="H58" s="110">
        <f t="shared" si="7"/>
        <v>2011</v>
      </c>
      <c r="I58" s="110" t="str">
        <f t="shared" si="7"/>
        <v>Later</v>
      </c>
    </row>
    <row r="59" spans="1:12" ht="15.75">
      <c r="B59" s="51" t="s">
        <v>212</v>
      </c>
      <c r="C59" s="110" t="str">
        <f>C40</f>
        <v>Audited Actual</v>
      </c>
      <c r="D59" s="110" t="str">
        <f t="shared" ref="D59:I59" si="8">D40</f>
        <v>Audited Actual</v>
      </c>
      <c r="E59" s="110" t="str">
        <f t="shared" si="8"/>
        <v>Audited Actual</v>
      </c>
      <c r="F59" s="110" t="str">
        <f t="shared" si="8"/>
        <v>Audited Actual</v>
      </c>
      <c r="G59" s="110" t="str">
        <f t="shared" si="8"/>
        <v>Actual</v>
      </c>
      <c r="H59" s="110" t="str">
        <f t="shared" si="8"/>
        <v>Forecasted</v>
      </c>
      <c r="I59" s="110" t="str">
        <f t="shared" si="8"/>
        <v>Forecasted</v>
      </c>
    </row>
    <row r="60" spans="1:12">
      <c r="B60" s="30" t="s">
        <v>213</v>
      </c>
      <c r="C60" s="111">
        <v>15</v>
      </c>
      <c r="D60" s="111">
        <v>15</v>
      </c>
      <c r="E60" s="111">
        <v>15</v>
      </c>
      <c r="F60" s="111">
        <v>15</v>
      </c>
      <c r="G60" s="111">
        <v>15</v>
      </c>
      <c r="H60" s="111">
        <v>15</v>
      </c>
      <c r="I60" s="111">
        <v>15</v>
      </c>
    </row>
    <row r="61" spans="1:12">
      <c r="B61" s="30" t="s">
        <v>214</v>
      </c>
      <c r="C61" s="111">
        <v>5</v>
      </c>
      <c r="D61" s="111">
        <v>5</v>
      </c>
      <c r="E61" s="111">
        <v>5</v>
      </c>
      <c r="F61" s="111">
        <v>5</v>
      </c>
      <c r="G61" s="111">
        <v>5</v>
      </c>
      <c r="H61" s="111">
        <v>5</v>
      </c>
      <c r="I61" s="111">
        <v>5</v>
      </c>
    </row>
    <row r="62" spans="1:12">
      <c r="B62" s="30" t="s">
        <v>215</v>
      </c>
      <c r="C62" s="111">
        <v>10</v>
      </c>
      <c r="D62" s="111">
        <v>10</v>
      </c>
      <c r="E62" s="111">
        <v>10</v>
      </c>
      <c r="F62" s="111">
        <v>10</v>
      </c>
      <c r="G62" s="111">
        <v>10</v>
      </c>
      <c r="H62" s="111">
        <v>10</v>
      </c>
      <c r="I62" s="111">
        <v>10</v>
      </c>
    </row>
    <row r="63" spans="1:12">
      <c r="B63" s="30" t="s">
        <v>216</v>
      </c>
      <c r="C63" s="111">
        <v>10</v>
      </c>
      <c r="D63" s="111">
        <v>10</v>
      </c>
      <c r="E63" s="111">
        <v>10</v>
      </c>
      <c r="F63" s="111">
        <v>10</v>
      </c>
      <c r="G63" s="111">
        <v>10</v>
      </c>
      <c r="H63" s="111">
        <v>10</v>
      </c>
      <c r="I63" s="111">
        <v>10</v>
      </c>
    </row>
    <row r="64" spans="1:12">
      <c r="B64" s="30" t="s">
        <v>217</v>
      </c>
      <c r="C64" s="111">
        <v>10</v>
      </c>
      <c r="D64" s="111">
        <v>10</v>
      </c>
      <c r="E64" s="111">
        <v>10</v>
      </c>
      <c r="F64" s="111">
        <v>10</v>
      </c>
      <c r="G64" s="111">
        <v>10</v>
      </c>
      <c r="H64" s="111">
        <v>10</v>
      </c>
      <c r="I64" s="111">
        <v>10</v>
      </c>
    </row>
    <row r="66" spans="2:9">
      <c r="C66" s="110">
        <f>C58</f>
        <v>2006</v>
      </c>
      <c r="D66" s="110">
        <f t="shared" ref="D66:I66" si="9">D58</f>
        <v>2007</v>
      </c>
      <c r="E66" s="110">
        <f t="shared" si="9"/>
        <v>2008</v>
      </c>
      <c r="F66" s="110">
        <f t="shared" si="9"/>
        <v>2009</v>
      </c>
      <c r="G66" s="110">
        <f t="shared" si="9"/>
        <v>2010</v>
      </c>
      <c r="H66" s="110">
        <f t="shared" si="9"/>
        <v>2011</v>
      </c>
      <c r="I66" s="110" t="str">
        <f t="shared" si="9"/>
        <v>Later</v>
      </c>
    </row>
    <row r="67" spans="2:9" ht="15.75">
      <c r="B67" s="51" t="s">
        <v>218</v>
      </c>
      <c r="C67" s="110" t="str">
        <f>C59</f>
        <v>Audited Actual</v>
      </c>
      <c r="D67" s="110" t="str">
        <f t="shared" ref="D67:I67" si="10">D59</f>
        <v>Audited Actual</v>
      </c>
      <c r="E67" s="110" t="str">
        <f t="shared" si="10"/>
        <v>Audited Actual</v>
      </c>
      <c r="F67" s="110" t="str">
        <f t="shared" si="10"/>
        <v>Audited Actual</v>
      </c>
      <c r="G67" s="110" t="str">
        <f t="shared" si="10"/>
        <v>Actual</v>
      </c>
      <c r="H67" s="110" t="str">
        <f t="shared" si="10"/>
        <v>Forecasted</v>
      </c>
      <c r="I67" s="110" t="str">
        <f t="shared" si="10"/>
        <v>Forecasted</v>
      </c>
    </row>
    <row r="68" spans="2:9">
      <c r="B68" s="7" t="s">
        <v>221</v>
      </c>
      <c r="C68" s="110">
        <v>47</v>
      </c>
      <c r="D68" s="110">
        <v>47</v>
      </c>
      <c r="E68" s="110">
        <v>47</v>
      </c>
      <c r="F68" s="110">
        <v>47</v>
      </c>
      <c r="G68" s="110">
        <v>47</v>
      </c>
      <c r="H68" s="110">
        <v>47</v>
      </c>
      <c r="I68" s="110">
        <v>47</v>
      </c>
    </row>
    <row r="69" spans="2:9">
      <c r="B69" s="30" t="s">
        <v>8</v>
      </c>
      <c r="C69" s="112">
        <v>0.08</v>
      </c>
      <c r="D69" s="112">
        <v>0.08</v>
      </c>
      <c r="E69" s="112">
        <v>0.08</v>
      </c>
      <c r="F69" s="112">
        <v>0.08</v>
      </c>
      <c r="G69" s="112">
        <v>0.08</v>
      </c>
      <c r="H69" s="112">
        <v>0.08</v>
      </c>
      <c r="I69" s="112">
        <v>0.08</v>
      </c>
    </row>
    <row r="71" spans="2:9">
      <c r="B71" s="7" t="s">
        <v>221</v>
      </c>
      <c r="C71" s="110">
        <v>45</v>
      </c>
      <c r="D71" s="110">
        <v>50</v>
      </c>
      <c r="E71" s="110">
        <v>50</v>
      </c>
      <c r="F71" s="110">
        <v>50</v>
      </c>
      <c r="G71" s="110">
        <v>50</v>
      </c>
      <c r="H71" s="110">
        <v>50</v>
      </c>
      <c r="I71" s="110">
        <v>50</v>
      </c>
    </row>
    <row r="72" spans="2:9">
      <c r="B72" s="30" t="s">
        <v>220</v>
      </c>
      <c r="C72" s="112">
        <v>0.45</v>
      </c>
      <c r="D72" s="112">
        <v>0.55000000000000004</v>
      </c>
      <c r="E72" s="112">
        <v>0.55000000000000004</v>
      </c>
      <c r="F72" s="112">
        <v>0.55000000000000004</v>
      </c>
      <c r="G72" s="112">
        <v>0.55000000000000004</v>
      </c>
      <c r="H72" s="112">
        <v>0.55000000000000004</v>
      </c>
      <c r="I72" s="112">
        <v>0.55000000000000004</v>
      </c>
    </row>
    <row r="74" spans="2:9">
      <c r="B74" s="7" t="s">
        <v>221</v>
      </c>
      <c r="C74" s="110">
        <v>8</v>
      </c>
      <c r="D74" s="110">
        <v>8</v>
      </c>
      <c r="E74" s="110">
        <v>8</v>
      </c>
      <c r="F74" s="110">
        <v>8</v>
      </c>
      <c r="G74" s="110">
        <v>8</v>
      </c>
      <c r="H74" s="110">
        <v>8</v>
      </c>
      <c r="I74" s="110">
        <v>8</v>
      </c>
    </row>
    <row r="75" spans="2:9">
      <c r="B75" s="30" t="s">
        <v>222</v>
      </c>
      <c r="C75" s="112">
        <v>0.2</v>
      </c>
      <c r="D75" s="112">
        <v>0.2</v>
      </c>
      <c r="E75" s="112">
        <v>0.2</v>
      </c>
      <c r="F75" s="112">
        <v>0.2</v>
      </c>
      <c r="G75" s="112">
        <v>0.2</v>
      </c>
      <c r="H75" s="112">
        <v>0.2</v>
      </c>
      <c r="I75" s="112">
        <v>0.2</v>
      </c>
    </row>
  </sheetData>
  <sheetProtection formatColumns="0" selectLockedCells="1"/>
  <mergeCells count="1">
    <mergeCell ref="B1:G1"/>
  </mergeCells>
  <phoneticPr fontId="4" type="noConversion"/>
  <pageMargins left="0.77" right="0.75" top="0.52" bottom="0.5" header="0.5" footer="0.5"/>
  <pageSetup scale="5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4.xml><?xml version="1.0" encoding="utf-8"?>
<worksheet xmlns="http://schemas.openxmlformats.org/spreadsheetml/2006/main" xmlns:r="http://schemas.openxmlformats.org/officeDocument/2006/relationships">
  <sheetPr codeName="Sheet2">
    <pageSetUpPr fitToPage="1"/>
  </sheetPr>
  <dimension ref="A1:W61"/>
  <sheetViews>
    <sheetView showGridLines="0" topLeftCell="A16" zoomScale="75" zoomScaleNormal="100" workbookViewId="0"/>
  </sheetViews>
  <sheetFormatPr defaultRowHeight="12.75"/>
  <cols>
    <col min="1" max="1" width="26" style="7" customWidth="1"/>
    <col min="2" max="2" width="68.28515625" style="7" bestFit="1" customWidth="1"/>
    <col min="3" max="4" width="16.140625" style="7" bestFit="1" customWidth="1"/>
    <col min="5" max="5" width="19.42578125" style="7" bestFit="1" customWidth="1"/>
    <col min="6" max="6" width="16.85546875" style="7" bestFit="1" customWidth="1"/>
    <col min="7" max="7" width="16.85546875" style="73" bestFit="1" customWidth="1"/>
    <col min="8" max="8" width="19.85546875" style="7" bestFit="1" customWidth="1"/>
    <col min="9" max="10" width="17.28515625" style="7" bestFit="1" customWidth="1"/>
    <col min="11" max="11" width="19.85546875" style="7" bestFit="1" customWidth="1"/>
    <col min="12" max="13" width="17.5703125" style="7" bestFit="1" customWidth="1"/>
    <col min="14" max="14" width="19.42578125" style="7" bestFit="1" customWidth="1"/>
    <col min="15" max="16" width="17.28515625" style="7" bestFit="1" customWidth="1"/>
    <col min="17" max="17" width="20.42578125" style="7" bestFit="1" customWidth="1"/>
    <col min="18" max="19" width="17.28515625" style="7" bestFit="1" customWidth="1"/>
    <col min="20" max="20" width="20.42578125" style="7" bestFit="1" customWidth="1"/>
    <col min="21" max="22" width="17.28515625" style="7" bestFit="1" customWidth="1"/>
    <col min="23" max="23" width="20.42578125" style="7" bestFit="1" customWidth="1"/>
    <col min="24" max="16384" width="9.140625" style="7"/>
  </cols>
  <sheetData>
    <row r="1" spans="1:23" s="3" customFormat="1" ht="21" customHeight="1">
      <c r="A1" s="1"/>
      <c r="B1" s="187" t="s">
        <v>229</v>
      </c>
      <c r="C1" s="187"/>
      <c r="D1" s="187"/>
      <c r="E1" s="25"/>
      <c r="F1" s="1"/>
      <c r="G1" s="58"/>
    </row>
    <row r="2" spans="1:23" s="3" customFormat="1" ht="6" customHeight="1">
      <c r="A2" s="26"/>
      <c r="B2" s="26"/>
      <c r="C2" s="26"/>
      <c r="D2" s="26"/>
      <c r="E2" s="26"/>
      <c r="F2" s="26"/>
      <c r="G2" s="26"/>
    </row>
    <row r="3" spans="1:23">
      <c r="A3" s="5"/>
      <c r="B3" s="5"/>
      <c r="C3" s="5"/>
      <c r="D3" s="5"/>
      <c r="E3" s="5"/>
      <c r="F3" s="5"/>
      <c r="G3" s="58"/>
    </row>
    <row r="4" spans="1:23" ht="26.25">
      <c r="A4" s="59" t="s">
        <v>228</v>
      </c>
      <c r="B4" s="5"/>
      <c r="C4" s="5"/>
      <c r="D4" s="5"/>
      <c r="E4" s="5"/>
      <c r="F4" s="5"/>
      <c r="G4" s="58"/>
    </row>
    <row r="5" spans="1:23" ht="13.5" thickBot="1">
      <c r="A5" s="5"/>
      <c r="B5" s="5"/>
      <c r="C5" s="5"/>
      <c r="D5" s="5"/>
      <c r="E5" s="5"/>
      <c r="F5" s="5"/>
      <c r="G5" s="58"/>
    </row>
    <row r="6" spans="1:23" ht="18">
      <c r="A6" s="5"/>
      <c r="B6" s="27" t="s">
        <v>128</v>
      </c>
      <c r="C6" s="191">
        <f>'2. Smart Meter Data'!D4</f>
        <v>2006</v>
      </c>
      <c r="D6" s="192"/>
      <c r="E6" s="193"/>
      <c r="F6" s="191">
        <f>'2. Smart Meter Data'!E4</f>
        <v>2007</v>
      </c>
      <c r="G6" s="192"/>
      <c r="H6" s="193"/>
      <c r="I6" s="191">
        <f>'2. Smart Meter Data'!F4</f>
        <v>2008</v>
      </c>
      <c r="J6" s="192"/>
      <c r="K6" s="193"/>
      <c r="L6" s="191">
        <f>'2. Smart Meter Data'!G4</f>
        <v>2009</v>
      </c>
      <c r="M6" s="192"/>
      <c r="N6" s="193"/>
      <c r="O6" s="191">
        <f>'2. Smart Meter Data'!H4</f>
        <v>2010</v>
      </c>
      <c r="P6" s="192"/>
      <c r="Q6" s="193"/>
      <c r="R6" s="191">
        <f>'2. Smart Meter Data'!I4</f>
        <v>2011</v>
      </c>
      <c r="S6" s="192"/>
      <c r="T6" s="193"/>
      <c r="U6" s="191" t="str">
        <f>'2. Smart Meter Data'!J4</f>
        <v>Later</v>
      </c>
      <c r="V6" s="192"/>
      <c r="W6" s="193"/>
    </row>
    <row r="7" spans="1:23" ht="18.75" thickBot="1">
      <c r="A7" s="5"/>
      <c r="B7" s="27"/>
      <c r="C7" s="188" t="str">
        <f>'2. Smart Meter Data'!D5</f>
        <v>Audited Actual</v>
      </c>
      <c r="D7" s="189"/>
      <c r="E7" s="190"/>
      <c r="F7" s="188" t="str">
        <f>'2. Smart Meter Data'!E5</f>
        <v>Audited Actual</v>
      </c>
      <c r="G7" s="189"/>
      <c r="H7" s="190"/>
      <c r="I7" s="188" t="str">
        <f>'2. Smart Meter Data'!F5</f>
        <v>Audited Actual</v>
      </c>
      <c r="J7" s="189"/>
      <c r="K7" s="190"/>
      <c r="L7" s="188" t="str">
        <f>'2. Smart Meter Data'!G5</f>
        <v>Audited Actual</v>
      </c>
      <c r="M7" s="189"/>
      <c r="N7" s="190"/>
      <c r="O7" s="188" t="str">
        <f>'2. Smart Meter Data'!H5</f>
        <v>Actual</v>
      </c>
      <c r="P7" s="189"/>
      <c r="Q7" s="190"/>
      <c r="R7" s="188" t="str">
        <f>'2. Smart Meter Data'!I5</f>
        <v>Forecasted</v>
      </c>
      <c r="S7" s="189"/>
      <c r="T7" s="190"/>
      <c r="U7" s="188" t="str">
        <f>'2. Smart Meter Data'!J5</f>
        <v>Forecasted</v>
      </c>
      <c r="V7" s="189"/>
      <c r="W7" s="190"/>
    </row>
    <row r="8" spans="1:23">
      <c r="A8" s="5"/>
      <c r="B8" s="60" t="s">
        <v>129</v>
      </c>
      <c r="C8" s="149">
        <f ca="1">'6. Avg Nt Fix Ass &amp;UCC'!C18</f>
        <v>0</v>
      </c>
      <c r="D8" s="6"/>
      <c r="E8" s="61"/>
      <c r="F8" s="149">
        <f ca="1">'6. Avg Nt Fix Ass &amp;UCC'!D18</f>
        <v>0</v>
      </c>
      <c r="G8" s="6"/>
      <c r="H8" s="61"/>
      <c r="I8" s="149">
        <f ca="1">'6. Avg Nt Fix Ass &amp;UCC'!E18</f>
        <v>0</v>
      </c>
      <c r="J8" s="6"/>
      <c r="K8" s="61"/>
      <c r="L8" s="149">
        <f ca="1">'6. Avg Nt Fix Ass &amp;UCC'!F18</f>
        <v>8608.3503333333338</v>
      </c>
      <c r="M8" s="6"/>
      <c r="N8" s="61"/>
      <c r="O8" s="149">
        <f ca="1">'6. Avg Nt Fix Ass &amp;UCC'!G18</f>
        <v>311871.14946495998</v>
      </c>
      <c r="P8" s="6"/>
      <c r="Q8" s="61"/>
      <c r="R8" s="149">
        <f ca="1">'6. Avg Nt Fix Ass &amp;UCC'!H18</f>
        <v>585569.97905877326</v>
      </c>
      <c r="S8" s="6"/>
      <c r="T8" s="61"/>
      <c r="U8" s="149">
        <f>'6. Avg Nt Fix Ass &amp;UCC'!M18</f>
        <v>0</v>
      </c>
      <c r="V8" s="6"/>
      <c r="W8" s="61"/>
    </row>
    <row r="9" spans="1:23">
      <c r="A9" s="5"/>
      <c r="B9" s="60" t="s">
        <v>130</v>
      </c>
      <c r="C9" s="149">
        <f ca="1">'6. Avg Nt Fix Ass &amp;UCC'!C33</f>
        <v>0</v>
      </c>
      <c r="D9" s="62"/>
      <c r="E9" s="61"/>
      <c r="F9" s="149">
        <f ca="1">'6. Avg Nt Fix Ass &amp;UCC'!D33</f>
        <v>0</v>
      </c>
      <c r="G9" s="62"/>
      <c r="H9" s="61"/>
      <c r="I9" s="149">
        <f ca="1">'6. Avg Nt Fix Ass &amp;UCC'!E33</f>
        <v>0</v>
      </c>
      <c r="J9" s="62"/>
      <c r="K9" s="61"/>
      <c r="L9" s="149">
        <f ca="1">'6. Avg Nt Fix Ass &amp;UCC'!F33</f>
        <v>210.85116311688313</v>
      </c>
      <c r="M9" s="62"/>
      <c r="N9" s="61"/>
      <c r="O9" s="149">
        <f ca="1">'6. Avg Nt Fix Ass &amp;UCC'!G33</f>
        <v>395.88737820779227</v>
      </c>
      <c r="P9" s="62"/>
      <c r="Q9" s="61"/>
      <c r="R9" s="149">
        <f ca="1">'6. Avg Nt Fix Ass &amp;UCC'!H33</f>
        <v>318.54086815584424</v>
      </c>
      <c r="S9" s="62"/>
      <c r="T9" s="61"/>
      <c r="U9" s="149">
        <f>'6. Avg Nt Fix Ass &amp;UCC'!I33</f>
        <v>0</v>
      </c>
      <c r="V9" s="62"/>
      <c r="W9" s="61"/>
    </row>
    <row r="10" spans="1:23">
      <c r="A10" s="5"/>
      <c r="B10" s="60" t="s">
        <v>131</v>
      </c>
      <c r="C10" s="149">
        <f ca="1">'6. Avg Nt Fix Ass &amp;UCC'!C48</f>
        <v>0</v>
      </c>
      <c r="D10" s="63"/>
      <c r="E10" s="61"/>
      <c r="F10" s="149">
        <f ca="1">'6. Avg Nt Fix Ass &amp;UCC'!D48</f>
        <v>0</v>
      </c>
      <c r="G10" s="63"/>
      <c r="H10" s="61"/>
      <c r="I10" s="149">
        <f ca="1">'6. Avg Nt Fix Ass &amp;UCC'!E48</f>
        <v>0</v>
      </c>
      <c r="J10" s="63"/>
      <c r="K10" s="61"/>
      <c r="L10" s="149">
        <f ca="1">'6. Avg Nt Fix Ass &amp;UCC'!F48</f>
        <v>7610.240913012236</v>
      </c>
      <c r="M10" s="63"/>
      <c r="N10" s="61"/>
      <c r="O10" s="149">
        <f ca="1">'6. Avg Nt Fix Ass &amp;UCC'!G48</f>
        <v>29375.755902249723</v>
      </c>
      <c r="P10" s="63"/>
      <c r="Q10" s="61"/>
      <c r="R10" s="149">
        <f ca="1">'6. Avg Nt Fix Ass &amp;UCC'!H48</f>
        <v>94005.049138466464</v>
      </c>
      <c r="S10" s="63"/>
      <c r="T10" s="61"/>
      <c r="U10" s="149">
        <f>'6. Avg Nt Fix Ass &amp;UCC'!I48</f>
        <v>0</v>
      </c>
      <c r="V10" s="63"/>
      <c r="W10" s="61"/>
    </row>
    <row r="11" spans="1:23">
      <c r="A11" s="5"/>
      <c r="B11" s="60" t="s">
        <v>132</v>
      </c>
      <c r="C11" s="149">
        <f ca="1">'6. Avg Nt Fix Ass &amp;UCC'!C63</f>
        <v>0</v>
      </c>
      <c r="D11" s="63"/>
      <c r="E11" s="61"/>
      <c r="F11" s="149">
        <f ca="1">'6. Avg Nt Fix Ass &amp;UCC'!D63</f>
        <v>0</v>
      </c>
      <c r="G11" s="63"/>
      <c r="H11" s="61"/>
      <c r="I11" s="149">
        <f ca="1">'6. Avg Nt Fix Ass &amp;UCC'!E63</f>
        <v>0</v>
      </c>
      <c r="J11" s="63"/>
      <c r="K11" s="61"/>
      <c r="L11" s="149">
        <f ca="1">'6. Avg Nt Fix Ass &amp;UCC'!F63</f>
        <v>0</v>
      </c>
      <c r="M11" s="63"/>
      <c r="N11" s="61"/>
      <c r="O11" s="149">
        <f ca="1">'6. Avg Nt Fix Ass &amp;UCC'!G63</f>
        <v>0</v>
      </c>
      <c r="P11" s="63"/>
      <c r="Q11" s="61"/>
      <c r="R11" s="149">
        <f ca="1">'6. Avg Nt Fix Ass &amp;UCC'!H63</f>
        <v>0</v>
      </c>
      <c r="S11" s="63"/>
      <c r="T11" s="61"/>
      <c r="U11" s="149">
        <f>'6. Avg Nt Fix Ass &amp;UCC'!I63</f>
        <v>0</v>
      </c>
      <c r="V11" s="63"/>
      <c r="W11" s="61"/>
    </row>
    <row r="12" spans="1:23">
      <c r="A12" s="5"/>
      <c r="B12" s="60" t="s">
        <v>133</v>
      </c>
      <c r="C12" s="149">
        <f ca="1">'6. Avg Nt Fix Ass &amp;UCC'!C78</f>
        <v>0</v>
      </c>
      <c r="D12" s="63"/>
      <c r="E12" s="61"/>
      <c r="F12" s="149">
        <f ca="1">'6. Avg Nt Fix Ass &amp;UCC'!D78</f>
        <v>0</v>
      </c>
      <c r="G12" s="63"/>
      <c r="H12" s="61"/>
      <c r="I12" s="149">
        <f ca="1">'6. Avg Nt Fix Ass &amp;UCC'!E78</f>
        <v>0</v>
      </c>
      <c r="J12" s="63"/>
      <c r="K12" s="61"/>
      <c r="L12" s="149">
        <f ca="1">'6. Avg Nt Fix Ass &amp;UCC'!F78</f>
        <v>0</v>
      </c>
      <c r="M12" s="63"/>
      <c r="N12" s="61"/>
      <c r="O12" s="149">
        <f ca="1">'6. Avg Nt Fix Ass &amp;UCC'!G78</f>
        <v>679.73450000000003</v>
      </c>
      <c r="P12" s="63"/>
      <c r="Q12" s="61"/>
      <c r="R12" s="149">
        <f ca="1">'6. Avg Nt Fix Ass &amp;UCC'!H78</f>
        <v>1287.9180000000001</v>
      </c>
      <c r="S12" s="63"/>
      <c r="T12" s="61"/>
      <c r="U12" s="149">
        <f>'6. Avg Nt Fix Ass &amp;UCC'!I78</f>
        <v>0</v>
      </c>
      <c r="V12" s="63"/>
      <c r="W12" s="61"/>
    </row>
    <row r="13" spans="1:23">
      <c r="A13" s="5"/>
      <c r="B13" s="60" t="s">
        <v>134</v>
      </c>
      <c r="C13" s="150">
        <f ca="1">SUM(C8:C12)</f>
        <v>0</v>
      </c>
      <c r="D13" s="151">
        <f ca="1">C13</f>
        <v>0</v>
      </c>
      <c r="E13" s="61"/>
      <c r="F13" s="150">
        <f ca="1">SUM(F8:F12)</f>
        <v>0</v>
      </c>
      <c r="G13" s="151">
        <f ca="1">F13</f>
        <v>0</v>
      </c>
      <c r="H13" s="61"/>
      <c r="I13" s="150">
        <f ca="1">SUM(I8:I12)</f>
        <v>0</v>
      </c>
      <c r="J13" s="151">
        <f ca="1">I13</f>
        <v>0</v>
      </c>
      <c r="K13" s="61"/>
      <c r="L13" s="150">
        <f ca="1">SUM(L8:L12)</f>
        <v>16429.442409462456</v>
      </c>
      <c r="M13" s="151">
        <f ca="1">L13</f>
        <v>16429.442409462456</v>
      </c>
      <c r="N13" s="61"/>
      <c r="O13" s="150">
        <f ca="1">SUM(O8:O12)</f>
        <v>342322.52724541753</v>
      </c>
      <c r="P13" s="151">
        <f ca="1">O13</f>
        <v>342322.52724541753</v>
      </c>
      <c r="Q13" s="61"/>
      <c r="R13" s="150">
        <f ca="1">SUM(R8:R12)</f>
        <v>681181.48706539557</v>
      </c>
      <c r="S13" s="151">
        <f ca="1">R13</f>
        <v>681181.48706539557</v>
      </c>
      <c r="T13" s="61"/>
      <c r="U13" s="150">
        <f>SUM(U8:U12)</f>
        <v>0</v>
      </c>
      <c r="V13" s="151">
        <f>U13</f>
        <v>0</v>
      </c>
      <c r="W13" s="61"/>
    </row>
    <row r="14" spans="1:23">
      <c r="A14" s="5"/>
      <c r="B14" s="60"/>
      <c r="C14" s="64"/>
      <c r="D14" s="6"/>
      <c r="E14" s="61"/>
      <c r="F14" s="64"/>
      <c r="G14" s="6"/>
      <c r="H14" s="61"/>
      <c r="I14" s="64"/>
      <c r="J14" s="6"/>
      <c r="K14" s="61"/>
      <c r="L14" s="64"/>
      <c r="M14" s="6"/>
      <c r="N14" s="61"/>
      <c r="O14" s="64"/>
      <c r="P14" s="6"/>
      <c r="Q14" s="61"/>
      <c r="R14" s="64"/>
      <c r="S14" s="6"/>
      <c r="T14" s="61"/>
      <c r="U14" s="64"/>
      <c r="V14" s="6"/>
      <c r="W14" s="61"/>
    </row>
    <row r="15" spans="1:23" ht="18">
      <c r="A15" s="5"/>
      <c r="B15" s="27" t="s">
        <v>135</v>
      </c>
      <c r="C15" s="64"/>
      <c r="D15" s="6"/>
      <c r="E15" s="61"/>
      <c r="F15" s="64"/>
      <c r="G15" s="6"/>
      <c r="H15" s="61"/>
      <c r="I15" s="64"/>
      <c r="J15" s="6"/>
      <c r="K15" s="61"/>
      <c r="L15" s="64"/>
      <c r="M15" s="6"/>
      <c r="N15" s="61"/>
      <c r="O15" s="64"/>
      <c r="P15" s="6"/>
      <c r="Q15" s="61"/>
      <c r="R15" s="64"/>
      <c r="S15" s="6"/>
      <c r="T15" s="61"/>
      <c r="U15" s="64"/>
      <c r="V15" s="6"/>
      <c r="W15" s="61"/>
    </row>
    <row r="16" spans="1:23">
      <c r="A16" s="5"/>
      <c r="B16" s="60" t="s">
        <v>117</v>
      </c>
      <c r="C16" s="152">
        <f>E33</f>
        <v>0</v>
      </c>
      <c r="D16" s="63"/>
      <c r="E16" s="66"/>
      <c r="F16" s="152">
        <f>H33</f>
        <v>0</v>
      </c>
      <c r="G16" s="63"/>
      <c r="H16" s="66"/>
      <c r="I16" s="152">
        <f>K33</f>
        <v>0</v>
      </c>
      <c r="J16" s="63"/>
      <c r="K16" s="66"/>
      <c r="L16" s="152">
        <f>N33</f>
        <v>7222.91</v>
      </c>
      <c r="M16" s="63"/>
      <c r="N16" s="66"/>
      <c r="O16" s="152">
        <f>Q33</f>
        <v>16177.889116239512</v>
      </c>
      <c r="P16" s="63"/>
      <c r="Q16" s="66"/>
      <c r="R16" s="152">
        <f>T33</f>
        <v>79850.97535455694</v>
      </c>
      <c r="S16" s="63"/>
      <c r="T16" s="66"/>
      <c r="U16" s="152">
        <f>W33</f>
        <v>0</v>
      </c>
      <c r="V16" s="63"/>
      <c r="W16" s="66"/>
    </row>
    <row r="17" spans="1:23">
      <c r="A17" s="5"/>
      <c r="B17" s="60" t="str">
        <f>"Working Capital  %"</f>
        <v>Working Capital  %</v>
      </c>
      <c r="C17" s="152">
        <f>C16*'3.  LDC Assumptions and Data'!$C$23</f>
        <v>0</v>
      </c>
      <c r="D17" s="151">
        <f>C17</f>
        <v>0</v>
      </c>
      <c r="E17" s="66"/>
      <c r="F17" s="152">
        <f>F16*'3.  LDC Assumptions and Data'!$D$23</f>
        <v>0</v>
      </c>
      <c r="G17" s="151">
        <f>F17</f>
        <v>0</v>
      </c>
      <c r="H17" s="66"/>
      <c r="I17" s="152">
        <f>I16*'3.  LDC Assumptions and Data'!$E$23</f>
        <v>0</v>
      </c>
      <c r="J17" s="151">
        <f>I17</f>
        <v>0</v>
      </c>
      <c r="K17" s="66"/>
      <c r="L17" s="152">
        <f>L16*'3.  LDC Assumptions and Data'!$F$23</f>
        <v>1083.4365</v>
      </c>
      <c r="M17" s="151">
        <f>L17</f>
        <v>1083.4365</v>
      </c>
      <c r="N17" s="66"/>
      <c r="O17" s="152">
        <f>O16*'3.  LDC Assumptions and Data'!$G$23</f>
        <v>2426.6833674359268</v>
      </c>
      <c r="P17" s="151">
        <f>O17</f>
        <v>2426.6833674359268</v>
      </c>
      <c r="Q17" s="66"/>
      <c r="R17" s="152">
        <f>R16*'3.  LDC Assumptions and Data'!$H$23</f>
        <v>11977.646303183541</v>
      </c>
      <c r="S17" s="151">
        <f>R17</f>
        <v>11977.646303183541</v>
      </c>
      <c r="T17" s="66"/>
      <c r="U17" s="152">
        <f>U16*'3.  LDC Assumptions and Data'!$I$23</f>
        <v>0</v>
      </c>
      <c r="V17" s="151">
        <f>U17</f>
        <v>0</v>
      </c>
      <c r="W17" s="66"/>
    </row>
    <row r="18" spans="1:23">
      <c r="A18" s="5"/>
      <c r="B18" s="60"/>
      <c r="C18" s="65"/>
      <c r="D18" s="63"/>
      <c r="E18" s="66"/>
      <c r="F18" s="65"/>
      <c r="G18" s="63"/>
      <c r="H18" s="66"/>
      <c r="I18" s="65"/>
      <c r="J18" s="63"/>
      <c r="K18" s="66"/>
      <c r="L18" s="65"/>
      <c r="M18" s="63"/>
      <c r="N18" s="66"/>
      <c r="O18" s="65"/>
      <c r="P18" s="63"/>
      <c r="Q18" s="66"/>
      <c r="R18" s="65"/>
      <c r="S18" s="63"/>
      <c r="T18" s="66"/>
      <c r="U18" s="65"/>
      <c r="V18" s="63"/>
      <c r="W18" s="66"/>
    </row>
    <row r="19" spans="1:23" ht="15.75">
      <c r="A19" s="5"/>
      <c r="B19" s="51" t="s">
        <v>136</v>
      </c>
      <c r="C19" s="65"/>
      <c r="D19" s="139">
        <f ca="1">SUM(D9:D17)</f>
        <v>0</v>
      </c>
      <c r="E19" s="66"/>
      <c r="F19" s="65"/>
      <c r="G19" s="139">
        <f ca="1">SUM(G9:G17)</f>
        <v>0</v>
      </c>
      <c r="H19" s="66"/>
      <c r="I19" s="65"/>
      <c r="J19" s="139">
        <f ca="1">SUM(J9:J17)</f>
        <v>0</v>
      </c>
      <c r="K19" s="66"/>
      <c r="L19" s="65"/>
      <c r="M19" s="139">
        <f ca="1">SUM(M9:M17)</f>
        <v>17512.878909462455</v>
      </c>
      <c r="N19" s="66"/>
      <c r="O19" s="65"/>
      <c r="P19" s="139">
        <f ca="1">SUM(P9:P17)</f>
        <v>344749.21061285347</v>
      </c>
      <c r="Q19" s="66"/>
      <c r="R19" s="65"/>
      <c r="S19" s="139">
        <f ca="1">SUM(S9:S17)</f>
        <v>693159.13336857909</v>
      </c>
      <c r="T19" s="66"/>
      <c r="U19" s="65"/>
      <c r="V19" s="139">
        <f>SUM(V9:V17)</f>
        <v>0</v>
      </c>
      <c r="W19" s="66"/>
    </row>
    <row r="20" spans="1:23">
      <c r="A20" s="5"/>
      <c r="B20" s="60"/>
      <c r="C20" s="64"/>
      <c r="D20" s="6"/>
      <c r="E20" s="61"/>
      <c r="F20" s="64"/>
      <c r="G20" s="6"/>
      <c r="H20" s="61"/>
      <c r="I20" s="64"/>
      <c r="J20" s="6"/>
      <c r="K20" s="61"/>
      <c r="L20" s="64"/>
      <c r="M20" s="6"/>
      <c r="N20" s="61"/>
      <c r="O20" s="64"/>
      <c r="P20" s="6"/>
      <c r="Q20" s="61"/>
      <c r="R20" s="64"/>
      <c r="S20" s="6"/>
      <c r="T20" s="61"/>
      <c r="U20" s="64"/>
      <c r="V20" s="6"/>
      <c r="W20" s="61"/>
    </row>
    <row r="21" spans="1:23" ht="18">
      <c r="A21" s="5"/>
      <c r="B21" s="27" t="s">
        <v>118</v>
      </c>
      <c r="C21" s="64"/>
      <c r="D21" s="6"/>
      <c r="E21" s="61"/>
      <c r="F21" s="64"/>
      <c r="G21" s="6"/>
      <c r="H21" s="61"/>
      <c r="I21" s="64"/>
      <c r="J21" s="6"/>
      <c r="K21" s="61"/>
      <c r="L21" s="64"/>
      <c r="M21" s="6"/>
      <c r="N21" s="61"/>
      <c r="O21" s="64"/>
      <c r="P21" s="6"/>
      <c r="Q21" s="61"/>
      <c r="R21" s="64"/>
      <c r="S21" s="6"/>
      <c r="T21" s="61"/>
      <c r="U21" s="64"/>
      <c r="V21" s="6"/>
      <c r="W21" s="61"/>
    </row>
    <row r="22" spans="1:23">
      <c r="A22" s="5"/>
      <c r="B22" s="2" t="s">
        <v>249</v>
      </c>
      <c r="C22" s="64"/>
      <c r="D22" s="6"/>
      <c r="E22" s="61"/>
      <c r="F22" s="64"/>
      <c r="G22" s="6"/>
      <c r="H22" s="61"/>
      <c r="I22" s="64">
        <f>'3.  LDC Assumptions and Data'!$E$14</f>
        <v>0.04</v>
      </c>
      <c r="J22" s="6"/>
      <c r="K22" s="61"/>
      <c r="L22" s="64">
        <f>'3.  LDC Assumptions and Data'!$F14</f>
        <v>0.04</v>
      </c>
      <c r="M22" s="6"/>
      <c r="N22" s="61"/>
      <c r="O22" s="64">
        <f>'3.  LDC Assumptions and Data'!$G14</f>
        <v>0.04</v>
      </c>
      <c r="P22" s="6"/>
      <c r="Q22" s="61"/>
      <c r="R22" s="64">
        <f>'3.  LDC Assumptions and Data'!$H14</f>
        <v>0.04</v>
      </c>
      <c r="S22" s="6"/>
      <c r="T22" s="61"/>
      <c r="U22" s="64">
        <f>'3.  LDC Assumptions and Data'!$I14</f>
        <v>0.04</v>
      </c>
      <c r="V22" s="6"/>
      <c r="W22" s="61"/>
    </row>
    <row r="23" spans="1:23">
      <c r="A23" s="5"/>
      <c r="B23" s="2" t="s">
        <v>247</v>
      </c>
      <c r="C23" s="67">
        <f>'3.  LDC Assumptions and Data'!$C$15</f>
        <v>0.5</v>
      </c>
      <c r="D23" s="151">
        <f ca="1">D19*C23</f>
        <v>0</v>
      </c>
      <c r="E23" s="61"/>
      <c r="F23" s="67">
        <f>'3.  LDC Assumptions and Data'!$D$15</f>
        <v>0.5</v>
      </c>
      <c r="G23" s="151">
        <f ca="1">G19*F23</f>
        <v>0</v>
      </c>
      <c r="H23" s="61"/>
      <c r="I23" s="67">
        <f>'3.  LDC Assumptions and Data'!$E$15</f>
        <v>0.49299999999999999</v>
      </c>
      <c r="J23" s="151">
        <f ca="1">J19*I23</f>
        <v>0</v>
      </c>
      <c r="K23" s="61"/>
      <c r="L23" s="67">
        <f>'3.  LDC Assumptions and Data'!$F15</f>
        <v>0.53300000000000003</v>
      </c>
      <c r="M23" s="151">
        <f ca="1">M19*L23</f>
        <v>9334.3644587434901</v>
      </c>
      <c r="N23" s="61"/>
      <c r="O23" s="67">
        <f>'3.  LDC Assumptions and Data'!$G15</f>
        <v>0.56000000000000005</v>
      </c>
      <c r="P23" s="151">
        <f ca="1">P19*O23</f>
        <v>193059.55794319796</v>
      </c>
      <c r="Q23" s="61"/>
      <c r="R23" s="67">
        <f>'3.  LDC Assumptions and Data'!$H15</f>
        <v>0.56000000000000005</v>
      </c>
      <c r="S23" s="151">
        <f ca="1">S19*R23</f>
        <v>388169.11468640435</v>
      </c>
      <c r="T23" s="61"/>
      <c r="U23" s="67">
        <f>'3.  LDC Assumptions and Data'!$I15</f>
        <v>0.56000000000000005</v>
      </c>
      <c r="V23" s="151">
        <f>V19*U23</f>
        <v>0</v>
      </c>
      <c r="W23" s="61"/>
    </row>
    <row r="24" spans="1:23">
      <c r="A24" s="5"/>
      <c r="B24" s="2" t="s">
        <v>248</v>
      </c>
      <c r="C24" s="67">
        <f>'3.  LDC Assumptions and Data'!$C$16</f>
        <v>0.5</v>
      </c>
      <c r="D24" s="151">
        <f ca="1">D19*C24</f>
        <v>0</v>
      </c>
      <c r="E24" s="61"/>
      <c r="F24" s="67">
        <f>'3.  LDC Assumptions and Data'!$D$16</f>
        <v>0.5</v>
      </c>
      <c r="G24" s="151">
        <f ca="1">G19*F24</f>
        <v>0</v>
      </c>
      <c r="H24" s="61"/>
      <c r="I24" s="67">
        <f>'3.  LDC Assumptions and Data'!$E$16</f>
        <v>0.46700000000000003</v>
      </c>
      <c r="J24" s="151">
        <f ca="1">J19*I24</f>
        <v>0</v>
      </c>
      <c r="K24" s="61"/>
      <c r="L24" s="67">
        <f>'3.  LDC Assumptions and Data'!$F$16</f>
        <v>0.42699999999999999</v>
      </c>
      <c r="M24" s="151">
        <f ca="1">M19*L24</f>
        <v>7477.9992943404686</v>
      </c>
      <c r="N24" s="61"/>
      <c r="O24" s="67">
        <f>'3.  LDC Assumptions and Data'!$G$16</f>
        <v>0.39999999999999997</v>
      </c>
      <c r="P24" s="151">
        <f ca="1">P19*O24</f>
        <v>137899.68424514137</v>
      </c>
      <c r="Q24" s="61"/>
      <c r="R24" s="67">
        <f>'3.  LDC Assumptions and Data'!$H$16</f>
        <v>0.39999999999999997</v>
      </c>
      <c r="S24" s="151">
        <f ca="1">S19*R24</f>
        <v>277263.65334743162</v>
      </c>
      <c r="T24" s="61"/>
      <c r="U24" s="67">
        <f>'3.  LDC Assumptions and Data'!$I$16</f>
        <v>0.39999999999999997</v>
      </c>
      <c r="V24" s="151">
        <f>V19*U24</f>
        <v>0</v>
      </c>
      <c r="W24" s="61"/>
    </row>
    <row r="25" spans="1:23">
      <c r="A25" s="5"/>
      <c r="B25" s="60"/>
      <c r="C25" s="68"/>
      <c r="D25" s="139">
        <f ca="1">SUM(D23:D24)</f>
        <v>0</v>
      </c>
      <c r="E25" s="61"/>
      <c r="F25" s="68"/>
      <c r="G25" s="139">
        <f ca="1">SUM(G23:G24)</f>
        <v>0</v>
      </c>
      <c r="H25" s="61"/>
      <c r="I25" s="68"/>
      <c r="J25" s="139">
        <f ca="1">SUM(J23:J24)</f>
        <v>0</v>
      </c>
      <c r="K25" s="61"/>
      <c r="L25" s="68"/>
      <c r="M25" s="139">
        <f ca="1">SUM(M23:M24)</f>
        <v>16812.363753083959</v>
      </c>
      <c r="N25" s="61"/>
      <c r="O25" s="68"/>
      <c r="P25" s="139">
        <f ca="1">SUM(P23:P24)</f>
        <v>330959.24218833935</v>
      </c>
      <c r="Q25" s="61"/>
      <c r="R25" s="68"/>
      <c r="S25" s="139">
        <f ca="1">SUM(S23:S24)</f>
        <v>665432.76803383604</v>
      </c>
      <c r="T25" s="61"/>
      <c r="U25" s="68"/>
      <c r="V25" s="139">
        <f>SUM(V23:V24)</f>
        <v>0</v>
      </c>
      <c r="W25" s="61"/>
    </row>
    <row r="26" spans="1:23">
      <c r="A26" s="5"/>
      <c r="B26" s="60"/>
      <c r="C26" s="68"/>
      <c r="D26" s="63"/>
      <c r="E26" s="61"/>
      <c r="F26" s="68"/>
      <c r="G26" s="63"/>
      <c r="H26" s="61"/>
      <c r="I26" s="68"/>
      <c r="J26" s="63"/>
      <c r="K26" s="61"/>
      <c r="L26" s="68"/>
      <c r="M26" s="63"/>
      <c r="N26" s="61"/>
      <c r="O26" s="68"/>
      <c r="P26" s="63"/>
      <c r="Q26" s="61"/>
      <c r="R26" s="68"/>
      <c r="S26" s="63"/>
      <c r="T26" s="61"/>
      <c r="U26" s="68"/>
      <c r="V26" s="63"/>
      <c r="W26" s="61"/>
    </row>
    <row r="27" spans="1:23">
      <c r="A27" s="5"/>
      <c r="B27" s="2" t="s">
        <v>251</v>
      </c>
      <c r="C27" s="67"/>
      <c r="D27" s="6"/>
      <c r="E27" s="61"/>
      <c r="F27" s="67"/>
      <c r="G27" s="6"/>
      <c r="H27" s="61"/>
      <c r="I27" s="67">
        <f>'3.  LDC Assumptions and Data'!$E$18</f>
        <v>4.4699999999999997E-2</v>
      </c>
      <c r="J27" s="6"/>
      <c r="K27" s="61"/>
      <c r="L27" s="67">
        <f>'3.  LDC Assumptions and Data'!$F18</f>
        <v>1.3299999999999999E-2</v>
      </c>
      <c r="M27" s="6"/>
      <c r="N27" s="61"/>
      <c r="O27" s="67">
        <f>'3.  LDC Assumptions and Data'!$G18</f>
        <v>1.3299999999999999E-2</v>
      </c>
      <c r="P27" s="6"/>
      <c r="Q27" s="61"/>
      <c r="R27" s="67">
        <f>'3.  LDC Assumptions and Data'!$H18</f>
        <v>1.3299999999999999E-2</v>
      </c>
      <c r="S27" s="6"/>
      <c r="T27" s="61"/>
      <c r="U27" s="67">
        <f>'3.  LDC Assumptions and Data'!$I18</f>
        <v>1.3299999999999999E-2</v>
      </c>
      <c r="V27" s="6"/>
      <c r="W27" s="61"/>
    </row>
    <row r="28" spans="1:23">
      <c r="A28" s="5"/>
      <c r="B28" s="60" t="s">
        <v>196</v>
      </c>
      <c r="C28" s="67">
        <f>'3.  LDC Assumptions and Data'!$C$19</f>
        <v>7.0900000000000005E-2</v>
      </c>
      <c r="D28" s="151">
        <f ca="1">D23*C28</f>
        <v>0</v>
      </c>
      <c r="E28" s="66"/>
      <c r="F28" s="67">
        <f>'3.  LDC Assumptions and Data'!$D$19</f>
        <v>7.0900000000000005E-2</v>
      </c>
      <c r="G28" s="151">
        <f ca="1">G23*F28</f>
        <v>0</v>
      </c>
      <c r="H28" s="66"/>
      <c r="I28" s="67">
        <f>'3.  LDC Assumptions and Data'!$E$19</f>
        <v>7.0900000000000005E-2</v>
      </c>
      <c r="J28" s="151">
        <f ca="1">J23*I28</f>
        <v>0</v>
      </c>
      <c r="K28" s="66"/>
      <c r="L28" s="67">
        <f>'3.  LDC Assumptions and Data'!$F19</f>
        <v>6.88E-2</v>
      </c>
      <c r="M28" s="151">
        <f ca="1">M23*L28</f>
        <v>642.20427476155214</v>
      </c>
      <c r="N28" s="66"/>
      <c r="O28" s="67">
        <f>'3.  LDC Assumptions and Data'!$G19</f>
        <v>6.88E-2</v>
      </c>
      <c r="P28" s="151">
        <f ca="1">P23*O28</f>
        <v>13282.49758649202</v>
      </c>
      <c r="Q28" s="66"/>
      <c r="R28" s="67">
        <f>'3.  LDC Assumptions and Data'!$H19</f>
        <v>6.88E-2</v>
      </c>
      <c r="S28" s="151">
        <f ca="1">S23*R28</f>
        <v>26706.035090424619</v>
      </c>
      <c r="T28" s="66"/>
      <c r="U28" s="67">
        <f>'3.  LDC Assumptions and Data'!$I19</f>
        <v>6.88E-2</v>
      </c>
      <c r="V28" s="151">
        <f>V23*U28</f>
        <v>0</v>
      </c>
      <c r="W28" s="66"/>
    </row>
    <row r="29" spans="1:23">
      <c r="A29" s="5"/>
      <c r="B29" s="60" t="s">
        <v>197</v>
      </c>
      <c r="C29" s="67">
        <f>'3.  LDC Assumptions and Data'!$C$20</f>
        <v>0.09</v>
      </c>
      <c r="D29" s="151">
        <f ca="1">D24*C29</f>
        <v>0</v>
      </c>
      <c r="E29" s="66"/>
      <c r="F29" s="67">
        <f>'3.  LDC Assumptions and Data'!$D$20</f>
        <v>0.09</v>
      </c>
      <c r="G29" s="151">
        <f ca="1">G24*F29</f>
        <v>0</v>
      </c>
      <c r="H29" s="66"/>
      <c r="I29" s="67">
        <f>'3.  LDC Assumptions and Data'!$E$20</f>
        <v>8.5699999999999998E-2</v>
      </c>
      <c r="J29" s="151">
        <f ca="1">J24*I29</f>
        <v>0</v>
      </c>
      <c r="K29" s="66"/>
      <c r="L29" s="67">
        <f>'3.  LDC Assumptions and Data'!$F$20</f>
        <v>8.0100000000000005E-2</v>
      </c>
      <c r="M29" s="151">
        <f ca="1">M24*L29</f>
        <v>598.98774347667154</v>
      </c>
      <c r="N29" s="66"/>
      <c r="O29" s="67">
        <f>'3.  LDC Assumptions and Data'!$G$20</f>
        <v>8.0100000000000005E-2</v>
      </c>
      <c r="P29" s="151">
        <f ca="1">P24*O29</f>
        <v>11045.764708035824</v>
      </c>
      <c r="Q29" s="66"/>
      <c r="R29" s="67">
        <f>'3.  LDC Assumptions and Data'!$H$20</f>
        <v>8.0100000000000005E-2</v>
      </c>
      <c r="S29" s="151">
        <f ca="1">S24*R29</f>
        <v>22208.818633129275</v>
      </c>
      <c r="T29" s="66"/>
      <c r="U29" s="67">
        <f>'3.  LDC Assumptions and Data'!$I$20</f>
        <v>8.0100000000000005E-2</v>
      </c>
      <c r="V29" s="151">
        <f>V24*U29</f>
        <v>0</v>
      </c>
      <c r="W29" s="66"/>
    </row>
    <row r="30" spans="1:23" ht="15.75">
      <c r="A30" s="5"/>
      <c r="B30" s="51" t="s">
        <v>118</v>
      </c>
      <c r="C30" s="64"/>
      <c r="D30" s="139">
        <f ca="1">SUM(D28:D29)</f>
        <v>0</v>
      </c>
      <c r="E30" s="153">
        <f ca="1">D30</f>
        <v>0</v>
      </c>
      <c r="F30" s="64"/>
      <c r="G30" s="139">
        <f ca="1">SUM(G28:G29)</f>
        <v>0</v>
      </c>
      <c r="H30" s="153">
        <f ca="1">G30</f>
        <v>0</v>
      </c>
      <c r="I30" s="64"/>
      <c r="J30" s="139">
        <f ca="1">SUM(J28:J29)</f>
        <v>0</v>
      </c>
      <c r="K30" s="153">
        <f ca="1">J30</f>
        <v>0</v>
      </c>
      <c r="L30" s="64"/>
      <c r="M30" s="139">
        <f ca="1">SUM(M28:M29)</f>
        <v>1241.1920182382237</v>
      </c>
      <c r="N30" s="153">
        <f ca="1">M30</f>
        <v>1241.1920182382237</v>
      </c>
      <c r="O30" s="64"/>
      <c r="P30" s="139">
        <f ca="1">SUM(P28:P29)</f>
        <v>24328.262294527842</v>
      </c>
      <c r="Q30" s="153">
        <f ca="1">P30</f>
        <v>24328.262294527842</v>
      </c>
      <c r="R30" s="64"/>
      <c r="S30" s="139">
        <f ca="1">SUM(S28:S29)</f>
        <v>48914.853723553897</v>
      </c>
      <c r="T30" s="153">
        <f ca="1">S30</f>
        <v>48914.853723553897</v>
      </c>
      <c r="U30" s="64"/>
      <c r="V30" s="139">
        <f>SUM(V28:V29)</f>
        <v>0</v>
      </c>
      <c r="W30" s="153">
        <f>V30</f>
        <v>0</v>
      </c>
    </row>
    <row r="31" spans="1:23" ht="15.75">
      <c r="A31" s="5"/>
      <c r="B31" s="51"/>
      <c r="C31" s="64"/>
      <c r="D31" s="62"/>
      <c r="E31" s="69"/>
      <c r="F31" s="64"/>
      <c r="G31" s="62"/>
      <c r="H31" s="69"/>
      <c r="I31" s="64"/>
      <c r="J31" s="62"/>
      <c r="K31" s="69"/>
      <c r="L31" s="64"/>
      <c r="M31" s="62"/>
      <c r="N31" s="69"/>
      <c r="O31" s="64"/>
      <c r="P31" s="62"/>
      <c r="Q31" s="69"/>
      <c r="R31" s="64"/>
      <c r="S31" s="62"/>
      <c r="T31" s="69"/>
      <c r="U31" s="64"/>
      <c r="V31" s="62"/>
      <c r="W31" s="69"/>
    </row>
    <row r="32" spans="1:23" ht="18">
      <c r="A32" s="5"/>
      <c r="B32" s="27" t="s">
        <v>119</v>
      </c>
      <c r="C32" s="64"/>
      <c r="D32" s="62"/>
      <c r="E32" s="69"/>
      <c r="F32" s="64"/>
      <c r="G32" s="62"/>
      <c r="H32" s="69"/>
      <c r="I32" s="64"/>
      <c r="J32" s="62"/>
      <c r="K32" s="69"/>
      <c r="L32" s="64"/>
      <c r="M32" s="62"/>
      <c r="N32" s="69"/>
      <c r="O32" s="64"/>
      <c r="P32" s="62"/>
      <c r="Q32" s="69"/>
      <c r="R32" s="64"/>
      <c r="S32" s="62"/>
      <c r="T32" s="69"/>
      <c r="U32" s="64"/>
      <c r="V32" s="62"/>
      <c r="W32" s="69"/>
    </row>
    <row r="33" spans="1:23">
      <c r="A33" s="5"/>
      <c r="B33" s="56" t="s">
        <v>198</v>
      </c>
      <c r="C33" s="64"/>
      <c r="D33" s="63"/>
      <c r="E33" s="154">
        <f>'3.  LDC Assumptions and Data'!C46</f>
        <v>0</v>
      </c>
      <c r="F33" s="64"/>
      <c r="G33" s="63"/>
      <c r="H33" s="154">
        <f>'3.  LDC Assumptions and Data'!D46</f>
        <v>0</v>
      </c>
      <c r="I33" s="64"/>
      <c r="J33" s="63"/>
      <c r="K33" s="154">
        <f>'3.  LDC Assumptions and Data'!E46</f>
        <v>0</v>
      </c>
      <c r="L33" s="64"/>
      <c r="M33" s="63"/>
      <c r="N33" s="154">
        <f>'3.  LDC Assumptions and Data'!F46</f>
        <v>7222.91</v>
      </c>
      <c r="O33" s="64"/>
      <c r="P33" s="63"/>
      <c r="Q33" s="154">
        <f>'3.  LDC Assumptions and Data'!G46</f>
        <v>16177.889116239512</v>
      </c>
      <c r="R33" s="64"/>
      <c r="S33" s="63"/>
      <c r="T33" s="154">
        <f>'3.  LDC Assumptions and Data'!H46</f>
        <v>79850.97535455694</v>
      </c>
      <c r="U33" s="64"/>
      <c r="V33" s="63"/>
      <c r="W33" s="154">
        <f>'3.  LDC Assumptions and Data'!I46</f>
        <v>0</v>
      </c>
    </row>
    <row r="34" spans="1:23">
      <c r="A34" s="5"/>
      <c r="B34" s="60"/>
      <c r="C34" s="64"/>
      <c r="D34" s="62"/>
      <c r="E34" s="69"/>
      <c r="F34" s="64"/>
      <c r="G34" s="62"/>
      <c r="H34" s="69"/>
      <c r="I34" s="64"/>
      <c r="J34" s="62"/>
      <c r="K34" s="69"/>
      <c r="L34" s="64"/>
      <c r="M34" s="62"/>
      <c r="N34" s="69"/>
      <c r="O34" s="64"/>
      <c r="P34" s="62"/>
      <c r="Q34" s="69"/>
      <c r="R34" s="64"/>
      <c r="S34" s="62"/>
      <c r="T34" s="69"/>
      <c r="U34" s="64"/>
      <c r="V34" s="62"/>
      <c r="W34" s="69"/>
    </row>
    <row r="35" spans="1:23" ht="18">
      <c r="A35" s="5"/>
      <c r="B35" s="27" t="s">
        <v>121</v>
      </c>
      <c r="C35" s="64"/>
      <c r="D35" s="62"/>
      <c r="E35" s="69"/>
      <c r="F35" s="64"/>
      <c r="G35" s="62"/>
      <c r="H35" s="69"/>
      <c r="I35" s="64"/>
      <c r="J35" s="62"/>
      <c r="K35" s="69"/>
      <c r="L35" s="64"/>
      <c r="M35" s="62"/>
      <c r="N35" s="69"/>
      <c r="O35" s="64"/>
      <c r="P35" s="62"/>
      <c r="Q35" s="69"/>
      <c r="R35" s="64"/>
      <c r="S35" s="62"/>
      <c r="T35" s="69"/>
      <c r="U35" s="64"/>
      <c r="V35" s="62"/>
      <c r="W35" s="69"/>
    </row>
    <row r="36" spans="1:23">
      <c r="A36" s="5"/>
      <c r="B36" s="56" t="s">
        <v>137</v>
      </c>
      <c r="C36" s="64"/>
      <c r="D36" s="141">
        <f ca="1">SUM('6. Avg Nt Fix Ass &amp;UCC'!C13:C13)</f>
        <v>0</v>
      </c>
      <c r="E36" s="66"/>
      <c r="F36" s="64"/>
      <c r="G36" s="141">
        <f ca="1">SUM('6. Avg Nt Fix Ass &amp;UCC'!D13:D13)</f>
        <v>0</v>
      </c>
      <c r="H36" s="66"/>
      <c r="I36" s="64"/>
      <c r="J36" s="141">
        <f ca="1">SUM('6. Avg Nt Fix Ass &amp;UCC'!E13:E13)</f>
        <v>0</v>
      </c>
      <c r="K36" s="66"/>
      <c r="L36" s="64"/>
      <c r="M36" s="141">
        <f ca="1">SUM('6. Avg Nt Fix Ass &amp;UCC'!F13:F13)</f>
        <v>593.67933333333337</v>
      </c>
      <c r="N36" s="66"/>
      <c r="O36" s="64"/>
      <c r="P36" s="141">
        <f ca="1">SUM('6. Avg Nt Fix Ass &amp;UCC'!G13:G13)</f>
        <v>21549.298537813334</v>
      </c>
      <c r="Q36" s="66"/>
      <c r="R36" s="64"/>
      <c r="S36" s="141">
        <f ca="1">SUM('6. Avg Nt Fix Ass &amp;UCC'!H13:H13)</f>
        <v>41911.238408960002</v>
      </c>
      <c r="T36" s="66"/>
      <c r="U36" s="64"/>
      <c r="V36" s="141">
        <f>SUM('6. Avg Nt Fix Ass &amp;UCC'!I13:I13)</f>
        <v>0</v>
      </c>
      <c r="W36" s="66"/>
    </row>
    <row r="37" spans="1:23">
      <c r="A37" s="5"/>
      <c r="B37" s="56" t="s">
        <v>138</v>
      </c>
      <c r="C37" s="64"/>
      <c r="D37" s="141">
        <f ca="1">SUM('6. Avg Nt Fix Ass &amp;UCC'!C28:C28)</f>
        <v>0</v>
      </c>
      <c r="E37" s="66"/>
      <c r="F37" s="64"/>
      <c r="G37" s="141">
        <f ca="1">SUM('6. Avg Nt Fix Ass &amp;UCC'!D28:D28)</f>
        <v>0</v>
      </c>
      <c r="H37" s="66"/>
      <c r="I37" s="64"/>
      <c r="J37" s="141">
        <f ca="1">SUM('6. Avg Nt Fix Ass &amp;UCC'!E28:E28)</f>
        <v>0</v>
      </c>
      <c r="K37" s="66"/>
      <c r="L37" s="64"/>
      <c r="M37" s="141">
        <f ca="1">SUM('6. Avg Nt Fix Ass &amp;UCC'!F28:F28)</f>
        <v>46.855814025974027</v>
      </c>
      <c r="N37" s="66"/>
      <c r="O37" s="64"/>
      <c r="P37" s="141">
        <f ca="1">SUM('6. Avg Nt Fix Ass &amp;UCC'!G28:G28)</f>
        <v>98.387376051948053</v>
      </c>
      <c r="Q37" s="66"/>
      <c r="R37" s="64"/>
      <c r="S37" s="141">
        <f ca="1">SUM('6. Avg Nt Fix Ass &amp;UCC'!H28:H28)</f>
        <v>103.06312405194805</v>
      </c>
      <c r="T37" s="66"/>
      <c r="U37" s="64"/>
      <c r="V37" s="141">
        <f>SUM('6. Avg Nt Fix Ass &amp;UCC'!I28:I28)</f>
        <v>0</v>
      </c>
      <c r="W37" s="66"/>
    </row>
    <row r="38" spans="1:23">
      <c r="A38" s="5"/>
      <c r="B38" s="56" t="s">
        <v>139</v>
      </c>
      <c r="C38" s="64"/>
      <c r="D38" s="141">
        <f ca="1">SUM('6. Avg Nt Fix Ass &amp;UCC'!C43:C43)</f>
        <v>0</v>
      </c>
      <c r="E38" s="66"/>
      <c r="F38" s="64"/>
      <c r="G38" s="141">
        <f ca="1">SUM('6. Avg Nt Fix Ass &amp;UCC'!D43:D43)</f>
        <v>0</v>
      </c>
      <c r="H38" s="66"/>
      <c r="I38" s="64"/>
      <c r="J38" s="141">
        <f ca="1">SUM('6. Avg Nt Fix Ass &amp;UCC'!E43:E43)</f>
        <v>0</v>
      </c>
      <c r="K38" s="66"/>
      <c r="L38" s="64"/>
      <c r="M38" s="141">
        <f ca="1">SUM('6. Avg Nt Fix Ass &amp;UCC'!F43:F43)</f>
        <v>801.07799084339331</v>
      </c>
      <c r="N38" s="66"/>
      <c r="O38" s="64"/>
      <c r="P38" s="141">
        <f ca="1">SUM('6. Avg Nt Fix Ass &amp;UCC'!G43:G43)</f>
        <v>3176.5088308519071</v>
      </c>
      <c r="Q38" s="66"/>
      <c r="R38" s="64"/>
      <c r="S38" s="141">
        <f ca="1">SUM('6. Avg Nt Fix Ass &amp;UCC'!H43:H43)</f>
        <v>10313.961680017028</v>
      </c>
      <c r="T38" s="66"/>
      <c r="U38" s="64"/>
      <c r="V38" s="141">
        <f>SUM('6. Avg Nt Fix Ass &amp;UCC'!I43:I43)</f>
        <v>0</v>
      </c>
      <c r="W38" s="66"/>
    </row>
    <row r="39" spans="1:23">
      <c r="A39" s="5"/>
      <c r="B39" s="56" t="s">
        <v>140</v>
      </c>
      <c r="C39" s="64"/>
      <c r="D39" s="141">
        <f ca="1">SUM('6. Avg Nt Fix Ass &amp;UCC'!C58:C58)</f>
        <v>0</v>
      </c>
      <c r="E39" s="66"/>
      <c r="F39" s="64"/>
      <c r="G39" s="141">
        <f ca="1">SUM('6. Avg Nt Fix Ass &amp;UCC'!D58:D58)</f>
        <v>0</v>
      </c>
      <c r="H39" s="66"/>
      <c r="I39" s="64"/>
      <c r="J39" s="141">
        <f ca="1">SUM('6. Avg Nt Fix Ass &amp;UCC'!E58:E58)</f>
        <v>0</v>
      </c>
      <c r="K39" s="66"/>
      <c r="L39" s="64"/>
      <c r="M39" s="141">
        <f ca="1">SUM('6. Avg Nt Fix Ass &amp;UCC'!F58:F58)</f>
        <v>0</v>
      </c>
      <c r="N39" s="66"/>
      <c r="O39" s="64"/>
      <c r="P39" s="141">
        <f ca="1">SUM('6. Avg Nt Fix Ass &amp;UCC'!G58:G58)</f>
        <v>0</v>
      </c>
      <c r="Q39" s="66"/>
      <c r="R39" s="64"/>
      <c r="S39" s="141">
        <f ca="1">SUM('6. Avg Nt Fix Ass &amp;UCC'!H58:H58)</f>
        <v>0</v>
      </c>
      <c r="T39" s="66"/>
      <c r="U39" s="64"/>
      <c r="V39" s="141">
        <f>SUM('6. Avg Nt Fix Ass &amp;UCC'!I58:I58)</f>
        <v>0</v>
      </c>
      <c r="W39" s="66"/>
    </row>
    <row r="40" spans="1:23">
      <c r="A40" s="5"/>
      <c r="B40" s="56" t="s">
        <v>141</v>
      </c>
      <c r="C40" s="64"/>
      <c r="D40" s="141">
        <f ca="1">SUM('6. Avg Nt Fix Ass &amp;UCC'!C73:C73)</f>
        <v>0</v>
      </c>
      <c r="E40" s="66"/>
      <c r="F40" s="64"/>
      <c r="G40" s="141">
        <f ca="1">SUM('6. Avg Nt Fix Ass &amp;UCC'!D73:D73)</f>
        <v>0</v>
      </c>
      <c r="H40" s="66"/>
      <c r="I40" s="64"/>
      <c r="J40" s="141">
        <f ca="1">SUM('6. Avg Nt Fix Ass &amp;UCC'!E73:E73)</f>
        <v>0</v>
      </c>
      <c r="K40" s="66"/>
      <c r="L40" s="64"/>
      <c r="M40" s="141">
        <f ca="1">SUM('6. Avg Nt Fix Ass &amp;UCC'!F73:F73)</f>
        <v>0</v>
      </c>
      <c r="N40" s="66"/>
      <c r="O40" s="64"/>
      <c r="P40" s="141">
        <f ca="1">SUM('6. Avg Nt Fix Ass &amp;UCC'!G73:G73)</f>
        <v>71.551000000000002</v>
      </c>
      <c r="Q40" s="66"/>
      <c r="R40" s="64"/>
      <c r="S40" s="141">
        <f ca="1">SUM('6. Avg Nt Fix Ass &amp;UCC'!H73:H73)</f>
        <v>143.102</v>
      </c>
      <c r="T40" s="66"/>
      <c r="U40" s="64"/>
      <c r="V40" s="141">
        <f>SUM('6. Avg Nt Fix Ass &amp;UCC'!I73:I73)</f>
        <v>0</v>
      </c>
      <c r="W40" s="66"/>
    </row>
    <row r="41" spans="1:23" ht="15.75">
      <c r="A41" s="5"/>
      <c r="B41" s="51" t="s">
        <v>142</v>
      </c>
      <c r="C41" s="64"/>
      <c r="D41" s="63"/>
      <c r="E41" s="155">
        <f ca="1">SUM(D36:D40)</f>
        <v>0</v>
      </c>
      <c r="F41" s="64"/>
      <c r="G41" s="63"/>
      <c r="H41" s="155">
        <f ca="1">SUM(G36:G40)</f>
        <v>0</v>
      </c>
      <c r="I41" s="64"/>
      <c r="J41" s="63"/>
      <c r="K41" s="155">
        <f ca="1">SUM(J36:J40)</f>
        <v>0</v>
      </c>
      <c r="L41" s="64"/>
      <c r="M41" s="63"/>
      <c r="N41" s="155">
        <f ca="1">SUM(M36:M40)</f>
        <v>1441.6131382027006</v>
      </c>
      <c r="O41" s="64"/>
      <c r="P41" s="63"/>
      <c r="Q41" s="155">
        <f ca="1">SUM(P36:P40)</f>
        <v>24895.745744717191</v>
      </c>
      <c r="R41" s="64"/>
      <c r="S41" s="63"/>
      <c r="T41" s="155">
        <f ca="1">SUM(S36:S40)</f>
        <v>52471.365213028977</v>
      </c>
      <c r="U41" s="64"/>
      <c r="V41" s="63"/>
      <c r="W41" s="155">
        <f>SUM(V36:V40)</f>
        <v>0</v>
      </c>
    </row>
    <row r="42" spans="1:23">
      <c r="A42" s="5"/>
      <c r="B42" s="60"/>
      <c r="C42" s="64"/>
      <c r="D42" s="63"/>
      <c r="E42" s="66"/>
      <c r="F42" s="64"/>
      <c r="G42" s="63"/>
      <c r="H42" s="66"/>
      <c r="I42" s="64"/>
      <c r="J42" s="63"/>
      <c r="K42" s="66"/>
      <c r="L42" s="64"/>
      <c r="M42" s="63"/>
      <c r="N42" s="66"/>
      <c r="O42" s="64"/>
      <c r="P42" s="63"/>
      <c r="Q42" s="66"/>
      <c r="R42" s="64"/>
      <c r="S42" s="63"/>
      <c r="T42" s="66"/>
      <c r="U42" s="64"/>
      <c r="V42" s="63"/>
      <c r="W42" s="66"/>
    </row>
    <row r="43" spans="1:23" ht="15.75">
      <c r="A43" s="5"/>
      <c r="B43" s="51" t="s">
        <v>122</v>
      </c>
      <c r="C43" s="64"/>
      <c r="D43" s="63"/>
      <c r="E43" s="156">
        <f ca="1">SUM(E30,E41,E33)</f>
        <v>0</v>
      </c>
      <c r="F43" s="64"/>
      <c r="G43" s="63"/>
      <c r="H43" s="156">
        <f ca="1">SUM(H30,H41,H33)</f>
        <v>0</v>
      </c>
      <c r="I43" s="64"/>
      <c r="J43" s="63"/>
      <c r="K43" s="156">
        <f ca="1">SUM(K30,K41,K33)</f>
        <v>0</v>
      </c>
      <c r="L43" s="64"/>
      <c r="M43" s="63"/>
      <c r="N43" s="156">
        <f ca="1">SUM(N30,N41,N33)</f>
        <v>9905.7151564409251</v>
      </c>
      <c r="O43" s="64"/>
      <c r="P43" s="63"/>
      <c r="Q43" s="156">
        <f ca="1">SUM(Q30,Q41,Q33)</f>
        <v>65401.897155484548</v>
      </c>
      <c r="R43" s="64"/>
      <c r="S43" s="63"/>
      <c r="T43" s="156">
        <f ca="1">SUM(T30,T41,T33)</f>
        <v>181237.19429113984</v>
      </c>
      <c r="U43" s="64"/>
      <c r="V43" s="63"/>
      <c r="W43" s="156">
        <f>SUM(W30,W41,W33)</f>
        <v>0</v>
      </c>
    </row>
    <row r="44" spans="1:23" ht="15.75">
      <c r="A44" s="5"/>
      <c r="B44" s="51"/>
      <c r="C44" s="64"/>
      <c r="D44" s="63"/>
      <c r="E44" s="66"/>
      <c r="F44" s="64"/>
      <c r="G44" s="63"/>
      <c r="H44" s="66"/>
      <c r="I44" s="64"/>
      <c r="J44" s="63"/>
      <c r="K44" s="66"/>
      <c r="L44" s="64"/>
      <c r="M44" s="63"/>
      <c r="N44" s="66"/>
      <c r="O44" s="64"/>
      <c r="P44" s="63"/>
      <c r="Q44" s="66"/>
      <c r="R44" s="64"/>
      <c r="S44" s="63"/>
      <c r="T44" s="66"/>
      <c r="U44" s="64"/>
      <c r="V44" s="63"/>
      <c r="W44" s="66"/>
    </row>
    <row r="45" spans="1:23" ht="18">
      <c r="A45" s="5"/>
      <c r="B45" s="27" t="s">
        <v>143</v>
      </c>
      <c r="C45" s="64"/>
      <c r="D45" s="63"/>
      <c r="E45" s="66"/>
      <c r="F45" s="64"/>
      <c r="G45" s="63"/>
      <c r="H45" s="66"/>
      <c r="I45" s="64"/>
      <c r="J45" s="63"/>
      <c r="K45" s="66"/>
      <c r="L45" s="64"/>
      <c r="M45" s="63"/>
      <c r="N45" s="66"/>
      <c r="O45" s="64"/>
      <c r="P45" s="63"/>
      <c r="Q45" s="66"/>
      <c r="R45" s="64"/>
      <c r="S45" s="63"/>
      <c r="T45" s="66"/>
      <c r="U45" s="64"/>
      <c r="V45" s="63"/>
      <c r="W45" s="66"/>
    </row>
    <row r="46" spans="1:23">
      <c r="A46" s="5"/>
      <c r="B46" s="56" t="s">
        <v>120</v>
      </c>
      <c r="C46" s="64"/>
      <c r="D46" s="63"/>
      <c r="E46" s="153">
        <f>-E33</f>
        <v>0</v>
      </c>
      <c r="F46" s="64"/>
      <c r="G46" s="63"/>
      <c r="H46" s="153">
        <f>-H33</f>
        <v>0</v>
      </c>
      <c r="I46" s="64"/>
      <c r="J46" s="63"/>
      <c r="K46" s="153">
        <f>-K33</f>
        <v>0</v>
      </c>
      <c r="L46" s="64"/>
      <c r="M46" s="63"/>
      <c r="N46" s="153">
        <f>-N33</f>
        <v>-7222.91</v>
      </c>
      <c r="O46" s="64"/>
      <c r="P46" s="63"/>
      <c r="Q46" s="153">
        <f>-Q33</f>
        <v>-16177.889116239512</v>
      </c>
      <c r="R46" s="64"/>
      <c r="S46" s="63"/>
      <c r="T46" s="153">
        <f>-T33</f>
        <v>-79850.97535455694</v>
      </c>
      <c r="U46" s="64"/>
      <c r="V46" s="63"/>
      <c r="W46" s="153">
        <f>-W33</f>
        <v>0</v>
      </c>
    </row>
    <row r="47" spans="1:23">
      <c r="A47" s="5"/>
      <c r="B47" s="56" t="s">
        <v>144</v>
      </c>
      <c r="C47" s="64"/>
      <c r="D47" s="63"/>
      <c r="E47" s="153">
        <f ca="1">-E41</f>
        <v>0</v>
      </c>
      <c r="F47" s="64"/>
      <c r="G47" s="63"/>
      <c r="H47" s="153">
        <f ca="1">-H41</f>
        <v>0</v>
      </c>
      <c r="I47" s="64"/>
      <c r="J47" s="63"/>
      <c r="K47" s="153">
        <f ca="1">-K41</f>
        <v>0</v>
      </c>
      <c r="L47" s="64"/>
      <c r="M47" s="63"/>
      <c r="N47" s="153">
        <f ca="1">-N41</f>
        <v>-1441.6131382027006</v>
      </c>
      <c r="O47" s="64"/>
      <c r="P47" s="63"/>
      <c r="Q47" s="153">
        <f ca="1">-Q41</f>
        <v>-24895.745744717191</v>
      </c>
      <c r="R47" s="64"/>
      <c r="S47" s="63"/>
      <c r="T47" s="153">
        <f ca="1">-T41</f>
        <v>-52471.365213028977</v>
      </c>
      <c r="U47" s="64"/>
      <c r="V47" s="63"/>
      <c r="W47" s="153">
        <f>-W41</f>
        <v>0</v>
      </c>
    </row>
    <row r="48" spans="1:23">
      <c r="A48" s="5"/>
      <c r="B48" s="56" t="s">
        <v>145</v>
      </c>
      <c r="C48" s="64"/>
      <c r="D48" s="63"/>
      <c r="E48" s="153">
        <f ca="1">-D28</f>
        <v>0</v>
      </c>
      <c r="F48" s="64"/>
      <c r="G48" s="63"/>
      <c r="H48" s="153">
        <f ca="1">-G28</f>
        <v>0</v>
      </c>
      <c r="I48" s="64"/>
      <c r="J48" s="63"/>
      <c r="K48" s="153">
        <f ca="1">-J28</f>
        <v>0</v>
      </c>
      <c r="L48" s="64"/>
      <c r="M48" s="63"/>
      <c r="N48" s="153">
        <f ca="1">-M28</f>
        <v>-642.20427476155214</v>
      </c>
      <c r="O48" s="64"/>
      <c r="P48" s="63"/>
      <c r="Q48" s="153">
        <f ca="1">-P28</f>
        <v>-13282.49758649202</v>
      </c>
      <c r="R48" s="64"/>
      <c r="S48" s="63"/>
      <c r="T48" s="153">
        <f ca="1">-S28</f>
        <v>-26706.035090424619</v>
      </c>
      <c r="U48" s="64"/>
      <c r="V48" s="63"/>
      <c r="W48" s="153">
        <f>-V28</f>
        <v>0</v>
      </c>
    </row>
    <row r="49" spans="1:23" ht="15.75">
      <c r="A49" s="5"/>
      <c r="B49" s="51" t="s">
        <v>146</v>
      </c>
      <c r="C49" s="64"/>
      <c r="D49" s="63"/>
      <c r="E49" s="157">
        <f ca="1">SUM(E43:E48)</f>
        <v>0</v>
      </c>
      <c r="F49" s="64"/>
      <c r="G49" s="63"/>
      <c r="H49" s="157">
        <f ca="1">SUM(H43:H48)</f>
        <v>0</v>
      </c>
      <c r="I49" s="64"/>
      <c r="J49" s="63"/>
      <c r="K49" s="157">
        <f ca="1">SUM(K43:K48)</f>
        <v>0</v>
      </c>
      <c r="L49" s="64"/>
      <c r="M49" s="63"/>
      <c r="N49" s="157">
        <f ca="1">SUM(N43:N48)</f>
        <v>598.98774347667245</v>
      </c>
      <c r="O49" s="64"/>
      <c r="P49" s="63"/>
      <c r="Q49" s="157">
        <f ca="1">SUM(Q43:Q48)</f>
        <v>11045.764708035822</v>
      </c>
      <c r="R49" s="64"/>
      <c r="S49" s="63"/>
      <c r="T49" s="157">
        <f ca="1">SUM(T43:T48)</f>
        <v>22208.8186331293</v>
      </c>
      <c r="U49" s="64"/>
      <c r="V49" s="63"/>
      <c r="W49" s="157">
        <f>SUM(W43:W48)</f>
        <v>0</v>
      </c>
    </row>
    <row r="50" spans="1:23" ht="15.75">
      <c r="A50" s="5"/>
      <c r="B50" s="51"/>
      <c r="C50" s="64"/>
      <c r="D50" s="63"/>
      <c r="E50" s="70"/>
      <c r="F50" s="64"/>
      <c r="G50" s="63"/>
      <c r="H50" s="70"/>
      <c r="I50" s="64"/>
      <c r="J50" s="63"/>
      <c r="K50" s="70"/>
      <c r="L50" s="64"/>
      <c r="M50" s="63"/>
      <c r="N50" s="70"/>
      <c r="O50" s="64"/>
      <c r="P50" s="63"/>
      <c r="Q50" s="70"/>
      <c r="R50" s="64"/>
      <c r="S50" s="63"/>
      <c r="T50" s="70"/>
      <c r="U50" s="64"/>
      <c r="V50" s="63"/>
      <c r="W50" s="70"/>
    </row>
    <row r="51" spans="1:23" ht="15.75">
      <c r="A51" s="5"/>
      <c r="B51" s="51" t="s">
        <v>199</v>
      </c>
      <c r="C51" s="64"/>
      <c r="D51" s="63"/>
      <c r="E51" s="154">
        <f ca="1">'5. PILs'!C42</f>
        <v>0</v>
      </c>
      <c r="F51" s="64"/>
      <c r="G51" s="63"/>
      <c r="H51" s="154">
        <f ca="1">'5. PILs'!D42</f>
        <v>0</v>
      </c>
      <c r="I51" s="64"/>
      <c r="J51" s="63"/>
      <c r="K51" s="154">
        <f ca="1">'5. PILs'!E42</f>
        <v>0</v>
      </c>
      <c r="L51" s="64"/>
      <c r="M51" s="63"/>
      <c r="N51" s="154">
        <f ca="1">'5. PILs'!F42</f>
        <v>-3280.9599644496684</v>
      </c>
      <c r="O51" s="64"/>
      <c r="P51" s="63"/>
      <c r="Q51" s="154">
        <f ca="1">'5. PILs'!G42</f>
        <v>-5783.059397326685</v>
      </c>
      <c r="R51" s="64"/>
      <c r="S51" s="63"/>
      <c r="T51" s="154">
        <f ca="1">'5. PILs'!H42</f>
        <v>-17807.135400245748</v>
      </c>
      <c r="U51" s="64"/>
      <c r="V51" s="63"/>
      <c r="W51" s="154">
        <f>'5. PILs'!I42</f>
        <v>0</v>
      </c>
    </row>
    <row r="52" spans="1:23">
      <c r="A52" s="5"/>
      <c r="B52" s="60"/>
      <c r="C52" s="64"/>
      <c r="D52" s="63"/>
      <c r="E52" s="70"/>
      <c r="F52" s="64"/>
      <c r="G52" s="63"/>
      <c r="H52" s="70"/>
      <c r="I52" s="64"/>
      <c r="J52" s="63"/>
      <c r="K52" s="70"/>
      <c r="L52" s="64"/>
      <c r="M52" s="63"/>
      <c r="N52" s="70"/>
      <c r="O52" s="64"/>
      <c r="P52" s="63"/>
      <c r="Q52" s="70"/>
      <c r="R52" s="64"/>
      <c r="S52" s="63"/>
      <c r="T52" s="70"/>
      <c r="U52" s="64"/>
      <c r="V52" s="63"/>
      <c r="W52" s="70"/>
    </row>
    <row r="53" spans="1:23">
      <c r="A53" s="5"/>
      <c r="B53" s="60" t="str">
        <f>B43</f>
        <v>Revenue Requirement Before PILs</v>
      </c>
      <c r="C53" s="64"/>
      <c r="D53" s="63"/>
      <c r="E53" s="158">
        <f ca="1">E43</f>
        <v>0</v>
      </c>
      <c r="F53" s="64"/>
      <c r="G53" s="63"/>
      <c r="H53" s="158">
        <f ca="1">H43</f>
        <v>0</v>
      </c>
      <c r="I53" s="64"/>
      <c r="J53" s="63"/>
      <c r="K53" s="158">
        <f ca="1">K43</f>
        <v>0</v>
      </c>
      <c r="L53" s="64"/>
      <c r="M53" s="63"/>
      <c r="N53" s="158">
        <f ca="1">N43</f>
        <v>9905.7151564409251</v>
      </c>
      <c r="O53" s="64"/>
      <c r="P53" s="63"/>
      <c r="Q53" s="158">
        <f ca="1">Q43</f>
        <v>65401.897155484548</v>
      </c>
      <c r="R53" s="64"/>
      <c r="S53" s="63"/>
      <c r="T53" s="158">
        <f ca="1">T43</f>
        <v>181237.19429113984</v>
      </c>
      <c r="U53" s="64"/>
      <c r="V53" s="63"/>
      <c r="W53" s="158">
        <f>W43</f>
        <v>0</v>
      </c>
    </row>
    <row r="54" spans="1:23">
      <c r="A54" s="5"/>
      <c r="B54" s="60" t="s">
        <v>147</v>
      </c>
      <c r="C54" s="64"/>
      <c r="D54" s="63"/>
      <c r="E54" s="158">
        <f ca="1">E51</f>
        <v>0</v>
      </c>
      <c r="F54" s="64"/>
      <c r="G54" s="63"/>
      <c r="H54" s="158">
        <f ca="1">H51</f>
        <v>0</v>
      </c>
      <c r="I54" s="64"/>
      <c r="J54" s="63"/>
      <c r="K54" s="158">
        <f ca="1">K51</f>
        <v>0</v>
      </c>
      <c r="L54" s="64"/>
      <c r="M54" s="63"/>
      <c r="N54" s="158">
        <f ca="1">N51</f>
        <v>-3280.9599644496684</v>
      </c>
      <c r="O54" s="64"/>
      <c r="P54" s="63"/>
      <c r="Q54" s="158">
        <f ca="1">Q51</f>
        <v>-5783.059397326685</v>
      </c>
      <c r="R54" s="64"/>
      <c r="S54" s="63"/>
      <c r="T54" s="158">
        <f ca="1">T51</f>
        <v>-17807.135400245748</v>
      </c>
      <c r="U54" s="64"/>
      <c r="V54" s="63"/>
      <c r="W54" s="158">
        <f>W51</f>
        <v>0</v>
      </c>
    </row>
    <row r="55" spans="1:23" ht="16.5" thickBot="1">
      <c r="A55" s="5"/>
      <c r="B55" s="51" t="s">
        <v>123</v>
      </c>
      <c r="C55" s="64"/>
      <c r="D55" s="63"/>
      <c r="E55" s="159">
        <f ca="1">SUM(E53:E54)</f>
        <v>0</v>
      </c>
      <c r="F55" s="64"/>
      <c r="G55" s="63"/>
      <c r="H55" s="159">
        <f ca="1">SUM(H53:H54)</f>
        <v>0</v>
      </c>
      <c r="I55" s="64"/>
      <c r="J55" s="63"/>
      <c r="K55" s="159">
        <f ca="1">SUM(K53:K54)</f>
        <v>0</v>
      </c>
      <c r="L55" s="64"/>
      <c r="M55" s="63"/>
      <c r="N55" s="159">
        <f ca="1">SUM(N53:N54)</f>
        <v>6624.7551919912567</v>
      </c>
      <c r="O55" s="64"/>
      <c r="P55" s="63"/>
      <c r="Q55" s="159">
        <f ca="1">SUM(Q53:Q54)</f>
        <v>59618.837758157861</v>
      </c>
      <c r="R55" s="64"/>
      <c r="S55" s="63"/>
      <c r="T55" s="159">
        <f ca="1">SUM(T53:T54)</f>
        <v>163430.05889089408</v>
      </c>
      <c r="U55" s="64"/>
      <c r="V55" s="63"/>
      <c r="W55" s="159">
        <f>SUM(W53:W54)</f>
        <v>0</v>
      </c>
    </row>
    <row r="56" spans="1:23" ht="13.5" thickBot="1">
      <c r="A56" s="5"/>
      <c r="B56" s="60"/>
      <c r="C56" s="71"/>
      <c r="D56" s="72"/>
      <c r="E56" s="115"/>
      <c r="F56" s="71"/>
      <c r="G56" s="72"/>
      <c r="H56" s="115"/>
      <c r="I56" s="71"/>
      <c r="J56" s="72"/>
      <c r="K56" s="115"/>
      <c r="L56" s="71"/>
      <c r="M56" s="72"/>
      <c r="N56" s="115"/>
      <c r="O56" s="71"/>
      <c r="P56" s="72"/>
      <c r="Q56" s="115"/>
      <c r="R56" s="71"/>
      <c r="S56" s="72"/>
      <c r="T56" s="115"/>
      <c r="U56" s="71"/>
      <c r="V56" s="72"/>
      <c r="W56" s="115"/>
    </row>
    <row r="57" spans="1:23" ht="67.5" customHeight="1">
      <c r="A57" s="5"/>
      <c r="B57" s="60"/>
      <c r="C57" s="5"/>
      <c r="D57" s="5"/>
      <c r="E57" s="5"/>
      <c r="F57"/>
      <c r="G57" s="58"/>
    </row>
    <row r="58" spans="1:23">
      <c r="A58" s="5"/>
      <c r="B58" s="5"/>
      <c r="C58" s="5"/>
      <c r="D58" s="5"/>
      <c r="E58" s="5"/>
      <c r="F58" s="5"/>
      <c r="G58" s="58"/>
    </row>
    <row r="59" spans="1:23">
      <c r="A59" s="5"/>
      <c r="B59" s="5"/>
      <c r="C59" s="5"/>
      <c r="D59" s="5"/>
      <c r="E59" s="5"/>
      <c r="F59" s="5"/>
      <c r="G59" s="58"/>
    </row>
    <row r="60" spans="1:23" ht="21.75" customHeight="1">
      <c r="A60" s="5"/>
      <c r="B60" s="5"/>
      <c r="C60" s="5"/>
      <c r="D60" s="5"/>
      <c r="E60" s="5"/>
      <c r="F60" s="5"/>
      <c r="G60" s="58"/>
    </row>
    <row r="61" spans="1:23" ht="45.75" customHeight="1">
      <c r="A61" s="5"/>
      <c r="B61" s="60"/>
      <c r="C61" s="5"/>
      <c r="D61" s="5"/>
      <c r="E61" s="5"/>
      <c r="F61" s="5"/>
      <c r="G61" s="58"/>
    </row>
  </sheetData>
  <sheetProtection formatColumns="0" selectLockedCells="1"/>
  <mergeCells count="15">
    <mergeCell ref="U6:W6"/>
    <mergeCell ref="U7:W7"/>
    <mergeCell ref="L7:N7"/>
    <mergeCell ref="O7:Q7"/>
    <mergeCell ref="R6:T6"/>
    <mergeCell ref="R7:T7"/>
    <mergeCell ref="L6:N6"/>
    <mergeCell ref="O6:Q6"/>
    <mergeCell ref="B1:D1"/>
    <mergeCell ref="C7:E7"/>
    <mergeCell ref="F7:H7"/>
    <mergeCell ref="I7:K7"/>
    <mergeCell ref="I6:K6"/>
    <mergeCell ref="C6:E6"/>
    <mergeCell ref="F6:H6"/>
  </mergeCells>
  <phoneticPr fontId="0" type="noConversion"/>
  <pageMargins left="0.43" right="0.43" top="0.79" bottom="0.54" header="0.5" footer="0.5"/>
  <pageSetup scale="26"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5.xml><?xml version="1.0" encoding="utf-8"?>
<worksheet xmlns="http://schemas.openxmlformats.org/spreadsheetml/2006/main" xmlns:r="http://schemas.openxmlformats.org/officeDocument/2006/relationships">
  <sheetPr codeName="Sheet3">
    <pageSetUpPr fitToPage="1"/>
  </sheetPr>
  <dimension ref="A1:I42"/>
  <sheetViews>
    <sheetView showGridLines="0" topLeftCell="A4" zoomScaleNormal="100" workbookViewId="0">
      <selection activeCell="I10" sqref="I10"/>
    </sheetView>
  </sheetViews>
  <sheetFormatPr defaultRowHeight="12.75"/>
  <cols>
    <col min="1" max="1" width="16.28515625" style="7" customWidth="1"/>
    <col min="2" max="2" width="33" style="7" bestFit="1" customWidth="1"/>
    <col min="3" max="4" width="13.28515625" style="7" bestFit="1" customWidth="1"/>
    <col min="5" max="8" width="12" style="7" bestFit="1" customWidth="1"/>
    <col min="9" max="9" width="15.28515625" style="7" bestFit="1" customWidth="1"/>
    <col min="10" max="16384" width="9.140625" style="7"/>
  </cols>
  <sheetData>
    <row r="1" spans="1:9" s="3" customFormat="1" ht="21" customHeight="1">
      <c r="A1" s="1"/>
      <c r="B1" s="187" t="s">
        <v>148</v>
      </c>
      <c r="C1" s="187"/>
      <c r="D1" s="187"/>
      <c r="E1" s="187"/>
      <c r="F1" s="1"/>
    </row>
    <row r="2" spans="1:9" s="3" customFormat="1" ht="6" customHeight="1">
      <c r="A2" s="26"/>
      <c r="B2" s="26"/>
      <c r="C2" s="26"/>
      <c r="D2" s="26"/>
      <c r="E2" s="26"/>
      <c r="F2" s="26"/>
      <c r="G2" s="26"/>
    </row>
    <row r="3" spans="1:9">
      <c r="A3" s="5"/>
      <c r="B3" s="5"/>
      <c r="C3" s="5"/>
      <c r="D3" s="5"/>
      <c r="E3" s="5"/>
      <c r="F3" s="5"/>
    </row>
    <row r="4" spans="1:9" ht="26.25">
      <c r="A4" s="5"/>
      <c r="B4" s="59" t="s">
        <v>149</v>
      </c>
      <c r="C4" s="5"/>
      <c r="D4" s="5"/>
      <c r="E4" s="5"/>
      <c r="F4" s="5"/>
    </row>
    <row r="5" spans="1:9">
      <c r="A5" s="5"/>
      <c r="B5" s="5"/>
      <c r="C5" s="5"/>
      <c r="D5" s="5"/>
      <c r="E5" s="5"/>
      <c r="F5" s="5"/>
    </row>
    <row r="6" spans="1:9">
      <c r="A6" s="5"/>
      <c r="B6" s="5"/>
      <c r="C6" s="23">
        <f>'2. Smart Meter Data'!D4</f>
        <v>2006</v>
      </c>
      <c r="D6" s="23">
        <f>'2. Smart Meter Data'!E4</f>
        <v>2007</v>
      </c>
      <c r="E6" s="23">
        <f>'2. Smart Meter Data'!F4</f>
        <v>2008</v>
      </c>
      <c r="F6" s="23">
        <f>'2. Smart Meter Data'!G4</f>
        <v>2009</v>
      </c>
      <c r="G6" s="23">
        <f>'2. Smart Meter Data'!H4</f>
        <v>2010</v>
      </c>
      <c r="H6" s="23">
        <f>'2. Smart Meter Data'!I4</f>
        <v>2011</v>
      </c>
      <c r="I6" s="23" t="str">
        <f>'2. Smart Meter Data'!J4</f>
        <v>Later</v>
      </c>
    </row>
    <row r="7" spans="1:9">
      <c r="A7" s="5"/>
      <c r="B7" s="33" t="s">
        <v>150</v>
      </c>
      <c r="C7" s="23" t="str">
        <f>'2. Smart Meter Data'!D5</f>
        <v>Audited Actual</v>
      </c>
      <c r="D7" s="23" t="str">
        <f>'2. Smart Meter Data'!E5</f>
        <v>Audited Actual</v>
      </c>
      <c r="E7" s="23" t="str">
        <f>'2. Smart Meter Data'!F5</f>
        <v>Audited Actual</v>
      </c>
      <c r="F7" s="23" t="str">
        <f>'2. Smart Meter Data'!G5</f>
        <v>Audited Actual</v>
      </c>
      <c r="G7" s="23" t="str">
        <f>'2. Smart Meter Data'!H5</f>
        <v>Actual</v>
      </c>
      <c r="H7" s="23" t="str">
        <f>'2. Smart Meter Data'!I5</f>
        <v>Forecasted</v>
      </c>
      <c r="I7" s="23" t="str">
        <f>'2. Smart Meter Data'!J5</f>
        <v>Forecasted</v>
      </c>
    </row>
    <row r="8" spans="1:9">
      <c r="A8" s="5"/>
      <c r="B8" s="5" t="s">
        <v>151</v>
      </c>
      <c r="C8" s="138">
        <f ca="1">'4. Smart Meter Rev Req'!E49</f>
        <v>0</v>
      </c>
      <c r="D8" s="138">
        <f ca="1">'4. Smart Meter Rev Req'!H49</f>
        <v>0</v>
      </c>
      <c r="E8" s="138">
        <f ca="1">'4. Smart Meter Rev Req'!K49</f>
        <v>0</v>
      </c>
      <c r="F8" s="138">
        <f ca="1">'4. Smart Meter Rev Req'!N49</f>
        <v>598.98774347667245</v>
      </c>
      <c r="G8" s="138">
        <f ca="1">'4. Smart Meter Rev Req'!Q49</f>
        <v>11045.764708035822</v>
      </c>
      <c r="H8" s="138">
        <f ca="1">'4. Smart Meter Rev Req'!T49</f>
        <v>22208.8186331293</v>
      </c>
      <c r="I8" s="138">
        <f>'4. Smart Meter Rev Req'!W49</f>
        <v>0</v>
      </c>
    </row>
    <row r="9" spans="1:9">
      <c r="A9" s="5"/>
      <c r="B9" s="5" t="s">
        <v>200</v>
      </c>
      <c r="C9" s="138">
        <f ca="1">-'4. Smart Meter Rev Req'!E47</f>
        <v>0</v>
      </c>
      <c r="D9" s="138">
        <f ca="1">-'4. Smart Meter Rev Req'!H47</f>
        <v>0</v>
      </c>
      <c r="E9" s="138">
        <f ca="1">-'4. Smart Meter Rev Req'!K47</f>
        <v>0</v>
      </c>
      <c r="F9" s="138">
        <f ca="1">-'4. Smart Meter Rev Req'!N47</f>
        <v>1441.6131382027006</v>
      </c>
      <c r="G9" s="138">
        <f ca="1">-'4. Smart Meter Rev Req'!Q47</f>
        <v>24895.745744717191</v>
      </c>
      <c r="H9" s="138">
        <f ca="1">-'4. Smart Meter Rev Req'!T47</f>
        <v>52471.365213028977</v>
      </c>
      <c r="I9" s="138">
        <f>-'4. Smart Meter Rev Req'!W47</f>
        <v>0</v>
      </c>
    </row>
    <row r="10" spans="1:9">
      <c r="A10" s="5"/>
      <c r="B10" s="5" t="s">
        <v>225</v>
      </c>
      <c r="C10" s="138">
        <f ca="1">-'6. Avg Nt Fix Ass &amp;UCC'!C93</f>
        <v>0</v>
      </c>
      <c r="D10" s="138">
        <f ca="1">-'6. Avg Nt Fix Ass &amp;UCC'!D93</f>
        <v>0</v>
      </c>
      <c r="E10" s="138">
        <f ca="1">-'6. Avg Nt Fix Ass &amp;UCC'!E93</f>
        <v>0</v>
      </c>
      <c r="F10" s="138">
        <f ca="1">-'6. Avg Nt Fix Ass &amp;UCC'!F93</f>
        <v>-712.41520000000003</v>
      </c>
      <c r="G10" s="138">
        <f ca="1">-'6. Avg Nt Fix Ass &amp;UCC'!G93</f>
        <v>-25802.165029375999</v>
      </c>
      <c r="H10" s="138">
        <f ca="1">-'6. Avg Nt Fix Ass &amp;UCC'!H93</f>
        <v>-48172.319672401914</v>
      </c>
      <c r="I10" s="138">
        <f>-'6. Avg Nt Fix Ass &amp;UCC'!I93</f>
        <v>0</v>
      </c>
    </row>
    <row r="11" spans="1:9">
      <c r="A11" s="5"/>
      <c r="B11" s="5" t="s">
        <v>227</v>
      </c>
      <c r="C11" s="138">
        <f ca="1">-'6. Avg Nt Fix Ass &amp;UCC'!C107</f>
        <v>0</v>
      </c>
      <c r="D11" s="138">
        <f ca="1">-'6. Avg Nt Fix Ass &amp;UCC'!D107</f>
        <v>0</v>
      </c>
      <c r="E11" s="138">
        <f ca="1">-'6. Avg Nt Fix Ass &amp;UCC'!E107</f>
        <v>0</v>
      </c>
      <c r="F11" s="138">
        <f>-'6. Avg Nt Fix Ass &amp;UCC'!F107</f>
        <v>-8139.634</v>
      </c>
      <c r="G11" s="138">
        <f>-'6. Avg Nt Fix Ass &amp;UCC'!G107</f>
        <v>-23954.007300000001</v>
      </c>
      <c r="H11" s="138">
        <f>-'6. Avg Nt Fix Ass &amp;UCC'!H107</f>
        <v>-71477.252785000004</v>
      </c>
      <c r="I11" s="138">
        <f>-'6. Avg Nt Fix Ass &amp;UCC'!I107</f>
        <v>0</v>
      </c>
    </row>
    <row r="12" spans="1:9">
      <c r="A12" s="5"/>
      <c r="B12" s="5" t="s">
        <v>226</v>
      </c>
      <c r="C12" s="138">
        <f ca="1">-'6. Avg Nt Fix Ass &amp;UCC'!C121</f>
        <v>0</v>
      </c>
      <c r="D12" s="138">
        <f ca="1">-'6. Avg Nt Fix Ass &amp;UCC'!D121</f>
        <v>0</v>
      </c>
      <c r="E12" s="138">
        <f ca="1">-'6. Avg Nt Fix Ass &amp;UCC'!E121</f>
        <v>0</v>
      </c>
      <c r="F12" s="138">
        <f ca="1">-'6. Avg Nt Fix Ass &amp;UCC'!F121</f>
        <v>0</v>
      </c>
      <c r="G12" s="138">
        <f ca="1">-'6. Avg Nt Fix Ass &amp;UCC'!G121</f>
        <v>-143.102</v>
      </c>
      <c r="H12" s="138">
        <f ca="1">-'6. Avg Nt Fix Ass &amp;UCC'!H121</f>
        <v>-257.58359999999999</v>
      </c>
      <c r="I12" s="138">
        <f>-'6. Avg Nt Fix Ass &amp;UCC'!I121</f>
        <v>0</v>
      </c>
    </row>
    <row r="13" spans="1:9">
      <c r="A13" s="5"/>
      <c r="B13" s="5" t="s">
        <v>152</v>
      </c>
      <c r="C13" s="139">
        <f t="shared" ref="C13:I13" ca="1" si="0">SUM(C8:C12)</f>
        <v>0</v>
      </c>
      <c r="D13" s="139">
        <f t="shared" ca="1" si="0"/>
        <v>0</v>
      </c>
      <c r="E13" s="139">
        <f t="shared" ca="1" si="0"/>
        <v>0</v>
      </c>
      <c r="F13" s="139">
        <f t="shared" ca="1" si="0"/>
        <v>-6811.4483183206266</v>
      </c>
      <c r="G13" s="139">
        <f t="shared" ca="1" si="0"/>
        <v>-13957.763876622988</v>
      </c>
      <c r="H13" s="139">
        <f t="shared" ca="1" si="0"/>
        <v>-45226.972211243636</v>
      </c>
      <c r="I13" s="139">
        <f t="shared" si="0"/>
        <v>0</v>
      </c>
    </row>
    <row r="14" spans="1:9">
      <c r="A14" s="5"/>
      <c r="B14" s="5" t="s">
        <v>201</v>
      </c>
      <c r="C14" s="140">
        <f>'3.  LDC Assumptions and Data'!C26</f>
        <v>0.36120000000000002</v>
      </c>
      <c r="D14" s="140">
        <f>'3.  LDC Assumptions and Data'!D26</f>
        <v>0.36120000000000002</v>
      </c>
      <c r="E14" s="140">
        <f>'3.  LDC Assumptions and Data'!E26</f>
        <v>0.33500000000000002</v>
      </c>
      <c r="F14" s="140">
        <f>'3.  LDC Assumptions and Data'!F26</f>
        <v>0.33</v>
      </c>
      <c r="G14" s="140">
        <f>'3.  LDC Assumptions and Data'!G26</f>
        <v>0.31</v>
      </c>
      <c r="H14" s="140">
        <f>'3.  LDC Assumptions and Data'!H26</f>
        <v>0.28249999999999997</v>
      </c>
      <c r="I14" s="140">
        <f>'3.  LDC Assumptions and Data'!I26</f>
        <v>0.26250000000000001</v>
      </c>
    </row>
    <row r="15" spans="1:9">
      <c r="A15" s="5"/>
      <c r="B15" s="5" t="s">
        <v>153</v>
      </c>
      <c r="C15" s="139">
        <f t="shared" ref="C15:I15" ca="1" si="1">C13*C14</f>
        <v>0</v>
      </c>
      <c r="D15" s="139">
        <f t="shared" ca="1" si="1"/>
        <v>0</v>
      </c>
      <c r="E15" s="139">
        <f t="shared" ca="1" si="1"/>
        <v>0</v>
      </c>
      <c r="F15" s="139">
        <f t="shared" ca="1" si="1"/>
        <v>-2247.777945045807</v>
      </c>
      <c r="G15" s="139">
        <f t="shared" ca="1" si="1"/>
        <v>-4326.9068017531263</v>
      </c>
      <c r="H15" s="139">
        <f t="shared" ca="1" si="1"/>
        <v>-12776.619649676326</v>
      </c>
      <c r="I15" s="139">
        <f t="shared" si="1"/>
        <v>0</v>
      </c>
    </row>
    <row r="16" spans="1:9">
      <c r="A16" s="5"/>
      <c r="B16" s="5"/>
      <c r="C16" s="5"/>
      <c r="D16" s="5"/>
      <c r="E16" s="5"/>
      <c r="F16" s="5"/>
      <c r="G16" s="5"/>
    </row>
    <row r="17" spans="1:9">
      <c r="A17" s="5"/>
      <c r="B17" s="33" t="s">
        <v>154</v>
      </c>
      <c r="C17" s="5"/>
      <c r="D17" s="5"/>
      <c r="E17" s="5"/>
      <c r="F17" s="5"/>
      <c r="G17" s="5"/>
    </row>
    <row r="18" spans="1:9">
      <c r="A18" s="5"/>
      <c r="B18" s="60" t="s">
        <v>116</v>
      </c>
      <c r="C18" s="138">
        <f ca="1">'6. Avg Nt Fix Ass &amp;UCC'!C17</f>
        <v>0</v>
      </c>
      <c r="D18" s="138">
        <f ca="1">'6. Avg Nt Fix Ass &amp;UCC'!D17</f>
        <v>0</v>
      </c>
      <c r="E18" s="138">
        <f ca="1">'6. Avg Nt Fix Ass &amp;UCC'!E17</f>
        <v>0</v>
      </c>
      <c r="F18" s="138">
        <f ca="1">'6. Avg Nt Fix Ass &amp;UCC'!F17</f>
        <v>17216.700666666668</v>
      </c>
      <c r="G18" s="138">
        <f ca="1">'6. Avg Nt Fix Ass &amp;UCC'!G17</f>
        <v>606525.59826325334</v>
      </c>
      <c r="H18" s="138">
        <f ca="1">'6. Avg Nt Fix Ass &amp;UCC'!H17</f>
        <v>564614.35985429329</v>
      </c>
      <c r="I18" s="138">
        <f>'6. Avg Nt Fix Ass &amp;UCC'!I17</f>
        <v>0</v>
      </c>
    </row>
    <row r="19" spans="1:9">
      <c r="A19" s="5"/>
      <c r="B19" s="60" t="s">
        <v>98</v>
      </c>
      <c r="C19" s="138">
        <f ca="1">'6. Avg Nt Fix Ass &amp;UCC'!C32</f>
        <v>0</v>
      </c>
      <c r="D19" s="138">
        <f ca="1">'6. Avg Nt Fix Ass &amp;UCC'!D32</f>
        <v>0</v>
      </c>
      <c r="E19" s="138">
        <f ca="1">'6. Avg Nt Fix Ass &amp;UCC'!E32</f>
        <v>0</v>
      </c>
      <c r="F19" s="138">
        <f ca="1">'6. Avg Nt Fix Ass &amp;UCC'!F32</f>
        <v>421.70232623376626</v>
      </c>
      <c r="G19" s="138">
        <f ca="1">'6. Avg Nt Fix Ass &amp;UCC'!G32</f>
        <v>370.07243018181822</v>
      </c>
      <c r="H19" s="138">
        <f ca="1">'6. Avg Nt Fix Ass &amp;UCC'!H32</f>
        <v>267.0093061298702</v>
      </c>
      <c r="I19" s="138">
        <f>'6. Avg Nt Fix Ass &amp;UCC'!I32</f>
        <v>0</v>
      </c>
    </row>
    <row r="20" spans="1:9">
      <c r="A20" s="5"/>
      <c r="B20" s="60" t="s">
        <v>99</v>
      </c>
      <c r="C20" s="141">
        <f ca="1">'6. Avg Nt Fix Ass &amp;UCC'!C47</f>
        <v>0</v>
      </c>
      <c r="D20" s="141">
        <f ca="1">'6. Avg Nt Fix Ass &amp;UCC'!D47</f>
        <v>0</v>
      </c>
      <c r="E20" s="141">
        <f ca="1">'6. Avg Nt Fix Ass &amp;UCC'!E47</f>
        <v>0</v>
      </c>
      <c r="F20" s="141">
        <f ca="1">'6. Avg Nt Fix Ass &amp;UCC'!F47</f>
        <v>15220.481826024472</v>
      </c>
      <c r="G20" s="141">
        <f ca="1">'6. Avg Nt Fix Ass &amp;UCC'!G47</f>
        <v>43531.029978474973</v>
      </c>
      <c r="H20" s="141">
        <f ca="1">'6. Avg Nt Fix Ass &amp;UCC'!H47</f>
        <v>144479.06829845795</v>
      </c>
      <c r="I20" s="141">
        <f>'6. Avg Nt Fix Ass &amp;UCC'!I47</f>
        <v>0</v>
      </c>
    </row>
    <row r="21" spans="1:9">
      <c r="A21" s="5"/>
      <c r="B21" s="60" t="s">
        <v>11</v>
      </c>
      <c r="C21" s="141">
        <f ca="1">'6. Avg Nt Fix Ass &amp;UCC'!C62</f>
        <v>0</v>
      </c>
      <c r="D21" s="141">
        <f ca="1">'6. Avg Nt Fix Ass &amp;UCC'!D62</f>
        <v>0</v>
      </c>
      <c r="E21" s="141">
        <f ca="1">'6. Avg Nt Fix Ass &amp;UCC'!E62</f>
        <v>0</v>
      </c>
      <c r="F21" s="141">
        <f ca="1">'6. Avg Nt Fix Ass &amp;UCC'!F62</f>
        <v>0</v>
      </c>
      <c r="G21" s="141">
        <f ca="1">'6. Avg Nt Fix Ass &amp;UCC'!G62</f>
        <v>0</v>
      </c>
      <c r="H21" s="141">
        <f ca="1">'6. Avg Nt Fix Ass &amp;UCC'!H62</f>
        <v>0</v>
      </c>
      <c r="I21" s="141">
        <f>'6. Avg Nt Fix Ass &amp;UCC'!I62</f>
        <v>0</v>
      </c>
    </row>
    <row r="22" spans="1:9">
      <c r="A22" s="5"/>
      <c r="B22" s="60" t="s">
        <v>13</v>
      </c>
      <c r="C22" s="142">
        <f ca="1">'6. Avg Nt Fix Ass &amp;UCC'!C77</f>
        <v>0</v>
      </c>
      <c r="D22" s="142">
        <f ca="1">'6. Avg Nt Fix Ass &amp;UCC'!D77</f>
        <v>0</v>
      </c>
      <c r="E22" s="142">
        <f ca="1">'6. Avg Nt Fix Ass &amp;UCC'!E77</f>
        <v>0</v>
      </c>
      <c r="F22" s="142">
        <f ca="1">'6. Avg Nt Fix Ass &amp;UCC'!F77</f>
        <v>0</v>
      </c>
      <c r="G22" s="142">
        <f ca="1">'6. Avg Nt Fix Ass &amp;UCC'!G77</f>
        <v>1359.4690000000001</v>
      </c>
      <c r="H22" s="142">
        <f ca="1">'6. Avg Nt Fix Ass &amp;UCC'!H77</f>
        <v>1216.367</v>
      </c>
      <c r="I22" s="142">
        <f>'6. Avg Nt Fix Ass &amp;UCC'!I77</f>
        <v>0</v>
      </c>
    </row>
    <row r="23" spans="1:9">
      <c r="A23" s="5"/>
      <c r="B23" s="5" t="s">
        <v>155</v>
      </c>
      <c r="C23" s="101">
        <f t="shared" ref="C23:I23" ca="1" si="2">SUM(C18:C20)</f>
        <v>0</v>
      </c>
      <c r="D23" s="101">
        <f t="shared" ca="1" si="2"/>
        <v>0</v>
      </c>
      <c r="E23" s="101">
        <f t="shared" ca="1" si="2"/>
        <v>0</v>
      </c>
      <c r="F23" s="101">
        <f t="shared" ca="1" si="2"/>
        <v>32858.884818924911</v>
      </c>
      <c r="G23" s="101">
        <f t="shared" ca="1" si="2"/>
        <v>650426.70067191008</v>
      </c>
      <c r="H23" s="101">
        <f t="shared" ca="1" si="2"/>
        <v>709360.43745888118</v>
      </c>
      <c r="I23" s="101">
        <f t="shared" si="2"/>
        <v>0</v>
      </c>
    </row>
    <row r="24" spans="1:9">
      <c r="A24" s="5"/>
      <c r="B24" s="5" t="s">
        <v>156</v>
      </c>
      <c r="C24" s="101">
        <v>0</v>
      </c>
      <c r="D24" s="101">
        <v>0</v>
      </c>
      <c r="E24" s="101">
        <v>0</v>
      </c>
      <c r="F24" s="101">
        <v>0</v>
      </c>
      <c r="G24" s="101">
        <v>0</v>
      </c>
      <c r="H24" s="101">
        <v>0</v>
      </c>
      <c r="I24" s="101">
        <v>0</v>
      </c>
    </row>
    <row r="25" spans="1:9">
      <c r="A25" s="5"/>
      <c r="B25" s="5" t="s">
        <v>157</v>
      </c>
      <c r="C25" s="139">
        <f t="shared" ref="C25:I25" ca="1" si="3">C23-C24</f>
        <v>0</v>
      </c>
      <c r="D25" s="139">
        <f t="shared" ca="1" si="3"/>
        <v>0</v>
      </c>
      <c r="E25" s="139">
        <f t="shared" ca="1" si="3"/>
        <v>0</v>
      </c>
      <c r="F25" s="139">
        <f t="shared" ca="1" si="3"/>
        <v>32858.884818924911</v>
      </c>
      <c r="G25" s="139">
        <f t="shared" ca="1" si="3"/>
        <v>650426.70067191008</v>
      </c>
      <c r="H25" s="139">
        <f t="shared" ca="1" si="3"/>
        <v>709360.43745888118</v>
      </c>
      <c r="I25" s="139">
        <f t="shared" si="3"/>
        <v>0</v>
      </c>
    </row>
    <row r="26" spans="1:9">
      <c r="A26" s="5"/>
      <c r="B26" s="5" t="s">
        <v>158</v>
      </c>
      <c r="C26" s="143">
        <v>3.0000000000000001E-3</v>
      </c>
      <c r="D26" s="144">
        <v>2.2499999999999998E-3</v>
      </c>
      <c r="E26" s="144">
        <v>2.2499999999999998E-3</v>
      </c>
      <c r="F26" s="144">
        <v>2.2499999999999998E-3</v>
      </c>
      <c r="G26" s="144">
        <f>0.15%/2</f>
        <v>7.5000000000000002E-4</v>
      </c>
      <c r="H26" s="143">
        <v>0</v>
      </c>
      <c r="I26" s="143">
        <v>0</v>
      </c>
    </row>
    <row r="27" spans="1:9">
      <c r="A27" s="5"/>
      <c r="B27" s="5" t="s">
        <v>159</v>
      </c>
      <c r="C27" s="139">
        <f t="shared" ref="C27:I27" ca="1" si="4">C25*C26</f>
        <v>0</v>
      </c>
      <c r="D27" s="139">
        <f t="shared" ca="1" si="4"/>
        <v>0</v>
      </c>
      <c r="E27" s="139">
        <f t="shared" ca="1" si="4"/>
        <v>0</v>
      </c>
      <c r="F27" s="139">
        <f t="shared" ca="1" si="4"/>
        <v>73.932490842581046</v>
      </c>
      <c r="G27" s="139">
        <f t="shared" ca="1" si="4"/>
        <v>487.82002550393258</v>
      </c>
      <c r="H27" s="139">
        <f t="shared" ca="1" si="4"/>
        <v>0</v>
      </c>
      <c r="I27" s="139">
        <f t="shared" si="4"/>
        <v>0</v>
      </c>
    </row>
    <row r="28" spans="1:9">
      <c r="A28" s="5"/>
      <c r="B28" s="5"/>
      <c r="C28" s="5"/>
      <c r="D28" s="5"/>
      <c r="E28" s="5"/>
      <c r="F28" s="5"/>
      <c r="G28" s="5"/>
    </row>
    <row r="29" spans="1:9">
      <c r="A29" s="5"/>
      <c r="B29" s="5"/>
      <c r="C29" s="5"/>
      <c r="D29" s="5"/>
      <c r="E29" s="5"/>
      <c r="F29" s="5"/>
      <c r="G29" s="5"/>
    </row>
    <row r="30" spans="1:9" ht="15.75">
      <c r="A30" s="5"/>
      <c r="B30" s="74" t="s">
        <v>160</v>
      </c>
      <c r="C30" s="5"/>
      <c r="D30" s="5"/>
      <c r="E30" s="5"/>
      <c r="F30" s="5"/>
      <c r="G30" s="5"/>
    </row>
    <row r="31" spans="1:9">
      <c r="A31" s="5"/>
      <c r="B31" s="5"/>
      <c r="C31" s="23" t="s">
        <v>161</v>
      </c>
      <c r="D31" s="23" t="s">
        <v>161</v>
      </c>
      <c r="E31" s="23" t="s">
        <v>161</v>
      </c>
      <c r="F31" s="23" t="s">
        <v>161</v>
      </c>
      <c r="G31" s="23" t="s">
        <v>161</v>
      </c>
      <c r="H31" s="23" t="s">
        <v>161</v>
      </c>
      <c r="I31" s="23" t="s">
        <v>161</v>
      </c>
    </row>
    <row r="32" spans="1:9">
      <c r="A32" s="5"/>
      <c r="B32" s="5" t="s">
        <v>162</v>
      </c>
      <c r="C32" s="101">
        <f t="shared" ref="C32:I32" ca="1" si="5">C15</f>
        <v>0</v>
      </c>
      <c r="D32" s="101">
        <f t="shared" ca="1" si="5"/>
        <v>0</v>
      </c>
      <c r="E32" s="101">
        <f t="shared" ca="1" si="5"/>
        <v>0</v>
      </c>
      <c r="F32" s="101">
        <f t="shared" ca="1" si="5"/>
        <v>-2247.777945045807</v>
      </c>
      <c r="G32" s="101">
        <f t="shared" ca="1" si="5"/>
        <v>-4326.9068017531263</v>
      </c>
      <c r="H32" s="101">
        <f t="shared" ca="1" si="5"/>
        <v>-12776.619649676326</v>
      </c>
      <c r="I32" s="101">
        <f t="shared" si="5"/>
        <v>0</v>
      </c>
    </row>
    <row r="33" spans="1:9">
      <c r="A33" s="5"/>
      <c r="B33" s="5" t="s">
        <v>163</v>
      </c>
      <c r="C33" s="101">
        <f t="shared" ref="C33:I33" ca="1" si="6">C27</f>
        <v>0</v>
      </c>
      <c r="D33" s="101">
        <f t="shared" ca="1" si="6"/>
        <v>0</v>
      </c>
      <c r="E33" s="101">
        <f t="shared" ca="1" si="6"/>
        <v>0</v>
      </c>
      <c r="F33" s="101">
        <f t="shared" ca="1" si="6"/>
        <v>73.932490842581046</v>
      </c>
      <c r="G33" s="101">
        <f t="shared" ca="1" si="6"/>
        <v>487.82002550393258</v>
      </c>
      <c r="H33" s="101">
        <f t="shared" ca="1" si="6"/>
        <v>0</v>
      </c>
      <c r="I33" s="101">
        <f t="shared" si="6"/>
        <v>0</v>
      </c>
    </row>
    <row r="34" spans="1:9">
      <c r="A34" s="5"/>
      <c r="B34" s="5" t="s">
        <v>164</v>
      </c>
      <c r="C34" s="139">
        <f t="shared" ref="C34:I34" ca="1" si="7">SUM(C32:C33)</f>
        <v>0</v>
      </c>
      <c r="D34" s="139">
        <f t="shared" ca="1" si="7"/>
        <v>0</v>
      </c>
      <c r="E34" s="139">
        <f t="shared" ca="1" si="7"/>
        <v>0</v>
      </c>
      <c r="F34" s="139">
        <f t="shared" ca="1" si="7"/>
        <v>-2173.8454542032259</v>
      </c>
      <c r="G34" s="139">
        <f t="shared" ca="1" si="7"/>
        <v>-3839.0867762491935</v>
      </c>
      <c r="H34" s="139">
        <f t="shared" ca="1" si="7"/>
        <v>-12776.619649676326</v>
      </c>
      <c r="I34" s="139">
        <f t="shared" si="7"/>
        <v>0</v>
      </c>
    </row>
    <row r="35" spans="1:9" ht="13.5" customHeight="1"/>
    <row r="36" spans="1:9">
      <c r="C36" s="23" t="s">
        <v>160</v>
      </c>
      <c r="D36" s="23" t="s">
        <v>160</v>
      </c>
      <c r="E36" s="23" t="s">
        <v>160</v>
      </c>
      <c r="F36" s="23" t="s">
        <v>160</v>
      </c>
      <c r="G36" s="23" t="s">
        <v>160</v>
      </c>
      <c r="H36" s="23" t="s">
        <v>160</v>
      </c>
      <c r="I36" s="23" t="s">
        <v>160</v>
      </c>
    </row>
    <row r="37" spans="1:9">
      <c r="C37" s="75">
        <f>C14</f>
        <v>0.36120000000000002</v>
      </c>
      <c r="D37" s="75">
        <f t="shared" ref="D37:I37" si="8">D14</f>
        <v>0.36120000000000002</v>
      </c>
      <c r="E37" s="75">
        <f t="shared" si="8"/>
        <v>0.33500000000000002</v>
      </c>
      <c r="F37" s="75">
        <f t="shared" si="8"/>
        <v>0.33</v>
      </c>
      <c r="G37" s="75">
        <f t="shared" si="8"/>
        <v>0.31</v>
      </c>
      <c r="H37" s="75">
        <f t="shared" si="8"/>
        <v>0.28249999999999997</v>
      </c>
      <c r="I37" s="75">
        <f t="shared" si="8"/>
        <v>0.26250000000000001</v>
      </c>
    </row>
    <row r="39" spans="1:9" ht="25.5">
      <c r="C39" s="76" t="s">
        <v>165</v>
      </c>
      <c r="D39" s="76" t="s">
        <v>165</v>
      </c>
      <c r="E39" s="76" t="s">
        <v>165</v>
      </c>
      <c r="F39" s="76" t="s">
        <v>165</v>
      </c>
      <c r="G39" s="76" t="s">
        <v>165</v>
      </c>
      <c r="H39" s="76" t="s">
        <v>165</v>
      </c>
      <c r="I39" s="76" t="s">
        <v>165</v>
      </c>
    </row>
    <row r="40" spans="1:9">
      <c r="B40" s="5" t="s">
        <v>162</v>
      </c>
      <c r="C40" s="101">
        <f t="shared" ref="C40:I40" ca="1" si="9">C32/(1-C37)</f>
        <v>0</v>
      </c>
      <c r="D40" s="101">
        <f t="shared" ca="1" si="9"/>
        <v>0</v>
      </c>
      <c r="E40" s="101">
        <f t="shared" ca="1" si="9"/>
        <v>0</v>
      </c>
      <c r="F40" s="101">
        <f t="shared" ca="1" si="9"/>
        <v>-3354.8924552922495</v>
      </c>
      <c r="G40" s="101">
        <f t="shared" ca="1" si="9"/>
        <v>-6270.8794228306178</v>
      </c>
      <c r="H40" s="101">
        <f t="shared" ca="1" si="9"/>
        <v>-17807.135400245748</v>
      </c>
      <c r="I40" s="101">
        <f t="shared" si="9"/>
        <v>0</v>
      </c>
    </row>
    <row r="41" spans="1:9">
      <c r="B41" s="5" t="s">
        <v>163</v>
      </c>
      <c r="C41" s="101">
        <f t="shared" ref="C41:I41" ca="1" si="10">C33</f>
        <v>0</v>
      </c>
      <c r="D41" s="101">
        <f t="shared" ca="1" si="10"/>
        <v>0</v>
      </c>
      <c r="E41" s="101">
        <f t="shared" ca="1" si="10"/>
        <v>0</v>
      </c>
      <c r="F41" s="101">
        <f t="shared" ca="1" si="10"/>
        <v>73.932490842581046</v>
      </c>
      <c r="G41" s="101">
        <f t="shared" ca="1" si="10"/>
        <v>487.82002550393258</v>
      </c>
      <c r="H41" s="101">
        <f t="shared" ca="1" si="10"/>
        <v>0</v>
      </c>
      <c r="I41" s="101">
        <f t="shared" si="10"/>
        <v>0</v>
      </c>
    </row>
    <row r="42" spans="1:9">
      <c r="B42" s="5" t="s">
        <v>164</v>
      </c>
      <c r="C42" s="145">
        <f t="shared" ref="C42:I42" ca="1" si="11">SUM(C40:C41)</f>
        <v>0</v>
      </c>
      <c r="D42" s="145">
        <f t="shared" ca="1" si="11"/>
        <v>0</v>
      </c>
      <c r="E42" s="145">
        <f t="shared" ca="1" si="11"/>
        <v>0</v>
      </c>
      <c r="F42" s="145">
        <f t="shared" ca="1" si="11"/>
        <v>-3280.9599644496684</v>
      </c>
      <c r="G42" s="145">
        <f t="shared" ca="1" si="11"/>
        <v>-5783.059397326685</v>
      </c>
      <c r="H42" s="145">
        <f t="shared" ca="1" si="11"/>
        <v>-17807.135400245748</v>
      </c>
      <c r="I42" s="145">
        <f t="shared" si="11"/>
        <v>0</v>
      </c>
    </row>
  </sheetData>
  <sheetProtection formatColumns="0" selectLockedCells="1"/>
  <mergeCells count="1">
    <mergeCell ref="B1:E1"/>
  </mergeCells>
  <phoneticPr fontId="0" type="noConversion"/>
  <pageMargins left="0.42" right="0.44" top="0.64" bottom="0.64" header="0.5" footer="0.5"/>
  <pageSetup scale="94"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6.xml><?xml version="1.0" encoding="utf-8"?>
<worksheet xmlns="http://schemas.openxmlformats.org/spreadsheetml/2006/main" xmlns:r="http://schemas.openxmlformats.org/officeDocument/2006/relationships">
  <sheetPr codeName="Sheet4"/>
  <dimension ref="A1:I154"/>
  <sheetViews>
    <sheetView tabSelected="1" topLeftCell="B91" zoomScaleNormal="100" workbookViewId="0">
      <selection activeCell="H109" sqref="H109"/>
    </sheetView>
  </sheetViews>
  <sheetFormatPr defaultRowHeight="12.75"/>
  <cols>
    <col min="1" max="1" width="16.5703125" style="7" customWidth="1"/>
    <col min="2" max="2" width="75.28515625" style="7" bestFit="1" customWidth="1"/>
    <col min="3" max="7" width="15" style="7" bestFit="1" customWidth="1"/>
    <col min="8" max="8" width="13.42578125" style="7" customWidth="1"/>
    <col min="9" max="16384" width="9.140625" style="7"/>
  </cols>
  <sheetData>
    <row r="1" spans="1:9" s="3" customFormat="1" ht="21" customHeight="1">
      <c r="A1" s="1"/>
      <c r="B1" s="186" t="s">
        <v>219</v>
      </c>
      <c r="C1" s="186"/>
      <c r="D1" s="186"/>
      <c r="E1" s="186"/>
      <c r="F1" s="25"/>
      <c r="G1" s="25"/>
      <c r="H1" s="1"/>
      <c r="I1" s="1"/>
    </row>
    <row r="2" spans="1:9" s="3" customFormat="1" ht="6" customHeight="1">
      <c r="A2" s="26"/>
      <c r="B2" s="26"/>
      <c r="C2" s="26"/>
      <c r="D2" s="26"/>
      <c r="E2" s="26"/>
      <c r="F2" s="26"/>
      <c r="G2" s="1"/>
      <c r="H2" s="1"/>
      <c r="I2" s="1"/>
    </row>
    <row r="3" spans="1:9">
      <c r="A3" s="5"/>
      <c r="B3" s="5"/>
      <c r="C3" s="5"/>
      <c r="D3" s="5"/>
      <c r="E3" s="5"/>
      <c r="F3" s="5"/>
      <c r="G3" s="5"/>
      <c r="H3" s="5"/>
      <c r="I3" s="5"/>
    </row>
    <row r="4" spans="1:9" ht="26.25">
      <c r="A4" s="5"/>
      <c r="B4" s="59" t="s">
        <v>166</v>
      </c>
      <c r="C4" s="5"/>
      <c r="D4" s="5"/>
      <c r="E4" s="5"/>
      <c r="F4" s="5"/>
      <c r="G4" s="5"/>
      <c r="H4" s="5"/>
      <c r="I4" s="5"/>
    </row>
    <row r="5" spans="1:9">
      <c r="A5" s="5"/>
      <c r="B5" s="5"/>
      <c r="C5" s="23">
        <f>'2. Smart Meter Data'!D4</f>
        <v>2006</v>
      </c>
      <c r="D5" s="23">
        <f>'2. Smart Meter Data'!E4</f>
        <v>2007</v>
      </c>
      <c r="E5" s="23">
        <f>'2. Smart Meter Data'!F4</f>
        <v>2008</v>
      </c>
      <c r="F5" s="23">
        <f>'2. Smart Meter Data'!G4</f>
        <v>2009</v>
      </c>
      <c r="G5" s="23">
        <f>'2. Smart Meter Data'!H4</f>
        <v>2010</v>
      </c>
      <c r="H5" s="23">
        <f>'2. Smart Meter Data'!I4</f>
        <v>2011</v>
      </c>
      <c r="I5" s="5"/>
    </row>
    <row r="6" spans="1:9" ht="18">
      <c r="A6" s="5"/>
      <c r="B6" s="27" t="s">
        <v>167</v>
      </c>
      <c r="C6" s="23" t="str">
        <f>'2. Smart Meter Data'!D5</f>
        <v>Audited Actual</v>
      </c>
      <c r="D6" s="23" t="str">
        <f>'2. Smart Meter Data'!E5</f>
        <v>Audited Actual</v>
      </c>
      <c r="E6" s="23" t="str">
        <f>'2. Smart Meter Data'!F5</f>
        <v>Audited Actual</v>
      </c>
      <c r="F6" s="23" t="str">
        <f>'2. Smart Meter Data'!G5</f>
        <v>Audited Actual</v>
      </c>
      <c r="G6" s="23" t="str">
        <f>'2. Smart Meter Data'!H5</f>
        <v>Actual</v>
      </c>
      <c r="H6" s="23" t="str">
        <f>'2. Smart Meter Data'!I5</f>
        <v>Forecasted</v>
      </c>
      <c r="I6" s="77"/>
    </row>
    <row r="7" spans="1:9">
      <c r="A7" s="5"/>
      <c r="B7" s="5"/>
      <c r="C7" s="5"/>
      <c r="D7" s="5"/>
      <c r="E7" s="5"/>
      <c r="F7" s="5"/>
      <c r="G7" s="5"/>
      <c r="H7" s="5"/>
      <c r="I7" s="5"/>
    </row>
    <row r="8" spans="1:9">
      <c r="A8" s="5"/>
      <c r="B8" s="5" t="s">
        <v>168</v>
      </c>
      <c r="C8" s="139">
        <v>0</v>
      </c>
      <c r="D8" s="139">
        <f ca="1">C10</f>
        <v>0</v>
      </c>
      <c r="E8" s="139">
        <f ca="1">D10</f>
        <v>0</v>
      </c>
      <c r="F8" s="139">
        <f ca="1">E10</f>
        <v>0</v>
      </c>
      <c r="G8" s="139">
        <f ca="1">F10</f>
        <v>17810.38</v>
      </c>
      <c r="H8" s="139">
        <f ca="1">G10</f>
        <v>628668.57613439998</v>
      </c>
      <c r="I8" s="5"/>
    </row>
    <row r="9" spans="1:9">
      <c r="A9" s="5"/>
      <c r="B9" s="5" t="s">
        <v>202</v>
      </c>
      <c r="C9" s="141">
        <f ca="1">'3.  LDC Assumptions and Data'!C31</f>
        <v>0</v>
      </c>
      <c r="D9" s="141">
        <f ca="1">'3.  LDC Assumptions and Data'!D31</f>
        <v>0</v>
      </c>
      <c r="E9" s="141">
        <f ca="1">'3.  LDC Assumptions and Data'!E31</f>
        <v>0</v>
      </c>
      <c r="F9" s="141">
        <f ca="1">'3.  LDC Assumptions and Data'!F31</f>
        <v>17810.38</v>
      </c>
      <c r="G9" s="141">
        <f ca="1">'3.  LDC Assumptions and Data'!G31</f>
        <v>610858.19613439997</v>
      </c>
      <c r="H9" s="141">
        <f ca="1">'3.  LDC Assumptions and Data'!H31</f>
        <v>0</v>
      </c>
      <c r="I9" s="5"/>
    </row>
    <row r="10" spans="1:9">
      <c r="A10" s="5"/>
      <c r="B10" s="5" t="s">
        <v>169</v>
      </c>
      <c r="C10" s="139">
        <f t="shared" ref="C10:H10" ca="1" si="0">SUM(C8:C9)</f>
        <v>0</v>
      </c>
      <c r="D10" s="139">
        <f t="shared" ca="1" si="0"/>
        <v>0</v>
      </c>
      <c r="E10" s="139">
        <f t="shared" ca="1" si="0"/>
        <v>0</v>
      </c>
      <c r="F10" s="139">
        <f t="shared" ca="1" si="0"/>
        <v>17810.38</v>
      </c>
      <c r="G10" s="139">
        <f t="shared" ca="1" si="0"/>
        <v>628668.57613439998</v>
      </c>
      <c r="H10" s="139">
        <f t="shared" ca="1" si="0"/>
        <v>628668.57613439998</v>
      </c>
      <c r="I10" s="5"/>
    </row>
    <row r="11" spans="1:9">
      <c r="A11" s="5"/>
      <c r="B11" s="5"/>
      <c r="C11" s="62"/>
      <c r="D11" s="62"/>
      <c r="E11" s="62"/>
      <c r="F11" s="62"/>
      <c r="G11" s="62"/>
      <c r="H11" s="5"/>
      <c r="I11" s="5"/>
    </row>
    <row r="12" spans="1:9">
      <c r="A12" s="5"/>
      <c r="B12" s="5" t="s">
        <v>170</v>
      </c>
      <c r="C12" s="139">
        <v>0</v>
      </c>
      <c r="D12" s="139">
        <f ca="1">C14</f>
        <v>0</v>
      </c>
      <c r="E12" s="139">
        <f ca="1">D14</f>
        <v>0</v>
      </c>
      <c r="F12" s="139">
        <f ca="1">E14</f>
        <v>0</v>
      </c>
      <c r="G12" s="139">
        <f ca="1">F14</f>
        <v>593.67933333333337</v>
      </c>
      <c r="H12" s="139">
        <f ca="1">G14</f>
        <v>22142.977871146668</v>
      </c>
      <c r="I12" s="5"/>
    </row>
    <row r="13" spans="1:9">
      <c r="A13" s="5"/>
      <c r="B13" s="5" t="str">
        <f>"Amortization ("&amp;'3.  LDC Assumptions and Data'!C60&amp;" Years  Straight Line)"</f>
        <v>Amortization (15 Years  Straight Line)</v>
      </c>
      <c r="C13" s="101">
        <f ca="1">IF(C12+(C8/'3.  LDC Assumptions and Data'!C60)+(C9/'3.  LDC Assumptions and Data'!C60/2)&lt;C10,(C8/'3.  LDC Assumptions and Data'!C60)+(C9/'3.  LDC Assumptions and Data'!C60/2),C10-C12)</f>
        <v>0</v>
      </c>
      <c r="D13" s="101">
        <f ca="1">IF(D12+(D8/'3.  LDC Assumptions and Data'!D60)+(D9/'3.  LDC Assumptions and Data'!D60/2)&lt;D10,(D8/'3.  LDC Assumptions and Data'!D60)+(D9/'3.  LDC Assumptions and Data'!D60/2),D10-D12)</f>
        <v>0</v>
      </c>
      <c r="E13" s="101">
        <f ca="1">IF(E12+(E8/'3.  LDC Assumptions and Data'!E60)+(E9/'3.  LDC Assumptions and Data'!E60/2)&lt;E10,(E8/'3.  LDC Assumptions and Data'!E60)+(E9/'3.  LDC Assumptions and Data'!E60/2),E10-E12)</f>
        <v>0</v>
      </c>
      <c r="F13" s="101">
        <f ca="1">IF(F12+(F8/'3.  LDC Assumptions and Data'!F60)+(F9/'3.  LDC Assumptions and Data'!F60/2)&lt;F10,(F8/'3.  LDC Assumptions and Data'!F60)+(F9/'3.  LDC Assumptions and Data'!F60/2),F10-F12)</f>
        <v>593.67933333333337</v>
      </c>
      <c r="G13" s="101">
        <f ca="1">IF(G12+(G8/'3.  LDC Assumptions and Data'!G60)+(G9/'3.  LDC Assumptions and Data'!G60/2)&lt;G10,(G8/'3.  LDC Assumptions and Data'!G60)+(G9/'3.  LDC Assumptions and Data'!G60/2),G10-G12)</f>
        <v>21549.298537813334</v>
      </c>
      <c r="H13" s="101">
        <f ca="1">IF(H12+(H8/'3.  LDC Assumptions and Data'!H60)+(H9/'3.  LDC Assumptions and Data'!H60/2)&lt;H10,(H8/'3.  LDC Assumptions and Data'!H60)+(H9/'3.  LDC Assumptions and Data'!H60/2),H10-H12)</f>
        <v>41911.238408960002</v>
      </c>
      <c r="I13" s="5"/>
    </row>
    <row r="14" spans="1:9">
      <c r="A14" s="5"/>
      <c r="B14" s="5" t="s">
        <v>171</v>
      </c>
      <c r="C14" s="139">
        <f t="shared" ref="C14:H14" ca="1" si="1">SUM(C12:C13)</f>
        <v>0</v>
      </c>
      <c r="D14" s="139">
        <f t="shared" ca="1" si="1"/>
        <v>0</v>
      </c>
      <c r="E14" s="139">
        <f t="shared" ca="1" si="1"/>
        <v>0</v>
      </c>
      <c r="F14" s="139">
        <f t="shared" ca="1" si="1"/>
        <v>593.67933333333337</v>
      </c>
      <c r="G14" s="139">
        <f t="shared" ca="1" si="1"/>
        <v>22142.977871146668</v>
      </c>
      <c r="H14" s="139">
        <f t="shared" ca="1" si="1"/>
        <v>64054.216280106673</v>
      </c>
      <c r="I14" s="5"/>
    </row>
    <row r="15" spans="1:9">
      <c r="A15" s="5"/>
      <c r="B15" s="5"/>
      <c r="H15" s="5"/>
      <c r="I15" s="5"/>
    </row>
    <row r="16" spans="1:9" ht="16.5" customHeight="1">
      <c r="A16" s="5"/>
      <c r="B16" s="5" t="s">
        <v>172</v>
      </c>
      <c r="C16" s="101">
        <f>0</f>
        <v>0</v>
      </c>
      <c r="D16" s="101">
        <f ca="1">C17</f>
        <v>0</v>
      </c>
      <c r="E16" s="101">
        <f ca="1">D17</f>
        <v>0</v>
      </c>
      <c r="F16" s="101">
        <f ca="1">E17</f>
        <v>0</v>
      </c>
      <c r="G16" s="101">
        <f ca="1">F17</f>
        <v>17216.700666666668</v>
      </c>
      <c r="H16" s="101">
        <f ca="1">G17</f>
        <v>606525.59826325334</v>
      </c>
      <c r="I16" s="5"/>
    </row>
    <row r="17" spans="1:9">
      <c r="A17" s="5"/>
      <c r="B17" s="5" t="s">
        <v>173</v>
      </c>
      <c r="C17" s="139">
        <f t="shared" ref="C17:H17" ca="1" si="2">C10-C14</f>
        <v>0</v>
      </c>
      <c r="D17" s="139">
        <f t="shared" ca="1" si="2"/>
        <v>0</v>
      </c>
      <c r="E17" s="139">
        <f t="shared" ca="1" si="2"/>
        <v>0</v>
      </c>
      <c r="F17" s="139">
        <f t="shared" ca="1" si="2"/>
        <v>17216.700666666668</v>
      </c>
      <c r="G17" s="139">
        <f t="shared" ca="1" si="2"/>
        <v>606525.59826325334</v>
      </c>
      <c r="H17" s="139">
        <f t="shared" ca="1" si="2"/>
        <v>564614.35985429329</v>
      </c>
    </row>
    <row r="18" spans="1:9" ht="13.5" thickBot="1">
      <c r="A18" s="5"/>
      <c r="B18" s="5" t="s">
        <v>174</v>
      </c>
      <c r="C18" s="146">
        <f t="shared" ref="C18:H18" ca="1" si="3">(C17+C16)/2</f>
        <v>0</v>
      </c>
      <c r="D18" s="146">
        <f t="shared" ca="1" si="3"/>
        <v>0</v>
      </c>
      <c r="E18" s="146">
        <f t="shared" ca="1" si="3"/>
        <v>0</v>
      </c>
      <c r="F18" s="146">
        <f t="shared" ca="1" si="3"/>
        <v>8608.3503333333338</v>
      </c>
      <c r="G18" s="146">
        <f t="shared" ca="1" si="3"/>
        <v>311871.14946495998</v>
      </c>
      <c r="H18" s="146">
        <f t="shared" ca="1" si="3"/>
        <v>585569.97905877326</v>
      </c>
    </row>
    <row r="19" spans="1:9">
      <c r="A19" s="5"/>
      <c r="B19" s="5"/>
      <c r="C19" s="63"/>
      <c r="D19" s="63"/>
      <c r="E19" s="63"/>
      <c r="F19" s="63"/>
      <c r="G19" s="63"/>
      <c r="H19" s="63"/>
    </row>
    <row r="20" spans="1:9">
      <c r="A20" s="5"/>
      <c r="B20" s="5"/>
      <c r="C20" s="23">
        <f t="shared" ref="C20:H21" si="4">C5</f>
        <v>2006</v>
      </c>
      <c r="D20" s="23">
        <f t="shared" si="4"/>
        <v>2007</v>
      </c>
      <c r="E20" s="23">
        <f t="shared" si="4"/>
        <v>2008</v>
      </c>
      <c r="F20" s="23">
        <f t="shared" si="4"/>
        <v>2009</v>
      </c>
      <c r="G20" s="23">
        <f t="shared" si="4"/>
        <v>2010</v>
      </c>
      <c r="H20" s="23">
        <f t="shared" si="4"/>
        <v>2011</v>
      </c>
      <c r="I20" s="5"/>
    </row>
    <row r="21" spans="1:9" ht="18">
      <c r="A21" s="5"/>
      <c r="B21" s="27" t="s">
        <v>175</v>
      </c>
      <c r="C21" s="23" t="str">
        <f t="shared" si="4"/>
        <v>Audited Actual</v>
      </c>
      <c r="D21" s="23" t="str">
        <f t="shared" si="4"/>
        <v>Audited Actual</v>
      </c>
      <c r="E21" s="23" t="str">
        <f t="shared" si="4"/>
        <v>Audited Actual</v>
      </c>
      <c r="F21" s="23" t="str">
        <f t="shared" si="4"/>
        <v>Audited Actual</v>
      </c>
      <c r="G21" s="23" t="str">
        <f t="shared" si="4"/>
        <v>Actual</v>
      </c>
      <c r="H21" s="23" t="str">
        <f t="shared" si="4"/>
        <v>Forecasted</v>
      </c>
      <c r="I21" s="5"/>
    </row>
    <row r="22" spans="1:9">
      <c r="A22" s="5"/>
      <c r="B22" s="5"/>
      <c r="C22" s="5"/>
      <c r="D22" s="5"/>
      <c r="E22" s="5"/>
      <c r="F22" s="5"/>
      <c r="G22" s="5"/>
      <c r="H22" s="5"/>
      <c r="I22" s="5"/>
    </row>
    <row r="23" spans="1:9">
      <c r="A23" s="5"/>
      <c r="B23" s="5" t="s">
        <v>168</v>
      </c>
      <c r="C23" s="139">
        <v>0</v>
      </c>
      <c r="D23" s="139">
        <f ca="1">C25</f>
        <v>0</v>
      </c>
      <c r="E23" s="139">
        <f ca="1">D25</f>
        <v>0</v>
      </c>
      <c r="F23" s="139">
        <f ca="1">E25</f>
        <v>0</v>
      </c>
      <c r="G23" s="139">
        <f ca="1">F25</f>
        <v>468.5581402597403</v>
      </c>
      <c r="H23" s="139">
        <f ca="1">G25</f>
        <v>515.31562025974029</v>
      </c>
      <c r="I23" s="5"/>
    </row>
    <row r="24" spans="1:9">
      <c r="A24" s="5"/>
      <c r="B24" s="5" t="s">
        <v>203</v>
      </c>
      <c r="C24" s="141">
        <f ca="1">'3.  LDC Assumptions and Data'!C32</f>
        <v>0</v>
      </c>
      <c r="D24" s="141">
        <f ca="1">'3.  LDC Assumptions and Data'!D32</f>
        <v>0</v>
      </c>
      <c r="E24" s="141">
        <f ca="1">'3.  LDC Assumptions and Data'!E32</f>
        <v>0</v>
      </c>
      <c r="F24" s="141">
        <f ca="1">'3.  LDC Assumptions and Data'!F32</f>
        <v>468.5581402597403</v>
      </c>
      <c r="G24" s="141">
        <f ca="1">'3.  LDC Assumptions and Data'!G32</f>
        <v>46.757480000000001</v>
      </c>
      <c r="H24" s="141">
        <f ca="1">'3.  LDC Assumptions and Data'!H32</f>
        <v>0</v>
      </c>
      <c r="I24" s="5"/>
    </row>
    <row r="25" spans="1:9">
      <c r="A25" s="5"/>
      <c r="B25" s="5" t="s">
        <v>169</v>
      </c>
      <c r="C25" s="139">
        <f t="shared" ref="C25:H25" ca="1" si="5">SUM(C23:C24)</f>
        <v>0</v>
      </c>
      <c r="D25" s="139">
        <f t="shared" ca="1" si="5"/>
        <v>0</v>
      </c>
      <c r="E25" s="139">
        <f t="shared" ca="1" si="5"/>
        <v>0</v>
      </c>
      <c r="F25" s="139">
        <f t="shared" ca="1" si="5"/>
        <v>468.5581402597403</v>
      </c>
      <c r="G25" s="139">
        <f t="shared" ca="1" si="5"/>
        <v>515.31562025974029</v>
      </c>
      <c r="H25" s="139">
        <f t="shared" ca="1" si="5"/>
        <v>515.31562025974029</v>
      </c>
      <c r="I25" s="5"/>
    </row>
    <row r="26" spans="1:9">
      <c r="A26" s="5"/>
      <c r="B26" s="5"/>
      <c r="C26" s="63"/>
      <c r="D26" s="63"/>
      <c r="E26" s="63"/>
      <c r="F26" s="63"/>
      <c r="G26" s="63"/>
      <c r="H26" s="5"/>
      <c r="I26" s="5"/>
    </row>
    <row r="27" spans="1:9">
      <c r="A27" s="5"/>
      <c r="B27" s="5" t="s">
        <v>170</v>
      </c>
      <c r="C27" s="139">
        <v>0</v>
      </c>
      <c r="D27" s="139">
        <f ca="1">C29</f>
        <v>0</v>
      </c>
      <c r="E27" s="139">
        <f ca="1">D29</f>
        <v>0</v>
      </c>
      <c r="F27" s="139">
        <f ca="1">E29</f>
        <v>0</v>
      </c>
      <c r="G27" s="139">
        <f ca="1">F29</f>
        <v>46.855814025974027</v>
      </c>
      <c r="H27" s="139">
        <f ca="1">G29</f>
        <v>145.24319007792207</v>
      </c>
      <c r="I27" s="5"/>
    </row>
    <row r="28" spans="1:9">
      <c r="A28" s="5"/>
      <c r="B28" s="5" t="str">
        <f>"Amortization (" &amp; '3.  LDC Assumptions and Data'!C61 &amp;" Years  Straight Line)"</f>
        <v>Amortization (5 Years  Straight Line)</v>
      </c>
      <c r="C28" s="101">
        <f ca="1">IF(C27+(C23/'3.  LDC Assumptions and Data'!C61)+(C24/'3.  LDC Assumptions and Data'!C61/2)&lt;C25,(C23/'3.  LDC Assumptions and Data'!C61)+(C24/'3.  LDC Assumptions and Data'!C61/2),C25-C27)</f>
        <v>0</v>
      </c>
      <c r="D28" s="101">
        <f ca="1">IF(D27+(D23/'3.  LDC Assumptions and Data'!C61)+(D24/'3.  LDC Assumptions and Data'!C61/2)&lt;D25,(D23/'3.  LDC Assumptions and Data'!C61)+(D24/'3.  LDC Assumptions and Data'!C61/2),D25-D27)</f>
        <v>0</v>
      </c>
      <c r="E28" s="101">
        <f ca="1">IF(E27+(E23/'3.  LDC Assumptions and Data'!C61)+(E24/'3.  LDC Assumptions and Data'!C61/2)&lt;E25,(E23/'3.  LDC Assumptions and Data'!C61)+(E24/'3.  LDC Assumptions and Data'!C61/2),E25-E27)</f>
        <v>0</v>
      </c>
      <c r="F28" s="101">
        <f ca="1">IF(F27+(F23/'3.  LDC Assumptions and Data'!C61)+(F24/'3.  LDC Assumptions and Data'!C61/2)&lt;F25,(F23/'3.  LDC Assumptions and Data'!C61)+(F24/'3.  LDC Assumptions and Data'!C61/2),F25-F27)</f>
        <v>46.855814025974027</v>
      </c>
      <c r="G28" s="101">
        <f ca="1">IF(G27+(G23/'3.  LDC Assumptions and Data'!C61)+(G24/'3.  LDC Assumptions and Data'!C61/2)&lt;G25,(G23/'3.  LDC Assumptions and Data'!C61)+(G24/'3.  LDC Assumptions and Data'!C61/2),G25-G27)</f>
        <v>98.387376051948053</v>
      </c>
      <c r="H28" s="101">
        <f ca="1">IF(H27+(H23/'3.  LDC Assumptions and Data'!D61)+(H24/'3.  LDC Assumptions and Data'!D61/2)&lt;H25,(H23/'3.  LDC Assumptions and Data'!D61)+(H24/'3.  LDC Assumptions and Data'!D61/2),H25-H27)</f>
        <v>103.06312405194805</v>
      </c>
      <c r="I28" s="5"/>
    </row>
    <row r="29" spans="1:9">
      <c r="A29" s="5"/>
      <c r="B29" s="5" t="s">
        <v>171</v>
      </c>
      <c r="C29" s="139">
        <f t="shared" ref="C29:H29" ca="1" si="6">SUM(C27:C28)</f>
        <v>0</v>
      </c>
      <c r="D29" s="139">
        <f t="shared" ca="1" si="6"/>
        <v>0</v>
      </c>
      <c r="E29" s="139">
        <f t="shared" ca="1" si="6"/>
        <v>0</v>
      </c>
      <c r="F29" s="139">
        <f t="shared" ca="1" si="6"/>
        <v>46.855814025974027</v>
      </c>
      <c r="G29" s="139">
        <f t="shared" ca="1" si="6"/>
        <v>145.24319007792207</v>
      </c>
      <c r="H29" s="139">
        <f t="shared" ca="1" si="6"/>
        <v>248.30631412987012</v>
      </c>
      <c r="I29" s="5"/>
    </row>
    <row r="30" spans="1:9">
      <c r="A30" s="5"/>
      <c r="B30" s="5"/>
      <c r="H30" s="5"/>
      <c r="I30" s="5"/>
    </row>
    <row r="31" spans="1:9">
      <c r="A31" s="5"/>
      <c r="B31" s="5" t="s">
        <v>172</v>
      </c>
      <c r="C31" s="101">
        <f>0</f>
        <v>0</v>
      </c>
      <c r="D31" s="101">
        <f ca="1">C32</f>
        <v>0</v>
      </c>
      <c r="E31" s="101">
        <f ca="1">D32</f>
        <v>0</v>
      </c>
      <c r="F31" s="101">
        <f ca="1">E32</f>
        <v>0</v>
      </c>
      <c r="G31" s="101">
        <f ca="1">F32</f>
        <v>421.70232623376626</v>
      </c>
      <c r="H31" s="101">
        <f ca="1">G32</f>
        <v>370.07243018181822</v>
      </c>
      <c r="I31" s="5"/>
    </row>
    <row r="32" spans="1:9">
      <c r="A32" s="5"/>
      <c r="B32" s="5" t="s">
        <v>173</v>
      </c>
      <c r="C32" s="139">
        <f t="shared" ref="C32:H32" ca="1" si="7">C25-C29</f>
        <v>0</v>
      </c>
      <c r="D32" s="147">
        <f t="shared" ca="1" si="7"/>
        <v>0</v>
      </c>
      <c r="E32" s="147">
        <f t="shared" ca="1" si="7"/>
        <v>0</v>
      </c>
      <c r="F32" s="147">
        <f t="shared" ca="1" si="7"/>
        <v>421.70232623376626</v>
      </c>
      <c r="G32" s="147">
        <f t="shared" ca="1" si="7"/>
        <v>370.07243018181822</v>
      </c>
      <c r="H32" s="147">
        <f t="shared" ca="1" si="7"/>
        <v>267.0093061298702</v>
      </c>
      <c r="I32" s="5"/>
    </row>
    <row r="33" spans="1:9" ht="13.5" thickBot="1">
      <c r="A33" s="5"/>
      <c r="B33" s="5" t="s">
        <v>174</v>
      </c>
      <c r="C33" s="146">
        <f t="shared" ref="C33:H33" ca="1" si="8">(C32+C31)/2</f>
        <v>0</v>
      </c>
      <c r="D33" s="148">
        <f t="shared" ca="1" si="8"/>
        <v>0</v>
      </c>
      <c r="E33" s="148">
        <f t="shared" ca="1" si="8"/>
        <v>0</v>
      </c>
      <c r="F33" s="148">
        <f t="shared" ca="1" si="8"/>
        <v>210.85116311688313</v>
      </c>
      <c r="G33" s="148">
        <f t="shared" ca="1" si="8"/>
        <v>395.88737820779227</v>
      </c>
      <c r="H33" s="148">
        <f t="shared" ca="1" si="8"/>
        <v>318.54086815584424</v>
      </c>
      <c r="I33" s="5"/>
    </row>
    <row r="34" spans="1:9">
      <c r="A34" s="5"/>
      <c r="B34" s="5"/>
      <c r="C34" s="5"/>
      <c r="D34" s="5"/>
      <c r="E34" s="5"/>
      <c r="F34" s="5"/>
      <c r="G34" s="5"/>
      <c r="H34" s="5"/>
      <c r="I34" s="5"/>
    </row>
    <row r="35" spans="1:9">
      <c r="A35" s="5"/>
      <c r="B35" s="5"/>
      <c r="C35" s="23">
        <f t="shared" ref="C35:H36" si="9">C20</f>
        <v>2006</v>
      </c>
      <c r="D35" s="23">
        <f t="shared" si="9"/>
        <v>2007</v>
      </c>
      <c r="E35" s="23">
        <f t="shared" si="9"/>
        <v>2008</v>
      </c>
      <c r="F35" s="23">
        <f t="shared" si="9"/>
        <v>2009</v>
      </c>
      <c r="G35" s="23">
        <f t="shared" si="9"/>
        <v>2010</v>
      </c>
      <c r="H35" s="23">
        <f t="shared" si="9"/>
        <v>2011</v>
      </c>
      <c r="I35" s="5"/>
    </row>
    <row r="36" spans="1:9" ht="18">
      <c r="A36" s="5"/>
      <c r="B36" s="27" t="s">
        <v>176</v>
      </c>
      <c r="C36" s="23" t="str">
        <f t="shared" si="9"/>
        <v>Audited Actual</v>
      </c>
      <c r="D36" s="23" t="str">
        <f t="shared" si="9"/>
        <v>Audited Actual</v>
      </c>
      <c r="E36" s="23" t="str">
        <f t="shared" si="9"/>
        <v>Audited Actual</v>
      </c>
      <c r="F36" s="23" t="str">
        <f t="shared" si="9"/>
        <v>Audited Actual</v>
      </c>
      <c r="G36" s="23" t="str">
        <f t="shared" si="9"/>
        <v>Actual</v>
      </c>
      <c r="H36" s="23" t="str">
        <f t="shared" si="9"/>
        <v>Forecasted</v>
      </c>
      <c r="I36" s="5"/>
    </row>
    <row r="37" spans="1:9">
      <c r="A37" s="5"/>
      <c r="B37" s="5"/>
      <c r="C37" s="5"/>
      <c r="D37" s="5"/>
      <c r="E37" s="5"/>
      <c r="F37" s="5"/>
      <c r="G37" s="5"/>
      <c r="H37" s="5"/>
      <c r="I37" s="5"/>
    </row>
    <row r="38" spans="1:9">
      <c r="A38" s="5"/>
      <c r="B38" s="5" t="s">
        <v>168</v>
      </c>
      <c r="C38" s="139">
        <v>0</v>
      </c>
      <c r="D38" s="139">
        <f ca="1">C40</f>
        <v>0</v>
      </c>
      <c r="E38" s="139">
        <f ca="1">D40</f>
        <v>0</v>
      </c>
      <c r="F38" s="139">
        <f ca="1">E40</f>
        <v>0</v>
      </c>
      <c r="G38" s="139">
        <f ca="1">F40</f>
        <v>16021.559816867866</v>
      </c>
      <c r="H38" s="139">
        <f ca="1">G40</f>
        <v>47508.616800170275</v>
      </c>
      <c r="I38" s="5"/>
    </row>
    <row r="39" spans="1:9">
      <c r="A39" s="5"/>
      <c r="B39" s="5" t="s">
        <v>202</v>
      </c>
      <c r="C39" s="141">
        <f ca="1">'3.  LDC Assumptions and Data'!C33</f>
        <v>0</v>
      </c>
      <c r="D39" s="141">
        <f ca="1">'3.  LDC Assumptions and Data'!D33</f>
        <v>0</v>
      </c>
      <c r="E39" s="141">
        <f ca="1">'3.  LDC Assumptions and Data'!E33</f>
        <v>0</v>
      </c>
      <c r="F39" s="141">
        <f ca="1">'3.  LDC Assumptions and Data'!F33</f>
        <v>16021.559816867866</v>
      </c>
      <c r="G39" s="141">
        <f ca="1">'3.  LDC Assumptions and Data'!G33</f>
        <v>31487.056983302413</v>
      </c>
      <c r="H39" s="141">
        <f ca="1">'3.  LDC Assumptions and Data'!H33</f>
        <v>111262</v>
      </c>
      <c r="I39" s="5"/>
    </row>
    <row r="40" spans="1:9">
      <c r="A40" s="5"/>
      <c r="B40" s="5" t="s">
        <v>169</v>
      </c>
      <c r="C40" s="139">
        <f t="shared" ref="C40:H40" ca="1" si="10">SUM(C38:C39)</f>
        <v>0</v>
      </c>
      <c r="D40" s="139">
        <f t="shared" ca="1" si="10"/>
        <v>0</v>
      </c>
      <c r="E40" s="139">
        <f t="shared" ca="1" si="10"/>
        <v>0</v>
      </c>
      <c r="F40" s="139">
        <f t="shared" ca="1" si="10"/>
        <v>16021.559816867866</v>
      </c>
      <c r="G40" s="139">
        <f t="shared" ca="1" si="10"/>
        <v>47508.616800170275</v>
      </c>
      <c r="H40" s="139">
        <f t="shared" ca="1" si="10"/>
        <v>158770.61680017028</v>
      </c>
      <c r="I40" s="5"/>
    </row>
    <row r="41" spans="1:9">
      <c r="A41" s="5"/>
      <c r="B41" s="5"/>
      <c r="C41" s="63"/>
      <c r="D41" s="63"/>
      <c r="E41" s="63"/>
      <c r="F41" s="63"/>
      <c r="G41" s="63"/>
      <c r="H41" s="5"/>
      <c r="I41" s="5"/>
    </row>
    <row r="42" spans="1:9">
      <c r="A42" s="5"/>
      <c r="B42" s="5" t="s">
        <v>170</v>
      </c>
      <c r="C42" s="139">
        <v>0</v>
      </c>
      <c r="D42" s="139">
        <f ca="1">C44</f>
        <v>0</v>
      </c>
      <c r="E42" s="139">
        <f ca="1">D44</f>
        <v>0</v>
      </c>
      <c r="F42" s="139">
        <f ca="1">E44</f>
        <v>0</v>
      </c>
      <c r="G42" s="139">
        <f ca="1">F44</f>
        <v>801.07799084339331</v>
      </c>
      <c r="H42" s="139">
        <f ca="1">G44</f>
        <v>3977.5868216953004</v>
      </c>
      <c r="I42" s="5"/>
    </row>
    <row r="43" spans="1:9">
      <c r="A43" s="5"/>
      <c r="B43" s="5" t="str">
        <f>"Amortization Year 1 (" &amp; '3.  LDC Assumptions and Data'!C62 &amp;" Years Straight Line)"</f>
        <v>Amortization Year 1 (10 Years Straight Line)</v>
      </c>
      <c r="C43" s="101">
        <f ca="1">IF(C42+(C38/'3.  LDC Assumptions and Data'!C62)+(C39/'3.  LDC Assumptions and Data'!C62/2)&lt;C40,(C38/'3.  LDC Assumptions and Data'!C62)+(C39/'3.  LDC Assumptions and Data'!C62/2),C40-C42)</f>
        <v>0</v>
      </c>
      <c r="D43" s="101">
        <f ca="1">IF(D42+(D38/'3.  LDC Assumptions and Data'!C62)+(D39/'3.  LDC Assumptions and Data'!C62/2)&lt;D40,(D38/'3.  LDC Assumptions and Data'!C62)+(D39/'3.  LDC Assumptions and Data'!C62/2),D40-D42)</f>
        <v>0</v>
      </c>
      <c r="E43" s="101">
        <f ca="1">IF(E42+(E38/'3.  LDC Assumptions and Data'!C62)+(E39/'3.  LDC Assumptions and Data'!C62/2)&lt;E40,(E38/'3.  LDC Assumptions and Data'!C62)+(E39/'3.  LDC Assumptions and Data'!C62/2),E40-E42)</f>
        <v>0</v>
      </c>
      <c r="F43" s="101">
        <f ca="1">IF(F42+(F38/'3.  LDC Assumptions and Data'!C62)+(F39/'3.  LDC Assumptions and Data'!C62/2)&lt;F40,(F38/'3.  LDC Assumptions and Data'!C62)+(F39/'3.  LDC Assumptions and Data'!C62/2),F40-F42)</f>
        <v>801.07799084339331</v>
      </c>
      <c r="G43" s="101">
        <f ca="1">IF(G42+(G38/'3.  LDC Assumptions and Data'!C62)+(G39/'3.  LDC Assumptions and Data'!C62/2)&lt;G40,(G38/'3.  LDC Assumptions and Data'!C62)+(G39/'3.  LDC Assumptions and Data'!C62/2),G40-G42)</f>
        <v>3176.5088308519071</v>
      </c>
      <c r="H43" s="101">
        <f ca="1">IF(H42+(H38/'3.  LDC Assumptions and Data'!D62)+(H39/'3.  LDC Assumptions and Data'!D62/2)&lt;H40,(H38/'3.  LDC Assumptions and Data'!D62)+(H39/'3.  LDC Assumptions and Data'!D62/2),H40-H42)</f>
        <v>10313.961680017028</v>
      </c>
      <c r="I43" s="5"/>
    </row>
    <row r="44" spans="1:9">
      <c r="A44" s="5"/>
      <c r="B44" s="5" t="s">
        <v>171</v>
      </c>
      <c r="C44" s="139">
        <f t="shared" ref="C44:H44" ca="1" si="11">SUM(C42:C43)</f>
        <v>0</v>
      </c>
      <c r="D44" s="139">
        <f t="shared" ca="1" si="11"/>
        <v>0</v>
      </c>
      <c r="E44" s="139">
        <f t="shared" ca="1" si="11"/>
        <v>0</v>
      </c>
      <c r="F44" s="139">
        <f t="shared" ca="1" si="11"/>
        <v>801.07799084339331</v>
      </c>
      <c r="G44" s="139">
        <f t="shared" ca="1" si="11"/>
        <v>3977.5868216953004</v>
      </c>
      <c r="H44" s="139">
        <f t="shared" ca="1" si="11"/>
        <v>14291.548501712328</v>
      </c>
      <c r="I44" s="5"/>
    </row>
    <row r="45" spans="1:9">
      <c r="A45" s="5"/>
      <c r="B45" s="5"/>
      <c r="H45" s="5"/>
      <c r="I45" s="5"/>
    </row>
    <row r="46" spans="1:9">
      <c r="A46" s="5"/>
      <c r="B46" s="5" t="s">
        <v>172</v>
      </c>
      <c r="C46" s="101">
        <f>0</f>
        <v>0</v>
      </c>
      <c r="D46" s="101">
        <f ca="1">C47</f>
        <v>0</v>
      </c>
      <c r="E46" s="101">
        <f ca="1">D47</f>
        <v>0</v>
      </c>
      <c r="F46" s="101">
        <f ca="1">E47</f>
        <v>0</v>
      </c>
      <c r="G46" s="101">
        <f ca="1">F47</f>
        <v>15220.481826024472</v>
      </c>
      <c r="H46" s="101">
        <f ca="1">G47</f>
        <v>43531.029978474973</v>
      </c>
      <c r="I46" s="5"/>
    </row>
    <row r="47" spans="1:9">
      <c r="A47" s="5"/>
      <c r="B47" s="5" t="s">
        <v>173</v>
      </c>
      <c r="C47" s="139">
        <f t="shared" ref="C47:H47" ca="1" si="12">C40-C44</f>
        <v>0</v>
      </c>
      <c r="D47" s="147">
        <f t="shared" ca="1" si="12"/>
        <v>0</v>
      </c>
      <c r="E47" s="147">
        <f t="shared" ca="1" si="12"/>
        <v>0</v>
      </c>
      <c r="F47" s="147">
        <f t="shared" ca="1" si="12"/>
        <v>15220.481826024472</v>
      </c>
      <c r="G47" s="147">
        <f t="shared" ca="1" si="12"/>
        <v>43531.029978474973</v>
      </c>
      <c r="H47" s="147">
        <f t="shared" ca="1" si="12"/>
        <v>144479.06829845795</v>
      </c>
      <c r="I47" s="5"/>
    </row>
    <row r="48" spans="1:9" ht="13.5" thickBot="1">
      <c r="A48" s="5"/>
      <c r="B48" s="5" t="s">
        <v>174</v>
      </c>
      <c r="C48" s="146">
        <f t="shared" ref="C48:H48" ca="1" si="13">(C47+C46)/2</f>
        <v>0</v>
      </c>
      <c r="D48" s="148">
        <f t="shared" ca="1" si="13"/>
        <v>0</v>
      </c>
      <c r="E48" s="148">
        <f t="shared" ca="1" si="13"/>
        <v>0</v>
      </c>
      <c r="F48" s="148">
        <f t="shared" ca="1" si="13"/>
        <v>7610.240913012236</v>
      </c>
      <c r="G48" s="148">
        <f t="shared" ca="1" si="13"/>
        <v>29375.755902249723</v>
      </c>
      <c r="H48" s="148">
        <f t="shared" ca="1" si="13"/>
        <v>94005.049138466464</v>
      </c>
      <c r="I48" s="5"/>
    </row>
    <row r="49" spans="1:9">
      <c r="A49" s="5"/>
      <c r="B49" s="5"/>
      <c r="C49" s="62"/>
      <c r="D49" s="62"/>
      <c r="E49" s="5"/>
      <c r="F49" s="5"/>
      <c r="G49" s="5"/>
      <c r="H49" s="5"/>
      <c r="I49" s="5"/>
    </row>
    <row r="50" spans="1:9">
      <c r="A50" s="5"/>
      <c r="B50" s="5"/>
      <c r="C50" s="23">
        <f t="shared" ref="C50:H51" si="14">C35</f>
        <v>2006</v>
      </c>
      <c r="D50" s="23">
        <f t="shared" si="14"/>
        <v>2007</v>
      </c>
      <c r="E50" s="23">
        <f t="shared" si="14"/>
        <v>2008</v>
      </c>
      <c r="F50" s="23">
        <f t="shared" si="14"/>
        <v>2009</v>
      </c>
      <c r="G50" s="23">
        <f t="shared" si="14"/>
        <v>2010</v>
      </c>
      <c r="H50" s="23">
        <f t="shared" si="14"/>
        <v>2011</v>
      </c>
      <c r="I50" s="5"/>
    </row>
    <row r="51" spans="1:9" ht="18">
      <c r="A51" s="5"/>
      <c r="B51" s="27" t="s">
        <v>177</v>
      </c>
      <c r="C51" s="23" t="str">
        <f t="shared" si="14"/>
        <v>Audited Actual</v>
      </c>
      <c r="D51" s="23" t="str">
        <f t="shared" si="14"/>
        <v>Audited Actual</v>
      </c>
      <c r="E51" s="23" t="str">
        <f t="shared" si="14"/>
        <v>Audited Actual</v>
      </c>
      <c r="F51" s="23" t="str">
        <f t="shared" si="14"/>
        <v>Audited Actual</v>
      </c>
      <c r="G51" s="23" t="str">
        <f t="shared" si="14"/>
        <v>Actual</v>
      </c>
      <c r="H51" s="23" t="str">
        <f t="shared" si="14"/>
        <v>Forecasted</v>
      </c>
      <c r="I51" s="5"/>
    </row>
    <row r="52" spans="1:9">
      <c r="A52" s="5"/>
      <c r="B52" s="5"/>
      <c r="C52" s="5"/>
      <c r="D52" s="5"/>
      <c r="E52" s="5"/>
      <c r="F52" s="5"/>
      <c r="G52" s="5"/>
      <c r="H52" s="5"/>
      <c r="I52" s="5"/>
    </row>
    <row r="53" spans="1:9">
      <c r="A53" s="5"/>
      <c r="B53" s="5" t="s">
        <v>168</v>
      </c>
      <c r="C53" s="139">
        <v>0</v>
      </c>
      <c r="D53" s="139">
        <f ca="1">C55</f>
        <v>0</v>
      </c>
      <c r="E53" s="139">
        <f ca="1">D55</f>
        <v>0</v>
      </c>
      <c r="F53" s="139">
        <f ca="1">E55</f>
        <v>0</v>
      </c>
      <c r="G53" s="139">
        <f ca="1">F55</f>
        <v>0</v>
      </c>
      <c r="H53" s="139">
        <f ca="1">G55</f>
        <v>0</v>
      </c>
      <c r="I53" s="5"/>
    </row>
    <row r="54" spans="1:9">
      <c r="A54" s="5"/>
      <c r="B54" s="5" t="s">
        <v>202</v>
      </c>
      <c r="C54" s="141">
        <f ca="1">'3.  LDC Assumptions and Data'!C34</f>
        <v>0</v>
      </c>
      <c r="D54" s="141">
        <f ca="1">'3.  LDC Assumptions and Data'!D34</f>
        <v>0</v>
      </c>
      <c r="E54" s="141">
        <f ca="1">'3.  LDC Assumptions and Data'!E34</f>
        <v>0</v>
      </c>
      <c r="F54" s="141">
        <f ca="1">'3.  LDC Assumptions and Data'!F34</f>
        <v>0</v>
      </c>
      <c r="G54" s="141">
        <f ca="1">'3.  LDC Assumptions and Data'!G34</f>
        <v>0</v>
      </c>
      <c r="H54" s="141">
        <f ca="1">'3.  LDC Assumptions and Data'!H34</f>
        <v>0</v>
      </c>
      <c r="I54" s="5"/>
    </row>
    <row r="55" spans="1:9">
      <c r="A55" s="5"/>
      <c r="B55" s="5" t="s">
        <v>169</v>
      </c>
      <c r="C55" s="139">
        <f t="shared" ref="C55:H55" ca="1" si="15">SUM(C53:C54)</f>
        <v>0</v>
      </c>
      <c r="D55" s="139">
        <f t="shared" ca="1" si="15"/>
        <v>0</v>
      </c>
      <c r="E55" s="139">
        <f t="shared" ca="1" si="15"/>
        <v>0</v>
      </c>
      <c r="F55" s="139">
        <f t="shared" ca="1" si="15"/>
        <v>0</v>
      </c>
      <c r="G55" s="139">
        <f t="shared" ca="1" si="15"/>
        <v>0</v>
      </c>
      <c r="H55" s="139">
        <f t="shared" ca="1" si="15"/>
        <v>0</v>
      </c>
      <c r="I55" s="5"/>
    </row>
    <row r="56" spans="1:9">
      <c r="A56" s="5"/>
      <c r="B56" s="5"/>
      <c r="C56" s="63"/>
      <c r="D56" s="63"/>
      <c r="E56" s="63"/>
      <c r="F56" s="63"/>
      <c r="G56" s="63"/>
      <c r="H56" s="5"/>
      <c r="I56" s="5"/>
    </row>
    <row r="57" spans="1:9">
      <c r="A57" s="5"/>
      <c r="B57" s="5" t="s">
        <v>170</v>
      </c>
      <c r="C57" s="139">
        <v>0</v>
      </c>
      <c r="D57" s="139">
        <f ca="1">C59</f>
        <v>0</v>
      </c>
      <c r="E57" s="139">
        <f ca="1">D59</f>
        <v>0</v>
      </c>
      <c r="F57" s="139">
        <f ca="1">E59</f>
        <v>0</v>
      </c>
      <c r="G57" s="139">
        <f ca="1">F59</f>
        <v>0</v>
      </c>
      <c r="H57" s="139">
        <f ca="1">G59</f>
        <v>0</v>
      </c>
      <c r="I57" s="5"/>
    </row>
    <row r="58" spans="1:9">
      <c r="A58" s="5"/>
      <c r="B58" s="5" t="str">
        <f>"Amortization Year 1 (" &amp; '3.  LDC Assumptions and Data'!C63 &amp;" Years Straight Line)"</f>
        <v>Amortization Year 1 (10 Years Straight Line)</v>
      </c>
      <c r="C58" s="101">
        <f ca="1">IF(C57+(C53/'3.  LDC Assumptions and Data'!C63)+(C54/'3.  LDC Assumptions and Data'!C63/2)&lt;C55,(C53/'3.  LDC Assumptions and Data'!C63)+(C54/'3.  LDC Assumptions and Data'!C63/2),C55-C57)</f>
        <v>0</v>
      </c>
      <c r="D58" s="101">
        <f ca="1">IF(D57+(D53/'3.  LDC Assumptions and Data'!C63)+(D54/'3.  LDC Assumptions and Data'!C63/2)&lt;D55,(D53/'3.  LDC Assumptions and Data'!C63)+(D54/'3.  LDC Assumptions and Data'!C63/2),D55-D57)</f>
        <v>0</v>
      </c>
      <c r="E58" s="101">
        <f ca="1">IF(E57+(E53/'3.  LDC Assumptions and Data'!C63)+(E54/'3.  LDC Assumptions and Data'!C63/2)&lt;E55,(E53/'3.  LDC Assumptions and Data'!C63)+(E54/'3.  LDC Assumptions and Data'!C63/2),E55-E57)</f>
        <v>0</v>
      </c>
      <c r="F58" s="101">
        <f ca="1">IF(F57+(F53/'3.  LDC Assumptions and Data'!C63)+(F54/'3.  LDC Assumptions and Data'!C63/2)&lt;F55,(F53/'3.  LDC Assumptions and Data'!C63)+(F54/'3.  LDC Assumptions and Data'!C63/2),F55-F57)</f>
        <v>0</v>
      </c>
      <c r="G58" s="101">
        <f ca="1">IF(G57+(G53/'3.  LDC Assumptions and Data'!C63)+(G54/'3.  LDC Assumptions and Data'!C63/2)&lt;G55,(G53/'3.  LDC Assumptions and Data'!C63)+(G54/'3.  LDC Assumptions and Data'!C63/2),G55-G57)</f>
        <v>0</v>
      </c>
      <c r="H58" s="101">
        <f ca="1">IF(H57+(H53/'3.  LDC Assumptions and Data'!D63)+(H54/'3.  LDC Assumptions and Data'!D63/2)&lt;H55,(H53/'3.  LDC Assumptions and Data'!D63)+(H54/'3.  LDC Assumptions and Data'!D63/2),H55-H57)</f>
        <v>0</v>
      </c>
      <c r="I58" s="5"/>
    </row>
    <row r="59" spans="1:9">
      <c r="A59" s="5"/>
      <c r="B59" s="5" t="s">
        <v>171</v>
      </c>
      <c r="C59" s="139">
        <f t="shared" ref="C59:H59" ca="1" si="16">SUM(C57:C58)</f>
        <v>0</v>
      </c>
      <c r="D59" s="139">
        <f t="shared" ca="1" si="16"/>
        <v>0</v>
      </c>
      <c r="E59" s="139">
        <f t="shared" ca="1" si="16"/>
        <v>0</v>
      </c>
      <c r="F59" s="139">
        <f t="shared" ca="1" si="16"/>
        <v>0</v>
      </c>
      <c r="G59" s="139">
        <f t="shared" ca="1" si="16"/>
        <v>0</v>
      </c>
      <c r="H59" s="139">
        <f t="shared" ca="1" si="16"/>
        <v>0</v>
      </c>
      <c r="I59" s="5"/>
    </row>
    <row r="60" spans="1:9">
      <c r="A60" s="5"/>
      <c r="B60" s="5"/>
      <c r="H60" s="5"/>
      <c r="I60" s="5"/>
    </row>
    <row r="61" spans="1:9">
      <c r="A61" s="5"/>
      <c r="B61" s="5" t="s">
        <v>172</v>
      </c>
      <c r="C61" s="101">
        <f>0</f>
        <v>0</v>
      </c>
      <c r="D61" s="101">
        <f ca="1">C62</f>
        <v>0</v>
      </c>
      <c r="E61" s="101">
        <f ca="1">D62</f>
        <v>0</v>
      </c>
      <c r="F61" s="101">
        <f ca="1">E62</f>
        <v>0</v>
      </c>
      <c r="G61" s="101">
        <f ca="1">F62</f>
        <v>0</v>
      </c>
      <c r="H61" s="101">
        <f ca="1">G62</f>
        <v>0</v>
      </c>
      <c r="I61" s="5"/>
    </row>
    <row r="62" spans="1:9">
      <c r="A62" s="5"/>
      <c r="B62" s="5" t="s">
        <v>173</v>
      </c>
      <c r="C62" s="139">
        <f t="shared" ref="C62:H62" ca="1" si="17">C55-C59</f>
        <v>0</v>
      </c>
      <c r="D62" s="147">
        <f t="shared" ca="1" si="17"/>
        <v>0</v>
      </c>
      <c r="E62" s="147">
        <f t="shared" ca="1" si="17"/>
        <v>0</v>
      </c>
      <c r="F62" s="147">
        <f t="shared" ca="1" si="17"/>
        <v>0</v>
      </c>
      <c r="G62" s="147">
        <f t="shared" ca="1" si="17"/>
        <v>0</v>
      </c>
      <c r="H62" s="147">
        <f t="shared" ca="1" si="17"/>
        <v>0</v>
      </c>
      <c r="I62" s="5"/>
    </row>
    <row r="63" spans="1:9" ht="13.5" thickBot="1">
      <c r="A63" s="5"/>
      <c r="B63" s="5" t="s">
        <v>174</v>
      </c>
      <c r="C63" s="146">
        <f t="shared" ref="C63:H63" ca="1" si="18">(C62+C61)/2</f>
        <v>0</v>
      </c>
      <c r="D63" s="148">
        <f t="shared" ca="1" si="18"/>
        <v>0</v>
      </c>
      <c r="E63" s="148">
        <f t="shared" ca="1" si="18"/>
        <v>0</v>
      </c>
      <c r="F63" s="148">
        <f t="shared" ca="1" si="18"/>
        <v>0</v>
      </c>
      <c r="G63" s="148">
        <f t="shared" ca="1" si="18"/>
        <v>0</v>
      </c>
      <c r="H63" s="148">
        <f t="shared" ca="1" si="18"/>
        <v>0</v>
      </c>
      <c r="I63" s="5"/>
    </row>
    <row r="64" spans="1:9">
      <c r="A64" s="5"/>
      <c r="B64" s="5"/>
      <c r="C64" s="62"/>
      <c r="D64" s="62"/>
      <c r="E64" s="5"/>
      <c r="F64" s="5"/>
      <c r="G64" s="5"/>
      <c r="H64" s="5"/>
      <c r="I64" s="5"/>
    </row>
    <row r="65" spans="1:9">
      <c r="A65" s="5"/>
      <c r="B65" s="5"/>
      <c r="C65" s="23">
        <f t="shared" ref="C65:H66" si="19">C50</f>
        <v>2006</v>
      </c>
      <c r="D65" s="23">
        <f t="shared" si="19"/>
        <v>2007</v>
      </c>
      <c r="E65" s="23">
        <f t="shared" si="19"/>
        <v>2008</v>
      </c>
      <c r="F65" s="23">
        <f t="shared" si="19"/>
        <v>2009</v>
      </c>
      <c r="G65" s="23">
        <f t="shared" si="19"/>
        <v>2010</v>
      </c>
      <c r="H65" s="23">
        <f t="shared" si="19"/>
        <v>2011</v>
      </c>
      <c r="I65" s="5"/>
    </row>
    <row r="66" spans="1:9" ht="18">
      <c r="A66" s="5"/>
      <c r="B66" s="27" t="s">
        <v>178</v>
      </c>
      <c r="C66" s="23" t="str">
        <f t="shared" si="19"/>
        <v>Audited Actual</v>
      </c>
      <c r="D66" s="23" t="str">
        <f t="shared" si="19"/>
        <v>Audited Actual</v>
      </c>
      <c r="E66" s="23" t="str">
        <f t="shared" si="19"/>
        <v>Audited Actual</v>
      </c>
      <c r="F66" s="23" t="str">
        <f t="shared" si="19"/>
        <v>Audited Actual</v>
      </c>
      <c r="G66" s="23" t="str">
        <f t="shared" si="19"/>
        <v>Actual</v>
      </c>
      <c r="H66" s="23" t="str">
        <f t="shared" si="19"/>
        <v>Forecasted</v>
      </c>
      <c r="I66" s="5"/>
    </row>
    <row r="67" spans="1:9">
      <c r="A67" s="5"/>
      <c r="B67" s="5"/>
      <c r="C67" s="5"/>
      <c r="D67" s="5"/>
      <c r="E67" s="5"/>
      <c r="F67" s="5"/>
      <c r="G67" s="5"/>
      <c r="H67" s="5"/>
      <c r="I67" s="5"/>
    </row>
    <row r="68" spans="1:9">
      <c r="A68" s="5"/>
      <c r="B68" s="5" t="s">
        <v>168</v>
      </c>
      <c r="C68" s="139">
        <v>0</v>
      </c>
      <c r="D68" s="139">
        <f ca="1">C70</f>
        <v>0</v>
      </c>
      <c r="E68" s="139">
        <f ca="1">D70</f>
        <v>0</v>
      </c>
      <c r="F68" s="139">
        <f ca="1">E70</f>
        <v>0</v>
      </c>
      <c r="G68" s="139">
        <f ca="1">F70</f>
        <v>0</v>
      </c>
      <c r="H68" s="139">
        <f ca="1">G70</f>
        <v>1431.02</v>
      </c>
      <c r="I68" s="5"/>
    </row>
    <row r="69" spans="1:9">
      <c r="A69" s="5"/>
      <c r="B69" s="5" t="s">
        <v>202</v>
      </c>
      <c r="C69" s="141">
        <f ca="1">'3.  LDC Assumptions and Data'!C35</f>
        <v>0</v>
      </c>
      <c r="D69" s="141">
        <f ca="1">'3.  LDC Assumptions and Data'!D35</f>
        <v>0</v>
      </c>
      <c r="E69" s="141">
        <f ca="1">'3.  LDC Assumptions and Data'!E35</f>
        <v>0</v>
      </c>
      <c r="F69" s="141">
        <f ca="1">'3.  LDC Assumptions and Data'!F35</f>
        <v>0</v>
      </c>
      <c r="G69" s="141">
        <f ca="1">'3.  LDC Assumptions and Data'!G35</f>
        <v>1431.02</v>
      </c>
      <c r="H69" s="141">
        <f ca="1">'3.  LDC Assumptions and Data'!H35</f>
        <v>0</v>
      </c>
      <c r="I69" s="5"/>
    </row>
    <row r="70" spans="1:9">
      <c r="A70" s="5"/>
      <c r="B70" s="5" t="s">
        <v>169</v>
      </c>
      <c r="C70" s="139">
        <f t="shared" ref="C70:H70" ca="1" si="20">SUM(C68:C69)</f>
        <v>0</v>
      </c>
      <c r="D70" s="139">
        <f t="shared" ca="1" si="20"/>
        <v>0</v>
      </c>
      <c r="E70" s="139">
        <f t="shared" ca="1" si="20"/>
        <v>0</v>
      </c>
      <c r="F70" s="139">
        <f t="shared" ca="1" si="20"/>
        <v>0</v>
      </c>
      <c r="G70" s="139">
        <f t="shared" ca="1" si="20"/>
        <v>1431.02</v>
      </c>
      <c r="H70" s="139">
        <f t="shared" ca="1" si="20"/>
        <v>1431.02</v>
      </c>
      <c r="I70" s="5"/>
    </row>
    <row r="71" spans="1:9">
      <c r="A71" s="5"/>
      <c r="B71" s="5"/>
      <c r="C71" s="63"/>
      <c r="D71" s="63"/>
      <c r="E71" s="63"/>
      <c r="F71" s="63"/>
      <c r="G71" s="63"/>
      <c r="H71" s="63"/>
      <c r="I71" s="5"/>
    </row>
    <row r="72" spans="1:9">
      <c r="A72" s="5"/>
      <c r="B72" s="5" t="s">
        <v>170</v>
      </c>
      <c r="C72" s="139">
        <v>0</v>
      </c>
      <c r="D72" s="139">
        <f ca="1">C74</f>
        <v>0</v>
      </c>
      <c r="E72" s="139">
        <f ca="1">D74</f>
        <v>0</v>
      </c>
      <c r="F72" s="139">
        <f ca="1">E74</f>
        <v>0</v>
      </c>
      <c r="G72" s="139">
        <f ca="1">F74</f>
        <v>0</v>
      </c>
      <c r="H72" s="139">
        <f ca="1">G74</f>
        <v>71.551000000000002</v>
      </c>
      <c r="I72" s="5"/>
    </row>
    <row r="73" spans="1:9">
      <c r="A73" s="5"/>
      <c r="B73" s="5" t="str">
        <f>"Amortization Year 1 (" &amp; '3.  LDC Assumptions and Data'!C64 &amp;" Years Straight Line)"</f>
        <v>Amortization Year 1 (10 Years Straight Line)</v>
      </c>
      <c r="C73" s="101">
        <f ca="1">IF(C72+(C68/'3.  LDC Assumptions and Data'!C64)+(C69/'3.  LDC Assumptions and Data'!C64/2)&lt;C70,(C68/'3.  LDC Assumptions and Data'!C64)+(C69/'3.  LDC Assumptions and Data'!C64/2),C70-C72)</f>
        <v>0</v>
      </c>
      <c r="D73" s="101">
        <f ca="1">IF(D72+(D68/'3.  LDC Assumptions and Data'!C64)+(D69/'3.  LDC Assumptions and Data'!C64/2)&lt;D70,(D68/'3.  LDC Assumptions and Data'!C64)+(D69/'3.  LDC Assumptions and Data'!C64/2),D70-D72)</f>
        <v>0</v>
      </c>
      <c r="E73" s="101">
        <f ca="1">IF(E72+(E68/'3.  LDC Assumptions and Data'!C64)+(E69/'3.  LDC Assumptions and Data'!C64/2)&lt;E70,(E68/'3.  LDC Assumptions and Data'!C64)+(E69/'3.  LDC Assumptions and Data'!C64/2),E70-E72)</f>
        <v>0</v>
      </c>
      <c r="F73" s="101">
        <f ca="1">IF(F72+(F68/'3.  LDC Assumptions and Data'!C64)+(F69/'3.  LDC Assumptions and Data'!C64/2)&lt;F70,(F68/'3.  LDC Assumptions and Data'!C64)+(F69/'3.  LDC Assumptions and Data'!C64/2),F70-F72)</f>
        <v>0</v>
      </c>
      <c r="G73" s="101">
        <f ca="1">IF(G72+(G68/'3.  LDC Assumptions and Data'!C64)+(G69/'3.  LDC Assumptions and Data'!C64/2)&lt;G70,(G68/'3.  LDC Assumptions and Data'!C64)+(G69/'3.  LDC Assumptions and Data'!C64/2),G70-G72)</f>
        <v>71.551000000000002</v>
      </c>
      <c r="H73" s="101">
        <f ca="1">IF(H72+(H68/'3.  LDC Assumptions and Data'!D64)+(H69/'3.  LDC Assumptions and Data'!D64/2)&lt;H70,(H68/'3.  LDC Assumptions and Data'!D64)+(H69/'3.  LDC Assumptions and Data'!D64/2),H70-H72)</f>
        <v>143.102</v>
      </c>
      <c r="I73" s="5"/>
    </row>
    <row r="74" spans="1:9">
      <c r="A74" s="5"/>
      <c r="B74" s="5" t="s">
        <v>171</v>
      </c>
      <c r="C74" s="139">
        <f t="shared" ref="C74:H74" ca="1" si="21">SUM(C72:C73)</f>
        <v>0</v>
      </c>
      <c r="D74" s="139">
        <f t="shared" ca="1" si="21"/>
        <v>0</v>
      </c>
      <c r="E74" s="139">
        <f t="shared" ca="1" si="21"/>
        <v>0</v>
      </c>
      <c r="F74" s="139">
        <f t="shared" ca="1" si="21"/>
        <v>0</v>
      </c>
      <c r="G74" s="139">
        <f t="shared" ca="1" si="21"/>
        <v>71.551000000000002</v>
      </c>
      <c r="H74" s="139">
        <f t="shared" ca="1" si="21"/>
        <v>214.65300000000002</v>
      </c>
      <c r="I74" s="5"/>
    </row>
    <row r="75" spans="1:9">
      <c r="A75" s="5"/>
      <c r="B75" s="5"/>
      <c r="C75" s="63"/>
      <c r="D75" s="63"/>
      <c r="E75" s="63"/>
      <c r="F75" s="63"/>
      <c r="G75" s="63"/>
      <c r="H75" s="63"/>
      <c r="I75" s="5"/>
    </row>
    <row r="76" spans="1:9">
      <c r="A76" s="5"/>
      <c r="B76" s="5" t="s">
        <v>172</v>
      </c>
      <c r="C76" s="101">
        <f>0</f>
        <v>0</v>
      </c>
      <c r="D76" s="101">
        <f ca="1">C77</f>
        <v>0</v>
      </c>
      <c r="E76" s="101">
        <f ca="1">D77</f>
        <v>0</v>
      </c>
      <c r="F76" s="101">
        <f ca="1">E77</f>
        <v>0</v>
      </c>
      <c r="G76" s="101">
        <f ca="1">F77</f>
        <v>0</v>
      </c>
      <c r="H76" s="101">
        <f ca="1">G77</f>
        <v>1359.4690000000001</v>
      </c>
      <c r="I76" s="5"/>
    </row>
    <row r="77" spans="1:9">
      <c r="A77" s="5"/>
      <c r="B77" s="5" t="s">
        <v>173</v>
      </c>
      <c r="C77" s="139">
        <f t="shared" ref="C77:H77" ca="1" si="22">C70-C74</f>
        <v>0</v>
      </c>
      <c r="D77" s="147">
        <f t="shared" ca="1" si="22"/>
        <v>0</v>
      </c>
      <c r="E77" s="147">
        <f t="shared" ca="1" si="22"/>
        <v>0</v>
      </c>
      <c r="F77" s="147">
        <f t="shared" ca="1" si="22"/>
        <v>0</v>
      </c>
      <c r="G77" s="147">
        <f t="shared" ca="1" si="22"/>
        <v>1359.4690000000001</v>
      </c>
      <c r="H77" s="147">
        <f t="shared" ca="1" si="22"/>
        <v>1216.367</v>
      </c>
      <c r="I77" s="5"/>
    </row>
    <row r="78" spans="1:9" ht="13.5" thickBot="1">
      <c r="A78" s="5"/>
      <c r="B78" s="5" t="s">
        <v>174</v>
      </c>
      <c r="C78" s="146">
        <f t="shared" ref="C78:H78" ca="1" si="23">(C77+C76)/2</f>
        <v>0</v>
      </c>
      <c r="D78" s="148">
        <f t="shared" ca="1" si="23"/>
        <v>0</v>
      </c>
      <c r="E78" s="148">
        <f t="shared" ca="1" si="23"/>
        <v>0</v>
      </c>
      <c r="F78" s="148">
        <f t="shared" ca="1" si="23"/>
        <v>0</v>
      </c>
      <c r="G78" s="148">
        <f t="shared" ca="1" si="23"/>
        <v>679.73450000000003</v>
      </c>
      <c r="H78" s="148">
        <f t="shared" ca="1" si="23"/>
        <v>1287.9180000000001</v>
      </c>
      <c r="I78" s="5"/>
    </row>
    <row r="79" spans="1:9">
      <c r="A79" s="5"/>
      <c r="B79" s="5"/>
      <c r="C79" s="62"/>
      <c r="D79" s="62"/>
      <c r="E79" s="5"/>
      <c r="F79" s="5"/>
      <c r="G79" s="5"/>
      <c r="H79" s="5"/>
      <c r="I79" s="5"/>
    </row>
    <row r="80" spans="1:9">
      <c r="A80" s="5"/>
      <c r="B80" s="5"/>
      <c r="C80" s="62"/>
      <c r="D80" s="62"/>
      <c r="E80" s="5"/>
      <c r="F80" s="5"/>
      <c r="G80" s="5"/>
      <c r="H80" s="5"/>
      <c r="I80" s="5"/>
    </row>
    <row r="81" spans="1:9" ht="26.25">
      <c r="A81" s="5"/>
      <c r="B81" s="59" t="s">
        <v>179</v>
      </c>
      <c r="C81" s="62"/>
      <c r="D81" s="62"/>
      <c r="E81" s="5"/>
      <c r="F81" s="5"/>
      <c r="G81" s="5"/>
      <c r="H81" s="5"/>
      <c r="I81" s="5"/>
    </row>
    <row r="82" spans="1:9">
      <c r="A82" s="5"/>
      <c r="B82" s="5"/>
      <c r="C82" s="62"/>
      <c r="D82" s="62"/>
      <c r="E82" s="5"/>
      <c r="F82" s="5"/>
      <c r="G82" s="5"/>
      <c r="H82" s="5"/>
      <c r="I82" s="5"/>
    </row>
    <row r="83" spans="1:9" ht="18">
      <c r="A83" s="5"/>
      <c r="B83" s="27" t="s">
        <v>180</v>
      </c>
      <c r="C83" s="23">
        <f t="shared" ref="C83:H84" si="24">C65</f>
        <v>2006</v>
      </c>
      <c r="D83" s="23">
        <f t="shared" si="24"/>
        <v>2007</v>
      </c>
      <c r="E83" s="23">
        <f t="shared" si="24"/>
        <v>2008</v>
      </c>
      <c r="F83" s="23">
        <f t="shared" si="24"/>
        <v>2009</v>
      </c>
      <c r="G83" s="23">
        <f t="shared" si="24"/>
        <v>2010</v>
      </c>
      <c r="H83" s="23">
        <f t="shared" si="24"/>
        <v>2011</v>
      </c>
    </row>
    <row r="84" spans="1:9">
      <c r="A84" s="5"/>
      <c r="B84" s="5"/>
      <c r="C84" s="23" t="str">
        <f t="shared" si="24"/>
        <v>Audited Actual</v>
      </c>
      <c r="D84" s="23" t="str">
        <f t="shared" si="24"/>
        <v>Audited Actual</v>
      </c>
      <c r="E84" s="23" t="str">
        <f t="shared" si="24"/>
        <v>Audited Actual</v>
      </c>
      <c r="F84" s="23" t="str">
        <f t="shared" si="24"/>
        <v>Audited Actual</v>
      </c>
      <c r="G84" s="23" t="str">
        <f t="shared" si="24"/>
        <v>Actual</v>
      </c>
      <c r="H84" s="23" t="str">
        <f t="shared" si="24"/>
        <v>Forecasted</v>
      </c>
    </row>
    <row r="85" spans="1:9">
      <c r="A85" s="5"/>
      <c r="B85" s="5"/>
      <c r="C85" s="5"/>
      <c r="D85" s="5"/>
      <c r="E85" s="5"/>
      <c r="F85" s="5"/>
      <c r="G85" s="5"/>
      <c r="H85" s="5"/>
      <c r="I85" s="5"/>
    </row>
    <row r="86" spans="1:9">
      <c r="A86" s="5"/>
      <c r="B86" s="5" t="s">
        <v>181</v>
      </c>
      <c r="C86" s="139">
        <v>0</v>
      </c>
      <c r="D86" s="139">
        <f ca="1">C88-C93</f>
        <v>0</v>
      </c>
      <c r="E86" s="139">
        <f ca="1">D88-D93</f>
        <v>0</v>
      </c>
      <c r="F86" s="139">
        <f ca="1">E88-E93</f>
        <v>0</v>
      </c>
      <c r="G86" s="139">
        <f ca="1">F88-F93</f>
        <v>17097.964800000002</v>
      </c>
      <c r="H86" s="139">
        <f ca="1">G88-G93</f>
        <v>602153.99590502388</v>
      </c>
      <c r="I86" s="5"/>
    </row>
    <row r="87" spans="1:9">
      <c r="A87" s="5"/>
      <c r="B87" s="5" t="s">
        <v>182</v>
      </c>
      <c r="C87" s="101">
        <f t="shared" ref="C87:H87" ca="1" si="25">C9</f>
        <v>0</v>
      </c>
      <c r="D87" s="101">
        <f t="shared" ca="1" si="25"/>
        <v>0</v>
      </c>
      <c r="E87" s="101">
        <f t="shared" ca="1" si="25"/>
        <v>0</v>
      </c>
      <c r="F87" s="101">
        <f t="shared" ca="1" si="25"/>
        <v>17810.38</v>
      </c>
      <c r="G87" s="101">
        <f t="shared" ca="1" si="25"/>
        <v>610858.19613439997</v>
      </c>
      <c r="H87" s="101">
        <f t="shared" ca="1" si="25"/>
        <v>0</v>
      </c>
      <c r="I87" s="5"/>
    </row>
    <row r="88" spans="1:9">
      <c r="A88" s="5"/>
      <c r="B88" s="5" t="s">
        <v>183</v>
      </c>
      <c r="C88" s="139">
        <f t="shared" ref="C88:H88" ca="1" si="26">SUM(C86:C87)</f>
        <v>0</v>
      </c>
      <c r="D88" s="139">
        <f t="shared" ca="1" si="26"/>
        <v>0</v>
      </c>
      <c r="E88" s="139">
        <f t="shared" ca="1" si="26"/>
        <v>0</v>
      </c>
      <c r="F88" s="139">
        <f t="shared" ca="1" si="26"/>
        <v>17810.38</v>
      </c>
      <c r="G88" s="139">
        <f t="shared" ca="1" si="26"/>
        <v>627956.16093439993</v>
      </c>
      <c r="H88" s="139">
        <f t="shared" ca="1" si="26"/>
        <v>602153.99590502388</v>
      </c>
      <c r="I88" s="5"/>
    </row>
    <row r="89" spans="1:9">
      <c r="A89" s="5"/>
      <c r="B89" s="5" t="s">
        <v>184</v>
      </c>
      <c r="C89" s="101">
        <f t="shared" ref="C89:H89" ca="1" si="27">SUM(C87:C87)/2</f>
        <v>0</v>
      </c>
      <c r="D89" s="101">
        <f t="shared" ca="1" si="27"/>
        <v>0</v>
      </c>
      <c r="E89" s="101">
        <f t="shared" ca="1" si="27"/>
        <v>0</v>
      </c>
      <c r="F89" s="101">
        <f t="shared" ca="1" si="27"/>
        <v>8905.19</v>
      </c>
      <c r="G89" s="101">
        <f t="shared" ca="1" si="27"/>
        <v>305429.09806719999</v>
      </c>
      <c r="H89" s="101">
        <f t="shared" ca="1" si="27"/>
        <v>0</v>
      </c>
      <c r="I89" s="5"/>
    </row>
    <row r="90" spans="1:9">
      <c r="A90" s="5"/>
      <c r="B90" s="5" t="s">
        <v>185</v>
      </c>
      <c r="C90" s="139">
        <f t="shared" ref="C90:H90" ca="1" si="28">C86+C89</f>
        <v>0</v>
      </c>
      <c r="D90" s="139">
        <f t="shared" ca="1" si="28"/>
        <v>0</v>
      </c>
      <c r="E90" s="139">
        <f t="shared" ca="1" si="28"/>
        <v>0</v>
      </c>
      <c r="F90" s="139">
        <f t="shared" ca="1" si="28"/>
        <v>8905.19</v>
      </c>
      <c r="G90" s="139">
        <f t="shared" ca="1" si="28"/>
        <v>322527.0628672</v>
      </c>
      <c r="H90" s="139">
        <f t="shared" ca="1" si="28"/>
        <v>602153.99590502388</v>
      </c>
      <c r="I90" s="5"/>
    </row>
    <row r="91" spans="1:9">
      <c r="A91" s="5"/>
      <c r="B91" s="5" t="s">
        <v>223</v>
      </c>
      <c r="C91" s="113">
        <f>'3.  LDC Assumptions and Data'!C68</f>
        <v>47</v>
      </c>
      <c r="D91" s="113">
        <f>'3.  LDC Assumptions and Data'!D68</f>
        <v>47</v>
      </c>
      <c r="E91" s="113">
        <f>'3.  LDC Assumptions and Data'!E68</f>
        <v>47</v>
      </c>
      <c r="F91" s="113">
        <f>'3.  LDC Assumptions and Data'!F68</f>
        <v>47</v>
      </c>
      <c r="G91" s="113">
        <f>'3.  LDC Assumptions and Data'!G68</f>
        <v>47</v>
      </c>
      <c r="H91" s="113">
        <f>'3.  LDC Assumptions and Data'!H68</f>
        <v>47</v>
      </c>
      <c r="I91" s="5"/>
    </row>
    <row r="92" spans="1:9">
      <c r="A92" s="5"/>
      <c r="B92" s="5" t="s">
        <v>224</v>
      </c>
      <c r="C92" s="114">
        <f>'3.  LDC Assumptions and Data'!C69</f>
        <v>0.08</v>
      </c>
      <c r="D92" s="114">
        <f>'3.  LDC Assumptions and Data'!D69</f>
        <v>0.08</v>
      </c>
      <c r="E92" s="114">
        <f>'3.  LDC Assumptions and Data'!E69</f>
        <v>0.08</v>
      </c>
      <c r="F92" s="114">
        <f>'3.  LDC Assumptions and Data'!F69</f>
        <v>0.08</v>
      </c>
      <c r="G92" s="114">
        <f>'3.  LDC Assumptions and Data'!G69</f>
        <v>0.08</v>
      </c>
      <c r="H92" s="114">
        <f>'3.  LDC Assumptions and Data'!H69</f>
        <v>0.08</v>
      </c>
      <c r="I92" s="5"/>
    </row>
    <row r="93" spans="1:9">
      <c r="A93" s="5"/>
      <c r="B93" s="5" t="s">
        <v>186</v>
      </c>
      <c r="C93" s="139">
        <f t="shared" ref="C93:H93" ca="1" si="29">IF((C90*C92)&lt;C90,(C90*C92),C90)</f>
        <v>0</v>
      </c>
      <c r="D93" s="139">
        <f t="shared" ca="1" si="29"/>
        <v>0</v>
      </c>
      <c r="E93" s="139">
        <f t="shared" ca="1" si="29"/>
        <v>0</v>
      </c>
      <c r="F93" s="139">
        <f t="shared" ca="1" si="29"/>
        <v>712.41520000000003</v>
      </c>
      <c r="G93" s="139">
        <f t="shared" ca="1" si="29"/>
        <v>25802.165029375999</v>
      </c>
      <c r="H93" s="139">
        <f t="shared" ca="1" si="29"/>
        <v>48172.319672401914</v>
      </c>
      <c r="I93" s="5"/>
    </row>
    <row r="94" spans="1:9" ht="13.5" thickBot="1">
      <c r="A94" s="5"/>
      <c r="B94" s="5" t="s">
        <v>187</v>
      </c>
      <c r="C94" s="146">
        <f t="shared" ref="C94:H94" ca="1" si="30">IF((C88-C93)&lt;0,0,(C88-C93))</f>
        <v>0</v>
      </c>
      <c r="D94" s="146">
        <f t="shared" ca="1" si="30"/>
        <v>0</v>
      </c>
      <c r="E94" s="146">
        <f t="shared" ca="1" si="30"/>
        <v>0</v>
      </c>
      <c r="F94" s="146">
        <f t="shared" ca="1" si="30"/>
        <v>17097.964800000002</v>
      </c>
      <c r="G94" s="146">
        <f t="shared" ca="1" si="30"/>
        <v>602153.99590502388</v>
      </c>
      <c r="H94" s="146">
        <f t="shared" ca="1" si="30"/>
        <v>553981.67623262201</v>
      </c>
      <c r="I94" s="5"/>
    </row>
    <row r="95" spans="1:9">
      <c r="A95" s="5"/>
      <c r="B95" s="5"/>
      <c r="C95" s="5"/>
      <c r="D95" s="5"/>
      <c r="E95" s="5"/>
      <c r="F95" s="5"/>
      <c r="G95" s="5"/>
      <c r="H95" s="5"/>
      <c r="I95" s="5"/>
    </row>
    <row r="96" spans="1:9" ht="18">
      <c r="A96" s="5"/>
      <c r="B96" s="27" t="s">
        <v>188</v>
      </c>
      <c r="C96" s="23">
        <f t="shared" ref="C96:H97" si="31">C83</f>
        <v>2006</v>
      </c>
      <c r="D96" s="23">
        <f t="shared" si="31"/>
        <v>2007</v>
      </c>
      <c r="E96" s="23">
        <f t="shared" si="31"/>
        <v>2008</v>
      </c>
      <c r="F96" s="23">
        <f t="shared" si="31"/>
        <v>2009</v>
      </c>
      <c r="G96" s="23">
        <f t="shared" si="31"/>
        <v>2010</v>
      </c>
      <c r="H96" s="23">
        <f t="shared" si="31"/>
        <v>2011</v>
      </c>
      <c r="I96" s="5"/>
    </row>
    <row r="97" spans="1:9">
      <c r="A97" s="5"/>
      <c r="B97" s="5" t="s">
        <v>286</v>
      </c>
      <c r="C97" s="23" t="str">
        <f t="shared" si="31"/>
        <v>Audited Actual</v>
      </c>
      <c r="D97" s="23" t="str">
        <f t="shared" si="31"/>
        <v>Audited Actual</v>
      </c>
      <c r="E97" s="23" t="str">
        <f t="shared" si="31"/>
        <v>Audited Actual</v>
      </c>
      <c r="F97" s="23" t="str">
        <f t="shared" si="31"/>
        <v>Audited Actual</v>
      </c>
      <c r="G97" s="23" t="str">
        <f t="shared" si="31"/>
        <v>Actual</v>
      </c>
      <c r="H97" s="23" t="str">
        <f t="shared" si="31"/>
        <v>Forecasted</v>
      </c>
      <c r="I97" s="5"/>
    </row>
    <row r="98" spans="1:9">
      <c r="A98" s="5"/>
      <c r="B98" s="5"/>
      <c r="C98" s="5"/>
      <c r="D98" s="5"/>
      <c r="E98" s="5"/>
      <c r="F98" s="5"/>
      <c r="G98" s="5"/>
      <c r="H98" s="5"/>
      <c r="I98" s="5"/>
    </row>
    <row r="99" spans="1:9">
      <c r="A99" s="5"/>
      <c r="B99" s="5" t="s">
        <v>181</v>
      </c>
      <c r="C99" s="139">
        <v>0</v>
      </c>
      <c r="D99" s="139">
        <f ca="1">C108</f>
        <v>0</v>
      </c>
      <c r="E99" s="139">
        <f ca="1">D108</f>
        <v>0</v>
      </c>
      <c r="F99" s="139">
        <f>F132+F146</f>
        <v>0</v>
      </c>
      <c r="G99" s="139">
        <f t="shared" ref="G99:H99" si="32">G132+G146</f>
        <v>8350.485999999999</v>
      </c>
      <c r="H99" s="139">
        <f t="shared" si="32"/>
        <v>15930.298700000003</v>
      </c>
      <c r="I99" s="5"/>
    </row>
    <row r="100" spans="1:9">
      <c r="A100" s="5"/>
      <c r="B100" s="5" t="s">
        <v>189</v>
      </c>
      <c r="C100" s="101">
        <f t="shared" ref="C100:E100" ca="1" si="33">C24</f>
        <v>0</v>
      </c>
      <c r="D100" s="101">
        <f t="shared" ca="1" si="33"/>
        <v>0</v>
      </c>
      <c r="E100" s="101">
        <f t="shared" ca="1" si="33"/>
        <v>0</v>
      </c>
      <c r="F100" s="101">
        <f>F133</f>
        <v>468.56</v>
      </c>
      <c r="G100" s="101">
        <f t="shared" ref="G100:H100" si="34">G133</f>
        <v>46.76</v>
      </c>
      <c r="H100" s="101">
        <f t="shared" si="34"/>
        <v>0</v>
      </c>
      <c r="I100" s="5"/>
    </row>
    <row r="101" spans="1:9">
      <c r="A101" s="5"/>
      <c r="B101" s="5" t="s">
        <v>190</v>
      </c>
      <c r="C101" s="101">
        <f t="shared" ref="C101:E101" ca="1" si="35">C39</f>
        <v>0</v>
      </c>
      <c r="D101" s="101">
        <f t="shared" ca="1" si="35"/>
        <v>0</v>
      </c>
      <c r="E101" s="101">
        <f t="shared" ca="1" si="35"/>
        <v>0</v>
      </c>
      <c r="F101" s="101">
        <f>F147</f>
        <v>16021.56</v>
      </c>
      <c r="G101" s="101">
        <f t="shared" ref="G101:H101" si="36">G147</f>
        <v>31487.06</v>
      </c>
      <c r="H101" s="101">
        <f t="shared" si="36"/>
        <v>111262</v>
      </c>
      <c r="I101" s="5"/>
    </row>
    <row r="102" spans="1:9">
      <c r="A102" s="5"/>
      <c r="B102" s="5" t="s">
        <v>183</v>
      </c>
      <c r="C102" s="139">
        <f t="shared" ref="C102:E102" ca="1" si="37">SUM(C99:C101)</f>
        <v>0</v>
      </c>
      <c r="D102" s="139">
        <f t="shared" ca="1" si="37"/>
        <v>0</v>
      </c>
      <c r="E102" s="139">
        <f t="shared" ca="1" si="37"/>
        <v>0</v>
      </c>
      <c r="F102" s="139">
        <f>F134+F148</f>
        <v>16490.12</v>
      </c>
      <c r="G102" s="139">
        <f t="shared" ref="G102:H102" si="38">G134+G148</f>
        <v>39884.306000000004</v>
      </c>
      <c r="H102" s="139">
        <f t="shared" si="38"/>
        <v>127192.2987</v>
      </c>
      <c r="I102" s="5"/>
    </row>
    <row r="103" spans="1:9">
      <c r="A103" s="5"/>
      <c r="B103" s="5" t="s">
        <v>184</v>
      </c>
      <c r="C103" s="101">
        <f t="shared" ref="C103:E103" ca="1" si="39">SUM(C100:C101)/2</f>
        <v>0</v>
      </c>
      <c r="D103" s="101">
        <f t="shared" ca="1" si="39"/>
        <v>0</v>
      </c>
      <c r="E103" s="101">
        <f t="shared" ca="1" si="39"/>
        <v>0</v>
      </c>
      <c r="F103" s="101">
        <f>F135+F149</f>
        <v>8245.06</v>
      </c>
      <c r="G103" s="101">
        <f t="shared" ref="G103:H103" si="40">G135+G149</f>
        <v>15766.91</v>
      </c>
      <c r="H103" s="101">
        <f t="shared" si="40"/>
        <v>55631</v>
      </c>
      <c r="I103" s="5"/>
    </row>
    <row r="104" spans="1:9">
      <c r="A104" s="5"/>
      <c r="B104" s="5" t="s">
        <v>185</v>
      </c>
      <c r="C104" s="139">
        <f t="shared" ref="C104:E104" ca="1" si="41">C99+C103</f>
        <v>0</v>
      </c>
      <c r="D104" s="139">
        <f t="shared" ca="1" si="41"/>
        <v>0</v>
      </c>
      <c r="E104" s="139">
        <f t="shared" ca="1" si="41"/>
        <v>0</v>
      </c>
      <c r="F104" s="139">
        <f>F136+F150</f>
        <v>8245.06</v>
      </c>
      <c r="G104" s="139">
        <f t="shared" ref="G104:H104" si="42">G136+G150</f>
        <v>24117.396000000001</v>
      </c>
      <c r="H104" s="139">
        <f t="shared" si="42"/>
        <v>71561.298699999999</v>
      </c>
      <c r="I104" s="5"/>
    </row>
    <row r="105" spans="1:9">
      <c r="A105" s="5"/>
      <c r="B105" s="5" t="s">
        <v>223</v>
      </c>
      <c r="C105" s="113"/>
      <c r="D105" s="113"/>
      <c r="E105" s="113"/>
      <c r="F105" s="113"/>
      <c r="G105" s="113"/>
      <c r="H105" s="113"/>
      <c r="I105" s="5"/>
    </row>
    <row r="106" spans="1:9">
      <c r="A106" s="5"/>
      <c r="B106" s="5" t="s">
        <v>224</v>
      </c>
      <c r="C106" s="114"/>
      <c r="D106" s="114"/>
      <c r="E106" s="114"/>
      <c r="F106" s="114"/>
      <c r="G106" s="114"/>
      <c r="H106" s="114"/>
      <c r="I106" s="5"/>
    </row>
    <row r="107" spans="1:9">
      <c r="A107" s="5"/>
      <c r="B107" s="5" t="s">
        <v>186</v>
      </c>
      <c r="C107" s="139">
        <f t="shared" ref="C107:E107" ca="1" si="43">IF((C104*C106)&lt;C104,(C104*C106),C104)</f>
        <v>0</v>
      </c>
      <c r="D107" s="139">
        <f t="shared" ca="1" si="43"/>
        <v>0</v>
      </c>
      <c r="E107" s="139">
        <f t="shared" ca="1" si="43"/>
        <v>0</v>
      </c>
      <c r="F107" s="139">
        <f>F139+F153</f>
        <v>8139.634</v>
      </c>
      <c r="G107" s="139">
        <f t="shared" ref="G107:H107" si="44">G139+G153</f>
        <v>23954.007300000001</v>
      </c>
      <c r="H107" s="139">
        <f t="shared" si="44"/>
        <v>71477.252785000004</v>
      </c>
      <c r="I107" s="5"/>
    </row>
    <row r="108" spans="1:9" ht="13.5" thickBot="1">
      <c r="A108" s="5"/>
      <c r="B108" s="5" t="s">
        <v>187</v>
      </c>
      <c r="C108" s="146">
        <f t="shared" ref="C108:E108" ca="1" si="45">IF((C102-C107)&lt;0,0,(C102-C107))</f>
        <v>0</v>
      </c>
      <c r="D108" s="146">
        <f t="shared" ca="1" si="45"/>
        <v>0</v>
      </c>
      <c r="E108" s="146">
        <f t="shared" ca="1" si="45"/>
        <v>0</v>
      </c>
      <c r="F108" s="146">
        <f>F140+F154</f>
        <v>8350.485999999999</v>
      </c>
      <c r="G108" s="146">
        <f t="shared" ref="G108:H108" si="46">G140+G154</f>
        <v>15930.298700000003</v>
      </c>
      <c r="H108" s="146">
        <f t="shared" si="46"/>
        <v>55715.045915000002</v>
      </c>
      <c r="I108" s="5"/>
    </row>
    <row r="110" spans="1:9" ht="18">
      <c r="A110" s="5"/>
      <c r="B110" s="27" t="s">
        <v>191</v>
      </c>
      <c r="C110" s="23">
        <f t="shared" ref="C110:H111" si="47">C96</f>
        <v>2006</v>
      </c>
      <c r="D110" s="23">
        <f t="shared" si="47"/>
        <v>2007</v>
      </c>
      <c r="E110" s="23">
        <f t="shared" si="47"/>
        <v>2008</v>
      </c>
      <c r="F110" s="23">
        <f t="shared" si="47"/>
        <v>2009</v>
      </c>
      <c r="G110" s="23">
        <f t="shared" si="47"/>
        <v>2010</v>
      </c>
      <c r="H110" s="23">
        <f t="shared" si="47"/>
        <v>2011</v>
      </c>
      <c r="I110" s="5"/>
    </row>
    <row r="111" spans="1:9">
      <c r="A111" s="5"/>
      <c r="B111" s="5"/>
      <c r="C111" s="23" t="str">
        <f t="shared" si="47"/>
        <v>Audited Actual</v>
      </c>
      <c r="D111" s="23" t="str">
        <f t="shared" si="47"/>
        <v>Audited Actual</v>
      </c>
      <c r="E111" s="23" t="str">
        <f t="shared" si="47"/>
        <v>Audited Actual</v>
      </c>
      <c r="F111" s="23" t="str">
        <f t="shared" si="47"/>
        <v>Audited Actual</v>
      </c>
      <c r="G111" s="23" t="str">
        <f t="shared" si="47"/>
        <v>Actual</v>
      </c>
      <c r="H111" s="23" t="str">
        <f t="shared" si="47"/>
        <v>Forecasted</v>
      </c>
      <c r="I111" s="5"/>
    </row>
    <row r="112" spans="1:9">
      <c r="A112" s="5"/>
      <c r="B112" s="5"/>
      <c r="C112" s="5"/>
      <c r="D112" s="5"/>
      <c r="E112" s="5"/>
      <c r="F112" s="5"/>
      <c r="G112" s="5"/>
      <c r="H112" s="5"/>
      <c r="I112" s="5"/>
    </row>
    <row r="113" spans="1:9">
      <c r="A113" s="5"/>
      <c r="B113" s="5" t="s">
        <v>181</v>
      </c>
      <c r="C113" s="139">
        <v>0</v>
      </c>
      <c r="D113" s="139">
        <f ca="1">C122</f>
        <v>0</v>
      </c>
      <c r="E113" s="139">
        <f ca="1">D122</f>
        <v>0</v>
      </c>
      <c r="F113" s="139">
        <f ca="1">E122</f>
        <v>0</v>
      </c>
      <c r="G113" s="139">
        <f ca="1">F122</f>
        <v>0</v>
      </c>
      <c r="H113" s="139">
        <f ca="1">G122</f>
        <v>1287.9179999999999</v>
      </c>
      <c r="I113" s="5"/>
    </row>
    <row r="114" spans="1:9">
      <c r="A114" s="5"/>
      <c r="B114" s="5" t="s">
        <v>192</v>
      </c>
      <c r="C114" s="101">
        <f t="shared" ref="C114:H114" ca="1" si="48">C54</f>
        <v>0</v>
      </c>
      <c r="D114" s="101">
        <f t="shared" ca="1" si="48"/>
        <v>0</v>
      </c>
      <c r="E114" s="101">
        <f t="shared" ca="1" si="48"/>
        <v>0</v>
      </c>
      <c r="F114" s="101">
        <f t="shared" ca="1" si="48"/>
        <v>0</v>
      </c>
      <c r="G114" s="101">
        <f t="shared" ca="1" si="48"/>
        <v>0</v>
      </c>
      <c r="H114" s="101">
        <f t="shared" ca="1" si="48"/>
        <v>0</v>
      </c>
      <c r="I114" s="5"/>
    </row>
    <row r="115" spans="1:9">
      <c r="A115" s="5"/>
      <c r="B115" s="5" t="s">
        <v>193</v>
      </c>
      <c r="C115" s="101">
        <f t="shared" ref="C115:H115" ca="1" si="49">C69</f>
        <v>0</v>
      </c>
      <c r="D115" s="101">
        <f t="shared" ca="1" si="49"/>
        <v>0</v>
      </c>
      <c r="E115" s="101">
        <f t="shared" ca="1" si="49"/>
        <v>0</v>
      </c>
      <c r="F115" s="101">
        <f t="shared" ca="1" si="49"/>
        <v>0</v>
      </c>
      <c r="G115" s="101">
        <f t="shared" ca="1" si="49"/>
        <v>1431.02</v>
      </c>
      <c r="H115" s="101">
        <f t="shared" ca="1" si="49"/>
        <v>0</v>
      </c>
      <c r="I115" s="5"/>
    </row>
    <row r="116" spans="1:9">
      <c r="A116" s="5"/>
      <c r="B116" s="5" t="s">
        <v>183</v>
      </c>
      <c r="C116" s="139">
        <f t="shared" ref="C116:H116" ca="1" si="50">SUM(C113:C115)</f>
        <v>0</v>
      </c>
      <c r="D116" s="139">
        <f t="shared" ca="1" si="50"/>
        <v>0</v>
      </c>
      <c r="E116" s="139">
        <f t="shared" ca="1" si="50"/>
        <v>0</v>
      </c>
      <c r="F116" s="139">
        <f t="shared" ca="1" si="50"/>
        <v>0</v>
      </c>
      <c r="G116" s="139">
        <f t="shared" ca="1" si="50"/>
        <v>1431.02</v>
      </c>
      <c r="H116" s="139">
        <f t="shared" ca="1" si="50"/>
        <v>1287.9179999999999</v>
      </c>
      <c r="I116" s="5"/>
    </row>
    <row r="117" spans="1:9">
      <c r="A117" s="5"/>
      <c r="B117" s="5" t="s">
        <v>184</v>
      </c>
      <c r="C117" s="101">
        <f t="shared" ref="C117:H117" ca="1" si="51">SUM(C114:C115)/2</f>
        <v>0</v>
      </c>
      <c r="D117" s="101">
        <f t="shared" ca="1" si="51"/>
        <v>0</v>
      </c>
      <c r="E117" s="101">
        <f t="shared" ca="1" si="51"/>
        <v>0</v>
      </c>
      <c r="F117" s="101">
        <f t="shared" ca="1" si="51"/>
        <v>0</v>
      </c>
      <c r="G117" s="101">
        <f t="shared" ca="1" si="51"/>
        <v>715.51</v>
      </c>
      <c r="H117" s="101">
        <f t="shared" ca="1" si="51"/>
        <v>0</v>
      </c>
      <c r="I117" s="5"/>
    </row>
    <row r="118" spans="1:9">
      <c r="A118" s="5"/>
      <c r="B118" s="5" t="s">
        <v>185</v>
      </c>
      <c r="C118" s="139">
        <f t="shared" ref="C118:H118" ca="1" si="52">C113+C117</f>
        <v>0</v>
      </c>
      <c r="D118" s="139">
        <f t="shared" ca="1" si="52"/>
        <v>0</v>
      </c>
      <c r="E118" s="139">
        <f t="shared" ca="1" si="52"/>
        <v>0</v>
      </c>
      <c r="F118" s="139">
        <f t="shared" ca="1" si="52"/>
        <v>0</v>
      </c>
      <c r="G118" s="139">
        <f t="shared" ca="1" si="52"/>
        <v>715.51</v>
      </c>
      <c r="H118" s="139">
        <f t="shared" ca="1" si="52"/>
        <v>1287.9179999999999</v>
      </c>
      <c r="I118" s="5"/>
    </row>
    <row r="119" spans="1:9">
      <c r="A119" s="5"/>
      <c r="B119" s="5" t="s">
        <v>223</v>
      </c>
      <c r="C119" s="113">
        <f>'3.  LDC Assumptions and Data'!C74</f>
        <v>8</v>
      </c>
      <c r="D119" s="113">
        <f>'3.  LDC Assumptions and Data'!D74</f>
        <v>8</v>
      </c>
      <c r="E119" s="113">
        <f>'3.  LDC Assumptions and Data'!E74</f>
        <v>8</v>
      </c>
      <c r="F119" s="113">
        <f>'3.  LDC Assumptions and Data'!F74</f>
        <v>8</v>
      </c>
      <c r="G119" s="113">
        <f>'3.  LDC Assumptions and Data'!G74</f>
        <v>8</v>
      </c>
      <c r="H119" s="113">
        <f>'3.  LDC Assumptions and Data'!H74</f>
        <v>8</v>
      </c>
      <c r="I119" s="5"/>
    </row>
    <row r="120" spans="1:9">
      <c r="A120" s="5"/>
      <c r="B120" s="5" t="s">
        <v>224</v>
      </c>
      <c r="C120" s="114">
        <f>'3.  LDC Assumptions and Data'!C75</f>
        <v>0.2</v>
      </c>
      <c r="D120" s="114">
        <f>'3.  LDC Assumptions and Data'!D75</f>
        <v>0.2</v>
      </c>
      <c r="E120" s="114">
        <f>'3.  LDC Assumptions and Data'!E75</f>
        <v>0.2</v>
      </c>
      <c r="F120" s="114">
        <f>'3.  LDC Assumptions and Data'!F75</f>
        <v>0.2</v>
      </c>
      <c r="G120" s="114">
        <f>'3.  LDC Assumptions and Data'!G75</f>
        <v>0.2</v>
      </c>
      <c r="H120" s="114">
        <f>'3.  LDC Assumptions and Data'!H75</f>
        <v>0.2</v>
      </c>
      <c r="I120" s="5"/>
    </row>
    <row r="121" spans="1:9">
      <c r="A121" s="5"/>
      <c r="B121" s="5" t="s">
        <v>186</v>
      </c>
      <c r="C121" s="139">
        <f t="shared" ref="C121:H121" ca="1" si="53">IF((C118*C120)&lt;C118,(C118*C120),C118)</f>
        <v>0</v>
      </c>
      <c r="D121" s="139">
        <f t="shared" ca="1" si="53"/>
        <v>0</v>
      </c>
      <c r="E121" s="139">
        <f t="shared" ca="1" si="53"/>
        <v>0</v>
      </c>
      <c r="F121" s="139">
        <f t="shared" ca="1" si="53"/>
        <v>0</v>
      </c>
      <c r="G121" s="139">
        <f t="shared" ca="1" si="53"/>
        <v>143.102</v>
      </c>
      <c r="H121" s="139">
        <f t="shared" ca="1" si="53"/>
        <v>257.58359999999999</v>
      </c>
      <c r="I121" s="5"/>
    </row>
    <row r="122" spans="1:9" ht="13.5" thickBot="1">
      <c r="A122" s="5"/>
      <c r="B122" s="5" t="s">
        <v>187</v>
      </c>
      <c r="C122" s="146">
        <f t="shared" ref="C122:H122" ca="1" si="54">IF((C116-C121)&lt;0,0,(C116-C121))</f>
        <v>0</v>
      </c>
      <c r="D122" s="146">
        <f t="shared" ca="1" si="54"/>
        <v>0</v>
      </c>
      <c r="E122" s="146">
        <f t="shared" ca="1" si="54"/>
        <v>0</v>
      </c>
      <c r="F122" s="146">
        <f t="shared" ca="1" si="54"/>
        <v>0</v>
      </c>
      <c r="G122" s="146">
        <f t="shared" ca="1" si="54"/>
        <v>1287.9179999999999</v>
      </c>
      <c r="H122" s="146">
        <f t="shared" ca="1" si="54"/>
        <v>1030.3344</v>
      </c>
      <c r="I122" s="5"/>
    </row>
    <row r="126" spans="1:9" ht="15.75" thickBot="1">
      <c r="B126" s="24"/>
    </row>
    <row r="127" spans="1:9" ht="15">
      <c r="B127" s="194" t="s">
        <v>287</v>
      </c>
      <c r="C127" s="195"/>
      <c r="D127" s="195"/>
      <c r="E127" s="195"/>
      <c r="F127" s="195"/>
      <c r="G127" s="195"/>
      <c r="H127" s="196"/>
    </row>
    <row r="128" spans="1:9">
      <c r="B128" s="167"/>
      <c r="C128" s="168"/>
      <c r="D128" s="168"/>
      <c r="E128" s="168"/>
      <c r="F128" s="168"/>
      <c r="G128" s="168"/>
      <c r="H128" s="169"/>
    </row>
    <row r="129" spans="2:8" ht="18">
      <c r="B129" s="170" t="s">
        <v>188</v>
      </c>
      <c r="C129" s="171">
        <v>2006</v>
      </c>
      <c r="D129" s="171">
        <v>2007</v>
      </c>
      <c r="E129" s="171">
        <v>2008</v>
      </c>
      <c r="F129" s="171">
        <v>2009</v>
      </c>
      <c r="G129" s="171">
        <v>2010</v>
      </c>
      <c r="H129" s="172">
        <v>2011</v>
      </c>
    </row>
    <row r="130" spans="2:8">
      <c r="B130" s="64"/>
      <c r="C130" s="171" t="s">
        <v>205</v>
      </c>
      <c r="D130" s="171" t="s">
        <v>205</v>
      </c>
      <c r="E130" s="171" t="s">
        <v>205</v>
      </c>
      <c r="F130" s="171" t="s">
        <v>205</v>
      </c>
      <c r="G130" s="171" t="s">
        <v>204</v>
      </c>
      <c r="H130" s="172" t="s">
        <v>206</v>
      </c>
    </row>
    <row r="131" spans="2:8">
      <c r="B131" s="64"/>
      <c r="C131" s="6"/>
      <c r="D131" s="6"/>
      <c r="E131" s="6"/>
      <c r="F131" s="6"/>
      <c r="G131" s="6"/>
      <c r="H131" s="61"/>
    </row>
    <row r="132" spans="2:8">
      <c r="B132" s="64" t="s">
        <v>181</v>
      </c>
      <c r="C132" s="163">
        <v>0</v>
      </c>
      <c r="D132" s="163">
        <v>0</v>
      </c>
      <c r="E132" s="163">
        <v>0</v>
      </c>
      <c r="F132" s="163">
        <v>0</v>
      </c>
      <c r="G132" s="163">
        <v>339.70600000000002</v>
      </c>
      <c r="H132" s="173">
        <v>186.7687</v>
      </c>
    </row>
    <row r="133" spans="2:8">
      <c r="B133" s="64" t="s">
        <v>189</v>
      </c>
      <c r="C133" s="174">
        <v>0</v>
      </c>
      <c r="D133" s="174">
        <v>0</v>
      </c>
      <c r="E133" s="174">
        <v>0</v>
      </c>
      <c r="F133" s="174">
        <v>468.56</v>
      </c>
      <c r="G133" s="174">
        <v>46.76</v>
      </c>
      <c r="H133" s="175">
        <v>0</v>
      </c>
    </row>
    <row r="134" spans="2:8">
      <c r="B134" s="64" t="s">
        <v>183</v>
      </c>
      <c r="C134" s="163">
        <v>0</v>
      </c>
      <c r="D134" s="163">
        <v>0</v>
      </c>
      <c r="E134" s="163">
        <v>0</v>
      </c>
      <c r="F134" s="163">
        <v>468.56</v>
      </c>
      <c r="G134" s="163">
        <v>386.46600000000001</v>
      </c>
      <c r="H134" s="173">
        <v>186.7687</v>
      </c>
    </row>
    <row r="135" spans="2:8">
      <c r="B135" s="64" t="s">
        <v>184</v>
      </c>
      <c r="C135" s="174">
        <v>0</v>
      </c>
      <c r="D135" s="174">
        <v>0</v>
      </c>
      <c r="E135" s="174">
        <v>0</v>
      </c>
      <c r="F135" s="174">
        <v>234.28</v>
      </c>
      <c r="G135" s="174">
        <v>23.38</v>
      </c>
      <c r="H135" s="175">
        <v>0</v>
      </c>
    </row>
    <row r="136" spans="2:8">
      <c r="B136" s="64" t="s">
        <v>185</v>
      </c>
      <c r="C136" s="163">
        <v>0</v>
      </c>
      <c r="D136" s="163">
        <v>0</v>
      </c>
      <c r="E136" s="163">
        <v>0</v>
      </c>
      <c r="F136" s="163">
        <v>234.28</v>
      </c>
      <c r="G136" s="163">
        <v>363.08600000000001</v>
      </c>
      <c r="H136" s="173">
        <v>186.7687</v>
      </c>
    </row>
    <row r="137" spans="2:8">
      <c r="B137" s="64" t="s">
        <v>223</v>
      </c>
      <c r="C137" s="164">
        <v>45</v>
      </c>
      <c r="D137" s="164">
        <v>50</v>
      </c>
      <c r="E137" s="164">
        <v>50</v>
      </c>
      <c r="F137" s="164">
        <v>50</v>
      </c>
      <c r="G137" s="164">
        <v>50</v>
      </c>
      <c r="H137" s="176">
        <v>50</v>
      </c>
    </row>
    <row r="138" spans="2:8">
      <c r="B138" s="64" t="s">
        <v>224</v>
      </c>
      <c r="C138" s="165">
        <v>0.45</v>
      </c>
      <c r="D138" s="165">
        <v>0.55000000000000004</v>
      </c>
      <c r="E138" s="165">
        <v>0.55000000000000004</v>
      </c>
      <c r="F138" s="165">
        <v>0.55000000000000004</v>
      </c>
      <c r="G138" s="165">
        <v>0.55000000000000004</v>
      </c>
      <c r="H138" s="177">
        <v>0.55000000000000004</v>
      </c>
    </row>
    <row r="139" spans="2:8">
      <c r="B139" s="64" t="s">
        <v>186</v>
      </c>
      <c r="C139" s="163">
        <v>0</v>
      </c>
      <c r="D139" s="163">
        <v>0</v>
      </c>
      <c r="E139" s="163">
        <v>0</v>
      </c>
      <c r="F139" s="163">
        <v>128.85400000000001</v>
      </c>
      <c r="G139" s="163">
        <v>199.69730000000001</v>
      </c>
      <c r="H139" s="173">
        <v>102.722785</v>
      </c>
    </row>
    <row r="140" spans="2:8" ht="13.5" thickBot="1">
      <c r="B140" s="64" t="s">
        <v>187</v>
      </c>
      <c r="C140" s="166">
        <v>0</v>
      </c>
      <c r="D140" s="166">
        <v>0</v>
      </c>
      <c r="E140" s="166">
        <v>0</v>
      </c>
      <c r="F140" s="166">
        <v>339.70600000000002</v>
      </c>
      <c r="G140" s="166">
        <v>186.7687</v>
      </c>
      <c r="H140" s="178">
        <v>84.045914999999994</v>
      </c>
    </row>
    <row r="141" spans="2:8">
      <c r="B141" s="167"/>
      <c r="C141" s="168"/>
      <c r="D141" s="168"/>
      <c r="E141" s="168"/>
      <c r="F141" s="168"/>
      <c r="G141" s="168"/>
      <c r="H141" s="169"/>
    </row>
    <row r="142" spans="2:8">
      <c r="B142" s="167"/>
      <c r="C142" s="168"/>
      <c r="D142" s="168"/>
      <c r="E142" s="168"/>
      <c r="F142" s="168"/>
      <c r="G142" s="168"/>
      <c r="H142" s="169"/>
    </row>
    <row r="143" spans="2:8" ht="18">
      <c r="B143" s="170" t="s">
        <v>188</v>
      </c>
      <c r="C143" s="171">
        <v>2006</v>
      </c>
      <c r="D143" s="171">
        <v>2007</v>
      </c>
      <c r="E143" s="171">
        <v>2008</v>
      </c>
      <c r="F143" s="171">
        <v>2009</v>
      </c>
      <c r="G143" s="171">
        <v>2010</v>
      </c>
      <c r="H143" s="172">
        <v>2011</v>
      </c>
    </row>
    <row r="144" spans="2:8">
      <c r="B144" s="64"/>
      <c r="C144" s="171" t="s">
        <v>205</v>
      </c>
      <c r="D144" s="171" t="s">
        <v>205</v>
      </c>
      <c r="E144" s="171" t="s">
        <v>205</v>
      </c>
      <c r="F144" s="171" t="s">
        <v>205</v>
      </c>
      <c r="G144" s="171" t="s">
        <v>204</v>
      </c>
      <c r="H144" s="172" t="s">
        <v>206</v>
      </c>
    </row>
    <row r="145" spans="2:8">
      <c r="B145" s="64"/>
      <c r="C145" s="6"/>
      <c r="D145" s="6"/>
      <c r="E145" s="6"/>
      <c r="F145" s="6"/>
      <c r="G145" s="6"/>
      <c r="H145" s="61"/>
    </row>
    <row r="146" spans="2:8">
      <c r="B146" s="64" t="s">
        <v>181</v>
      </c>
      <c r="C146" s="163">
        <v>0</v>
      </c>
      <c r="D146" s="163">
        <v>0</v>
      </c>
      <c r="E146" s="163">
        <v>0</v>
      </c>
      <c r="F146" s="163">
        <v>0</v>
      </c>
      <c r="G146" s="163">
        <v>8010.78</v>
      </c>
      <c r="H146" s="173">
        <v>15743.530000000002</v>
      </c>
    </row>
    <row r="147" spans="2:8">
      <c r="B147" s="64" t="s">
        <v>190</v>
      </c>
      <c r="C147" s="174">
        <v>0</v>
      </c>
      <c r="D147" s="174">
        <v>0</v>
      </c>
      <c r="E147" s="174">
        <v>0</v>
      </c>
      <c r="F147" s="174">
        <v>16021.56</v>
      </c>
      <c r="G147" s="174">
        <v>31487.06</v>
      </c>
      <c r="H147" s="175">
        <v>111262</v>
      </c>
    </row>
    <row r="148" spans="2:8">
      <c r="B148" s="64" t="s">
        <v>183</v>
      </c>
      <c r="C148" s="163">
        <v>0</v>
      </c>
      <c r="D148" s="163">
        <v>0</v>
      </c>
      <c r="E148" s="163">
        <v>0</v>
      </c>
      <c r="F148" s="163">
        <v>16021.56</v>
      </c>
      <c r="G148" s="163">
        <v>39497.840000000004</v>
      </c>
      <c r="H148" s="173">
        <v>127005.53</v>
      </c>
    </row>
    <row r="149" spans="2:8">
      <c r="B149" s="64" t="s">
        <v>184</v>
      </c>
      <c r="C149" s="174">
        <v>0</v>
      </c>
      <c r="D149" s="174">
        <v>0</v>
      </c>
      <c r="E149" s="174">
        <v>0</v>
      </c>
      <c r="F149" s="174">
        <v>8010.78</v>
      </c>
      <c r="G149" s="174">
        <v>15743.53</v>
      </c>
      <c r="H149" s="175">
        <v>55631</v>
      </c>
    </row>
    <row r="150" spans="2:8">
      <c r="B150" s="64" t="s">
        <v>185</v>
      </c>
      <c r="C150" s="163">
        <v>0</v>
      </c>
      <c r="D150" s="163">
        <v>0</v>
      </c>
      <c r="E150" s="163">
        <v>0</v>
      </c>
      <c r="F150" s="163">
        <v>8010.78</v>
      </c>
      <c r="G150" s="163">
        <v>23754.31</v>
      </c>
      <c r="H150" s="173">
        <v>71374.53</v>
      </c>
    </row>
    <row r="151" spans="2:8">
      <c r="B151" s="64" t="s">
        <v>223</v>
      </c>
      <c r="C151" s="164">
        <v>45</v>
      </c>
      <c r="D151" s="164">
        <v>12</v>
      </c>
      <c r="E151" s="164">
        <v>12</v>
      </c>
      <c r="F151" s="164">
        <v>12</v>
      </c>
      <c r="G151" s="164">
        <v>12</v>
      </c>
      <c r="H151" s="176">
        <v>12</v>
      </c>
    </row>
    <row r="152" spans="2:8">
      <c r="B152" s="64" t="s">
        <v>224</v>
      </c>
      <c r="C152" s="165"/>
      <c r="D152" s="165"/>
      <c r="E152" s="165"/>
      <c r="F152" s="165">
        <v>1</v>
      </c>
      <c r="G152" s="165">
        <v>1</v>
      </c>
      <c r="H152" s="177">
        <v>1</v>
      </c>
    </row>
    <row r="153" spans="2:8">
      <c r="B153" s="64" t="s">
        <v>186</v>
      </c>
      <c r="C153" s="163">
        <v>0</v>
      </c>
      <c r="D153" s="163">
        <v>0</v>
      </c>
      <c r="E153" s="163">
        <v>0</v>
      </c>
      <c r="F153" s="163">
        <v>8010.78</v>
      </c>
      <c r="G153" s="163">
        <v>23754.31</v>
      </c>
      <c r="H153" s="173">
        <v>71374.53</v>
      </c>
    </row>
    <row r="154" spans="2:8" ht="13.5" thickBot="1">
      <c r="B154" s="71" t="s">
        <v>187</v>
      </c>
      <c r="C154" s="166">
        <v>0</v>
      </c>
      <c r="D154" s="166">
        <v>0</v>
      </c>
      <c r="E154" s="166">
        <v>0</v>
      </c>
      <c r="F154" s="166">
        <v>8010.78</v>
      </c>
      <c r="G154" s="166">
        <v>15743.530000000002</v>
      </c>
      <c r="H154" s="178">
        <v>55631</v>
      </c>
    </row>
  </sheetData>
  <sheetProtection formatColumns="0" selectLockedCells="1"/>
  <mergeCells count="2">
    <mergeCell ref="B1:E1"/>
    <mergeCell ref="B127:H127"/>
  </mergeCells>
  <phoneticPr fontId="4" type="noConversion"/>
  <pageMargins left="0.53" right="0.44" top="0.55000000000000004" bottom="0.55000000000000004" header="0.5" footer="0.5"/>
  <pageSetup scale="65"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2" manualBreakCount="2">
    <brk id="80" max="16383" man="1"/>
    <brk id="126" max="16383" man="1"/>
  </rowBreaks>
</worksheet>
</file>

<file path=xl/worksheets/sheet7.xml><?xml version="1.0" encoding="utf-8"?>
<worksheet xmlns="http://schemas.openxmlformats.org/spreadsheetml/2006/main" xmlns:r="http://schemas.openxmlformats.org/officeDocument/2006/relationships">
  <sheetPr codeName="Sheet10">
    <pageSetUpPr fitToPage="1"/>
  </sheetPr>
  <dimension ref="A1:K81"/>
  <sheetViews>
    <sheetView topLeftCell="A40" zoomScale="85" zoomScaleNormal="85" workbookViewId="0">
      <selection activeCell="C68" sqref="C68"/>
    </sheetView>
  </sheetViews>
  <sheetFormatPr defaultColWidth="11.42578125" defaultRowHeight="15"/>
  <cols>
    <col min="1" max="1" width="23.85546875" style="131" customWidth="1"/>
    <col min="2" max="2" width="14.140625" style="132" bestFit="1" customWidth="1"/>
    <col min="3" max="3" width="13.7109375" style="132" customWidth="1"/>
    <col min="4" max="4" width="11.42578125" style="132" customWidth="1"/>
    <col min="5" max="5" width="12.7109375" style="132" customWidth="1"/>
    <col min="6" max="6" width="14.140625" style="132" bestFit="1" customWidth="1"/>
    <col min="7" max="9" width="11.42578125" style="132"/>
    <col min="10" max="10" width="25.7109375" style="131" customWidth="1"/>
    <col min="11" max="11" width="22.7109375" style="131" customWidth="1"/>
    <col min="12" max="16384" width="11.42578125" style="132"/>
  </cols>
  <sheetData>
    <row r="1" spans="1:11" ht="48">
      <c r="B1" s="25" t="s">
        <v>259</v>
      </c>
      <c r="C1" s="25"/>
      <c r="D1" s="25"/>
      <c r="E1" s="25"/>
      <c r="F1" s="25"/>
      <c r="G1" s="25"/>
      <c r="I1" s="119"/>
      <c r="J1" s="120" t="s">
        <v>231</v>
      </c>
      <c r="K1" s="120" t="s">
        <v>233</v>
      </c>
    </row>
    <row r="2" spans="1:11" ht="94.5">
      <c r="I2" s="119"/>
      <c r="J2" s="120" t="s">
        <v>232</v>
      </c>
      <c r="K2" s="120" t="s">
        <v>234</v>
      </c>
    </row>
    <row r="3" spans="1:11" ht="15.75">
      <c r="A3" s="133" t="s">
        <v>273</v>
      </c>
      <c r="B3" s="133" t="s">
        <v>124</v>
      </c>
      <c r="C3" s="133" t="s">
        <v>230</v>
      </c>
      <c r="D3" s="133" t="s">
        <v>125</v>
      </c>
      <c r="E3" s="133" t="s">
        <v>126</v>
      </c>
      <c r="F3" s="133" t="s">
        <v>127</v>
      </c>
      <c r="I3" s="119" t="s">
        <v>246</v>
      </c>
      <c r="J3" s="121">
        <v>4.1399999999999997</v>
      </c>
      <c r="K3" s="121">
        <v>4.68</v>
      </c>
    </row>
    <row r="4" spans="1:11" ht="15.75">
      <c r="A4" s="134">
        <v>38718</v>
      </c>
      <c r="B4" s="117">
        <v>0</v>
      </c>
      <c r="C4" s="116">
        <v>0</v>
      </c>
      <c r="D4" s="135">
        <f>'3.  LDC Assumptions and Data'!$C$19</f>
        <v>7.0900000000000005E-2</v>
      </c>
      <c r="E4" s="117">
        <f t="shared" ref="E4:E27" si="0">(B4*D4)/12</f>
        <v>0</v>
      </c>
      <c r="F4" s="117">
        <f>SUM(B4:C4,E4)</f>
        <v>0</v>
      </c>
      <c r="I4" s="119" t="s">
        <v>245</v>
      </c>
      <c r="J4" s="121">
        <v>4.59</v>
      </c>
      <c r="K4" s="121">
        <v>5.05</v>
      </c>
    </row>
    <row r="5" spans="1:11" ht="15.75">
      <c r="A5" s="134">
        <v>38749</v>
      </c>
      <c r="B5" s="118">
        <f t="shared" ref="B5:B28" si="1">F4</f>
        <v>0</v>
      </c>
      <c r="C5" s="116">
        <v>0</v>
      </c>
      <c r="D5" s="135">
        <f>'3.  LDC Assumptions and Data'!$C$19</f>
        <v>7.0900000000000005E-2</v>
      </c>
      <c r="E5" s="117">
        <f t="shared" si="0"/>
        <v>0</v>
      </c>
      <c r="F5" s="117">
        <f t="shared" ref="F5:F27" si="2">SUM(B5:C5,E5)</f>
        <v>0</v>
      </c>
      <c r="I5" s="119" t="s">
        <v>244</v>
      </c>
      <c r="J5" s="121">
        <v>4.59</v>
      </c>
      <c r="K5" s="121">
        <v>4.72</v>
      </c>
    </row>
    <row r="6" spans="1:11" ht="15.75">
      <c r="A6" s="134">
        <v>38777</v>
      </c>
      <c r="B6" s="118">
        <f t="shared" si="1"/>
        <v>0</v>
      </c>
      <c r="C6" s="116">
        <v>0</v>
      </c>
      <c r="D6" s="135">
        <f>'3.  LDC Assumptions and Data'!$C$19</f>
        <v>7.0900000000000005E-2</v>
      </c>
      <c r="E6" s="117">
        <f t="shared" si="0"/>
        <v>0</v>
      </c>
      <c r="F6" s="117">
        <f t="shared" si="2"/>
        <v>0</v>
      </c>
      <c r="I6" s="119" t="s">
        <v>243</v>
      </c>
      <c r="J6" s="121">
        <v>4.59</v>
      </c>
      <c r="K6" s="121">
        <v>4.72</v>
      </c>
    </row>
    <row r="7" spans="1:11" ht="15.75">
      <c r="A7" s="134">
        <v>38808</v>
      </c>
      <c r="B7" s="118">
        <f t="shared" si="1"/>
        <v>0</v>
      </c>
      <c r="C7" s="116">
        <v>0</v>
      </c>
      <c r="D7" s="136">
        <v>4.1399999999999999E-2</v>
      </c>
      <c r="E7" s="117">
        <f t="shared" si="0"/>
        <v>0</v>
      </c>
      <c r="F7" s="117">
        <f t="shared" si="2"/>
        <v>0</v>
      </c>
      <c r="I7" s="119" t="s">
        <v>242</v>
      </c>
      <c r="J7" s="121">
        <v>4.59</v>
      </c>
      <c r="K7" s="121">
        <v>4.72</v>
      </c>
    </row>
    <row r="8" spans="1:11" ht="15.75">
      <c r="A8" s="134">
        <v>38838</v>
      </c>
      <c r="B8" s="118">
        <f t="shared" si="1"/>
        <v>0</v>
      </c>
      <c r="C8" s="116">
        <v>466.7</v>
      </c>
      <c r="D8" s="136">
        <v>4.1399999999999999E-2</v>
      </c>
      <c r="E8" s="117">
        <f t="shared" si="0"/>
        <v>0</v>
      </c>
      <c r="F8" s="117">
        <f t="shared" si="2"/>
        <v>466.7</v>
      </c>
      <c r="I8" s="119" t="s">
        <v>241</v>
      </c>
      <c r="J8" s="121">
        <v>4.59</v>
      </c>
      <c r="K8" s="121">
        <v>5.18</v>
      </c>
    </row>
    <row r="9" spans="1:11" ht="15.75">
      <c r="A9" s="134">
        <v>38869</v>
      </c>
      <c r="B9" s="118">
        <f t="shared" si="1"/>
        <v>466.7</v>
      </c>
      <c r="C9" s="116">
        <v>1371.76</v>
      </c>
      <c r="D9" s="136">
        <v>4.1399999999999999E-2</v>
      </c>
      <c r="E9" s="117">
        <f t="shared" si="0"/>
        <v>1.6101149999999997</v>
      </c>
      <c r="F9" s="117">
        <f t="shared" si="2"/>
        <v>1840.070115</v>
      </c>
      <c r="I9" s="119" t="s">
        <v>240</v>
      </c>
      <c r="J9" s="121">
        <v>5.14</v>
      </c>
      <c r="K9" s="121">
        <v>5.18</v>
      </c>
    </row>
    <row r="10" spans="1:11" ht="15.75">
      <c r="A10" s="134">
        <v>38899</v>
      </c>
      <c r="B10" s="118">
        <f t="shared" si="1"/>
        <v>1840.070115</v>
      </c>
      <c r="C10" s="116">
        <v>921.18</v>
      </c>
      <c r="D10" s="136">
        <v>4.5900000000000003E-2</v>
      </c>
      <c r="E10" s="117">
        <f t="shared" si="0"/>
        <v>7.0382681898750006</v>
      </c>
      <c r="F10" s="117">
        <f t="shared" si="2"/>
        <v>2768.2883831898748</v>
      </c>
      <c r="I10" s="119" t="s">
        <v>239</v>
      </c>
      <c r="J10" s="121">
        <v>5.14</v>
      </c>
      <c r="K10" s="121">
        <v>5.18</v>
      </c>
    </row>
    <row r="11" spans="1:11" ht="15.75">
      <c r="A11" s="134">
        <v>38930</v>
      </c>
      <c r="B11" s="118">
        <f t="shared" si="1"/>
        <v>2768.2883831898748</v>
      </c>
      <c r="C11" s="116">
        <v>922.22</v>
      </c>
      <c r="D11" s="136">
        <v>4.5900000000000003E-2</v>
      </c>
      <c r="E11" s="117">
        <f t="shared" si="0"/>
        <v>10.588703065701273</v>
      </c>
      <c r="F11" s="117">
        <f t="shared" si="2"/>
        <v>3701.097086255576</v>
      </c>
      <c r="I11" s="119" t="s">
        <v>238</v>
      </c>
      <c r="J11" s="121">
        <v>4.08</v>
      </c>
      <c r="K11" s="121">
        <v>5.18</v>
      </c>
    </row>
    <row r="12" spans="1:11" ht="15.75">
      <c r="A12" s="134">
        <v>38961</v>
      </c>
      <c r="B12" s="118">
        <f t="shared" si="1"/>
        <v>3701.097086255576</v>
      </c>
      <c r="C12" s="116">
        <v>923</v>
      </c>
      <c r="D12" s="136">
        <v>4.5900000000000003E-2</v>
      </c>
      <c r="E12" s="117">
        <f t="shared" si="0"/>
        <v>14.156696354927581</v>
      </c>
      <c r="F12" s="117">
        <f t="shared" si="2"/>
        <v>4638.2537826105035</v>
      </c>
      <c r="I12" s="119" t="s">
        <v>237</v>
      </c>
      <c r="J12" s="121">
        <v>3.35</v>
      </c>
      <c r="K12" s="121">
        <v>5.43</v>
      </c>
    </row>
    <row r="13" spans="1:11" ht="15.75">
      <c r="A13" s="134">
        <v>38991</v>
      </c>
      <c r="B13" s="118">
        <f t="shared" si="1"/>
        <v>4638.2537826105035</v>
      </c>
      <c r="C13" s="116">
        <v>921.44</v>
      </c>
      <c r="D13" s="136">
        <v>4.5900000000000003E-2</v>
      </c>
      <c r="E13" s="117">
        <f t="shared" si="0"/>
        <v>17.741320718485177</v>
      </c>
      <c r="F13" s="117">
        <f t="shared" si="2"/>
        <v>5577.4351033289895</v>
      </c>
      <c r="I13" s="119" t="s">
        <v>236</v>
      </c>
      <c r="J13" s="121">
        <v>3.35</v>
      </c>
      <c r="K13" s="121">
        <v>5.43</v>
      </c>
    </row>
    <row r="14" spans="1:11" ht="15.75">
      <c r="A14" s="134">
        <v>39022</v>
      </c>
      <c r="B14" s="118">
        <f t="shared" si="1"/>
        <v>5577.4351033289895</v>
      </c>
      <c r="C14" s="116">
        <v>920.66</v>
      </c>
      <c r="D14" s="136">
        <v>4.5900000000000003E-2</v>
      </c>
      <c r="E14" s="117">
        <f t="shared" si="0"/>
        <v>21.333689270233389</v>
      </c>
      <c r="F14" s="117">
        <f t="shared" si="2"/>
        <v>6519.428792599223</v>
      </c>
      <c r="I14" s="119" t="s">
        <v>252</v>
      </c>
      <c r="J14" s="124">
        <v>2.4500000000000002</v>
      </c>
      <c r="K14" s="124">
        <v>6.61</v>
      </c>
    </row>
    <row r="15" spans="1:11" ht="15.75">
      <c r="A15" s="134">
        <v>39052</v>
      </c>
      <c r="B15" s="118">
        <f t="shared" si="1"/>
        <v>6519.428792599223</v>
      </c>
      <c r="C15" s="116">
        <v>921.96</v>
      </c>
      <c r="D15" s="136">
        <v>4.5900000000000003E-2</v>
      </c>
      <c r="E15" s="117">
        <f t="shared" si="0"/>
        <v>24.936815131692029</v>
      </c>
      <c r="F15" s="117">
        <f t="shared" si="2"/>
        <v>7466.3256077309152</v>
      </c>
      <c r="I15" s="119" t="s">
        <v>253</v>
      </c>
      <c r="J15" s="124">
        <v>1</v>
      </c>
      <c r="K15" s="124">
        <v>6.61</v>
      </c>
    </row>
    <row r="16" spans="1:11" ht="15.75">
      <c r="A16" s="134">
        <v>39083</v>
      </c>
      <c r="B16" s="118">
        <f t="shared" si="1"/>
        <v>7466.3256077309152</v>
      </c>
      <c r="C16" s="116">
        <v>921.96</v>
      </c>
      <c r="D16" s="136">
        <v>4.5900000000000003E-2</v>
      </c>
      <c r="E16" s="117">
        <f t="shared" si="0"/>
        <v>28.558695449570752</v>
      </c>
      <c r="F16" s="117">
        <f t="shared" si="2"/>
        <v>8416.8443031804854</v>
      </c>
      <c r="I16" s="119" t="s">
        <v>254</v>
      </c>
      <c r="J16" s="124">
        <v>0.55000000000000004</v>
      </c>
      <c r="K16" s="124">
        <v>5.67</v>
      </c>
    </row>
    <row r="17" spans="1:11" ht="15.75">
      <c r="A17" s="134">
        <v>39114</v>
      </c>
      <c r="B17" s="118">
        <f t="shared" si="1"/>
        <v>8416.8443031804854</v>
      </c>
      <c r="C17" s="116">
        <v>921.44</v>
      </c>
      <c r="D17" s="136">
        <v>4.5900000000000003E-2</v>
      </c>
      <c r="E17" s="117">
        <f t="shared" si="0"/>
        <v>32.194429459665358</v>
      </c>
      <c r="F17" s="117">
        <f t="shared" si="2"/>
        <v>9370.4787326401511</v>
      </c>
      <c r="I17" s="119" t="s">
        <v>256</v>
      </c>
      <c r="J17" s="124">
        <v>0.55000000000000004</v>
      </c>
      <c r="K17" s="124">
        <v>4.66</v>
      </c>
    </row>
    <row r="18" spans="1:11" ht="15.75">
      <c r="A18" s="134">
        <v>39142</v>
      </c>
      <c r="B18" s="118">
        <f t="shared" si="1"/>
        <v>9370.4787326401511</v>
      </c>
      <c r="C18" s="116">
        <v>921.44</v>
      </c>
      <c r="D18" s="136">
        <v>4.5900000000000003E-2</v>
      </c>
      <c r="E18" s="117">
        <f t="shared" si="0"/>
        <v>35.842081152348577</v>
      </c>
      <c r="F18" s="117">
        <f t="shared" si="2"/>
        <v>10327.7608137925</v>
      </c>
      <c r="I18" s="119" t="s">
        <v>257</v>
      </c>
      <c r="J18" s="124">
        <v>0.55000000000000004</v>
      </c>
      <c r="K18" s="124">
        <v>4.34</v>
      </c>
    </row>
    <row r="19" spans="1:11" ht="15.75">
      <c r="A19" s="134">
        <v>39173</v>
      </c>
      <c r="B19" s="118">
        <f t="shared" si="1"/>
        <v>10327.7608137925</v>
      </c>
      <c r="C19" s="116">
        <v>920.66</v>
      </c>
      <c r="D19" s="136">
        <v>4.5900000000000003E-2</v>
      </c>
      <c r="E19" s="117">
        <f t="shared" si="0"/>
        <v>39.503685112756315</v>
      </c>
      <c r="F19" s="117">
        <f t="shared" si="2"/>
        <v>11287.924498905257</v>
      </c>
      <c r="I19" s="119" t="s">
        <v>258</v>
      </c>
      <c r="J19" s="124">
        <v>0.55000000000000004</v>
      </c>
      <c r="K19" s="124">
        <v>4.34</v>
      </c>
    </row>
    <row r="20" spans="1:11" ht="15.75">
      <c r="A20" s="134">
        <v>39203</v>
      </c>
      <c r="B20" s="118">
        <f t="shared" si="1"/>
        <v>11287.924498905257</v>
      </c>
      <c r="C20" s="116">
        <v>920.92</v>
      </c>
      <c r="D20" s="136">
        <v>4.5900000000000003E-2</v>
      </c>
      <c r="E20" s="117">
        <f t="shared" si="0"/>
        <v>43.176311208312605</v>
      </c>
      <c r="F20" s="117">
        <f t="shared" si="2"/>
        <v>12252.020810113569</v>
      </c>
      <c r="I20" s="119" t="s">
        <v>255</v>
      </c>
      <c r="J20" s="124">
        <v>0.89</v>
      </c>
      <c r="K20" s="124">
        <v>4.66</v>
      </c>
    </row>
    <row r="21" spans="1:11">
      <c r="A21" s="134">
        <v>39234</v>
      </c>
      <c r="B21" s="118">
        <f t="shared" si="1"/>
        <v>12252.020810113569</v>
      </c>
      <c r="C21" s="116">
        <v>921.7</v>
      </c>
      <c r="D21" s="136">
        <v>4.5900000000000003E-2</v>
      </c>
      <c r="E21" s="117">
        <f t="shared" si="0"/>
        <v>46.863979598684402</v>
      </c>
      <c r="F21" s="117">
        <f t="shared" si="2"/>
        <v>13220.584789712253</v>
      </c>
    </row>
    <row r="22" spans="1:11">
      <c r="A22" s="134">
        <v>39264</v>
      </c>
      <c r="B22" s="118">
        <f t="shared" si="1"/>
        <v>13220.584789712253</v>
      </c>
      <c r="C22" s="116">
        <v>921.7</v>
      </c>
      <c r="D22" s="136">
        <v>4.5900000000000003E-2</v>
      </c>
      <c r="E22" s="117">
        <f t="shared" si="0"/>
        <v>50.56873682064937</v>
      </c>
      <c r="F22" s="117">
        <f t="shared" si="2"/>
        <v>14192.853526532903</v>
      </c>
    </row>
    <row r="23" spans="1:11">
      <c r="A23" s="134">
        <v>39295</v>
      </c>
      <c r="B23" s="118">
        <f t="shared" si="1"/>
        <v>14192.853526532903</v>
      </c>
      <c r="C23" s="116">
        <v>922.74</v>
      </c>
      <c r="D23" s="136">
        <v>4.5900000000000003E-2</v>
      </c>
      <c r="E23" s="117">
        <f t="shared" si="0"/>
        <v>54.287664738988354</v>
      </c>
      <c r="F23" s="117">
        <f t="shared" si="2"/>
        <v>15169.88119127189</v>
      </c>
      <c r="J23" s="131" t="s">
        <v>235</v>
      </c>
    </row>
    <row r="24" spans="1:11">
      <c r="A24" s="134">
        <v>39326</v>
      </c>
      <c r="B24" s="118">
        <f t="shared" si="1"/>
        <v>15169.88119127189</v>
      </c>
      <c r="C24" s="116">
        <v>1113.83</v>
      </c>
      <c r="D24" s="136">
        <v>4.5900000000000003E-2</v>
      </c>
      <c r="E24" s="117">
        <f t="shared" si="0"/>
        <v>58.024795556614983</v>
      </c>
      <c r="F24" s="117">
        <f t="shared" si="2"/>
        <v>16341.735986828506</v>
      </c>
    </row>
    <row r="25" spans="1:11">
      <c r="A25" s="134">
        <v>39356</v>
      </c>
      <c r="B25" s="118">
        <f t="shared" si="1"/>
        <v>16341.735986828506</v>
      </c>
      <c r="C25" s="116">
        <v>736.84999999999991</v>
      </c>
      <c r="D25" s="136">
        <v>5.1400000000000001E-2</v>
      </c>
      <c r="E25" s="117">
        <f t="shared" si="0"/>
        <v>69.99710247691543</v>
      </c>
      <c r="F25" s="117">
        <f t="shared" si="2"/>
        <v>17148.583089305419</v>
      </c>
    </row>
    <row r="26" spans="1:11">
      <c r="A26" s="134">
        <v>39387</v>
      </c>
      <c r="B26" s="118">
        <f t="shared" si="1"/>
        <v>17148.583089305419</v>
      </c>
      <c r="C26" s="116">
        <v>893.93000000000006</v>
      </c>
      <c r="D26" s="136">
        <v>5.1400000000000001E-2</v>
      </c>
      <c r="E26" s="117">
        <f t="shared" si="0"/>
        <v>73.453097565858215</v>
      </c>
      <c r="F26" s="117">
        <f t="shared" si="2"/>
        <v>18115.966186871279</v>
      </c>
    </row>
    <row r="27" spans="1:11">
      <c r="A27" s="134">
        <v>39417</v>
      </c>
      <c r="B27" s="118">
        <f t="shared" si="1"/>
        <v>18115.966186871279</v>
      </c>
      <c r="C27" s="116">
        <v>939.97</v>
      </c>
      <c r="D27" s="136">
        <v>5.1400000000000001E-2</v>
      </c>
      <c r="E27" s="117">
        <f t="shared" si="0"/>
        <v>77.596721833765315</v>
      </c>
      <c r="F27" s="117">
        <f t="shared" si="2"/>
        <v>19133.532908705045</v>
      </c>
    </row>
    <row r="28" spans="1:11">
      <c r="A28" s="134">
        <v>39448</v>
      </c>
      <c r="B28" s="118">
        <f t="shared" si="1"/>
        <v>19133.532908705045</v>
      </c>
      <c r="C28" s="116">
        <v>939.63</v>
      </c>
      <c r="D28" s="136">
        <v>5.1400000000000001E-2</v>
      </c>
      <c r="E28" s="117">
        <f t="shared" ref="E28:E80" si="3">(B28*D28)/12</f>
        <v>81.955299292286611</v>
      </c>
      <c r="F28" s="117">
        <f t="shared" ref="F28:F80" si="4">SUM(B28:C28,E28)</f>
        <v>20155.118207997333</v>
      </c>
    </row>
    <row r="29" spans="1:11">
      <c r="A29" s="134">
        <v>39479</v>
      </c>
      <c r="B29" s="118">
        <f t="shared" ref="B29:B80" si="5">F28</f>
        <v>20155.118207997333</v>
      </c>
      <c r="C29" s="116">
        <v>875.0200000000001</v>
      </c>
      <c r="D29" s="136">
        <v>5.1400000000000001E-2</v>
      </c>
      <c r="E29" s="117">
        <f t="shared" si="3"/>
        <v>86.331089657588578</v>
      </c>
      <c r="F29" s="117">
        <f t="shared" si="4"/>
        <v>21116.469297654923</v>
      </c>
    </row>
    <row r="30" spans="1:11">
      <c r="A30" s="134">
        <v>39508</v>
      </c>
      <c r="B30" s="118">
        <f t="shared" si="5"/>
        <v>21116.469297654923</v>
      </c>
      <c r="C30" s="116">
        <v>932.97</v>
      </c>
      <c r="D30" s="136">
        <v>5.1400000000000001E-2</v>
      </c>
      <c r="E30" s="117">
        <f t="shared" si="3"/>
        <v>90.448876824955263</v>
      </c>
      <c r="F30" s="117">
        <f t="shared" si="4"/>
        <v>22139.888174479878</v>
      </c>
    </row>
    <row r="31" spans="1:11">
      <c r="A31" s="134">
        <v>39539</v>
      </c>
      <c r="B31" s="118">
        <f t="shared" si="5"/>
        <v>22139.888174479878</v>
      </c>
      <c r="C31" s="116">
        <v>905.58000000000015</v>
      </c>
      <c r="D31" s="136">
        <v>4.0800000000000003E-2</v>
      </c>
      <c r="E31" s="117">
        <f t="shared" si="3"/>
        <v>75.275619793231598</v>
      </c>
      <c r="F31" s="117">
        <f t="shared" si="4"/>
        <v>23120.743794273112</v>
      </c>
      <c r="J31" s="131" t="s">
        <v>235</v>
      </c>
    </row>
    <row r="32" spans="1:11">
      <c r="A32" s="134">
        <v>39569</v>
      </c>
      <c r="B32" s="118">
        <f t="shared" si="5"/>
        <v>23120.743794273112</v>
      </c>
      <c r="C32" s="116">
        <v>931.99000000000012</v>
      </c>
      <c r="D32" s="136">
        <v>4.0800000000000003E-2</v>
      </c>
      <c r="E32" s="117">
        <f t="shared" si="3"/>
        <v>78.610528900528593</v>
      </c>
      <c r="F32" s="117">
        <f t="shared" si="4"/>
        <v>24131.344323173642</v>
      </c>
    </row>
    <row r="33" spans="1:10">
      <c r="A33" s="134">
        <v>39600</v>
      </c>
      <c r="B33" s="118">
        <f t="shared" si="5"/>
        <v>24131.344323173642</v>
      </c>
      <c r="C33" s="116">
        <v>902.76</v>
      </c>
      <c r="D33" s="136">
        <v>4.0800000000000003E-2</v>
      </c>
      <c r="E33" s="117">
        <f t="shared" si="3"/>
        <v>82.04657069879039</v>
      </c>
      <c r="F33" s="117">
        <f t="shared" si="4"/>
        <v>25116.150893872429</v>
      </c>
    </row>
    <row r="34" spans="1:10">
      <c r="A34" s="134">
        <v>39630</v>
      </c>
      <c r="B34" s="118">
        <f t="shared" si="5"/>
        <v>25116.150893872429</v>
      </c>
      <c r="C34" s="116">
        <v>939.96</v>
      </c>
      <c r="D34" s="136">
        <v>3.3500000000000002E-2</v>
      </c>
      <c r="E34" s="117">
        <f t="shared" si="3"/>
        <v>70.115921245393864</v>
      </c>
      <c r="F34" s="117">
        <f t="shared" si="4"/>
        <v>26126.226815117821</v>
      </c>
    </row>
    <row r="35" spans="1:10">
      <c r="A35" s="134">
        <v>39661</v>
      </c>
      <c r="B35" s="118">
        <f t="shared" si="5"/>
        <v>26126.226815117821</v>
      </c>
      <c r="C35" s="116">
        <v>932.6</v>
      </c>
      <c r="D35" s="136">
        <v>3.3500000000000002E-2</v>
      </c>
      <c r="E35" s="117">
        <f t="shared" si="3"/>
        <v>72.935716525537259</v>
      </c>
      <c r="F35" s="117">
        <f t="shared" si="4"/>
        <v>27131.762531643359</v>
      </c>
      <c r="J35" s="131" t="s">
        <v>235</v>
      </c>
    </row>
    <row r="36" spans="1:10">
      <c r="A36" s="134">
        <v>39692</v>
      </c>
      <c r="B36" s="118">
        <f t="shared" si="5"/>
        <v>27131.762531643359</v>
      </c>
      <c r="C36" s="116">
        <v>908.15999999999985</v>
      </c>
      <c r="D36" s="136">
        <v>3.3500000000000002E-2</v>
      </c>
      <c r="E36" s="117">
        <f t="shared" si="3"/>
        <v>75.742837067504382</v>
      </c>
      <c r="F36" s="117">
        <f t="shared" si="4"/>
        <v>28115.665368710863</v>
      </c>
    </row>
    <row r="37" spans="1:10">
      <c r="A37" s="134">
        <v>39722</v>
      </c>
      <c r="B37" s="118">
        <f t="shared" si="5"/>
        <v>28115.665368710863</v>
      </c>
      <c r="C37" s="116">
        <v>928.28</v>
      </c>
      <c r="D37" s="136">
        <v>3.3500000000000002E-2</v>
      </c>
      <c r="E37" s="117">
        <f t="shared" si="3"/>
        <v>78.489565820984495</v>
      </c>
      <c r="F37" s="117">
        <f t="shared" si="4"/>
        <v>29122.434934531848</v>
      </c>
    </row>
    <row r="38" spans="1:10">
      <c r="A38" s="134">
        <v>39753</v>
      </c>
      <c r="B38" s="118">
        <f t="shared" si="5"/>
        <v>29122.434934531848</v>
      </c>
      <c r="C38" s="116">
        <v>906.56</v>
      </c>
      <c r="D38" s="136">
        <v>3.3500000000000002E-2</v>
      </c>
      <c r="E38" s="117">
        <f t="shared" si="3"/>
        <v>81.300130858901412</v>
      </c>
      <c r="F38" s="117">
        <f t="shared" si="4"/>
        <v>30110.29506539075</v>
      </c>
    </row>
    <row r="39" spans="1:10">
      <c r="A39" s="134">
        <v>39783</v>
      </c>
      <c r="B39" s="118">
        <f t="shared" si="5"/>
        <v>30110.29506539075</v>
      </c>
      <c r="C39" s="116">
        <v>943.11</v>
      </c>
      <c r="D39" s="136">
        <v>3.3500000000000002E-2</v>
      </c>
      <c r="E39" s="117">
        <f t="shared" si="3"/>
        <v>84.057907057549187</v>
      </c>
      <c r="F39" s="117">
        <f t="shared" si="4"/>
        <v>31137.462972448298</v>
      </c>
      <c r="J39" s="131" t="s">
        <v>235</v>
      </c>
    </row>
    <row r="40" spans="1:10">
      <c r="A40" s="134">
        <v>39814</v>
      </c>
      <c r="B40" s="118">
        <f t="shared" si="5"/>
        <v>31137.462972448298</v>
      </c>
      <c r="C40" s="116">
        <v>922.39</v>
      </c>
      <c r="D40" s="136">
        <v>2.4500000000000001E-2</v>
      </c>
      <c r="E40" s="117">
        <f t="shared" si="3"/>
        <v>63.572320235415276</v>
      </c>
      <c r="F40" s="117">
        <f t="shared" si="4"/>
        <v>32123.425292683714</v>
      </c>
    </row>
    <row r="41" spans="1:10">
      <c r="A41" s="134">
        <v>39845</v>
      </c>
      <c r="B41" s="118">
        <f t="shared" si="5"/>
        <v>32123.425292683714</v>
      </c>
      <c r="C41" s="116">
        <v>849.13</v>
      </c>
      <c r="D41" s="136">
        <v>2.4500000000000001E-2</v>
      </c>
      <c r="E41" s="117">
        <f t="shared" si="3"/>
        <v>65.585326639229251</v>
      </c>
      <c r="F41" s="117">
        <f t="shared" si="4"/>
        <v>33038.140619322941</v>
      </c>
    </row>
    <row r="42" spans="1:10">
      <c r="A42" s="134">
        <v>39873</v>
      </c>
      <c r="B42" s="118">
        <f t="shared" si="5"/>
        <v>33038.140619322941</v>
      </c>
      <c r="C42" s="116">
        <v>934.78</v>
      </c>
      <c r="D42" s="136">
        <v>2.4500000000000001E-2</v>
      </c>
      <c r="E42" s="117">
        <f t="shared" si="3"/>
        <v>67.452870431117674</v>
      </c>
      <c r="F42" s="117">
        <f t="shared" si="4"/>
        <v>34040.373489754056</v>
      </c>
    </row>
    <row r="43" spans="1:10">
      <c r="A43" s="134">
        <v>39904</v>
      </c>
      <c r="B43" s="118">
        <f t="shared" si="5"/>
        <v>34040.373489754056</v>
      </c>
      <c r="C43" s="116">
        <v>915.68999999999994</v>
      </c>
      <c r="D43" s="136">
        <v>0.01</v>
      </c>
      <c r="E43" s="117">
        <f t="shared" si="3"/>
        <v>28.36697790812838</v>
      </c>
      <c r="F43" s="117">
        <f t="shared" si="4"/>
        <v>34984.43046766219</v>
      </c>
      <c r="J43" s="131" t="s">
        <v>235</v>
      </c>
    </row>
    <row r="44" spans="1:10">
      <c r="A44" s="134">
        <v>39934</v>
      </c>
      <c r="B44" s="118">
        <f t="shared" si="5"/>
        <v>34984.43046766219</v>
      </c>
      <c r="C44" s="116">
        <v>918.63</v>
      </c>
      <c r="D44" s="136">
        <v>0.01</v>
      </c>
      <c r="E44" s="117">
        <f t="shared" si="3"/>
        <v>29.153692056385157</v>
      </c>
      <c r="F44" s="117">
        <f t="shared" si="4"/>
        <v>35932.214159718576</v>
      </c>
    </row>
    <row r="45" spans="1:10">
      <c r="A45" s="134">
        <v>39965</v>
      </c>
      <c r="B45" s="118">
        <f t="shared" si="5"/>
        <v>35932.214159718576</v>
      </c>
      <c r="C45" s="116">
        <v>910.01</v>
      </c>
      <c r="D45" s="136">
        <v>0.01</v>
      </c>
      <c r="E45" s="117">
        <f t="shared" si="3"/>
        <v>29.943511799765478</v>
      </c>
      <c r="F45" s="117">
        <f t="shared" si="4"/>
        <v>36872.167671518342</v>
      </c>
    </row>
    <row r="46" spans="1:10">
      <c r="A46" s="134">
        <v>39995</v>
      </c>
      <c r="B46" s="118">
        <f t="shared" si="5"/>
        <v>36872.167671518342</v>
      </c>
      <c r="C46" s="116">
        <v>930.97000000000014</v>
      </c>
      <c r="D46" s="136">
        <v>5.4999999999999997E-3</v>
      </c>
      <c r="E46" s="117">
        <f t="shared" si="3"/>
        <v>16.899743516112572</v>
      </c>
      <c r="F46" s="117">
        <f t="shared" si="4"/>
        <v>37820.037415034458</v>
      </c>
    </row>
    <row r="47" spans="1:10">
      <c r="A47" s="134">
        <v>40026</v>
      </c>
      <c r="B47" s="118">
        <f t="shared" si="5"/>
        <v>37820.037415034458</v>
      </c>
      <c r="C47" s="116">
        <v>934.2299999999999</v>
      </c>
      <c r="D47" s="136">
        <v>5.4999999999999997E-3</v>
      </c>
      <c r="E47" s="117">
        <f t="shared" si="3"/>
        <v>17.334183815224126</v>
      </c>
      <c r="F47" s="117">
        <f t="shared" si="4"/>
        <v>38771.601598849687</v>
      </c>
      <c r="J47" s="131" t="s">
        <v>235</v>
      </c>
    </row>
    <row r="48" spans="1:10">
      <c r="A48" s="134">
        <v>40057</v>
      </c>
      <c r="B48" s="118">
        <f t="shared" si="5"/>
        <v>38771.601598849687</v>
      </c>
      <c r="C48" s="116">
        <v>909.58999999999992</v>
      </c>
      <c r="D48" s="136">
        <v>5.4999999999999997E-3</v>
      </c>
      <c r="E48" s="117">
        <f t="shared" si="3"/>
        <v>17.770317399472773</v>
      </c>
      <c r="F48" s="117">
        <f t="shared" si="4"/>
        <v>39698.961916249158</v>
      </c>
    </row>
    <row r="49" spans="1:10">
      <c r="A49" s="134">
        <v>40087</v>
      </c>
      <c r="B49" s="118">
        <f t="shared" si="5"/>
        <v>39698.961916249158</v>
      </c>
      <c r="C49" s="116">
        <v>956.41</v>
      </c>
      <c r="D49" s="136">
        <v>5.4999999999999997E-3</v>
      </c>
      <c r="E49" s="117">
        <f t="shared" si="3"/>
        <v>18.19535754494753</v>
      </c>
      <c r="F49" s="117">
        <f t="shared" si="4"/>
        <v>40673.567273794106</v>
      </c>
    </row>
    <row r="50" spans="1:10">
      <c r="A50" s="134">
        <v>40118</v>
      </c>
      <c r="B50" s="118">
        <f t="shared" si="5"/>
        <v>40673.567273794106</v>
      </c>
      <c r="C50" s="116">
        <v>944.87999999999988</v>
      </c>
      <c r="D50" s="136">
        <v>5.4999999999999997E-3</v>
      </c>
      <c r="E50" s="117">
        <f t="shared" si="3"/>
        <v>18.642051667155631</v>
      </c>
      <c r="F50" s="117">
        <f t="shared" si="4"/>
        <v>41637.08932546126</v>
      </c>
    </row>
    <row r="51" spans="1:10">
      <c r="A51" s="134">
        <v>40148</v>
      </c>
      <c r="B51" s="118">
        <f t="shared" si="5"/>
        <v>41637.08932546126</v>
      </c>
      <c r="C51" s="116">
        <v>976.84999999999991</v>
      </c>
      <c r="D51" s="136">
        <v>5.4999999999999997E-3</v>
      </c>
      <c r="E51" s="117">
        <f t="shared" si="3"/>
        <v>19.083665940836408</v>
      </c>
      <c r="F51" s="117">
        <f t="shared" si="4"/>
        <v>42633.022991402097</v>
      </c>
      <c r="J51" s="131" t="s">
        <v>235</v>
      </c>
    </row>
    <row r="52" spans="1:10">
      <c r="A52" s="134">
        <v>40179</v>
      </c>
      <c r="B52" s="118">
        <f t="shared" si="5"/>
        <v>42633.022991402097</v>
      </c>
      <c r="C52" s="116">
        <v>971.77</v>
      </c>
      <c r="D52" s="136">
        <v>5.4999999999999997E-3</v>
      </c>
      <c r="E52" s="117">
        <f t="shared" si="3"/>
        <v>19.540135537725959</v>
      </c>
      <c r="F52" s="117">
        <f t="shared" si="4"/>
        <v>43624.333126939819</v>
      </c>
    </row>
    <row r="53" spans="1:10">
      <c r="A53" s="134">
        <v>40210</v>
      </c>
      <c r="B53" s="118">
        <f t="shared" si="5"/>
        <v>43624.333126939819</v>
      </c>
      <c r="C53" s="116">
        <v>882.85</v>
      </c>
      <c r="D53" s="136">
        <v>5.4999999999999997E-3</v>
      </c>
      <c r="E53" s="117">
        <f t="shared" si="3"/>
        <v>19.994486016514085</v>
      </c>
      <c r="F53" s="117">
        <f t="shared" si="4"/>
        <v>44527.17761295633</v>
      </c>
    </row>
    <row r="54" spans="1:10">
      <c r="A54" s="134">
        <v>40238</v>
      </c>
      <c r="B54" s="118">
        <f t="shared" si="5"/>
        <v>44527.17761295633</v>
      </c>
      <c r="C54" s="116">
        <v>979.91000000000008</v>
      </c>
      <c r="D54" s="136">
        <v>5.4999999999999997E-3</v>
      </c>
      <c r="E54" s="117">
        <f t="shared" si="3"/>
        <v>20.408289739271648</v>
      </c>
      <c r="F54" s="117">
        <f t="shared" si="4"/>
        <v>45527.495902695606</v>
      </c>
    </row>
    <row r="55" spans="1:10">
      <c r="A55" s="134">
        <v>40269</v>
      </c>
      <c r="B55" s="118">
        <f t="shared" si="5"/>
        <v>45527.495902695606</v>
      </c>
      <c r="C55" s="116">
        <v>942.21000000000015</v>
      </c>
      <c r="D55" s="136">
        <v>5.4999999999999997E-3</v>
      </c>
      <c r="E55" s="117">
        <f t="shared" si="3"/>
        <v>20.866768955402151</v>
      </c>
      <c r="F55" s="117">
        <f t="shared" si="4"/>
        <v>46490.572671651003</v>
      </c>
      <c r="J55" s="131" t="s">
        <v>235</v>
      </c>
    </row>
    <row r="56" spans="1:10">
      <c r="A56" s="134">
        <v>40299</v>
      </c>
      <c r="B56" s="118">
        <f t="shared" si="5"/>
        <v>46490.572671651003</v>
      </c>
      <c r="C56" s="116">
        <v>3867.35</v>
      </c>
      <c r="D56" s="136">
        <v>5.4999999999999997E-3</v>
      </c>
      <c r="E56" s="117">
        <f t="shared" si="3"/>
        <v>21.308179141173376</v>
      </c>
      <c r="F56" s="117">
        <f t="shared" si="4"/>
        <v>50379.230850792177</v>
      </c>
    </row>
    <row r="57" spans="1:10">
      <c r="A57" s="134">
        <v>40330</v>
      </c>
      <c r="B57" s="118">
        <f t="shared" si="5"/>
        <v>50379.230850792177</v>
      </c>
      <c r="C57" s="116">
        <v>3238.17</v>
      </c>
      <c r="D57" s="136">
        <v>5.4999999999999997E-3</v>
      </c>
      <c r="E57" s="117">
        <f t="shared" si="3"/>
        <v>23.090480806613083</v>
      </c>
      <c r="F57" s="117">
        <f t="shared" si="4"/>
        <v>53640.491331598787</v>
      </c>
    </row>
    <row r="58" spans="1:10">
      <c r="A58" s="134">
        <v>40360</v>
      </c>
      <c r="B58" s="118">
        <f t="shared" si="5"/>
        <v>53640.491331598787</v>
      </c>
      <c r="C58" s="116">
        <v>3601.26</v>
      </c>
      <c r="D58" s="136">
        <v>8.8999999999999999E-3</v>
      </c>
      <c r="E58" s="117">
        <f t="shared" si="3"/>
        <v>39.783364404269101</v>
      </c>
      <c r="F58" s="117">
        <f t="shared" si="4"/>
        <v>57281.534696003058</v>
      </c>
    </row>
    <row r="59" spans="1:10">
      <c r="A59" s="134">
        <v>40391</v>
      </c>
      <c r="B59" s="118">
        <f t="shared" si="5"/>
        <v>57281.534696003058</v>
      </c>
      <c r="C59" s="116">
        <v>3588.4899999999993</v>
      </c>
      <c r="D59" s="136">
        <v>8.8999999999999999E-3</v>
      </c>
      <c r="E59" s="117">
        <f t="shared" si="3"/>
        <v>42.483804899535599</v>
      </c>
      <c r="F59" s="117">
        <f t="shared" si="4"/>
        <v>60912.508500902593</v>
      </c>
    </row>
    <row r="60" spans="1:10">
      <c r="A60" s="134">
        <v>40422</v>
      </c>
      <c r="B60" s="118">
        <f t="shared" si="5"/>
        <v>60912.508500902593</v>
      </c>
      <c r="C60" s="116">
        <v>3491.33</v>
      </c>
      <c r="D60" s="136">
        <v>8.8999999999999999E-3</v>
      </c>
      <c r="E60" s="117">
        <f t="shared" si="3"/>
        <v>45.176777138169427</v>
      </c>
      <c r="F60" s="117">
        <f t="shared" si="4"/>
        <v>64449.015278040766</v>
      </c>
    </row>
    <row r="61" spans="1:10">
      <c r="A61" s="134">
        <v>40452</v>
      </c>
      <c r="B61" s="118">
        <f t="shared" si="5"/>
        <v>64449.015278040766</v>
      </c>
      <c r="C61" s="116">
        <v>3513</v>
      </c>
      <c r="D61" s="136">
        <v>8.8999999999999999E-3</v>
      </c>
      <c r="E61" s="117">
        <f t="shared" si="3"/>
        <v>47.799686331213564</v>
      </c>
      <c r="F61" s="117">
        <f t="shared" si="4"/>
        <v>68009.814964371981</v>
      </c>
    </row>
    <row r="62" spans="1:10">
      <c r="A62" s="134">
        <v>40483</v>
      </c>
      <c r="B62" s="118">
        <f t="shared" si="5"/>
        <v>68009.814964371981</v>
      </c>
      <c r="C62" s="116">
        <v>3513</v>
      </c>
      <c r="D62" s="136">
        <v>8.8999999999999999E-3</v>
      </c>
      <c r="E62" s="117">
        <f t="shared" si="3"/>
        <v>50.440612765242548</v>
      </c>
      <c r="F62" s="117">
        <f t="shared" si="4"/>
        <v>71573.255577137228</v>
      </c>
    </row>
    <row r="63" spans="1:10">
      <c r="A63" s="134">
        <v>40513</v>
      </c>
      <c r="B63" s="118">
        <f t="shared" si="5"/>
        <v>71573.255577137228</v>
      </c>
      <c r="C63" s="116">
        <v>3513</v>
      </c>
      <c r="D63" s="136">
        <v>8.8999999999999999E-3</v>
      </c>
      <c r="E63" s="117">
        <f t="shared" si="3"/>
        <v>53.083497886376783</v>
      </c>
      <c r="F63" s="117">
        <f t="shared" si="4"/>
        <v>75139.339075023599</v>
      </c>
    </row>
    <row r="64" spans="1:10">
      <c r="A64" s="134">
        <v>40544</v>
      </c>
      <c r="B64" s="118">
        <f t="shared" si="5"/>
        <v>75139.339075023599</v>
      </c>
      <c r="C64" s="116">
        <v>3513</v>
      </c>
      <c r="D64" s="136">
        <v>8.8999999999999999E-3</v>
      </c>
      <c r="E64" s="117">
        <f t="shared" si="3"/>
        <v>55.728343147309168</v>
      </c>
      <c r="F64" s="117">
        <f t="shared" si="4"/>
        <v>78708.067418170904</v>
      </c>
    </row>
    <row r="65" spans="1:6">
      <c r="A65" s="134">
        <v>40575</v>
      </c>
      <c r="B65" s="118">
        <f t="shared" si="5"/>
        <v>78708.067418170904</v>
      </c>
      <c r="C65" s="116">
        <v>3513</v>
      </c>
      <c r="D65" s="136">
        <v>8.8999999999999999E-3</v>
      </c>
      <c r="E65" s="117">
        <f t="shared" si="3"/>
        <v>58.375150001810084</v>
      </c>
      <c r="F65" s="117">
        <f t="shared" si="4"/>
        <v>82279.442568172715</v>
      </c>
    </row>
    <row r="66" spans="1:6">
      <c r="A66" s="134">
        <v>40603</v>
      </c>
      <c r="B66" s="118">
        <f t="shared" si="5"/>
        <v>82279.442568172715</v>
      </c>
      <c r="C66" s="116">
        <v>3513</v>
      </c>
      <c r="D66" s="136">
        <v>8.8999999999999999E-3</v>
      </c>
      <c r="E66" s="117">
        <f t="shared" si="3"/>
        <v>61.023919904728096</v>
      </c>
      <c r="F66" s="117">
        <f t="shared" si="4"/>
        <v>85853.466488077436</v>
      </c>
    </row>
    <row r="67" spans="1:6">
      <c r="A67" s="134">
        <v>40634</v>
      </c>
      <c r="B67" s="118">
        <f t="shared" si="5"/>
        <v>85853.466488077436</v>
      </c>
      <c r="C67" s="116">
        <v>3513</v>
      </c>
      <c r="D67" s="136">
        <v>8.8999999999999999E-3</v>
      </c>
      <c r="E67" s="117">
        <f t="shared" si="3"/>
        <v>63.674654311990764</v>
      </c>
      <c r="F67" s="117">
        <f t="shared" si="4"/>
        <v>89430.141142389431</v>
      </c>
    </row>
    <row r="68" spans="1:6">
      <c r="A68" s="134">
        <v>40664</v>
      </c>
      <c r="B68" s="118">
        <f t="shared" si="5"/>
        <v>89430.141142389431</v>
      </c>
      <c r="C68" s="116">
        <v>0</v>
      </c>
      <c r="D68" s="136"/>
      <c r="E68" s="117">
        <f t="shared" si="3"/>
        <v>0</v>
      </c>
      <c r="F68" s="117">
        <f t="shared" si="4"/>
        <v>89430.141142389431</v>
      </c>
    </row>
    <row r="69" spans="1:6">
      <c r="A69" s="134">
        <v>40695</v>
      </c>
      <c r="B69" s="118">
        <f t="shared" si="5"/>
        <v>89430.141142389431</v>
      </c>
      <c r="C69" s="116">
        <v>0</v>
      </c>
      <c r="D69" s="136"/>
      <c r="E69" s="117">
        <f t="shared" si="3"/>
        <v>0</v>
      </c>
      <c r="F69" s="117">
        <f t="shared" si="4"/>
        <v>89430.141142389431</v>
      </c>
    </row>
    <row r="70" spans="1:6">
      <c r="A70" s="134">
        <v>40725</v>
      </c>
      <c r="B70" s="118">
        <f t="shared" si="5"/>
        <v>89430.141142389431</v>
      </c>
      <c r="C70" s="116">
        <v>0</v>
      </c>
      <c r="D70" s="136"/>
      <c r="E70" s="117">
        <f t="shared" si="3"/>
        <v>0</v>
      </c>
      <c r="F70" s="117">
        <f t="shared" si="4"/>
        <v>89430.141142389431</v>
      </c>
    </row>
    <row r="71" spans="1:6">
      <c r="A71" s="134">
        <v>40756</v>
      </c>
      <c r="B71" s="118">
        <f t="shared" si="5"/>
        <v>89430.141142389431</v>
      </c>
      <c r="C71" s="116">
        <v>0</v>
      </c>
      <c r="D71" s="136"/>
      <c r="E71" s="117">
        <f t="shared" si="3"/>
        <v>0</v>
      </c>
      <c r="F71" s="117">
        <f t="shared" si="4"/>
        <v>89430.141142389431</v>
      </c>
    </row>
    <row r="72" spans="1:6">
      <c r="A72" s="134">
        <v>40787</v>
      </c>
      <c r="B72" s="118">
        <f t="shared" si="5"/>
        <v>89430.141142389431</v>
      </c>
      <c r="C72" s="116">
        <v>0</v>
      </c>
      <c r="D72" s="136"/>
      <c r="E72" s="117">
        <f t="shared" si="3"/>
        <v>0</v>
      </c>
      <c r="F72" s="117">
        <f t="shared" si="4"/>
        <v>89430.141142389431</v>
      </c>
    </row>
    <row r="73" spans="1:6">
      <c r="A73" s="134">
        <v>40817</v>
      </c>
      <c r="B73" s="118">
        <f t="shared" si="5"/>
        <v>89430.141142389431</v>
      </c>
      <c r="C73" s="116">
        <v>0</v>
      </c>
      <c r="D73" s="136"/>
      <c r="E73" s="117">
        <f t="shared" si="3"/>
        <v>0</v>
      </c>
      <c r="F73" s="117">
        <f t="shared" si="4"/>
        <v>89430.141142389431</v>
      </c>
    </row>
    <row r="74" spans="1:6">
      <c r="A74" s="134">
        <v>40848</v>
      </c>
      <c r="B74" s="118">
        <f t="shared" si="5"/>
        <v>89430.141142389431</v>
      </c>
      <c r="C74" s="116">
        <v>0</v>
      </c>
      <c r="D74" s="136"/>
      <c r="E74" s="117">
        <f t="shared" si="3"/>
        <v>0</v>
      </c>
      <c r="F74" s="117">
        <f t="shared" si="4"/>
        <v>89430.141142389431</v>
      </c>
    </row>
    <row r="75" spans="1:6">
      <c r="A75" s="134">
        <v>40878</v>
      </c>
      <c r="B75" s="118">
        <f t="shared" si="5"/>
        <v>89430.141142389431</v>
      </c>
      <c r="C75" s="116">
        <v>0</v>
      </c>
      <c r="D75" s="136"/>
      <c r="E75" s="117">
        <f t="shared" si="3"/>
        <v>0</v>
      </c>
      <c r="F75" s="117">
        <f t="shared" si="4"/>
        <v>89430.141142389431</v>
      </c>
    </row>
    <row r="76" spans="1:6">
      <c r="A76" s="134">
        <v>40909</v>
      </c>
      <c r="B76" s="118">
        <f t="shared" si="5"/>
        <v>89430.141142389431</v>
      </c>
      <c r="C76" s="116">
        <v>0</v>
      </c>
      <c r="D76" s="136"/>
      <c r="E76" s="117">
        <f t="shared" si="3"/>
        <v>0</v>
      </c>
      <c r="F76" s="117">
        <f t="shared" si="4"/>
        <v>89430.141142389431</v>
      </c>
    </row>
    <row r="77" spans="1:6">
      <c r="A77" s="134">
        <v>40940</v>
      </c>
      <c r="B77" s="118">
        <f t="shared" si="5"/>
        <v>89430.141142389431</v>
      </c>
      <c r="C77" s="116">
        <v>0</v>
      </c>
      <c r="D77" s="136"/>
      <c r="E77" s="117">
        <f t="shared" si="3"/>
        <v>0</v>
      </c>
      <c r="F77" s="117">
        <f t="shared" si="4"/>
        <v>89430.141142389431</v>
      </c>
    </row>
    <row r="78" spans="1:6">
      <c r="A78" s="134">
        <v>40969</v>
      </c>
      <c r="B78" s="118">
        <f t="shared" si="5"/>
        <v>89430.141142389431</v>
      </c>
      <c r="C78" s="116">
        <v>0</v>
      </c>
      <c r="D78" s="136"/>
      <c r="E78" s="117">
        <f t="shared" si="3"/>
        <v>0</v>
      </c>
      <c r="F78" s="117">
        <f t="shared" si="4"/>
        <v>89430.141142389431</v>
      </c>
    </row>
    <row r="79" spans="1:6">
      <c r="A79" s="134">
        <v>41000</v>
      </c>
      <c r="B79" s="118">
        <f t="shared" si="5"/>
        <v>89430.141142389431</v>
      </c>
      <c r="C79" s="116">
        <v>0</v>
      </c>
      <c r="D79" s="136"/>
      <c r="E79" s="117">
        <f t="shared" si="3"/>
        <v>0</v>
      </c>
      <c r="F79" s="117">
        <f t="shared" si="4"/>
        <v>89430.141142389431</v>
      </c>
    </row>
    <row r="80" spans="1:6">
      <c r="A80" s="134">
        <v>41030</v>
      </c>
      <c r="B80" s="118">
        <f t="shared" si="5"/>
        <v>89430.141142389431</v>
      </c>
      <c r="C80" s="116">
        <v>0</v>
      </c>
      <c r="D80" s="136"/>
      <c r="E80" s="117">
        <f t="shared" si="3"/>
        <v>0</v>
      </c>
      <c r="F80" s="117">
        <f t="shared" si="4"/>
        <v>89430.141142389431</v>
      </c>
    </row>
    <row r="81" spans="3:6" ht="15.75" thickBot="1">
      <c r="C81" s="125">
        <f>SUM(C4:C80)</f>
        <v>86730.58</v>
      </c>
      <c r="E81" s="125">
        <f>SUM(E4:E80)</f>
        <v>2699.5611423894311</v>
      </c>
      <c r="F81" s="57"/>
    </row>
  </sheetData>
  <phoneticPr fontId="4" type="noConversion"/>
  <pageMargins left="0.75" right="0.75" top="1" bottom="1" header="0.5" footer="0.5"/>
  <pageSetup scale="48" orientation="portrait"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8.xml><?xml version="1.0" encoding="utf-8"?>
<worksheet xmlns="http://schemas.openxmlformats.org/spreadsheetml/2006/main" xmlns:r="http://schemas.openxmlformats.org/officeDocument/2006/relationships">
  <dimension ref="B1:C20"/>
  <sheetViews>
    <sheetView workbookViewId="0">
      <selection activeCell="C28" sqref="C28"/>
    </sheetView>
  </sheetViews>
  <sheetFormatPr defaultRowHeight="12.75"/>
  <cols>
    <col min="1" max="1" width="9.140625" style="7"/>
    <col min="2" max="2" width="38.5703125" style="7" customWidth="1"/>
    <col min="3" max="3" width="18.28515625" style="7" customWidth="1"/>
    <col min="4" max="16384" width="9.140625" style="7"/>
  </cols>
  <sheetData>
    <row r="1" spans="2:3" ht="20.25">
      <c r="B1" s="25" t="s">
        <v>260</v>
      </c>
    </row>
    <row r="4" spans="2:3">
      <c r="B4" s="126" t="s">
        <v>269</v>
      </c>
      <c r="C4" s="126" t="s">
        <v>268</v>
      </c>
    </row>
    <row r="5" spans="2:3">
      <c r="B5" s="127" t="s">
        <v>261</v>
      </c>
      <c r="C5" s="128">
        <f ca="1">'4. Smart Meter Rev Req'!E55</f>
        <v>0</v>
      </c>
    </row>
    <row r="6" spans="2:3">
      <c r="B6" s="127" t="s">
        <v>262</v>
      </c>
      <c r="C6" s="128">
        <f ca="1">'4. Smart Meter Rev Req'!H55</f>
        <v>0</v>
      </c>
    </row>
    <row r="7" spans="2:3">
      <c r="B7" s="127" t="s">
        <v>263</v>
      </c>
      <c r="C7" s="128">
        <f ca="1">'4. Smart Meter Rev Req'!K55</f>
        <v>0</v>
      </c>
    </row>
    <row r="8" spans="2:3">
      <c r="B8" s="127" t="s">
        <v>264</v>
      </c>
      <c r="C8" s="128">
        <f ca="1">'4. Smart Meter Rev Req'!N55</f>
        <v>6624.7551919912567</v>
      </c>
    </row>
    <row r="9" spans="2:3">
      <c r="B9" s="127" t="s">
        <v>265</v>
      </c>
      <c r="C9" s="128">
        <f ca="1">'4. Smart Meter Rev Req'!Q55</f>
        <v>59618.837758157861</v>
      </c>
    </row>
    <row r="10" spans="2:3">
      <c r="B10" s="127" t="s">
        <v>266</v>
      </c>
      <c r="C10" s="128">
        <f ca="1">'4. Smart Meter Rev Req'!T55</f>
        <v>163430.05889089408</v>
      </c>
    </row>
    <row r="11" spans="2:3" ht="13.5" thickBot="1">
      <c r="B11" s="7" t="s">
        <v>267</v>
      </c>
      <c r="C11" s="129">
        <f ca="1">SUM(C5:C10)</f>
        <v>229673.6518410432</v>
      </c>
    </row>
    <row r="13" spans="2:3">
      <c r="B13" s="7" t="s">
        <v>270</v>
      </c>
      <c r="C13" s="130">
        <f>-'7. Funding Adder Collected'!C81</f>
        <v>-86730.58</v>
      </c>
    </row>
    <row r="14" spans="2:3">
      <c r="B14" s="7" t="s">
        <v>271</v>
      </c>
      <c r="C14" s="130">
        <f>-'7. Funding Adder Collected'!E81</f>
        <v>-2699.5611423894311</v>
      </c>
    </row>
    <row r="16" spans="2:3" ht="13.5" thickBot="1">
      <c r="B16" s="7" t="s">
        <v>272</v>
      </c>
      <c r="C16" s="129">
        <f ca="1">SUM(C11:C14)</f>
        <v>140243.51069865376</v>
      </c>
    </row>
    <row r="18" spans="2:3">
      <c r="B18" s="7" t="s">
        <v>274</v>
      </c>
      <c r="C18" s="36">
        <v>3546</v>
      </c>
    </row>
    <row r="20" spans="2:3">
      <c r="B20" s="126" t="s">
        <v>275</v>
      </c>
      <c r="C20" s="137">
        <f ca="1">IF(C18&lt;&gt;0,C16/C18/12,0)</f>
        <v>3.2958147842323218</v>
      </c>
    </row>
  </sheetData>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1. LDC Information</vt:lpstr>
      <vt:lpstr>2. Smart Meter Data</vt:lpstr>
      <vt:lpstr>3.  LDC Assumptions and Data</vt:lpstr>
      <vt:lpstr>4. Smart Meter Rev Req</vt:lpstr>
      <vt:lpstr>5. PILs</vt:lpstr>
      <vt:lpstr>6. Avg Nt Fix Ass &amp;UCC</vt:lpstr>
      <vt:lpstr>7. Funding Adder Collected</vt:lpstr>
      <vt:lpstr>8. Smart Meter Rate  Adder</vt:lpstr>
      <vt:lpstr>'1. LDC Information'!Print_Area</vt:lpstr>
      <vt:lpstr>'2. Smart Meter Data'!Print_Area</vt:lpstr>
      <vt:lpstr>'2. Smart Meter Data'!Print_Titles</vt:lpstr>
      <vt:lpstr>'6. Avg Nt Fix Ass &amp;UCC'!Print_Titles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bradburyd</cp:lastModifiedBy>
  <cp:lastPrinted>2010-10-27T13:17:47Z</cp:lastPrinted>
  <dcterms:created xsi:type="dcterms:W3CDTF">2007-08-13T15:48:29Z</dcterms:created>
  <dcterms:modified xsi:type="dcterms:W3CDTF">2010-10-27T19:14:12Z</dcterms:modified>
</cp:coreProperties>
</file>