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<sst xmlns="http://schemas.openxmlformats.org/spreadsheetml/2006/main" count="411" uniqueCount="287">
  <si>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</si>
  <si>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</si>
  <si>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</si>
  <si>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</si>
  <si>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</si>
  <si>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</si>
  <si>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</si>
  <si>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</si>
  <si>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</si>
  <si>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</si>
  <si>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</si>
  <si>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</si>
  <si>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</si>
  <si>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</si>
  <si>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</si>
  <si>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</si>
  <si>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</si>
  <si>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</si>
  <si>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</si>
  <si>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</si>
  <si>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</si>
  <si>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</si>
  <si>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</si>
  <si>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</si>
  <si>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</si>
  <si>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</si>
  <si>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</si>
  <si>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</si>
  <si>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</si>
  <si>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</si>
  <si>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</si>
  <si>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</si>
  <si>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</si>
  <si>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</si>
  <si>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</si>
  <si>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</si>
  <si>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</si>
  <si>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</si>
  <si>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</si>
  <si>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</si>
  <si>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</si>
  <si>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</si>
  <si>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</si>
  <si>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</si>
  <si>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</si>
  <si>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</si>
  <si>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</si>
  <si>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</si>
  <si>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</si>
  <si>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</si>
  <si>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</si>
  <si>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</si>
  <si>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</si>
  <si>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</si>
  <si>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</si>
  <si>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</si>
  <si>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</si>
  <si>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</si>
  <si>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</si>
  <si>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</si>
  <si>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</si>
  <si>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</si>
  <si>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</si>
  <si>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</si>
  <si>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</si>
  <si>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</si>
  <si>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</si>
  <si>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</si>
  <si>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</si>
  <si>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</si>
  <si>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</si>
  <si>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</si>
  <si>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</si>
  <si>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</si>
  <si>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</si>
  <si>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</si>
  <si>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</si>
  <si>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</si>
  <si>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</si>
  <si>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</si>
  <si>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</si>
  <si>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</si>
  <si>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</si>
  <si>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</si>
  <si>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</si>
  <si>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</si>
  <si>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</si>
  <si>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</si>
  <si>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</si>
  <si>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</si>
  <si>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</si>
  <si>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</si>
  <si>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</si>
  <si>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</si>
  <si>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</si>
  <si>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</si>
  <si>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</si>
  <si>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</si>
  <si>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</si>
  <si>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</si>
  <si>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</si>
  <si>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</si>
  <si>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</si>
  <si>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</si>
  <si>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</si>
  <si>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</si>
  <si>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</si>
  <si>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</si>
  <si>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</si>
  <si>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</si>
  <si>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</si>
  <si>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</si>
  <si>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</si>
  <si>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</si>
  <si>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</si>
  <si>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</si>
  <si>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</si>
  <si>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</si>
  <si>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</si>
  <si>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</si>
  <si>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</si>
  <si>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</si>
  <si>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</si>
  <si>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</si>
  <si>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</si>
  <si>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</si>
  <si>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</si>
  <si>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</si>
  <si>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</si>
  <si>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</si>
  <si>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</si>
  <si>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</si>
  <si>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</si>
  <si>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</si>
  <si>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</si>
  <si>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</si>
  <si>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</si>
  <si>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</si>
  <si>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</si>
  <si>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</si>
  <si>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</si>
  <si>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</si>
  <si>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</si>
  <si>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</si>
  <si>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</si>
  <si>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</si>
  <si>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</si>
  <si>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</si>
  <si>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</si>
  <si>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</si>
  <si>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</si>
  <si>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</si>
  <si>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</si>
  <si>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</si>
  <si>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</si>
  <si>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</si>
  <si>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</si>
  <si>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</si>
  <si>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</si>
  <si>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</si>
  <si>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</si>
  <si>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</si>
  <si>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</si>
  <si>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</si>
  <si>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</si>
  <si>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</si>
  <si>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</si>
  <si>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</si>
  <si>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</si>
  <si>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</si>
  <si>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</si>
  <si>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</si>
  <si>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</si>
  <si>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</si>
  <si>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</si>
  <si>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</si>
  <si>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</si>
  <si>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</si>
  <si>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</si>
  <si>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</si>
  <si>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</si>
  <si>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</si>
  <si>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</si>
  <si>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</si>
  <si>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</si>
  <si>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</si>
  <si>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</si>
  <si>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</si>
  <si>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</si>
  <si>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</si>
  <si>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</si>
  <si>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</si>
  <si>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</si>
  <si>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</si>
  <si>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</si>
  <si>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</si>
  <si>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</si>
  <si>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</si>
  <si>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</si>
  <si>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</si>
  <si>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</si>
  <si>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</si>
  <si>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</si>
  <si>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</si>
  <si>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</si>
  <si>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</si>
  <si>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</si>
  <si>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</si>
  <si>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</si>
  <si>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</si>
  <si>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</si>
  <si>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</si>
  <si>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</si>
  <si>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</si>
  <si>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</si>
  <si>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</si>
  <si>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</si>
  <si>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</si>
  <si>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</si>
  <si>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</si>
  <si>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</si>
  <si>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</si>
  <si>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</si>
  <si>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</si>
  <si>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</si>
  <si>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</si>
  <si>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</si>
  <si>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</si>
  <si>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</si>
  <si>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</si>
  <si>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</si>
  <si>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</si>
  <si>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</si>
  <si>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</si>
  <si>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</si>
  <si>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</si>
  <si>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</si>
  <si>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</si>
  <si>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</si>
  <si>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</si>
  <si>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</si>
  <si>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</si>
  <si>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</si>
  <si>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</si>
  <si>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</si>
  <si>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</si>
  <si>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</si>
  <si>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</si>
  <si>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</si>
  <si>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</si>
  <si>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</si>
  <si>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</si>
  <si>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</si>
  <si>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</si>
  <si>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</si>
  <si>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</si>
  <si>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</si>
  <si>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</si>
  <si>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</si>
  <si>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</si>
  <si>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</si>
  <si>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</si>
  <si>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</si>
  <si>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</si>
  <si>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</si>
  <si>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</si>
  <si>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</si>
  <si>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</si>
  <si>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</si>
  <si>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</si>
  <si>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</si>
  <si>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</si>
  <si>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</si>
  <si>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</si>
  <si>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</si>
  <si>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</si>
  <si>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</si>
  <si>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</si>
  <si>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</si>
  <si>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</si>
  <si>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Northern Ontario Wires Inc.</t>
  </si>
  <si>
    <t>ED-2003-0018</t>
  </si>
  <si>
    <t>Monika Malherbe</t>
  </si>
  <si>
    <t>Chief Financial Officer</t>
  </si>
  <si>
    <t>(705) 272-6669</t>
  </si>
  <si>
    <t>monikam@nowinc.ca</t>
  </si>
  <si>
    <t>Forecast</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</si>
</sst>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0">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10" fontId="0" fillId="4" borderId="0" xfId="61" applyNumberFormat="1" applyFont="1" applyFill="1" applyAlignment="1" applyProtection="1">
      <alignment horizontal="center"/>
      <protection locked="0"/>
    </xf>
    <xf numFmtId="173" fontId="0" fillId="0" borderId="0" xfId="44" applyNumberFormat="1" applyFont="1" applyFill="1" applyAlignment="1" applyProtection="1">
      <alignment/>
      <protection/>
    </xf>
    <xf numFmtId="173" fontId="0" fillId="0" borderId="0" xfId="44" applyNumberFormat="1"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nikam@nowin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E13" sqref="E13"/>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40494</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9" t="s">
        <v>3</v>
      </c>
      <c r="B13" s="169"/>
      <c r="C13" s="16"/>
      <c r="D13" s="16"/>
      <c r="E13" s="16"/>
      <c r="F13" s="15"/>
      <c r="G13" s="15"/>
      <c r="H13" s="15"/>
    </row>
    <row r="14" spans="1:8" ht="16.5" thickBot="1">
      <c r="A14" s="15"/>
      <c r="B14" s="19" t="s">
        <v>4</v>
      </c>
      <c r="C14" s="170" t="s">
        <v>282</v>
      </c>
      <c r="D14" s="171"/>
      <c r="E14" s="20"/>
      <c r="F14" s="15"/>
      <c r="G14" s="15"/>
      <c r="H14" s="15"/>
    </row>
    <row r="15" spans="1:8" ht="16.5" thickBot="1">
      <c r="A15" s="15"/>
      <c r="B15" s="21"/>
      <c r="C15" s="16"/>
      <c r="D15" s="16"/>
      <c r="E15" s="16"/>
      <c r="F15" s="15"/>
      <c r="G15" s="15"/>
      <c r="H15" s="15"/>
    </row>
    <row r="16" spans="1:8" ht="16.5" thickBot="1">
      <c r="A16" s="15"/>
      <c r="B16" s="19" t="s">
        <v>5</v>
      </c>
      <c r="C16" s="170" t="s">
        <v>283</v>
      </c>
      <c r="D16" s="171"/>
      <c r="E16" s="20"/>
      <c r="F16" s="2"/>
      <c r="G16" s="15"/>
      <c r="H16" s="15"/>
    </row>
    <row r="17" spans="1:8" ht="16.5" thickBot="1">
      <c r="A17" s="15"/>
      <c r="B17" s="21"/>
      <c r="C17" s="16"/>
      <c r="D17" s="16"/>
      <c r="E17" s="16"/>
      <c r="F17" s="15"/>
      <c r="G17" s="15"/>
      <c r="H17" s="15"/>
    </row>
    <row r="18" spans="1:8" ht="16.5" thickBot="1">
      <c r="A18" s="15"/>
      <c r="B18" s="19" t="s">
        <v>6</v>
      </c>
      <c r="C18" s="170" t="s">
        <v>284</v>
      </c>
      <c r="D18" s="171"/>
      <c r="E18" s="20"/>
      <c r="F18" s="15"/>
      <c r="G18" s="15"/>
      <c r="H18" s="15"/>
    </row>
    <row r="19" spans="1:8" ht="15" thickBot="1">
      <c r="A19" s="1"/>
      <c r="B19" s="22"/>
      <c r="C19" s="23"/>
      <c r="D19" s="23"/>
      <c r="E19" s="23"/>
      <c r="F19" s="1"/>
      <c r="G19" s="1"/>
      <c r="H19" s="1"/>
    </row>
    <row r="20" spans="1:8" ht="16.5" thickBot="1">
      <c r="A20" s="1"/>
      <c r="B20" s="19" t="s">
        <v>7</v>
      </c>
      <c r="C20" s="167" t="s">
        <v>285</v>
      </c>
      <c r="D20" s="168"/>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monikam@nowinc.ca"/>
  </hyperlinks>
  <printOptions/>
  <pageMargins left="0.75" right="0.23" top="1" bottom="1" header="0.5" footer="0.5"/>
  <pageSetup horizontalDpi="600" verticalDpi="600" orientation="portrait" scale="67" r:id="rId3"/>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U147"/>
  <sheetViews>
    <sheetView showGridLines="0" zoomScale="75" zoomScaleNormal="75" zoomScalePageLayoutView="0" workbookViewId="0" topLeftCell="A107">
      <selection activeCell="B125" sqref="B125"/>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3" t="s">
        <v>12</v>
      </c>
      <c r="C1" s="173"/>
      <c r="D1" s="173"/>
      <c r="E1" s="173"/>
      <c r="F1" s="173"/>
      <c r="G1" s="173"/>
      <c r="H1" s="173"/>
      <c r="I1" s="173"/>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v>4974</v>
      </c>
      <c r="H6" s="92">
        <v>337</v>
      </c>
      <c r="I6" s="92"/>
      <c r="J6" s="92"/>
      <c r="K6" s="33">
        <f>SUM(D6:J6)</f>
        <v>5311</v>
      </c>
    </row>
    <row r="7" ht="12.75"/>
    <row r="8" spans="1:11" ht="12.75">
      <c r="A8" s="5"/>
      <c r="B8" s="31" t="s">
        <v>18</v>
      </c>
      <c r="C8" s="31"/>
      <c r="D8" s="32"/>
      <c r="E8" s="32"/>
      <c r="F8" s="32"/>
      <c r="G8" s="32">
        <v>432</v>
      </c>
      <c r="H8" s="32">
        <v>347</v>
      </c>
      <c r="I8" s="32"/>
      <c r="J8" s="32"/>
      <c r="K8" s="33">
        <f>SUM(D8:J8)</f>
        <v>779</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5406</v>
      </c>
      <c r="H10" s="35">
        <f t="shared" si="0"/>
        <v>684</v>
      </c>
      <c r="I10" s="35">
        <f t="shared" si="0"/>
        <v>0</v>
      </c>
      <c r="J10" s="35">
        <f t="shared" si="0"/>
        <v>0</v>
      </c>
      <c r="K10" s="35">
        <f t="shared" si="0"/>
        <v>6090</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0.8876847290640394</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5406</v>
      </c>
      <c r="H16" s="36">
        <f t="shared" si="1"/>
        <v>684</v>
      </c>
      <c r="I16" s="36">
        <f t="shared" si="1"/>
        <v>0</v>
      </c>
      <c r="J16" s="36">
        <f t="shared" si="1"/>
        <v>0</v>
      </c>
      <c r="K16" s="36">
        <f>SUM(D16:J16)</f>
        <v>6090</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3</v>
      </c>
      <c r="H21" s="32"/>
      <c r="I21" s="32"/>
      <c r="J21" s="32"/>
      <c r="K21" s="33">
        <f>SUM(D21:J21)</f>
        <v>3</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82" t="s">
        <v>286</v>
      </c>
      <c r="I38" s="24" t="str">
        <f t="shared" si="5"/>
        <v>Forecasted</v>
      </c>
      <c r="J38" s="24" t="str">
        <f t="shared" si="5"/>
        <v>Forecasted</v>
      </c>
      <c r="K38" s="24"/>
    </row>
    <row r="39" spans="1:21" ht="20.25">
      <c r="A39" s="5"/>
      <c r="B39" s="41" t="s">
        <v>28</v>
      </c>
      <c r="C39" s="86" t="s">
        <v>8</v>
      </c>
      <c r="D39" s="42"/>
      <c r="E39" s="42"/>
      <c r="F39" s="42"/>
      <c r="G39" s="42">
        <v>473587.58</v>
      </c>
      <c r="H39" s="42">
        <v>26535</v>
      </c>
      <c r="I39" s="42"/>
      <c r="J39" s="42"/>
      <c r="K39" s="43">
        <f>SUM(D39:J39)</f>
        <v>500122.58</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v>97992.15</v>
      </c>
      <c r="H41" s="42">
        <v>47005</v>
      </c>
      <c r="I41" s="42"/>
      <c r="J41" s="42"/>
      <c r="K41" s="43">
        <f>SUM(D41:J41)</f>
        <v>144997.15</v>
      </c>
      <c r="U41" s="83"/>
    </row>
    <row r="42" spans="1:11" ht="12.75">
      <c r="A42" s="5"/>
      <c r="B42" s="44" t="s">
        <v>31</v>
      </c>
      <c r="C42" s="44"/>
      <c r="D42" s="172"/>
      <c r="E42" s="172"/>
      <c r="F42" s="172"/>
      <c r="G42" s="172"/>
      <c r="H42" s="172"/>
      <c r="I42" s="172"/>
      <c r="J42" s="80"/>
      <c r="K42" s="5"/>
    </row>
    <row r="43" spans="1:11" ht="15.75">
      <c r="A43" s="5"/>
      <c r="B43" s="41" t="s">
        <v>32</v>
      </c>
      <c r="C43" s="86" t="s">
        <v>9</v>
      </c>
      <c r="D43" s="42"/>
      <c r="E43" s="42"/>
      <c r="F43" s="42"/>
      <c r="G43" s="42">
        <v>8614.62</v>
      </c>
      <c r="H43" s="42"/>
      <c r="I43" s="42"/>
      <c r="J43" s="42"/>
      <c r="K43" s="43">
        <f>SUM(D43:J43)</f>
        <v>8614.62</v>
      </c>
    </row>
    <row r="44" spans="1:11" ht="12.75">
      <c r="A44" s="5"/>
      <c r="B44" s="44" t="s">
        <v>33</v>
      </c>
      <c r="C44" s="44"/>
      <c r="D44" s="172"/>
      <c r="E44" s="172"/>
      <c r="F44" s="172"/>
      <c r="G44" s="172"/>
      <c r="H44" s="172"/>
      <c r="I44" s="172"/>
      <c r="J44" s="80"/>
      <c r="K44" s="5"/>
    </row>
    <row r="45" spans="1:11" ht="15.75">
      <c r="A45" s="5"/>
      <c r="B45" s="41" t="s">
        <v>34</v>
      </c>
      <c r="C45" s="86" t="s">
        <v>10</v>
      </c>
      <c r="D45" s="42"/>
      <c r="E45" s="42"/>
      <c r="F45" s="42"/>
      <c r="G45" s="42">
        <v>14560</v>
      </c>
      <c r="H45" s="42"/>
      <c r="I45" s="42"/>
      <c r="J45" s="42"/>
      <c r="K45" s="43">
        <f>SUM(D45:J45)</f>
        <v>14560</v>
      </c>
    </row>
    <row r="46" spans="1:11" ht="12.75">
      <c r="A46" s="5"/>
      <c r="B46" s="44" t="s">
        <v>33</v>
      </c>
      <c r="C46" s="44"/>
      <c r="D46" s="172"/>
      <c r="E46" s="172"/>
      <c r="F46" s="172"/>
      <c r="G46" s="172"/>
      <c r="H46" s="172"/>
      <c r="I46" s="172"/>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594754.35</v>
      </c>
      <c r="H48" s="45">
        <f t="shared" si="6"/>
        <v>73540</v>
      </c>
      <c r="I48" s="45">
        <f t="shared" si="6"/>
        <v>0</v>
      </c>
      <c r="J48" s="45">
        <f t="shared" si="6"/>
        <v>0</v>
      </c>
      <c r="K48" s="45">
        <f t="shared" si="6"/>
        <v>668294.35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82" t="s">
        <v>286</v>
      </c>
      <c r="I52" s="24" t="str">
        <f t="shared" si="8"/>
        <v>Forecasted</v>
      </c>
      <c r="J52" s="24" t="str">
        <f t="shared" si="8"/>
        <v>Forecasted</v>
      </c>
      <c r="K52" s="24"/>
    </row>
    <row r="53" spans="1:11" ht="15.75">
      <c r="A53" s="5"/>
      <c r="B53" s="41" t="s">
        <v>37</v>
      </c>
      <c r="C53" s="86" t="s">
        <v>8</v>
      </c>
      <c r="D53" s="42"/>
      <c r="E53" s="42"/>
      <c r="F53" s="42"/>
      <c r="G53" s="42">
        <v>485124.95</v>
      </c>
      <c r="H53" s="42"/>
      <c r="I53" s="42"/>
      <c r="J53" s="42"/>
      <c r="K53" s="46">
        <f>SUM(D53:J53)</f>
        <v>485124.95</v>
      </c>
    </row>
    <row r="54" spans="1:11" ht="12.75">
      <c r="A54" s="5"/>
      <c r="B54" s="44"/>
      <c r="C54" s="44"/>
      <c r="D54" s="172"/>
      <c r="E54" s="172"/>
      <c r="F54" s="172"/>
      <c r="G54" s="172"/>
      <c r="H54" s="172"/>
      <c r="I54" s="172"/>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2"/>
      <c r="E57" s="172"/>
      <c r="F57" s="172"/>
      <c r="G57" s="172"/>
      <c r="H57" s="172"/>
      <c r="I57" s="172"/>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c r="H59" s="42"/>
      <c r="I59" s="42"/>
      <c r="J59" s="42"/>
      <c r="K59" s="46">
        <f>SUM(D59:J59)</f>
        <v>0</v>
      </c>
    </row>
    <row r="60" spans="1:11" ht="12.75">
      <c r="A60" s="5"/>
      <c r="B60" s="44" t="s">
        <v>41</v>
      </c>
      <c r="C60" s="44"/>
      <c r="D60" s="172"/>
      <c r="E60" s="172"/>
      <c r="F60" s="172"/>
      <c r="G60" s="172"/>
      <c r="H60" s="172"/>
      <c r="I60" s="172"/>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485124.95</v>
      </c>
      <c r="H62" s="45">
        <f t="shared" si="9"/>
        <v>0</v>
      </c>
      <c r="I62" s="45">
        <f t="shared" si="9"/>
        <v>0</v>
      </c>
      <c r="J62" s="45">
        <f t="shared" si="9"/>
        <v>0</v>
      </c>
      <c r="K62" s="45">
        <f t="shared" si="9"/>
        <v>485124.95</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82" t="s">
        <v>286</v>
      </c>
      <c r="I66" s="24" t="str">
        <f t="shared" si="11"/>
        <v>Forecasted</v>
      </c>
      <c r="J66" s="24" t="str">
        <f t="shared" si="11"/>
        <v>Forecasted</v>
      </c>
      <c r="K66" s="24"/>
    </row>
    <row r="67" spans="1:11" ht="15.75">
      <c r="A67" s="5"/>
      <c r="B67" s="41" t="s">
        <v>44</v>
      </c>
      <c r="C67" s="86" t="s">
        <v>9</v>
      </c>
      <c r="D67" s="42"/>
      <c r="E67" s="42"/>
      <c r="F67" s="42"/>
      <c r="G67" s="42"/>
      <c r="H67" s="42"/>
      <c r="I67" s="42"/>
      <c r="J67" s="42"/>
      <c r="K67" s="46">
        <f>SUM(D67:J67)</f>
        <v>0</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c r="I69" s="42"/>
      <c r="J69" s="42"/>
      <c r="K69" s="46">
        <f>SUM(D69:J69)</f>
        <v>0</v>
      </c>
    </row>
    <row r="70" spans="1:11" ht="12.75">
      <c r="A70" s="5"/>
      <c r="B70" s="44"/>
      <c r="C70" s="44"/>
      <c r="D70" s="172"/>
      <c r="E70" s="172"/>
      <c r="F70" s="172"/>
      <c r="G70" s="172"/>
      <c r="H70" s="172"/>
      <c r="I70" s="172"/>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72"/>
      <c r="E72" s="172"/>
      <c r="F72" s="172"/>
      <c r="G72" s="172"/>
      <c r="H72" s="172"/>
      <c r="I72" s="172"/>
      <c r="J72" s="80"/>
      <c r="K72" s="5"/>
    </row>
    <row r="73" spans="1:11" ht="13.5" thickBot="1">
      <c r="A73" s="5"/>
      <c r="B73" s="41" t="s">
        <v>48</v>
      </c>
      <c r="C73" s="41"/>
      <c r="D73" s="45">
        <f aca="true" t="shared" si="12" ref="D73:K73">SUM(D67,D69,D71)</f>
        <v>0</v>
      </c>
      <c r="E73" s="45">
        <f t="shared" si="12"/>
        <v>0</v>
      </c>
      <c r="F73" s="45">
        <f t="shared" si="12"/>
        <v>0</v>
      </c>
      <c r="G73" s="45">
        <f t="shared" si="12"/>
        <v>0</v>
      </c>
      <c r="H73" s="45">
        <f t="shared" si="12"/>
        <v>0</v>
      </c>
      <c r="I73" s="45">
        <f t="shared" si="12"/>
        <v>0</v>
      </c>
      <c r="J73" s="45">
        <f t="shared" si="12"/>
        <v>0</v>
      </c>
      <c r="K73" s="45">
        <f t="shared" si="12"/>
        <v>0</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82" t="s">
        <v>286</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82" t="s">
        <v>286</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72"/>
      <c r="E86" s="172"/>
      <c r="F86" s="172"/>
      <c r="G86" s="172"/>
      <c r="H86" s="172"/>
      <c r="I86" s="172"/>
      <c r="J86" s="80"/>
      <c r="K86" s="5"/>
    </row>
    <row r="87" spans="1:11" ht="15.75">
      <c r="A87" s="5"/>
      <c r="B87" s="41" t="s">
        <v>54</v>
      </c>
      <c r="C87" s="86" t="s">
        <v>10</v>
      </c>
      <c r="D87" s="42"/>
      <c r="E87" s="42"/>
      <c r="F87" s="42"/>
      <c r="G87" s="42">
        <v>8272.7</v>
      </c>
      <c r="H87" s="42"/>
      <c r="I87" s="42"/>
      <c r="J87" s="42"/>
      <c r="K87" s="46">
        <f>SUM(D87:J87)</f>
        <v>8272.7</v>
      </c>
    </row>
    <row r="88" spans="1:11" ht="12.75">
      <c r="A88" s="5"/>
      <c r="B88" s="44"/>
      <c r="C88" s="44"/>
      <c r="D88" s="172"/>
      <c r="E88" s="172"/>
      <c r="F88" s="172"/>
      <c r="G88" s="172"/>
      <c r="H88" s="172"/>
      <c r="I88" s="172"/>
      <c r="J88" s="80"/>
      <c r="K88" s="5"/>
    </row>
    <row r="89" spans="1:11" ht="15.75">
      <c r="A89" s="5"/>
      <c r="B89" s="41" t="s">
        <v>55</v>
      </c>
      <c r="C89" s="86" t="s">
        <v>10</v>
      </c>
      <c r="D89" s="42"/>
      <c r="E89" s="42">
        <v>13308.67</v>
      </c>
      <c r="F89" s="42">
        <v>15850.11</v>
      </c>
      <c r="G89" s="42">
        <v>15698.13</v>
      </c>
      <c r="H89" s="42">
        <v>5000</v>
      </c>
      <c r="I89" s="42"/>
      <c r="J89" s="42"/>
      <c r="K89" s="46">
        <f>SUM(D89:J89)</f>
        <v>49856.909999999996</v>
      </c>
    </row>
    <row r="90" spans="1:11" ht="12.75">
      <c r="A90" s="5"/>
      <c r="B90" s="44"/>
      <c r="C90" s="44"/>
      <c r="D90" s="172"/>
      <c r="E90" s="172"/>
      <c r="F90" s="172"/>
      <c r="G90" s="172"/>
      <c r="H90" s="172"/>
      <c r="I90" s="172"/>
      <c r="J90" s="80"/>
      <c r="K90" s="5"/>
    </row>
    <row r="91" spans="1:11" ht="15.75">
      <c r="A91" s="5"/>
      <c r="B91" s="41" t="s">
        <v>56</v>
      </c>
      <c r="C91" s="86" t="s">
        <v>10</v>
      </c>
      <c r="D91" s="42"/>
      <c r="E91" s="42"/>
      <c r="F91" s="42"/>
      <c r="G91" s="42"/>
      <c r="H91" s="42"/>
      <c r="I91" s="42"/>
      <c r="J91" s="42"/>
      <c r="K91" s="46">
        <f>SUM(D91:J91)</f>
        <v>0</v>
      </c>
    </row>
    <row r="92" spans="1:11" ht="12.75">
      <c r="A92" s="5"/>
      <c r="B92" s="44"/>
      <c r="C92" s="44"/>
      <c r="D92" s="172"/>
      <c r="E92" s="172"/>
      <c r="F92" s="172"/>
      <c r="G92" s="172"/>
      <c r="H92" s="172"/>
      <c r="I92" s="172"/>
      <c r="J92" s="80"/>
      <c r="K92" s="5"/>
    </row>
    <row r="93" spans="1:11" ht="15.75">
      <c r="A93" s="5"/>
      <c r="B93" s="41" t="s">
        <v>57</v>
      </c>
      <c r="C93" s="86" t="s">
        <v>10</v>
      </c>
      <c r="D93" s="42"/>
      <c r="E93" s="42"/>
      <c r="F93" s="42"/>
      <c r="G93" s="42"/>
      <c r="H93" s="42"/>
      <c r="I93" s="42"/>
      <c r="J93" s="42"/>
      <c r="K93" s="46">
        <f>SUM(D93:J93)</f>
        <v>0</v>
      </c>
    </row>
    <row r="94" spans="1:11" ht="12.75">
      <c r="A94" s="5"/>
      <c r="B94" s="44"/>
      <c r="D94" s="172"/>
      <c r="E94" s="172"/>
      <c r="F94" s="172"/>
      <c r="G94" s="172"/>
      <c r="H94" s="172"/>
      <c r="I94" s="172"/>
      <c r="J94" s="80"/>
      <c r="K94" s="5"/>
    </row>
    <row r="95" spans="1:11" ht="15.75">
      <c r="A95" s="5"/>
      <c r="B95" s="41" t="s">
        <v>58</v>
      </c>
      <c r="C95" s="86" t="s">
        <v>10</v>
      </c>
      <c r="D95" s="42"/>
      <c r="E95" s="42"/>
      <c r="F95" s="42"/>
      <c r="G95" s="42">
        <v>1501</v>
      </c>
      <c r="H95" s="42"/>
      <c r="I95" s="42"/>
      <c r="J95" s="42"/>
      <c r="K95" s="46">
        <f>SUM(D95:J95)</f>
        <v>1501</v>
      </c>
    </row>
    <row r="96" spans="1:11" ht="12.75">
      <c r="A96" s="5"/>
      <c r="B96" s="44"/>
      <c r="D96" s="172"/>
      <c r="E96" s="172"/>
      <c r="F96" s="172"/>
      <c r="G96" s="172"/>
      <c r="H96" s="172"/>
      <c r="I96" s="172"/>
      <c r="J96" s="80"/>
      <c r="K96" s="5"/>
    </row>
    <row r="97" spans="1:11" ht="13.5" thickBot="1">
      <c r="A97" s="5"/>
      <c r="B97" s="41" t="s">
        <v>59</v>
      </c>
      <c r="C97" s="41"/>
      <c r="D97" s="45">
        <f aca="true" t="shared" si="18" ref="D97:K97">SUM(D85,D87,D89,D91,D95,D93)</f>
        <v>0</v>
      </c>
      <c r="E97" s="45">
        <f t="shared" si="18"/>
        <v>13308.67</v>
      </c>
      <c r="F97" s="45">
        <f t="shared" si="18"/>
        <v>15850.11</v>
      </c>
      <c r="G97" s="45">
        <f t="shared" si="18"/>
        <v>25471.83</v>
      </c>
      <c r="H97" s="45">
        <f t="shared" si="18"/>
        <v>5000</v>
      </c>
      <c r="I97" s="45">
        <f t="shared" si="18"/>
        <v>0</v>
      </c>
      <c r="J97" s="45">
        <f t="shared" si="18"/>
        <v>0</v>
      </c>
      <c r="K97" s="45">
        <f t="shared" si="18"/>
        <v>59630.61</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13308.67</v>
      </c>
      <c r="F99" s="49">
        <f t="shared" si="19"/>
        <v>15850.11</v>
      </c>
      <c r="G99" s="49">
        <f t="shared" si="19"/>
        <v>1105351.1300000001</v>
      </c>
      <c r="H99" s="49">
        <f t="shared" si="19"/>
        <v>78540</v>
      </c>
      <c r="I99" s="49">
        <f t="shared" si="19"/>
        <v>0</v>
      </c>
      <c r="J99" s="49">
        <f t="shared" si="19"/>
        <v>0</v>
      </c>
      <c r="K99" s="49">
        <f t="shared" si="19"/>
        <v>1213049.9100000001</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82" t="s">
        <v>286</v>
      </c>
      <c r="I104" s="24" t="str">
        <f t="shared" si="21"/>
        <v>Forecasted</v>
      </c>
      <c r="J104" s="24" t="str">
        <f t="shared" si="21"/>
        <v>Forecasted</v>
      </c>
      <c r="K104" s="24"/>
    </row>
    <row r="105" spans="1:11" ht="12.75">
      <c r="A105" s="5"/>
      <c r="B105" s="41" t="s">
        <v>63</v>
      </c>
      <c r="C105" s="41"/>
      <c r="D105" s="42"/>
      <c r="E105" s="42"/>
      <c r="F105" s="42"/>
      <c r="G105" s="42">
        <v>6661.34</v>
      </c>
      <c r="H105" s="42"/>
      <c r="I105" s="42"/>
      <c r="J105" s="42"/>
      <c r="K105" s="46">
        <f>SUM(D105:J105)</f>
        <v>6661.34</v>
      </c>
    </row>
    <row r="106" spans="1:11" ht="12.75">
      <c r="A106" s="5"/>
      <c r="B106" s="44" t="s">
        <v>64</v>
      </c>
      <c r="C106" s="44"/>
      <c r="D106" s="172"/>
      <c r="E106" s="172"/>
      <c r="F106" s="172"/>
      <c r="G106" s="172"/>
      <c r="H106" s="172"/>
      <c r="I106" s="172"/>
      <c r="J106" s="80"/>
      <c r="K106" s="5"/>
    </row>
    <row r="107" spans="1:11" ht="13.5" thickBot="1">
      <c r="A107" s="5"/>
      <c r="B107" s="41" t="s">
        <v>65</v>
      </c>
      <c r="C107" s="41"/>
      <c r="D107" s="45">
        <f aca="true" t="shared" si="22" ref="D107:K107">SUM(D105)</f>
        <v>0</v>
      </c>
      <c r="E107" s="45">
        <f t="shared" si="22"/>
        <v>0</v>
      </c>
      <c r="F107" s="45">
        <f t="shared" si="22"/>
        <v>0</v>
      </c>
      <c r="G107" s="45">
        <f t="shared" si="22"/>
        <v>6661.34</v>
      </c>
      <c r="H107" s="45">
        <f t="shared" si="22"/>
        <v>0</v>
      </c>
      <c r="I107" s="45">
        <f t="shared" si="22"/>
        <v>0</v>
      </c>
      <c r="J107" s="45">
        <f t="shared" si="22"/>
        <v>0</v>
      </c>
      <c r="K107" s="45">
        <f t="shared" si="22"/>
        <v>6661.34</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v>4540.95</v>
      </c>
      <c r="H110" s="42">
        <v>3804</v>
      </c>
      <c r="I110" s="42">
        <f>+H110*1.02</f>
        <v>3880.08</v>
      </c>
      <c r="J110" s="42">
        <f>+I110*1.02</f>
        <v>3957.6816</v>
      </c>
      <c r="K110" s="46">
        <f>SUM(D110:J110)</f>
        <v>16182.7116</v>
      </c>
    </row>
    <row r="111" spans="1:11" ht="12.75">
      <c r="A111" s="5"/>
      <c r="B111" s="44"/>
      <c r="C111" s="44"/>
      <c r="D111" s="172"/>
      <c r="E111" s="172"/>
      <c r="F111" s="172"/>
      <c r="G111" s="172"/>
      <c r="H111" s="172"/>
      <c r="I111" s="172"/>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4540.95</v>
      </c>
      <c r="H113" s="45">
        <f t="shared" si="23"/>
        <v>3804</v>
      </c>
      <c r="I113" s="45">
        <f t="shared" si="23"/>
        <v>3880.08</v>
      </c>
      <c r="J113" s="45">
        <f t="shared" si="23"/>
        <v>3957.6816</v>
      </c>
      <c r="K113" s="45">
        <f t="shared" si="23"/>
        <v>16182.7116</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72"/>
      <c r="E117" s="172"/>
      <c r="F117" s="172"/>
      <c r="G117" s="172"/>
      <c r="H117" s="172"/>
      <c r="I117" s="172"/>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v>55377.06</v>
      </c>
      <c r="H119" s="42">
        <v>110880</v>
      </c>
      <c r="I119" s="42">
        <f>+H119*1.02</f>
        <v>113097.6</v>
      </c>
      <c r="J119" s="42">
        <f>+I119*1.02</f>
        <v>115359.55200000001</v>
      </c>
      <c r="K119" s="46">
        <f>SUM(D119:J119)</f>
        <v>394714.21200000006</v>
      </c>
    </row>
    <row r="120" spans="1:11" ht="12.75">
      <c r="A120" s="5"/>
      <c r="B120" s="44" t="s">
        <v>72</v>
      </c>
      <c r="C120" s="44"/>
      <c r="D120" s="172"/>
      <c r="E120" s="172"/>
      <c r="F120" s="172"/>
      <c r="G120" s="172"/>
      <c r="H120" s="172"/>
      <c r="I120" s="172"/>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55377.06</v>
      </c>
      <c r="H122" s="45">
        <f t="shared" si="24"/>
        <v>110880</v>
      </c>
      <c r="I122" s="45">
        <f t="shared" si="24"/>
        <v>113097.6</v>
      </c>
      <c r="J122" s="45">
        <f t="shared" si="24"/>
        <v>115359.55200000001</v>
      </c>
      <c r="K122" s="45">
        <f t="shared" si="24"/>
        <v>394714.21200000006</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72"/>
      <c r="E127" s="172"/>
      <c r="F127" s="172"/>
      <c r="G127" s="172"/>
      <c r="H127" s="172"/>
      <c r="I127" s="172"/>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2"/>
      <c r="E133" s="172"/>
      <c r="F133" s="172"/>
      <c r="G133" s="172"/>
      <c r="H133" s="172"/>
      <c r="I133" s="172"/>
      <c r="J133" s="80"/>
      <c r="K133" s="5"/>
    </row>
    <row r="134" spans="1:11" ht="12.75">
      <c r="A134" s="5"/>
      <c r="B134" s="41" t="s">
        <v>79</v>
      </c>
      <c r="C134" s="41"/>
      <c r="D134" s="42"/>
      <c r="E134" s="42"/>
      <c r="F134" s="42"/>
      <c r="G134" s="42">
        <v>13614.63</v>
      </c>
      <c r="H134" s="42">
        <v>10000</v>
      </c>
      <c r="I134" s="42"/>
      <c r="J134" s="42"/>
      <c r="K134" s="46">
        <f>SUM(D134:J134)</f>
        <v>23614.629999999997</v>
      </c>
    </row>
    <row r="135" spans="1:11" ht="12.75">
      <c r="A135" s="5"/>
      <c r="B135" s="44" t="s">
        <v>80</v>
      </c>
      <c r="C135" s="44"/>
      <c r="D135" s="172"/>
      <c r="E135" s="172"/>
      <c r="F135" s="172"/>
      <c r="G135" s="172"/>
      <c r="H135" s="172"/>
      <c r="I135" s="172"/>
      <c r="J135" s="80"/>
      <c r="K135" s="5"/>
    </row>
    <row r="136" spans="1:11" ht="12.75">
      <c r="A136" s="5"/>
      <c r="B136" s="41" t="s">
        <v>81</v>
      </c>
      <c r="C136" s="41"/>
      <c r="D136" s="42"/>
      <c r="E136" s="42"/>
      <c r="F136" s="42"/>
      <c r="G136" s="42"/>
      <c r="H136" s="42">
        <v>2000</v>
      </c>
      <c r="I136" s="42"/>
      <c r="J136" s="42"/>
      <c r="K136" s="46">
        <f>SUM(D136:J136)</f>
        <v>2000</v>
      </c>
    </row>
    <row r="137" spans="1:11" ht="12.75">
      <c r="A137" s="5"/>
      <c r="B137" s="44"/>
      <c r="C137" s="44"/>
      <c r="D137" s="172"/>
      <c r="E137" s="172"/>
      <c r="F137" s="172"/>
      <c r="G137" s="172"/>
      <c r="H137" s="172"/>
      <c r="I137" s="172"/>
      <c r="J137" s="80"/>
      <c r="K137" s="5"/>
    </row>
    <row r="138" spans="1:11" ht="12.75">
      <c r="A138" s="5"/>
      <c r="B138" s="41" t="s">
        <v>82</v>
      </c>
      <c r="C138" s="41"/>
      <c r="D138" s="42"/>
      <c r="E138" s="42"/>
      <c r="F138" s="42"/>
      <c r="G138" s="42">
        <v>2460.88</v>
      </c>
      <c r="H138" s="42">
        <v>20000</v>
      </c>
      <c r="I138" s="42">
        <v>10000</v>
      </c>
      <c r="J138" s="42"/>
      <c r="K138" s="46">
        <f>SUM(D138:J138)</f>
        <v>32460.88</v>
      </c>
    </row>
    <row r="139" spans="1:11" ht="12.75">
      <c r="A139" s="5"/>
      <c r="B139" s="44" t="s">
        <v>83</v>
      </c>
      <c r="C139" s="44"/>
      <c r="D139" s="172"/>
      <c r="E139" s="172"/>
      <c r="F139" s="172"/>
      <c r="G139" s="172"/>
      <c r="H139" s="172"/>
      <c r="I139" s="172"/>
      <c r="J139" s="80"/>
      <c r="K139" s="5"/>
    </row>
    <row r="140" spans="1:11" ht="12.75">
      <c r="A140" s="5"/>
      <c r="B140" s="41" t="s">
        <v>84</v>
      </c>
      <c r="C140" s="41"/>
      <c r="D140" s="42"/>
      <c r="E140" s="42"/>
      <c r="F140" s="42"/>
      <c r="G140" s="42">
        <v>11577.09</v>
      </c>
      <c r="H140" s="42"/>
      <c r="I140" s="42"/>
      <c r="J140" s="42"/>
      <c r="K140" s="46">
        <f>SUM(D140:J140)</f>
        <v>11577.09</v>
      </c>
    </row>
    <row r="141" spans="1:11" ht="12.75">
      <c r="A141" s="5"/>
      <c r="B141" s="44"/>
      <c r="C141" s="44"/>
      <c r="D141" s="172"/>
      <c r="E141" s="172"/>
      <c r="F141" s="172"/>
      <c r="G141" s="172"/>
      <c r="H141" s="172"/>
      <c r="I141" s="172"/>
      <c r="J141" s="80"/>
      <c r="K141" s="5"/>
    </row>
    <row r="142" spans="1:11" ht="12.75">
      <c r="A142" s="5"/>
      <c r="B142" s="41" t="s">
        <v>85</v>
      </c>
      <c r="C142" s="41"/>
      <c r="D142" s="42"/>
      <c r="E142" s="42"/>
      <c r="F142" s="42"/>
      <c r="G142" s="42">
        <v>685.82</v>
      </c>
      <c r="H142" s="42"/>
      <c r="I142" s="42"/>
      <c r="J142" s="42"/>
      <c r="K142" s="46">
        <f>SUM(D142:J142)</f>
        <v>685.82</v>
      </c>
    </row>
    <row r="143" spans="1:11" ht="12.75">
      <c r="A143" s="5"/>
      <c r="B143" s="44"/>
      <c r="C143" s="44"/>
      <c r="D143" s="172"/>
      <c r="E143" s="172"/>
      <c r="F143" s="172"/>
      <c r="G143" s="172"/>
      <c r="H143" s="172"/>
      <c r="I143" s="172"/>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28338.42</v>
      </c>
      <c r="H145" s="45">
        <f t="shared" si="26"/>
        <v>32000</v>
      </c>
      <c r="I145" s="45">
        <f t="shared" si="26"/>
        <v>10000</v>
      </c>
      <c r="J145" s="45">
        <f t="shared" si="26"/>
        <v>0</v>
      </c>
      <c r="K145" s="45">
        <f t="shared" si="26"/>
        <v>70338.42</v>
      </c>
    </row>
    <row r="147" spans="2:11" ht="18.75" thickBot="1">
      <c r="B147" s="28" t="s">
        <v>87</v>
      </c>
      <c r="C147" s="28"/>
      <c r="D147" s="51">
        <f aca="true" t="shared" si="27" ref="D147:K147">SUM(D107,D113,D122,D129,D145)</f>
        <v>0</v>
      </c>
      <c r="E147" s="51">
        <f t="shared" si="27"/>
        <v>0</v>
      </c>
      <c r="F147" s="51">
        <f t="shared" si="27"/>
        <v>0</v>
      </c>
      <c r="G147" s="51">
        <f t="shared" si="27"/>
        <v>94917.77</v>
      </c>
      <c r="H147" s="51">
        <f t="shared" si="27"/>
        <v>146684</v>
      </c>
      <c r="I147" s="51">
        <f t="shared" si="27"/>
        <v>126977.68000000001</v>
      </c>
      <c r="J147" s="51">
        <f t="shared" si="27"/>
        <v>119317.2336</v>
      </c>
      <c r="K147" s="51">
        <f t="shared" si="27"/>
        <v>487896.68360000005</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24" right="0.28" top="0.63" bottom="0.23" header="0.24" footer="0.25"/>
  <pageSetup fitToHeight="2" fitToWidth="1" horizontalDpi="600" verticalDpi="600" orientation="landscape" scale="49"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P75"/>
  <sheetViews>
    <sheetView showGridLines="0" zoomScalePageLayoutView="0" workbookViewId="0" topLeftCell="A20">
      <selection activeCell="B42" sqref="B42"/>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4" t="s">
        <v>88</v>
      </c>
      <c r="C1" s="174"/>
      <c r="D1" s="174"/>
      <c r="E1" s="174"/>
      <c r="F1" s="174"/>
      <c r="G1" s="174"/>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v>0.04</v>
      </c>
      <c r="F14" s="123">
        <v>0.04</v>
      </c>
      <c r="G14" s="123">
        <v>0.04</v>
      </c>
      <c r="H14" s="123">
        <v>0.04</v>
      </c>
      <c r="I14" s="123">
        <v>0.04</v>
      </c>
      <c r="J14" s="46"/>
      <c r="K14" s="46"/>
      <c r="L14" s="46"/>
    </row>
    <row r="15" spans="1:12" ht="12.75">
      <c r="A15" s="5"/>
      <c r="B15" s="54" t="s">
        <v>276</v>
      </c>
      <c r="C15" s="89">
        <v>0.5</v>
      </c>
      <c r="D15" s="89">
        <v>0.5</v>
      </c>
      <c r="E15" s="89">
        <v>0.493</v>
      </c>
      <c r="F15" s="89">
        <v>0.527</v>
      </c>
      <c r="G15" s="89">
        <v>0.56</v>
      </c>
      <c r="H15" s="89">
        <v>0.56</v>
      </c>
      <c r="I15" s="89">
        <v>0.56</v>
      </c>
      <c r="J15" s="46"/>
      <c r="K15" s="46"/>
      <c r="L15" s="5"/>
    </row>
    <row r="16" spans="1:12" ht="12.75">
      <c r="A16" s="5"/>
      <c r="B16" s="54" t="s">
        <v>277</v>
      </c>
      <c r="C16" s="90">
        <f>1-C15</f>
        <v>0.5</v>
      </c>
      <c r="D16" s="90">
        <f>1-D15</f>
        <v>0.5</v>
      </c>
      <c r="E16" s="90">
        <f>1-E15-E14</f>
        <v>0.467</v>
      </c>
      <c r="F16" s="90">
        <f>1-F15-F14</f>
        <v>0.433</v>
      </c>
      <c r="G16" s="90">
        <f>1-G15-G14</f>
        <v>0.39999999999999997</v>
      </c>
      <c r="H16" s="90">
        <f>1-H15-H14</f>
        <v>0.39999999999999997</v>
      </c>
      <c r="I16" s="90">
        <f>1-I15-I14</f>
        <v>0.39999999999999997</v>
      </c>
      <c r="J16" s="46"/>
      <c r="K16" s="46"/>
      <c r="L16" s="5"/>
    </row>
    <row r="17" ht="12.75"/>
    <row r="18" spans="1:12" ht="12.75">
      <c r="A18" s="5"/>
      <c r="B18" s="54" t="s">
        <v>250</v>
      </c>
      <c r="C18" s="90"/>
      <c r="D18" s="90"/>
      <c r="E18" s="124">
        <v>0.0447</v>
      </c>
      <c r="F18" s="124">
        <v>0.0133</v>
      </c>
      <c r="G18" s="124">
        <v>0.0133</v>
      </c>
      <c r="H18" s="124">
        <v>0.0133</v>
      </c>
      <c r="I18" s="124">
        <v>0.0113</v>
      </c>
      <c r="J18" s="46"/>
      <c r="K18" s="46"/>
      <c r="L18" s="5"/>
    </row>
    <row r="19" spans="1:16" ht="12.75">
      <c r="A19" s="5"/>
      <c r="B19" s="54" t="s">
        <v>278</v>
      </c>
      <c r="C19" s="162">
        <v>0.0725</v>
      </c>
      <c r="D19" s="162">
        <v>0.0725</v>
      </c>
      <c r="E19" s="162">
        <v>0.0725</v>
      </c>
      <c r="F19" s="162">
        <v>0.0762</v>
      </c>
      <c r="G19" s="162">
        <v>0.0762</v>
      </c>
      <c r="H19" s="162">
        <v>0.0762</v>
      </c>
      <c r="I19" s="162">
        <v>0.0762</v>
      </c>
      <c r="J19" s="163"/>
      <c r="K19" s="164"/>
      <c r="L19" s="165"/>
      <c r="M19" s="166"/>
      <c r="N19" s="166"/>
      <c r="O19" s="166"/>
      <c r="P19" s="166"/>
    </row>
    <row r="20" spans="1:16" ht="13.5" customHeight="1">
      <c r="A20" s="5"/>
      <c r="B20" s="54" t="s">
        <v>279</v>
      </c>
      <c r="C20" s="162">
        <v>0.09</v>
      </c>
      <c r="D20" s="162">
        <v>0.09</v>
      </c>
      <c r="E20" s="162">
        <v>0.0857</v>
      </c>
      <c r="F20" s="162">
        <v>0.0801</v>
      </c>
      <c r="G20" s="162">
        <v>0.0801</v>
      </c>
      <c r="H20" s="162">
        <v>0.0801</v>
      </c>
      <c r="I20" s="162">
        <v>0.0801</v>
      </c>
      <c r="J20" s="163"/>
      <c r="K20" s="165"/>
      <c r="L20" s="165"/>
      <c r="M20" s="166"/>
      <c r="N20" s="166"/>
      <c r="O20" s="166"/>
      <c r="P20" s="166"/>
    </row>
    <row r="21" spans="1:16" ht="18" customHeight="1">
      <c r="A21" s="5"/>
      <c r="B21" s="55" t="s">
        <v>94</v>
      </c>
      <c r="C21" s="95">
        <f>(C19*C15)+(C16*C20)</f>
        <v>0.08124999999999999</v>
      </c>
      <c r="D21" s="95">
        <f>(D19*D15)+(D16*D20)</f>
        <v>0.08124999999999999</v>
      </c>
      <c r="E21" s="95">
        <f>(E14*E18)+(E15*E19)+(E16*E20)</f>
        <v>0.0775524</v>
      </c>
      <c r="F21" s="95">
        <f>(F14*F18)+(F15*F19)+(F16*F20)</f>
        <v>0.0753727</v>
      </c>
      <c r="G21" s="95">
        <f>(G14*G18)+(G15*G19)+(G16*G20)</f>
        <v>0.075244</v>
      </c>
      <c r="H21" s="95">
        <f>(H14*H18)+(H15*H19)+(H16*H20)</f>
        <v>0.075244</v>
      </c>
      <c r="I21" s="95">
        <f>(I14*I18)+(I15*I19)+(I16*I20)</f>
        <v>0.07516400000000001</v>
      </c>
      <c r="J21" s="165"/>
      <c r="K21" s="165"/>
      <c r="L21" s="165"/>
      <c r="M21" s="166"/>
      <c r="N21" s="166"/>
      <c r="O21" s="166"/>
      <c r="P21" s="166"/>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0.32</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1056704.68</v>
      </c>
      <c r="G31" s="96">
        <f>SUMIF('2. Smart Meter Data'!$C:$J,"Smart Meter",'2. Smart Meter Data'!H:H)</f>
        <v>73540</v>
      </c>
      <c r="H31" s="96">
        <f>SUMIF('2. Smart Meter Data'!$C:$J,"Smart Meter",'2. Smart Meter Data'!I:I)</f>
        <v>0</v>
      </c>
      <c r="I31" s="96">
        <f>SUMIF('2. Smart Meter Data'!$C:$J,"Smart Meter",'2. Smart Meter Data'!J:J)</f>
        <v>0</v>
      </c>
      <c r="J31" s="97">
        <f>SUM(C31:H31)</f>
        <v>1130244.68</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8614.62</v>
      </c>
      <c r="G32" s="96">
        <f>SUMIF('2. Smart Meter Data'!$C:$J,"Comp. Hard.",'2. Smart Meter Data'!H:H)</f>
        <v>0</v>
      </c>
      <c r="H32" s="96">
        <f>SUMIF('2. Smart Meter Data'!$C:$J,"Comp. Hard.",'2. Smart Meter Data'!I:I)</f>
        <v>0</v>
      </c>
      <c r="I32" s="96">
        <f>SUMIF('2. Smart Meter Data'!$C:$J,"Comp. Hard.",'2. Smart Meter Data'!J:J)</f>
        <v>0</v>
      </c>
      <c r="J32" s="97">
        <f>SUM(C32:H32)</f>
        <v>8614.62</v>
      </c>
      <c r="K32" s="5"/>
      <c r="L32" s="5"/>
      <c r="M32" s="5"/>
    </row>
    <row r="33" spans="1:13" ht="12.75">
      <c r="A33" s="5"/>
      <c r="B33" s="31" t="s">
        <v>99</v>
      </c>
      <c r="C33" s="96">
        <f>SUMIF('2. Smart Meter Data'!$C:$J,"Comp. Soft.",'2. Smart Meter Data'!D:D)</f>
        <v>0</v>
      </c>
      <c r="D33" s="96">
        <f>SUMIF('2. Smart Meter Data'!$C:$J,"Comp. Soft.",'2. Smart Meter Data'!E:E)</f>
        <v>13308.67</v>
      </c>
      <c r="E33" s="96">
        <f>SUMIF('2. Smart Meter Data'!$C:$J,"Comp. Soft.",'2. Smart Meter Data'!F:F)</f>
        <v>15850.11</v>
      </c>
      <c r="F33" s="96">
        <f>SUMIF('2. Smart Meter Data'!$C:$J,"Comp. Soft.",'2. Smart Meter Data'!G:G)</f>
        <v>40031.83</v>
      </c>
      <c r="G33" s="96">
        <f>SUMIF('2. Smart Meter Data'!$C:$J,"Comp. Soft.",'2. Smart Meter Data'!H:H)</f>
        <v>5000</v>
      </c>
      <c r="H33" s="96">
        <f>SUMIF('2. Smart Meter Data'!$C:$J,"Comp. Soft.",'2. Smart Meter Data'!I:I)</f>
        <v>0</v>
      </c>
      <c r="I33" s="96">
        <f>SUMIF('2. Smart Meter Data'!$C:$J,"Comp. Soft.",'2. Smart Meter Data'!J:J)</f>
        <v>0</v>
      </c>
      <c r="J33" s="97">
        <f>SUM(C33:H33)</f>
        <v>74190.61</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13308.67</v>
      </c>
      <c r="E36" s="98">
        <f t="shared" si="1"/>
        <v>15850.11</v>
      </c>
      <c r="F36" s="98">
        <f t="shared" si="1"/>
        <v>1105351.1300000001</v>
      </c>
      <c r="G36" s="98">
        <f t="shared" si="1"/>
        <v>78540</v>
      </c>
      <c r="H36" s="98">
        <f t="shared" si="1"/>
        <v>0</v>
      </c>
      <c r="I36" s="98">
        <f t="shared" si="1"/>
        <v>0</v>
      </c>
      <c r="J36" s="98">
        <f t="shared" si="1"/>
        <v>1213049.9100000001</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6661.34</v>
      </c>
      <c r="G41" s="99">
        <f>'2. Smart Meter Data'!H107</f>
        <v>0</v>
      </c>
      <c r="H41" s="99">
        <f>'2. Smart Meter Data'!I107</f>
        <v>0</v>
      </c>
      <c r="I41" s="99">
        <f>'2. Smart Meter Data'!J107</f>
        <v>0</v>
      </c>
      <c r="J41" s="97">
        <f>SUM(C41:H41)</f>
        <v>6661.34</v>
      </c>
      <c r="K41" s="5"/>
      <c r="L41" s="5"/>
      <c r="M41" s="5"/>
    </row>
    <row r="42" spans="1:13" ht="12.75">
      <c r="A42" s="5"/>
      <c r="B42" s="57" t="s">
        <v>102</v>
      </c>
      <c r="C42" s="99">
        <f>'2. Smart Meter Data'!D113</f>
        <v>0</v>
      </c>
      <c r="D42" s="99">
        <f>'2. Smart Meter Data'!E113</f>
        <v>0</v>
      </c>
      <c r="E42" s="99">
        <f>'2. Smart Meter Data'!F113</f>
        <v>0</v>
      </c>
      <c r="F42" s="99">
        <f>'2. Smart Meter Data'!G113</f>
        <v>4540.95</v>
      </c>
      <c r="G42" s="99">
        <f>'2. Smart Meter Data'!H113</f>
        <v>3804</v>
      </c>
      <c r="H42" s="99">
        <f>'2. Smart Meter Data'!I113</f>
        <v>3880.08</v>
      </c>
      <c r="I42" s="99">
        <f>'2. Smart Meter Data'!J113</f>
        <v>3957.6816</v>
      </c>
      <c r="J42" s="97">
        <f>SUM(C42:H42)</f>
        <v>12225.03</v>
      </c>
      <c r="K42" s="5"/>
      <c r="L42" s="5"/>
      <c r="M42" s="5"/>
    </row>
    <row r="43" spans="1:13" ht="12.75">
      <c r="A43" s="5"/>
      <c r="B43" s="57" t="s">
        <v>103</v>
      </c>
      <c r="C43" s="99">
        <f>'2. Smart Meter Data'!D122</f>
        <v>0</v>
      </c>
      <c r="D43" s="99">
        <f>'2. Smart Meter Data'!E122</f>
        <v>0</v>
      </c>
      <c r="E43" s="99">
        <f>'2. Smart Meter Data'!F122</f>
        <v>0</v>
      </c>
      <c r="F43" s="99">
        <f>'2. Smart Meter Data'!G122</f>
        <v>55377.06</v>
      </c>
      <c r="G43" s="99">
        <f>'2. Smart Meter Data'!H122</f>
        <v>110880</v>
      </c>
      <c r="H43" s="99">
        <f>'2. Smart Meter Data'!I122</f>
        <v>113097.6</v>
      </c>
      <c r="I43" s="99">
        <f>'2. Smart Meter Data'!J122</f>
        <v>115359.55200000001</v>
      </c>
      <c r="J43" s="97">
        <f>SUM(C43:H43)</f>
        <v>279354.66000000003</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0</v>
      </c>
      <c r="F45" s="99">
        <f>'2. Smart Meter Data'!G145</f>
        <v>28338.42</v>
      </c>
      <c r="G45" s="99">
        <f>'2. Smart Meter Data'!H145</f>
        <v>32000</v>
      </c>
      <c r="H45" s="99">
        <f>'2. Smart Meter Data'!I145</f>
        <v>10000</v>
      </c>
      <c r="I45" s="99">
        <f>'2. Smart Meter Data'!J145</f>
        <v>0</v>
      </c>
      <c r="J45" s="97">
        <f>SUM(C45:H45)</f>
        <v>70338.42</v>
      </c>
      <c r="K45" s="5"/>
      <c r="L45" s="5"/>
      <c r="M45" s="5"/>
    </row>
    <row r="46" spans="1:13" ht="13.5" thickBot="1">
      <c r="A46" s="5"/>
      <c r="B46" s="54" t="s">
        <v>87</v>
      </c>
      <c r="C46" s="100">
        <f aca="true" t="shared" si="4" ref="C46:J46">SUM(C41:C45)</f>
        <v>0</v>
      </c>
      <c r="D46" s="100">
        <f t="shared" si="4"/>
        <v>0</v>
      </c>
      <c r="E46" s="100">
        <f t="shared" si="4"/>
        <v>0</v>
      </c>
      <c r="F46" s="101">
        <f t="shared" si="4"/>
        <v>94917.77</v>
      </c>
      <c r="G46" s="101">
        <f t="shared" si="4"/>
        <v>146684</v>
      </c>
      <c r="H46" s="101">
        <f t="shared" si="4"/>
        <v>126977.68000000001</v>
      </c>
      <c r="I46" s="101">
        <f t="shared" si="4"/>
        <v>119317.2336</v>
      </c>
      <c r="J46" s="101">
        <f t="shared" si="4"/>
        <v>368579.45</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119317.23360000004</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185.5902594417077</v>
      </c>
      <c r="D50" s="103">
        <f>'2. Smart Meter Data'!K10</f>
        <v>6090</v>
      </c>
      <c r="E50" s="97">
        <f>J31</f>
        <v>1130244.68</v>
      </c>
      <c r="F50" s="104">
        <f aca="true" t="shared" si="6" ref="F50:F55">IF(ISERROR(E50/$E$56),0,E50/$E$56)</f>
        <v>0.7146078016659984</v>
      </c>
      <c r="G50" s="5"/>
      <c r="H50" s="5"/>
      <c r="I50" s="5"/>
      <c r="J50" s="5"/>
      <c r="K50" s="5"/>
      <c r="L50" s="5"/>
    </row>
    <row r="51" spans="1:12" ht="12.75">
      <c r="A51" s="5"/>
      <c r="B51" s="31" t="s">
        <v>112</v>
      </c>
      <c r="C51" s="102">
        <f t="shared" si="5"/>
        <v>1.414551724137931</v>
      </c>
      <c r="D51" s="103">
        <f>D50</f>
        <v>6090</v>
      </c>
      <c r="E51" s="97">
        <f>J32</f>
        <v>8614.62</v>
      </c>
      <c r="F51" s="104">
        <f t="shared" si="6"/>
        <v>0.005446674308069243</v>
      </c>
      <c r="G51" s="5"/>
      <c r="H51" s="5"/>
      <c r="I51" s="5"/>
      <c r="J51" s="5"/>
      <c r="K51" s="5"/>
      <c r="L51" s="5"/>
    </row>
    <row r="52" spans="1:12" ht="12.75">
      <c r="A52" s="5"/>
      <c r="B52" s="31" t="s">
        <v>113</v>
      </c>
      <c r="C52" s="102">
        <f t="shared" si="5"/>
        <v>12.18236617405583</v>
      </c>
      <c r="D52" s="103">
        <f>D51</f>
        <v>6090</v>
      </c>
      <c r="E52" s="97">
        <f>J33</f>
        <v>74190.61</v>
      </c>
      <c r="F52" s="104">
        <f t="shared" si="6"/>
        <v>0.046907709148747714</v>
      </c>
      <c r="G52" s="5"/>
      <c r="H52" s="5"/>
      <c r="I52" s="5"/>
      <c r="J52" s="5"/>
      <c r="K52" s="5"/>
      <c r="L52" s="5"/>
    </row>
    <row r="53" spans="1:12" ht="12.75">
      <c r="A53" s="5"/>
      <c r="B53" s="31" t="s">
        <v>11</v>
      </c>
      <c r="C53" s="102">
        <f t="shared" si="5"/>
        <v>0</v>
      </c>
      <c r="D53" s="103">
        <f>D52</f>
        <v>6090</v>
      </c>
      <c r="E53" s="97">
        <f>J34</f>
        <v>0</v>
      </c>
      <c r="F53" s="104">
        <f t="shared" si="6"/>
        <v>0</v>
      </c>
      <c r="G53" s="5"/>
      <c r="H53" s="5"/>
      <c r="I53" s="5"/>
      <c r="J53" s="5"/>
      <c r="K53" s="5"/>
      <c r="L53" s="5"/>
    </row>
    <row r="54" spans="1:12" ht="12.75">
      <c r="A54" s="5"/>
      <c r="B54" s="31" t="s">
        <v>13</v>
      </c>
      <c r="C54" s="102">
        <f t="shared" si="5"/>
        <v>0</v>
      </c>
      <c r="D54" s="103">
        <f>D53</f>
        <v>6090</v>
      </c>
      <c r="E54" s="97">
        <f>J35</f>
        <v>0</v>
      </c>
      <c r="F54" s="104">
        <f t="shared" si="6"/>
        <v>0</v>
      </c>
      <c r="G54" s="5"/>
      <c r="H54" s="5"/>
      <c r="I54" s="5"/>
      <c r="J54" s="5"/>
      <c r="K54" s="5"/>
      <c r="L54" s="5"/>
    </row>
    <row r="55" spans="1:12" ht="12.75">
      <c r="A55" s="5"/>
      <c r="B55" s="31" t="s">
        <v>114</v>
      </c>
      <c r="C55" s="102">
        <f t="shared" si="5"/>
        <v>60.522077175697866</v>
      </c>
      <c r="D55" s="103">
        <f>D52</f>
        <v>6090</v>
      </c>
      <c r="E55" s="97">
        <f>J46</f>
        <v>368579.45</v>
      </c>
      <c r="F55" s="104">
        <f t="shared" si="6"/>
        <v>0.2330378148771846</v>
      </c>
      <c r="G55" s="5"/>
      <c r="H55" s="5"/>
      <c r="I55" s="5"/>
      <c r="J55" s="5"/>
      <c r="K55" s="5"/>
      <c r="L55" s="5"/>
    </row>
    <row r="56" spans="1:12" ht="12.75">
      <c r="A56" s="5"/>
      <c r="B56" s="5" t="s">
        <v>115</v>
      </c>
      <c r="C56" s="105">
        <f>SUM(C50:C55)</f>
        <v>259.70925451559935</v>
      </c>
      <c r="D56" s="106"/>
      <c r="E56" s="107">
        <f>SUM(E50:E55)</f>
        <v>1581629.36</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21" right="0.2" top="0.81" bottom="0.5" header="0.24" footer="0.5"/>
  <pageSetup fitToHeight="1" fitToWidth="1" horizontalDpi="600" verticalDpi="600" orientation="landscape" scale="50"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B24">
      <selection activeCell="L37" sqref="L37"/>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5" t="s">
        <v>229</v>
      </c>
      <c r="C1" s="175"/>
      <c r="D1" s="175"/>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9">
        <f>'2. Smart Meter Data'!D4</f>
        <v>2006</v>
      </c>
      <c r="D6" s="180"/>
      <c r="E6" s="181"/>
      <c r="F6" s="179">
        <f>'2. Smart Meter Data'!E4</f>
        <v>2007</v>
      </c>
      <c r="G6" s="180"/>
      <c r="H6" s="181"/>
      <c r="I6" s="179">
        <f>'2. Smart Meter Data'!F4</f>
        <v>2008</v>
      </c>
      <c r="J6" s="180"/>
      <c r="K6" s="181"/>
      <c r="L6" s="179">
        <f>'2. Smart Meter Data'!G4</f>
        <v>2009</v>
      </c>
      <c r="M6" s="180"/>
      <c r="N6" s="181"/>
      <c r="O6" s="179">
        <f>'2. Smart Meter Data'!H4</f>
        <v>2010</v>
      </c>
      <c r="P6" s="180"/>
      <c r="Q6" s="181"/>
      <c r="R6" s="179">
        <f>'2. Smart Meter Data'!I4</f>
        <v>2011</v>
      </c>
      <c r="S6" s="180"/>
      <c r="T6" s="181"/>
      <c r="U6" s="179" t="str">
        <f>'2. Smart Meter Data'!J4</f>
        <v>Later</v>
      </c>
      <c r="V6" s="180"/>
      <c r="W6" s="181"/>
    </row>
    <row r="7" spans="1:23" ht="18.75" thickBot="1">
      <c r="A7" s="5"/>
      <c r="B7" s="28"/>
      <c r="C7" s="176" t="str">
        <f>'2. Smart Meter Data'!D5</f>
        <v>Audited Actual</v>
      </c>
      <c r="D7" s="177"/>
      <c r="E7" s="178"/>
      <c r="F7" s="176" t="str">
        <f>'2. Smart Meter Data'!E5</f>
        <v>Audited Actual</v>
      </c>
      <c r="G7" s="177"/>
      <c r="H7" s="178"/>
      <c r="I7" s="176" t="str">
        <f>'2. Smart Meter Data'!F5</f>
        <v>Audited Actual</v>
      </c>
      <c r="J7" s="177"/>
      <c r="K7" s="178"/>
      <c r="L7" s="176" t="str">
        <f>'2. Smart Meter Data'!G5</f>
        <v>Audited Actual</v>
      </c>
      <c r="M7" s="177"/>
      <c r="N7" s="178"/>
      <c r="O7" s="176" t="str">
        <f>'2. Smart Meter Data'!H5</f>
        <v>Actual</v>
      </c>
      <c r="P7" s="177"/>
      <c r="Q7" s="178"/>
      <c r="R7" s="176" t="str">
        <f>'2. Smart Meter Data'!I5</f>
        <v>Forecasted</v>
      </c>
      <c r="S7" s="177"/>
      <c r="T7" s="178"/>
      <c r="U7" s="176" t="str">
        <f>'2. Smart Meter Data'!J5</f>
        <v>Forecasted</v>
      </c>
      <c r="V7" s="177"/>
      <c r="W7" s="178"/>
    </row>
    <row r="8" spans="1:23" ht="12.75">
      <c r="A8" s="5"/>
      <c r="B8" s="61" t="s">
        <v>129</v>
      </c>
      <c r="C8" s="150">
        <f>'6. Avg Nt Fix Ass &amp;UCC'!C18</f>
        <v>0</v>
      </c>
      <c r="D8" s="6"/>
      <c r="E8" s="62"/>
      <c r="F8" s="150">
        <f>'6. Avg Nt Fix Ass &amp;UCC'!D18</f>
        <v>0</v>
      </c>
      <c r="G8" s="6"/>
      <c r="H8" s="62"/>
      <c r="I8" s="150">
        <f>'6. Avg Nt Fix Ass &amp;UCC'!E18</f>
        <v>0</v>
      </c>
      <c r="J8" s="6"/>
      <c r="K8" s="62"/>
      <c r="L8" s="150">
        <f>'6. Avg Nt Fix Ass &amp;UCC'!F18</f>
        <v>510740.5953333333</v>
      </c>
      <c r="M8" s="6"/>
      <c r="N8" s="62"/>
      <c r="O8" s="150">
        <f>'6. Avg Nt Fix Ass &amp;UCC'!G18</f>
        <v>1021802.0346666665</v>
      </c>
      <c r="P8" s="6"/>
      <c r="Q8" s="62"/>
      <c r="R8" s="150">
        <f>'6. Avg Nt Fix Ass &amp;UCC'!H18</f>
        <v>984448.0559999999</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4091.9445000000005</v>
      </c>
      <c r="J9" s="63"/>
      <c r="K9" s="62"/>
      <c r="L9" s="150">
        <f>'6. Avg Nt Fix Ass &amp;UCC'!F33</f>
        <v>7753.158000000001</v>
      </c>
      <c r="M9" s="63"/>
      <c r="N9" s="62"/>
      <c r="O9" s="150">
        <f>'6. Avg Nt Fix Ass &amp;UCC'!G33</f>
        <v>6891.696</v>
      </c>
      <c r="P9" s="63"/>
      <c r="Q9" s="62"/>
      <c r="R9" s="150">
        <f>'6. Avg Nt Fix Ass &amp;UCC'!H33</f>
        <v>6030.234</v>
      </c>
      <c r="S9" s="63"/>
      <c r="T9" s="62"/>
      <c r="U9" s="150">
        <f>'6. Avg Nt Fix Ass &amp;UCC'!I33</f>
        <v>0</v>
      </c>
      <c r="V9" s="63"/>
      <c r="W9" s="62"/>
    </row>
    <row r="10" spans="1:23" ht="12.75">
      <c r="A10" s="5"/>
      <c r="B10" s="61" t="s">
        <v>131</v>
      </c>
      <c r="C10" s="150">
        <f>'6. Avg Nt Fix Ass &amp;UCC'!C48</f>
        <v>0</v>
      </c>
      <c r="D10" s="64"/>
      <c r="E10" s="62"/>
      <c r="F10" s="150">
        <f>'6. Avg Nt Fix Ass &amp;UCC'!D48</f>
        <v>5988.9015</v>
      </c>
      <c r="G10" s="64"/>
      <c r="H10" s="62"/>
      <c r="I10" s="150">
        <f>'6. Avg Nt Fix Ass &amp;UCC'!E48</f>
        <v>28661.2595</v>
      </c>
      <c r="J10" s="64"/>
      <c r="K10" s="62"/>
      <c r="L10" s="150">
        <f>'6. Avg Nt Fix Ass &amp;UCC'!F48</f>
        <v>42260.666</v>
      </c>
      <c r="M10" s="64"/>
      <c r="N10" s="62"/>
      <c r="O10" s="150">
        <f>'6. Avg Nt Fix Ass &amp;UCC'!G48</f>
        <v>33342.566000000006</v>
      </c>
      <c r="P10" s="64"/>
      <c r="Q10" s="62"/>
      <c r="R10" s="150">
        <f>'6. Avg Nt Fix Ass &amp;UCC'!H48</f>
        <v>21674.466000000004</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5988.9015</v>
      </c>
      <c r="G13" s="152">
        <f>F13</f>
        <v>5988.9015</v>
      </c>
      <c r="H13" s="62"/>
      <c r="I13" s="151">
        <f>SUM(I8:I12)</f>
        <v>32753.204</v>
      </c>
      <c r="J13" s="152">
        <f>I13</f>
        <v>32753.204</v>
      </c>
      <c r="K13" s="62"/>
      <c r="L13" s="151">
        <f>SUM(L8:L12)</f>
        <v>560754.4193333333</v>
      </c>
      <c r="M13" s="152">
        <f>L13</f>
        <v>560754.4193333333</v>
      </c>
      <c r="N13" s="62"/>
      <c r="O13" s="151">
        <f>SUM(O8:O12)</f>
        <v>1062036.2966666666</v>
      </c>
      <c r="P13" s="152">
        <f>O13</f>
        <v>1062036.2966666666</v>
      </c>
      <c r="Q13" s="62"/>
      <c r="R13" s="151">
        <f>SUM(R8:R12)</f>
        <v>1012152.7559999999</v>
      </c>
      <c r="S13" s="152">
        <f>R13</f>
        <v>1012152.7559999999</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0</v>
      </c>
      <c r="J16" s="64"/>
      <c r="K16" s="67"/>
      <c r="L16" s="153">
        <f>N33</f>
        <v>94917.77</v>
      </c>
      <c r="M16" s="64"/>
      <c r="N16" s="67"/>
      <c r="O16" s="153">
        <f>Q33</f>
        <v>146684</v>
      </c>
      <c r="P16" s="64"/>
      <c r="Q16" s="67"/>
      <c r="R16" s="153">
        <f>T33</f>
        <v>126977.68000000001</v>
      </c>
      <c r="S16" s="64"/>
      <c r="T16" s="67"/>
      <c r="U16" s="153">
        <f>W33</f>
        <v>119317.2336</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14237.665500000001</v>
      </c>
      <c r="M17" s="152">
        <f>L17</f>
        <v>14237.665500000001</v>
      </c>
      <c r="N17" s="67"/>
      <c r="O17" s="153">
        <f>O16*'3.  LDC Assumptions and Data'!$G$23</f>
        <v>22002.6</v>
      </c>
      <c r="P17" s="152">
        <f>O17</f>
        <v>22002.6</v>
      </c>
      <c r="Q17" s="67"/>
      <c r="R17" s="153">
        <f>R16*'3.  LDC Assumptions and Data'!$H$23</f>
        <v>19046.652000000002</v>
      </c>
      <c r="S17" s="152">
        <f>R17</f>
        <v>19046.652000000002</v>
      </c>
      <c r="T17" s="67"/>
      <c r="U17" s="153">
        <f>U16*'3.  LDC Assumptions and Data'!$I$23</f>
        <v>17897.58504</v>
      </c>
      <c r="V17" s="152">
        <f>U17</f>
        <v>17897.58504</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5988.9015</v>
      </c>
      <c r="H19" s="67"/>
      <c r="I19" s="66"/>
      <c r="J19" s="140">
        <f>SUM(J9:J17)</f>
        <v>32753.204</v>
      </c>
      <c r="K19" s="67"/>
      <c r="L19" s="66"/>
      <c r="M19" s="140">
        <f>SUM(M9:M17)</f>
        <v>574992.0848333333</v>
      </c>
      <c r="N19" s="67"/>
      <c r="O19" s="66"/>
      <c r="P19" s="140">
        <f>SUM(P9:P17)</f>
        <v>1084038.8966666667</v>
      </c>
      <c r="Q19" s="67"/>
      <c r="R19" s="66"/>
      <c r="S19" s="140">
        <f>SUM(S9:S17)</f>
        <v>1031199.4079999999</v>
      </c>
      <c r="T19" s="67"/>
      <c r="U19" s="66"/>
      <c r="V19" s="140">
        <f>SUM(V9:V17)</f>
        <v>17897.58504</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2994.45075</v>
      </c>
      <c r="H23" s="62"/>
      <c r="I23" s="68">
        <f>'3.  LDC Assumptions and Data'!$E$15</f>
        <v>0.493</v>
      </c>
      <c r="J23" s="152">
        <f>J19*I23</f>
        <v>16147.329572</v>
      </c>
      <c r="K23" s="62"/>
      <c r="L23" s="68">
        <f>'3.  LDC Assumptions and Data'!$F15</f>
        <v>0.527</v>
      </c>
      <c r="M23" s="152">
        <f>M19*L23</f>
        <v>303020.82870716666</v>
      </c>
      <c r="N23" s="62"/>
      <c r="O23" s="68">
        <f>'3.  LDC Assumptions and Data'!$G15</f>
        <v>0.56</v>
      </c>
      <c r="P23" s="152">
        <f>P19*O23</f>
        <v>607061.7821333334</v>
      </c>
      <c r="Q23" s="62"/>
      <c r="R23" s="68">
        <f>'3.  LDC Assumptions and Data'!$H15</f>
        <v>0.56</v>
      </c>
      <c r="S23" s="152">
        <f>S19*R23</f>
        <v>577471.66848</v>
      </c>
      <c r="T23" s="62"/>
      <c r="U23" s="68">
        <f>'3.  LDC Assumptions and Data'!$I15</f>
        <v>0.56</v>
      </c>
      <c r="V23" s="152">
        <f>V19*U23</f>
        <v>10022.647622400002</v>
      </c>
      <c r="W23" s="62"/>
    </row>
    <row r="24" spans="1:23" ht="12.75">
      <c r="A24" s="5"/>
      <c r="B24" s="2" t="s">
        <v>248</v>
      </c>
      <c r="C24" s="68">
        <f>'3.  LDC Assumptions and Data'!$C$16</f>
        <v>0.5</v>
      </c>
      <c r="D24" s="152">
        <f>D19*C24</f>
        <v>0</v>
      </c>
      <c r="E24" s="62"/>
      <c r="F24" s="68">
        <f>'3.  LDC Assumptions and Data'!$D$16</f>
        <v>0.5</v>
      </c>
      <c r="G24" s="152">
        <f>G19*F24</f>
        <v>2994.45075</v>
      </c>
      <c r="H24" s="62"/>
      <c r="I24" s="68">
        <f>'3.  LDC Assumptions and Data'!$E$16</f>
        <v>0.467</v>
      </c>
      <c r="J24" s="152">
        <f>J19*I24</f>
        <v>15295.746268</v>
      </c>
      <c r="K24" s="62"/>
      <c r="L24" s="68">
        <f>'3.  LDC Assumptions and Data'!$F$16</f>
        <v>0.433</v>
      </c>
      <c r="M24" s="152">
        <f>M19*L24</f>
        <v>248971.5727328333</v>
      </c>
      <c r="N24" s="62"/>
      <c r="O24" s="68">
        <f>'3.  LDC Assumptions and Data'!$G$16</f>
        <v>0.39999999999999997</v>
      </c>
      <c r="P24" s="152">
        <f>P19*O24</f>
        <v>433615.5586666667</v>
      </c>
      <c r="Q24" s="62"/>
      <c r="R24" s="68">
        <f>'3.  LDC Assumptions and Data'!$H$16</f>
        <v>0.39999999999999997</v>
      </c>
      <c r="S24" s="152">
        <f>S19*R24</f>
        <v>412479.7631999999</v>
      </c>
      <c r="T24" s="62"/>
      <c r="U24" s="68">
        <f>'3.  LDC Assumptions and Data'!$I$16</f>
        <v>0.39999999999999997</v>
      </c>
      <c r="V24" s="152">
        <f>V19*U24</f>
        <v>7159.0340160000005</v>
      </c>
      <c r="W24" s="62"/>
    </row>
    <row r="25" spans="1:23" ht="12.75">
      <c r="A25" s="5"/>
      <c r="B25" s="61"/>
      <c r="C25" s="69"/>
      <c r="D25" s="140">
        <f>SUM(D23:D24)</f>
        <v>0</v>
      </c>
      <c r="E25" s="62"/>
      <c r="F25" s="69"/>
      <c r="G25" s="140">
        <f>SUM(G23:G24)</f>
        <v>5988.9015</v>
      </c>
      <c r="H25" s="62"/>
      <c r="I25" s="69"/>
      <c r="J25" s="140">
        <f>SUM(J23:J24)</f>
        <v>31443.07584</v>
      </c>
      <c r="K25" s="62"/>
      <c r="L25" s="69"/>
      <c r="M25" s="140">
        <f>SUM(M23:M24)</f>
        <v>551992.4014399999</v>
      </c>
      <c r="N25" s="62"/>
      <c r="O25" s="69"/>
      <c r="P25" s="140">
        <f>SUM(P23:P24)</f>
        <v>1040677.3408000001</v>
      </c>
      <c r="Q25" s="62"/>
      <c r="R25" s="69"/>
      <c r="S25" s="140">
        <f>SUM(S23:S24)</f>
        <v>989951.4316799999</v>
      </c>
      <c r="T25" s="62"/>
      <c r="U25" s="69"/>
      <c r="V25" s="140">
        <f>SUM(V23:V24)</f>
        <v>17181.6816384</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0.0447</v>
      </c>
      <c r="J27" s="6"/>
      <c r="K27" s="62"/>
      <c r="L27" s="68">
        <f>'3.  LDC Assumptions and Data'!$F18</f>
        <v>0.0133</v>
      </c>
      <c r="M27" s="6"/>
      <c r="N27" s="62"/>
      <c r="O27" s="68">
        <f>'3.  LDC Assumptions and Data'!$G18</f>
        <v>0.0133</v>
      </c>
      <c r="P27" s="6"/>
      <c r="Q27" s="62"/>
      <c r="R27" s="68">
        <f>'3.  LDC Assumptions and Data'!$H18</f>
        <v>0.0133</v>
      </c>
      <c r="S27" s="6"/>
      <c r="T27" s="62"/>
      <c r="U27" s="68">
        <f>'3.  LDC Assumptions and Data'!$I18</f>
        <v>0.0113</v>
      </c>
      <c r="V27" s="6"/>
      <c r="W27" s="62"/>
    </row>
    <row r="28" spans="1:23" ht="12.75">
      <c r="A28" s="5"/>
      <c r="B28" s="61" t="s">
        <v>196</v>
      </c>
      <c r="C28" s="68">
        <f>'3.  LDC Assumptions and Data'!$C$19</f>
        <v>0.0725</v>
      </c>
      <c r="D28" s="152">
        <f>D23*C28</f>
        <v>0</v>
      </c>
      <c r="E28" s="67"/>
      <c r="F28" s="68">
        <f>'3.  LDC Assumptions and Data'!$D$19</f>
        <v>0.0725</v>
      </c>
      <c r="G28" s="152">
        <f>G23*F28</f>
        <v>217.09767937499998</v>
      </c>
      <c r="H28" s="67"/>
      <c r="I28" s="68">
        <f>'3.  LDC Assumptions and Data'!$E$19</f>
        <v>0.0725</v>
      </c>
      <c r="J28" s="152">
        <f>J23*I28</f>
        <v>1170.68139397</v>
      </c>
      <c r="K28" s="67"/>
      <c r="L28" s="68">
        <f>'3.  LDC Assumptions and Data'!$F19</f>
        <v>0.0762</v>
      </c>
      <c r="M28" s="152">
        <f>M23*L28</f>
        <v>23090.1871474861</v>
      </c>
      <c r="N28" s="67"/>
      <c r="O28" s="68">
        <f>'3.  LDC Assumptions and Data'!$G19</f>
        <v>0.0762</v>
      </c>
      <c r="P28" s="152">
        <f>P23*O28</f>
        <v>46258.107798560006</v>
      </c>
      <c r="Q28" s="67"/>
      <c r="R28" s="68">
        <f>'3.  LDC Assumptions and Data'!$H19</f>
        <v>0.0762</v>
      </c>
      <c r="S28" s="152">
        <f>S23*R28</f>
        <v>44003.341138176</v>
      </c>
      <c r="T28" s="67"/>
      <c r="U28" s="68">
        <f>'3.  LDC Assumptions and Data'!$I19</f>
        <v>0.0762</v>
      </c>
      <c r="V28" s="152">
        <f>V23*U28</f>
        <v>763.7257488268801</v>
      </c>
      <c r="W28" s="67"/>
    </row>
    <row r="29" spans="1:23" ht="12.75">
      <c r="A29" s="5"/>
      <c r="B29" s="61" t="s">
        <v>197</v>
      </c>
      <c r="C29" s="68">
        <f>'3.  LDC Assumptions and Data'!$C$20</f>
        <v>0.09</v>
      </c>
      <c r="D29" s="152">
        <f>D24*C29</f>
        <v>0</v>
      </c>
      <c r="E29" s="67"/>
      <c r="F29" s="68">
        <f>'3.  LDC Assumptions and Data'!$D$20</f>
        <v>0.09</v>
      </c>
      <c r="G29" s="152">
        <f>G24*F29</f>
        <v>269.5005675</v>
      </c>
      <c r="H29" s="67"/>
      <c r="I29" s="68">
        <f>'3.  LDC Assumptions and Data'!$E$20</f>
        <v>0.0857</v>
      </c>
      <c r="J29" s="152">
        <f>J24*I29</f>
        <v>1310.8454551676</v>
      </c>
      <c r="K29" s="67"/>
      <c r="L29" s="68">
        <f>'3.  LDC Assumptions and Data'!$F$20</f>
        <v>0.0801</v>
      </c>
      <c r="M29" s="152">
        <f>M24*L29</f>
        <v>19942.622975899947</v>
      </c>
      <c r="N29" s="67"/>
      <c r="O29" s="68">
        <f>'3.  LDC Assumptions and Data'!$G$20</f>
        <v>0.0801</v>
      </c>
      <c r="P29" s="152">
        <f>P24*O29</f>
        <v>34732.606249200006</v>
      </c>
      <c r="Q29" s="67"/>
      <c r="R29" s="68">
        <f>'3.  LDC Assumptions and Data'!$H$20</f>
        <v>0.0801</v>
      </c>
      <c r="S29" s="152">
        <f>S24*R29</f>
        <v>33039.629032319994</v>
      </c>
      <c r="T29" s="67"/>
      <c r="U29" s="68">
        <f>'3.  LDC Assumptions and Data'!$I$20</f>
        <v>0.0801</v>
      </c>
      <c r="V29" s="152">
        <f>V24*U29</f>
        <v>573.4386246816001</v>
      </c>
      <c r="W29" s="67"/>
    </row>
    <row r="30" spans="1:23" ht="15.75">
      <c r="A30" s="5"/>
      <c r="B30" s="52" t="s">
        <v>118</v>
      </c>
      <c r="C30" s="65"/>
      <c r="D30" s="140">
        <f>SUM(D28:D29)</f>
        <v>0</v>
      </c>
      <c r="E30" s="154">
        <f>D30</f>
        <v>0</v>
      </c>
      <c r="F30" s="65"/>
      <c r="G30" s="140">
        <f>SUM(G28:G29)</f>
        <v>486.598246875</v>
      </c>
      <c r="H30" s="154">
        <f>G30</f>
        <v>486.598246875</v>
      </c>
      <c r="I30" s="65"/>
      <c r="J30" s="140">
        <f>SUM(J28:J29)</f>
        <v>2481.5268491376</v>
      </c>
      <c r="K30" s="154">
        <f>J30</f>
        <v>2481.5268491376</v>
      </c>
      <c r="L30" s="65"/>
      <c r="M30" s="140">
        <f>SUM(M28:M29)</f>
        <v>43032.81012338605</v>
      </c>
      <c r="N30" s="154">
        <f>M30</f>
        <v>43032.81012338605</v>
      </c>
      <c r="O30" s="65"/>
      <c r="P30" s="140">
        <f>SUM(P28:P29)</f>
        <v>80990.71404776</v>
      </c>
      <c r="Q30" s="154">
        <f>P30</f>
        <v>80990.71404776</v>
      </c>
      <c r="R30" s="65"/>
      <c r="S30" s="140">
        <f>SUM(S28:S29)</f>
        <v>77042.970170496</v>
      </c>
      <c r="T30" s="154">
        <f>S30</f>
        <v>77042.970170496</v>
      </c>
      <c r="U30" s="65"/>
      <c r="V30" s="140">
        <f>SUM(V28:V29)</f>
        <v>1337.1643735084804</v>
      </c>
      <c r="W30" s="154">
        <f>V30</f>
        <v>1337.1643735084804</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94917.77</v>
      </c>
      <c r="O33" s="65"/>
      <c r="P33" s="64"/>
      <c r="Q33" s="155">
        <f>'3.  LDC Assumptions and Data'!G46</f>
        <v>146684</v>
      </c>
      <c r="R33" s="65"/>
      <c r="S33" s="64"/>
      <c r="T33" s="155">
        <f>'3.  LDC Assumptions and Data'!H46</f>
        <v>126977.68000000001</v>
      </c>
      <c r="U33" s="65"/>
      <c r="V33" s="64"/>
      <c r="W33" s="155">
        <f>'3.  LDC Assumptions and Data'!I46</f>
        <v>119317.2336</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0</v>
      </c>
      <c r="K36" s="67"/>
      <c r="L36" s="65"/>
      <c r="M36" s="142">
        <f>SUM('6. Avg Nt Fix Ass &amp;UCC'!F13:F13)</f>
        <v>35223.48933333333</v>
      </c>
      <c r="N36" s="67"/>
      <c r="O36" s="65"/>
      <c r="P36" s="142">
        <f>SUM('6. Avg Nt Fix Ass &amp;UCC'!G13:G13)</f>
        <v>72898.31199999999</v>
      </c>
      <c r="Q36" s="67"/>
      <c r="R36" s="65"/>
      <c r="S36" s="142">
        <f>SUM('6. Avg Nt Fix Ass &amp;UCC'!H13:H13)</f>
        <v>75349.64533333333</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430.73100000000005</v>
      </c>
      <c r="K37" s="67"/>
      <c r="L37" s="65"/>
      <c r="M37" s="142">
        <f>SUM('6. Avg Nt Fix Ass &amp;UCC'!F28:F28)</f>
        <v>861.4620000000001</v>
      </c>
      <c r="N37" s="67"/>
      <c r="O37" s="65"/>
      <c r="P37" s="142">
        <f>SUM('6. Avg Nt Fix Ass &amp;UCC'!G28:G28)</f>
        <v>861.4620000000001</v>
      </c>
      <c r="Q37" s="67"/>
      <c r="R37" s="65"/>
      <c r="S37" s="142">
        <f>SUM('6. Avg Nt Fix Ass &amp;UCC'!H28:H28)</f>
        <v>861.4620000000001</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1330.867</v>
      </c>
      <c r="H38" s="67"/>
      <c r="I38" s="65"/>
      <c r="J38" s="142">
        <f>SUM('6. Avg Nt Fix Ass &amp;UCC'!E43:E43)</f>
        <v>6664.9169999999995</v>
      </c>
      <c r="K38" s="67"/>
      <c r="L38" s="65"/>
      <c r="M38" s="142">
        <f>SUM('6. Avg Nt Fix Ass &amp;UCC'!F43:F43)</f>
        <v>11168.1</v>
      </c>
      <c r="N38" s="67"/>
      <c r="O38" s="65"/>
      <c r="P38" s="142">
        <f>SUM('6. Avg Nt Fix Ass &amp;UCC'!G43:G43)</f>
        <v>11668.1</v>
      </c>
      <c r="Q38" s="67"/>
      <c r="R38" s="65"/>
      <c r="S38" s="142">
        <f>SUM('6. Avg Nt Fix Ass &amp;UCC'!H43:H43)</f>
        <v>11668.1</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1330.867</v>
      </c>
      <c r="I41" s="65"/>
      <c r="J41" s="64"/>
      <c r="K41" s="156">
        <f>SUM(J36:J40)</f>
        <v>7095.647999999999</v>
      </c>
      <c r="L41" s="65"/>
      <c r="M41" s="64"/>
      <c r="N41" s="156">
        <f>SUM(M36:M40)</f>
        <v>47253.05133333333</v>
      </c>
      <c r="O41" s="65"/>
      <c r="P41" s="64"/>
      <c r="Q41" s="156">
        <f>SUM(P36:P40)</f>
        <v>85427.874</v>
      </c>
      <c r="R41" s="65"/>
      <c r="S41" s="64"/>
      <c r="T41" s="156">
        <f>SUM(S36:S40)</f>
        <v>87879.20733333334</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1817.465246875</v>
      </c>
      <c r="I43" s="65"/>
      <c r="J43" s="64"/>
      <c r="K43" s="157">
        <f>SUM(K30,K41,K33)</f>
        <v>9577.174849137598</v>
      </c>
      <c r="L43" s="65"/>
      <c r="M43" s="64"/>
      <c r="N43" s="157">
        <f>SUM(N30,N41,N33)</f>
        <v>185203.63145671936</v>
      </c>
      <c r="O43" s="65"/>
      <c r="P43" s="64"/>
      <c r="Q43" s="157">
        <f>SUM(Q30,Q41,Q33)</f>
        <v>313102.58804776</v>
      </c>
      <c r="R43" s="65"/>
      <c r="S43" s="64"/>
      <c r="T43" s="157">
        <f>SUM(T30,T41,T33)</f>
        <v>291899.85750382935</v>
      </c>
      <c r="U43" s="65"/>
      <c r="V43" s="64"/>
      <c r="W43" s="157">
        <f>SUM(W30,W41,W33)</f>
        <v>120654.39797350849</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0</v>
      </c>
      <c r="L46" s="65"/>
      <c r="M46" s="64"/>
      <c r="N46" s="154">
        <f>-N33</f>
        <v>-94917.77</v>
      </c>
      <c r="O46" s="65"/>
      <c r="P46" s="64"/>
      <c r="Q46" s="154">
        <f>-Q33</f>
        <v>-146684</v>
      </c>
      <c r="R46" s="65"/>
      <c r="S46" s="64"/>
      <c r="T46" s="154">
        <f>-T33</f>
        <v>-126977.68000000001</v>
      </c>
      <c r="U46" s="65"/>
      <c r="V46" s="64"/>
      <c r="W46" s="154">
        <f>-W33</f>
        <v>-119317.2336</v>
      </c>
    </row>
    <row r="47" spans="1:23" ht="12.75">
      <c r="A47" s="5"/>
      <c r="B47" s="57" t="s">
        <v>144</v>
      </c>
      <c r="C47" s="65"/>
      <c r="D47" s="64"/>
      <c r="E47" s="154">
        <f>-E41</f>
        <v>0</v>
      </c>
      <c r="F47" s="65"/>
      <c r="G47" s="64"/>
      <c r="H47" s="154">
        <f>-H41</f>
        <v>-1330.867</v>
      </c>
      <c r="I47" s="65"/>
      <c r="J47" s="64"/>
      <c r="K47" s="154">
        <f>-K41</f>
        <v>-7095.647999999999</v>
      </c>
      <c r="L47" s="65"/>
      <c r="M47" s="64"/>
      <c r="N47" s="154">
        <f>-N41</f>
        <v>-47253.05133333333</v>
      </c>
      <c r="O47" s="65"/>
      <c r="P47" s="64"/>
      <c r="Q47" s="154">
        <f>-Q41</f>
        <v>-85427.874</v>
      </c>
      <c r="R47" s="65"/>
      <c r="S47" s="64"/>
      <c r="T47" s="154">
        <f>-T41</f>
        <v>-87879.20733333334</v>
      </c>
      <c r="U47" s="65"/>
      <c r="V47" s="64"/>
      <c r="W47" s="154">
        <f>-W41</f>
        <v>0</v>
      </c>
    </row>
    <row r="48" spans="1:23" ht="12.75">
      <c r="A48" s="5"/>
      <c r="B48" s="57" t="s">
        <v>145</v>
      </c>
      <c r="C48" s="65"/>
      <c r="D48" s="64"/>
      <c r="E48" s="154">
        <f>-D28</f>
        <v>0</v>
      </c>
      <c r="F48" s="65"/>
      <c r="G48" s="64"/>
      <c r="H48" s="154">
        <f>-G28</f>
        <v>-217.09767937499998</v>
      </c>
      <c r="I48" s="65"/>
      <c r="J48" s="64"/>
      <c r="K48" s="154">
        <f>-J28</f>
        <v>-1170.68139397</v>
      </c>
      <c r="L48" s="65"/>
      <c r="M48" s="64"/>
      <c r="N48" s="154">
        <f>-M28</f>
        <v>-23090.1871474861</v>
      </c>
      <c r="O48" s="65"/>
      <c r="P48" s="64"/>
      <c r="Q48" s="154">
        <f>-P28</f>
        <v>-46258.107798560006</v>
      </c>
      <c r="R48" s="65"/>
      <c r="S48" s="64"/>
      <c r="T48" s="154">
        <f>-S28</f>
        <v>-44003.341138176</v>
      </c>
      <c r="U48" s="65"/>
      <c r="V48" s="64"/>
      <c r="W48" s="154">
        <f>-V28</f>
        <v>-763.7257488268801</v>
      </c>
    </row>
    <row r="49" spans="1:23" ht="15.75">
      <c r="A49" s="5"/>
      <c r="B49" s="52" t="s">
        <v>146</v>
      </c>
      <c r="C49" s="65"/>
      <c r="D49" s="64"/>
      <c r="E49" s="158">
        <f>SUM(E43:E48)</f>
        <v>0</v>
      </c>
      <c r="F49" s="65"/>
      <c r="G49" s="64"/>
      <c r="H49" s="158">
        <f>SUM(H43:H48)</f>
        <v>269.5005675000001</v>
      </c>
      <c r="I49" s="65"/>
      <c r="J49" s="64"/>
      <c r="K49" s="158">
        <f>SUM(K43:K48)</f>
        <v>1310.845455167599</v>
      </c>
      <c r="L49" s="65"/>
      <c r="M49" s="64"/>
      <c r="N49" s="158">
        <f>SUM(N43:N48)</f>
        <v>19942.62297589993</v>
      </c>
      <c r="O49" s="65"/>
      <c r="P49" s="64"/>
      <c r="Q49" s="158">
        <f>SUM(Q43:Q48)</f>
        <v>34732.60624920001</v>
      </c>
      <c r="R49" s="65"/>
      <c r="S49" s="64"/>
      <c r="T49" s="158">
        <f>SUM(T43:T48)</f>
        <v>33039.629032320016</v>
      </c>
      <c r="U49" s="65"/>
      <c r="V49" s="64"/>
      <c r="W49" s="158">
        <f>SUM(W43:W48)</f>
        <v>573.4386246815998</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-1137.5731519522546</v>
      </c>
      <c r="I51" s="65"/>
      <c r="J51" s="64"/>
      <c r="K51" s="155">
        <f>'5. PILs'!E42</f>
        <v>-5057.25638793249</v>
      </c>
      <c r="L51" s="65"/>
      <c r="M51" s="64"/>
      <c r="N51" s="155">
        <f>'5. PILs'!F42</f>
        <v>3273.0919892436214</v>
      </c>
      <c r="O51" s="65"/>
      <c r="P51" s="64"/>
      <c r="Q51" s="155">
        <f>'5. PILs'!G42</f>
        <v>12211.636300535305</v>
      </c>
      <c r="R51" s="65"/>
      <c r="S51" s="64"/>
      <c r="T51" s="155">
        <f>'5. PILs'!H42</f>
        <v>-37573.90198102247</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1817.465246875</v>
      </c>
      <c r="I53" s="65"/>
      <c r="J53" s="64"/>
      <c r="K53" s="159">
        <f>K43</f>
        <v>9577.174849137598</v>
      </c>
      <c r="L53" s="65"/>
      <c r="M53" s="64"/>
      <c r="N53" s="159">
        <f>N43</f>
        <v>185203.63145671936</v>
      </c>
      <c r="O53" s="65"/>
      <c r="P53" s="64"/>
      <c r="Q53" s="159">
        <f>Q43</f>
        <v>313102.58804776</v>
      </c>
      <c r="R53" s="65"/>
      <c r="S53" s="64"/>
      <c r="T53" s="159">
        <f>T43</f>
        <v>291899.85750382935</v>
      </c>
      <c r="U53" s="65"/>
      <c r="V53" s="64"/>
      <c r="W53" s="159">
        <f>W43</f>
        <v>120654.39797350849</v>
      </c>
    </row>
    <row r="54" spans="1:23" ht="12.75">
      <c r="A54" s="5"/>
      <c r="B54" s="61" t="s">
        <v>147</v>
      </c>
      <c r="C54" s="65"/>
      <c r="D54" s="64"/>
      <c r="E54" s="159">
        <f>E51</f>
        <v>0</v>
      </c>
      <c r="F54" s="65"/>
      <c r="G54" s="64"/>
      <c r="H54" s="159">
        <f>H51</f>
        <v>-1137.5731519522546</v>
      </c>
      <c r="I54" s="65"/>
      <c r="J54" s="64"/>
      <c r="K54" s="159">
        <f>K51</f>
        <v>-5057.25638793249</v>
      </c>
      <c r="L54" s="65"/>
      <c r="M54" s="64"/>
      <c r="N54" s="159">
        <f>N51</f>
        <v>3273.0919892436214</v>
      </c>
      <c r="O54" s="65"/>
      <c r="P54" s="64"/>
      <c r="Q54" s="159">
        <f>Q51</f>
        <v>12211.636300535305</v>
      </c>
      <c r="R54" s="65"/>
      <c r="S54" s="64"/>
      <c r="T54" s="159">
        <f>T51</f>
        <v>-37573.90198102247</v>
      </c>
      <c r="U54" s="65"/>
      <c r="V54" s="64"/>
      <c r="W54" s="159">
        <f>W51</f>
        <v>0</v>
      </c>
    </row>
    <row r="55" spans="1:23" ht="16.5" thickBot="1">
      <c r="A55" s="5"/>
      <c r="B55" s="52" t="s">
        <v>123</v>
      </c>
      <c r="C55" s="65"/>
      <c r="D55" s="64"/>
      <c r="E55" s="160">
        <f>SUM(E53:E54)</f>
        <v>0</v>
      </c>
      <c r="F55" s="65"/>
      <c r="G55" s="64"/>
      <c r="H55" s="160">
        <f>SUM(H53:H54)</f>
        <v>679.8920949227454</v>
      </c>
      <c r="I55" s="65"/>
      <c r="J55" s="64"/>
      <c r="K55" s="160">
        <f>SUM(K53:K54)</f>
        <v>4519.9184612051085</v>
      </c>
      <c r="L55" s="65"/>
      <c r="M55" s="64"/>
      <c r="N55" s="160">
        <f>SUM(N53:N54)</f>
        <v>188476.723445963</v>
      </c>
      <c r="O55" s="65"/>
      <c r="P55" s="64"/>
      <c r="Q55" s="160">
        <f>SUM(Q53:Q54)</f>
        <v>325314.2243482953</v>
      </c>
      <c r="R55" s="65"/>
      <c r="S55" s="64"/>
      <c r="T55" s="160">
        <f>SUM(T53:T54)</f>
        <v>254325.95552280688</v>
      </c>
      <c r="U55" s="65"/>
      <c r="V55" s="64"/>
      <c r="W55" s="160">
        <f>SUM(W53:W54)</f>
        <v>120654.39797350849</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22" right="0.43" top="0.79" bottom="0.54" header="0.24" footer="0.5"/>
  <pageSetup fitToHeight="1" fitToWidth="1" horizontalDpi="600" verticalDpi="600" orientation="landscape" scale="28"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
      <selection activeCell="E9" sqref="E9"/>
    </sheetView>
  </sheetViews>
  <sheetFormatPr defaultColWidth="9.140625" defaultRowHeight="12.75"/>
  <cols>
    <col min="1" max="1" width="16.28125" style="7" customWidth="1"/>
    <col min="2" max="2" width="33.00390625" style="7" bestFit="1" customWidth="1"/>
    <col min="3" max="4" width="13.28125" style="7" bestFit="1" customWidth="1"/>
    <col min="5" max="5" width="14.421875" style="7" customWidth="1"/>
    <col min="6" max="6" width="13.57421875" style="7" customWidth="1"/>
    <col min="7" max="7" width="15.28125" style="7" customWidth="1"/>
    <col min="8" max="8" width="13.7109375" style="7" customWidth="1"/>
    <col min="9" max="9" width="15.28125" style="7" bestFit="1" customWidth="1"/>
    <col min="10" max="16384" width="9.140625" style="7" customWidth="1"/>
  </cols>
  <sheetData>
    <row r="1" spans="1:6" s="3" customFormat="1" ht="21" customHeight="1">
      <c r="A1" s="1"/>
      <c r="B1" s="175" t="s">
        <v>148</v>
      </c>
      <c r="C1" s="175"/>
      <c r="D1" s="175"/>
      <c r="E1" s="175"/>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269.5005675000001</v>
      </c>
      <c r="E8" s="139">
        <f>'4. Smart Meter Rev Req'!K49</f>
        <v>1310.845455167599</v>
      </c>
      <c r="F8" s="139">
        <f>'4. Smart Meter Rev Req'!N49</f>
        <v>19942.62297589993</v>
      </c>
      <c r="G8" s="139">
        <f>'4. Smart Meter Rev Req'!Q49</f>
        <v>34732.60624920001</v>
      </c>
      <c r="H8" s="139">
        <f>'4. Smart Meter Rev Req'!R49</f>
        <v>0</v>
      </c>
      <c r="I8" s="139">
        <f>'4. Smart Meter Rev Req'!S49</f>
        <v>0</v>
      </c>
    </row>
    <row r="9" spans="1:9" ht="12.75">
      <c r="A9" s="5"/>
      <c r="B9" s="5" t="s">
        <v>200</v>
      </c>
      <c r="C9" s="139">
        <f>-'4. Smart Meter Rev Req'!E47</f>
        <v>0</v>
      </c>
      <c r="D9" s="139">
        <f>-'4. Smart Meter Rev Req'!H47</f>
        <v>1330.867</v>
      </c>
      <c r="E9" s="139">
        <f>-'4. Smart Meter Rev Req'!K47</f>
        <v>7095.647999999999</v>
      </c>
      <c r="F9" s="139">
        <f>-'4. Smart Meter Rev Req'!N47</f>
        <v>47253.05133333333</v>
      </c>
      <c r="G9" s="139">
        <f>-'4. Smart Meter Rev Req'!Q47</f>
        <v>85427.874</v>
      </c>
      <c r="H9" s="139">
        <f>-'4. Smart Meter Rev Req'!R47</f>
        <v>0</v>
      </c>
      <c r="I9" s="139">
        <f>-'4. Smart Meter Rev Req'!S47</f>
        <v>0</v>
      </c>
    </row>
    <row r="10" spans="1:9" ht="12.75">
      <c r="A10" s="5"/>
      <c r="B10" s="5" t="s">
        <v>225</v>
      </c>
      <c r="C10" s="139">
        <f>-'6. Avg Nt Fix Ass &amp;UCC'!C93</f>
        <v>0</v>
      </c>
      <c r="D10" s="139">
        <f>-'6. Avg Nt Fix Ass &amp;UCC'!D93</f>
        <v>0</v>
      </c>
      <c r="E10" s="139">
        <f>-'6. Avg Nt Fix Ass &amp;UCC'!E93</f>
        <v>0</v>
      </c>
      <c r="F10" s="139">
        <f>-'6. Avg Nt Fix Ass &amp;UCC'!F93</f>
        <v>-42268.1872</v>
      </c>
      <c r="G10" s="139">
        <f>-'6. Avg Nt Fix Ass &amp;UCC'!G93</f>
        <v>-84096.519424</v>
      </c>
      <c r="H10" s="139">
        <f>-'6. Avg Nt Fix Ass &amp;UCC'!H93</f>
        <v>-80310.39787007999</v>
      </c>
      <c r="I10" s="139">
        <f>-'6. Avg Nt Fix Ass &amp;UCC'!I93</f>
        <v>0</v>
      </c>
    </row>
    <row r="11" spans="1:9" ht="12.75">
      <c r="A11" s="5"/>
      <c r="B11" s="5" t="s">
        <v>227</v>
      </c>
      <c r="C11" s="139">
        <f>-'6. Avg Nt Fix Ass &amp;UCC'!C107</f>
        <v>0</v>
      </c>
      <c r="D11" s="139">
        <f>-'6. Avg Nt Fix Ass &amp;UCC'!D107</f>
        <v>-3659.8842500000005</v>
      </c>
      <c r="E11" s="139">
        <f>-'6. Avg Nt Fix Ass &amp;UCC'!E107</f>
        <v>-18684.605912500003</v>
      </c>
      <c r="F11" s="139">
        <f>-'6. Avg Nt Fix Ass &amp;UCC'!F107</f>
        <v>-23160.846410625</v>
      </c>
      <c r="G11" s="139">
        <f>-'6. Avg Nt Fix Ass &amp;UCC'!G107</f>
        <v>-11797.380884781249</v>
      </c>
      <c r="H11" s="139">
        <f>-'6. Avg Nt Fix Ass &amp;UCC'!H107</f>
        <v>-5308.821398151562</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-2059.5166825000006</v>
      </c>
      <c r="E13" s="140">
        <f t="shared" si="0"/>
        <v>-10278.112457332405</v>
      </c>
      <c r="F13" s="140">
        <f t="shared" si="0"/>
        <v>1766.640698608262</v>
      </c>
      <c r="G13" s="140">
        <f t="shared" si="0"/>
        <v>24266.57994041877</v>
      </c>
      <c r="H13" s="140">
        <f t="shared" si="0"/>
        <v>-85619.21926823155</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0.32</v>
      </c>
      <c r="H14" s="141">
        <f>'3.  LDC Assumptions and Data'!H26</f>
        <v>0.305</v>
      </c>
      <c r="I14" s="141">
        <f>'3.  LDC Assumptions and Data'!I26</f>
        <v>0.29</v>
      </c>
    </row>
    <row r="15" spans="1:9" ht="12.75">
      <c r="A15" s="5"/>
      <c r="B15" s="5" t="s">
        <v>153</v>
      </c>
      <c r="C15" s="140">
        <f aca="true" t="shared" si="1" ref="C15:I15">C13*C14</f>
        <v>0</v>
      </c>
      <c r="D15" s="140">
        <f t="shared" si="1"/>
        <v>-743.8974257190002</v>
      </c>
      <c r="E15" s="140">
        <f t="shared" si="1"/>
        <v>-3443.167673206356</v>
      </c>
      <c r="F15" s="140">
        <f t="shared" si="1"/>
        <v>582.9914305407265</v>
      </c>
      <c r="G15" s="140">
        <f t="shared" si="1"/>
        <v>7765.305580934007</v>
      </c>
      <c r="H15" s="140">
        <f t="shared" si="1"/>
        <v>-26113.86187681062</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0</v>
      </c>
      <c r="F18" s="139">
        <f>'6. Avg Nt Fix Ass &amp;UCC'!F17</f>
        <v>1021481.1906666666</v>
      </c>
      <c r="G18" s="139">
        <f>'6. Avg Nt Fix Ass &amp;UCC'!G17</f>
        <v>1022122.8786666666</v>
      </c>
      <c r="H18" s="139">
        <f>'6. Avg Nt Fix Ass &amp;UCC'!H17</f>
        <v>946773.2333333333</v>
      </c>
      <c r="I18" s="139">
        <f>'6. Avg Nt Fix Ass &amp;UCC'!I17</f>
        <v>0</v>
      </c>
    </row>
    <row r="19" spans="1:9" ht="12.75">
      <c r="A19" s="5"/>
      <c r="B19" s="61" t="s">
        <v>98</v>
      </c>
      <c r="C19" s="139">
        <f>'6. Avg Nt Fix Ass &amp;UCC'!C32</f>
        <v>0</v>
      </c>
      <c r="D19" s="139">
        <f>'6. Avg Nt Fix Ass &amp;UCC'!D32</f>
        <v>0</v>
      </c>
      <c r="E19" s="139">
        <f>'6. Avg Nt Fix Ass &amp;UCC'!E32</f>
        <v>8183.889000000001</v>
      </c>
      <c r="F19" s="139">
        <f>'6. Avg Nt Fix Ass &amp;UCC'!F32</f>
        <v>7322.427000000001</v>
      </c>
      <c r="G19" s="139">
        <f>'6. Avg Nt Fix Ass &amp;UCC'!G32</f>
        <v>6460.965</v>
      </c>
      <c r="H19" s="139">
        <f>'6. Avg Nt Fix Ass &amp;UCC'!H32</f>
        <v>5599.503000000001</v>
      </c>
      <c r="I19" s="139">
        <f>'6. Avg Nt Fix Ass &amp;UCC'!I32</f>
        <v>0</v>
      </c>
    </row>
    <row r="20" spans="1:9" ht="12.75">
      <c r="A20" s="5"/>
      <c r="B20" s="61" t="s">
        <v>99</v>
      </c>
      <c r="C20" s="142">
        <f>'6. Avg Nt Fix Ass &amp;UCC'!C47</f>
        <v>0</v>
      </c>
      <c r="D20" s="142">
        <f>'6. Avg Nt Fix Ass &amp;UCC'!D47</f>
        <v>11977.803</v>
      </c>
      <c r="E20" s="142">
        <f>'6. Avg Nt Fix Ass &amp;UCC'!E47</f>
        <v>45344.716</v>
      </c>
      <c r="F20" s="142">
        <f>'6. Avg Nt Fix Ass &amp;UCC'!F47</f>
        <v>39176.616</v>
      </c>
      <c r="G20" s="142">
        <f>'6. Avg Nt Fix Ass &amp;UCC'!G47</f>
        <v>27508.516000000003</v>
      </c>
      <c r="H20" s="142">
        <f>'6. Avg Nt Fix Ass &amp;UCC'!H47</f>
        <v>15840.416000000005</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11977.803</v>
      </c>
      <c r="E23" s="102">
        <f t="shared" si="2"/>
        <v>53528.605</v>
      </c>
      <c r="F23" s="102">
        <f t="shared" si="2"/>
        <v>1067980.2336666666</v>
      </c>
      <c r="G23" s="102">
        <f t="shared" si="2"/>
        <v>1056092.3596666665</v>
      </c>
      <c r="H23" s="102">
        <f t="shared" si="2"/>
        <v>968213.1523333333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11977.803</v>
      </c>
      <c r="E25" s="140">
        <f t="shared" si="3"/>
        <v>53528.605</v>
      </c>
      <c r="F25" s="140">
        <f t="shared" si="3"/>
        <v>1067980.2336666666</v>
      </c>
      <c r="G25" s="140">
        <f t="shared" si="3"/>
        <v>1056092.3596666665</v>
      </c>
      <c r="H25" s="140">
        <f t="shared" si="3"/>
        <v>968213.1523333333</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26.950056749999998</v>
      </c>
      <c r="E27" s="140">
        <f t="shared" si="4"/>
        <v>120.43936125</v>
      </c>
      <c r="F27" s="140">
        <f t="shared" si="4"/>
        <v>2402.9555257499997</v>
      </c>
      <c r="G27" s="140">
        <f t="shared" si="4"/>
        <v>792.0692697499999</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-743.8974257190002</v>
      </c>
      <c r="E32" s="102">
        <f t="shared" si="5"/>
        <v>-3443.167673206356</v>
      </c>
      <c r="F32" s="102">
        <f t="shared" si="5"/>
        <v>582.9914305407265</v>
      </c>
      <c r="G32" s="102">
        <f t="shared" si="5"/>
        <v>7765.305580934007</v>
      </c>
      <c r="H32" s="102">
        <f t="shared" si="5"/>
        <v>-26113.86187681062</v>
      </c>
      <c r="I32" s="102">
        <f t="shared" si="5"/>
        <v>0</v>
      </c>
    </row>
    <row r="33" spans="1:9" ht="12.75">
      <c r="A33" s="5"/>
      <c r="B33" s="5" t="s">
        <v>163</v>
      </c>
      <c r="C33" s="102">
        <f aca="true" t="shared" si="6" ref="C33:I33">C27</f>
        <v>0</v>
      </c>
      <c r="D33" s="102">
        <f t="shared" si="6"/>
        <v>26.950056749999998</v>
      </c>
      <c r="E33" s="102">
        <f t="shared" si="6"/>
        <v>120.43936125</v>
      </c>
      <c r="F33" s="102">
        <f t="shared" si="6"/>
        <v>2402.9555257499997</v>
      </c>
      <c r="G33" s="102">
        <f t="shared" si="6"/>
        <v>792.0692697499999</v>
      </c>
      <c r="H33" s="102">
        <f t="shared" si="6"/>
        <v>0</v>
      </c>
      <c r="I33" s="102">
        <f t="shared" si="6"/>
        <v>0</v>
      </c>
    </row>
    <row r="34" spans="1:9" ht="12.75">
      <c r="A34" s="5"/>
      <c r="B34" s="5" t="s">
        <v>164</v>
      </c>
      <c r="C34" s="140">
        <f aca="true" t="shared" si="7" ref="C34:I34">SUM(C32:C33)</f>
        <v>0</v>
      </c>
      <c r="D34" s="140">
        <f t="shared" si="7"/>
        <v>-716.9473689690002</v>
      </c>
      <c r="E34" s="140">
        <f t="shared" si="7"/>
        <v>-3322.7283119563563</v>
      </c>
      <c r="F34" s="140">
        <f t="shared" si="7"/>
        <v>2985.946956290726</v>
      </c>
      <c r="G34" s="140">
        <f t="shared" si="7"/>
        <v>8557.374850684006</v>
      </c>
      <c r="H34" s="140">
        <f t="shared" si="7"/>
        <v>-26113.86187681062</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-1164.5232087022546</v>
      </c>
      <c r="E40" s="102">
        <f t="shared" si="9"/>
        <v>-5177.69574918249</v>
      </c>
      <c r="F40" s="102">
        <f t="shared" si="9"/>
        <v>870.1364634936217</v>
      </c>
      <c r="G40" s="102">
        <f t="shared" si="9"/>
        <v>11419.567030785305</v>
      </c>
      <c r="H40" s="102">
        <f t="shared" si="9"/>
        <v>-37573.90198102247</v>
      </c>
      <c r="I40" s="102">
        <f t="shared" si="9"/>
        <v>0</v>
      </c>
    </row>
    <row r="41" spans="2:9" ht="12.75">
      <c r="B41" s="5" t="s">
        <v>163</v>
      </c>
      <c r="C41" s="102">
        <f aca="true" t="shared" si="10" ref="C41:I41">C33</f>
        <v>0</v>
      </c>
      <c r="D41" s="102">
        <f t="shared" si="10"/>
        <v>26.950056749999998</v>
      </c>
      <c r="E41" s="102">
        <f t="shared" si="10"/>
        <v>120.43936125</v>
      </c>
      <c r="F41" s="102">
        <f t="shared" si="10"/>
        <v>2402.9555257499997</v>
      </c>
      <c r="G41" s="102">
        <f t="shared" si="10"/>
        <v>792.0692697499999</v>
      </c>
      <c r="H41" s="102">
        <f t="shared" si="10"/>
        <v>0</v>
      </c>
      <c r="I41" s="102">
        <f t="shared" si="10"/>
        <v>0</v>
      </c>
    </row>
    <row r="42" spans="2:9" ht="12.75">
      <c r="B42" s="5" t="s">
        <v>164</v>
      </c>
      <c r="C42" s="146">
        <f aca="true" t="shared" si="11" ref="C42:I42">SUM(C40:C41)</f>
        <v>0</v>
      </c>
      <c r="D42" s="146">
        <f t="shared" si="11"/>
        <v>-1137.5731519522546</v>
      </c>
      <c r="E42" s="146">
        <f t="shared" si="11"/>
        <v>-5057.25638793249</v>
      </c>
      <c r="F42" s="146">
        <f t="shared" si="11"/>
        <v>3273.0919892436214</v>
      </c>
      <c r="G42" s="146">
        <f t="shared" si="11"/>
        <v>12211.636300535305</v>
      </c>
      <c r="H42" s="146">
        <f t="shared" si="11"/>
        <v>-37573.90198102247</v>
      </c>
      <c r="I42" s="146">
        <f t="shared" si="11"/>
        <v>0</v>
      </c>
    </row>
  </sheetData>
  <sheetProtection formatColumns="0" selectLockedCells="1"/>
  <mergeCells count="1">
    <mergeCell ref="B1:E1"/>
  </mergeCells>
  <printOptions/>
  <pageMargins left="0.42" right="0.44" top="0.9" bottom="0.64" header="0.24" footer="0.24"/>
  <pageSetup fitToHeight="1" fitToWidth="1" horizontalDpi="600" verticalDpi="600" orientation="landscape" scale="89"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27"/>
  <sheetViews>
    <sheetView zoomScalePageLayoutView="0" workbookViewId="0" topLeftCell="A93">
      <selection activeCell="B11" sqref="B11"/>
    </sheetView>
  </sheetViews>
  <sheetFormatPr defaultColWidth="9.140625" defaultRowHeight="12.75"/>
  <cols>
    <col min="1" max="1" width="16.57421875" style="7" customWidth="1"/>
    <col min="2" max="2" width="75.28125" style="7" bestFit="1" customWidth="1"/>
    <col min="3" max="7" width="15.00390625" style="7" bestFit="1" customWidth="1"/>
    <col min="8" max="8" width="15.28125" style="7" customWidth="1"/>
    <col min="9" max="16384" width="9.140625" style="7" customWidth="1"/>
  </cols>
  <sheetData>
    <row r="1" spans="1:9" s="3" customFormat="1" ht="21" customHeight="1">
      <c r="A1" s="1"/>
      <c r="B1" s="174" t="s">
        <v>219</v>
      </c>
      <c r="C1" s="174"/>
      <c r="D1" s="174"/>
      <c r="E1" s="174"/>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0</v>
      </c>
      <c r="G8" s="140">
        <f>F10</f>
        <v>1056704.68</v>
      </c>
      <c r="H8" s="140">
        <f>G10</f>
        <v>1130244.68</v>
      </c>
      <c r="I8" s="5"/>
    </row>
    <row r="9" spans="1:9" ht="12.75">
      <c r="A9" s="5"/>
      <c r="B9" s="5" t="s">
        <v>202</v>
      </c>
      <c r="C9" s="142">
        <f>'3.  LDC Assumptions and Data'!C31</f>
        <v>0</v>
      </c>
      <c r="D9" s="142">
        <f>'3.  LDC Assumptions and Data'!D31</f>
        <v>0</v>
      </c>
      <c r="E9" s="142">
        <f>+'3.  LDC Assumptions and Data'!E31</f>
        <v>0</v>
      </c>
      <c r="F9" s="142">
        <f>+'3.  LDC Assumptions and Data'!F31</f>
        <v>1056704.68</v>
      </c>
      <c r="G9" s="142">
        <f>+'3.  LDC Assumptions and Data'!G31</f>
        <v>73540</v>
      </c>
      <c r="H9" s="142">
        <f>+'3.  LDC Assumptions and Data'!H31</f>
        <v>0</v>
      </c>
      <c r="I9" s="5"/>
    </row>
    <row r="10" spans="1:9" ht="12.75">
      <c r="A10" s="5"/>
      <c r="B10" s="5" t="s">
        <v>169</v>
      </c>
      <c r="C10" s="140">
        <f aca="true" t="shared" si="0" ref="C10:H10">SUM(C8:C9)</f>
        <v>0</v>
      </c>
      <c r="D10" s="140">
        <f t="shared" si="0"/>
        <v>0</v>
      </c>
      <c r="E10" s="140">
        <f t="shared" si="0"/>
        <v>0</v>
      </c>
      <c r="F10" s="140">
        <f t="shared" si="0"/>
        <v>1056704.68</v>
      </c>
      <c r="G10" s="140">
        <f t="shared" si="0"/>
        <v>1130244.68</v>
      </c>
      <c r="H10" s="140">
        <f t="shared" si="0"/>
        <v>1130244.68</v>
      </c>
      <c r="I10" s="5"/>
    </row>
    <row r="11" spans="1:9" ht="12.75">
      <c r="A11" s="5"/>
      <c r="B11" s="5"/>
      <c r="C11" s="63"/>
      <c r="D11" s="63"/>
      <c r="E11" s="63"/>
      <c r="F11" s="63"/>
      <c r="G11" s="63"/>
      <c r="H11" s="5"/>
      <c r="I11" s="5"/>
    </row>
    <row r="12" spans="1:9" ht="12.75">
      <c r="A12" s="5"/>
      <c r="B12" s="5" t="s">
        <v>170</v>
      </c>
      <c r="C12" s="140">
        <v>0</v>
      </c>
      <c r="D12" s="140">
        <f>C14</f>
        <v>0</v>
      </c>
      <c r="E12" s="140">
        <f>D14</f>
        <v>0</v>
      </c>
      <c r="F12" s="140">
        <f>E14</f>
        <v>0</v>
      </c>
      <c r="G12" s="140">
        <f>F14</f>
        <v>35223.48933333333</v>
      </c>
      <c r="H12" s="140">
        <f>G14</f>
        <v>108121.80133333332</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35223.48933333333</v>
      </c>
      <c r="G13" s="102">
        <f>IF(G12+(G8/'3.  LDC Assumptions and Data'!G60)+(G9/'3.  LDC Assumptions and Data'!G60/2)&lt;G10,(G8/'3.  LDC Assumptions and Data'!G60)+(G9/'3.  LDC Assumptions and Data'!G60/2),G10-G12)</f>
        <v>72898.31199999999</v>
      </c>
      <c r="H13" s="102">
        <f>IF(H12+(H8/'3.  LDC Assumptions and Data'!H60)+(H9/'3.  LDC Assumptions and Data'!H60/2)&lt;H10,(H8/'3.  LDC Assumptions and Data'!H60)+(H9/'3.  LDC Assumptions and Data'!H60/2),H10-H12)</f>
        <v>75349.64533333333</v>
      </c>
      <c r="I13" s="5"/>
    </row>
    <row r="14" spans="1:9" ht="12.75">
      <c r="A14" s="5"/>
      <c r="B14" s="5" t="s">
        <v>171</v>
      </c>
      <c r="C14" s="140">
        <f aca="true" t="shared" si="1" ref="C14:H14">SUM(C12:C13)</f>
        <v>0</v>
      </c>
      <c r="D14" s="140">
        <f t="shared" si="1"/>
        <v>0</v>
      </c>
      <c r="E14" s="140">
        <f t="shared" si="1"/>
        <v>0</v>
      </c>
      <c r="F14" s="140">
        <f t="shared" si="1"/>
        <v>35223.48933333333</v>
      </c>
      <c r="G14" s="140">
        <f t="shared" si="1"/>
        <v>108121.80133333332</v>
      </c>
      <c r="H14" s="140">
        <f t="shared" si="1"/>
        <v>183471.44666666666</v>
      </c>
      <c r="I14" s="5"/>
    </row>
    <row r="15" spans="1:9" ht="12.75">
      <c r="A15" s="5"/>
      <c r="B15" s="5"/>
      <c r="H15" s="5"/>
      <c r="I15" s="5"/>
    </row>
    <row r="16" spans="1:9" ht="16.5" customHeight="1">
      <c r="A16" s="5"/>
      <c r="B16" s="5" t="s">
        <v>172</v>
      </c>
      <c r="C16" s="102">
        <f>0</f>
        <v>0</v>
      </c>
      <c r="D16" s="102">
        <f>C17</f>
        <v>0</v>
      </c>
      <c r="E16" s="102">
        <f>D17</f>
        <v>0</v>
      </c>
      <c r="F16" s="102">
        <f>E17</f>
        <v>0</v>
      </c>
      <c r="G16" s="102">
        <f>F17</f>
        <v>1021481.1906666666</v>
      </c>
      <c r="H16" s="102">
        <f>G17</f>
        <v>1022122.8786666666</v>
      </c>
      <c r="I16" s="5"/>
    </row>
    <row r="17" spans="1:8" ht="12.75">
      <c r="A17" s="5"/>
      <c r="B17" s="5" t="s">
        <v>173</v>
      </c>
      <c r="C17" s="140">
        <f aca="true" t="shared" si="2" ref="C17:H17">C10-C14</f>
        <v>0</v>
      </c>
      <c r="D17" s="140">
        <f t="shared" si="2"/>
        <v>0</v>
      </c>
      <c r="E17" s="140">
        <f t="shared" si="2"/>
        <v>0</v>
      </c>
      <c r="F17" s="140">
        <f t="shared" si="2"/>
        <v>1021481.1906666666</v>
      </c>
      <c r="G17" s="140">
        <f t="shared" si="2"/>
        <v>1022122.8786666666</v>
      </c>
      <c r="H17" s="140">
        <f t="shared" si="2"/>
        <v>946773.2333333333</v>
      </c>
    </row>
    <row r="18" spans="1:8" ht="13.5" thickBot="1">
      <c r="A18" s="5"/>
      <c r="B18" s="5" t="s">
        <v>174</v>
      </c>
      <c r="C18" s="147">
        <f aca="true" t="shared" si="3" ref="C18:H18">(C17+C16)/2</f>
        <v>0</v>
      </c>
      <c r="D18" s="147">
        <f t="shared" si="3"/>
        <v>0</v>
      </c>
      <c r="E18" s="147">
        <f t="shared" si="3"/>
        <v>0</v>
      </c>
      <c r="F18" s="147">
        <f t="shared" si="3"/>
        <v>510740.5953333333</v>
      </c>
      <c r="G18" s="147">
        <f t="shared" si="3"/>
        <v>1021802.0346666665</v>
      </c>
      <c r="H18" s="147">
        <f t="shared" si="3"/>
        <v>984448.0559999999</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8614.62</v>
      </c>
      <c r="G23" s="140">
        <f>F25</f>
        <v>8614.62</v>
      </c>
      <c r="H23" s="140">
        <f>G25</f>
        <v>8614.62</v>
      </c>
      <c r="I23" s="5"/>
    </row>
    <row r="24" spans="1:9" ht="12.75">
      <c r="A24" s="5"/>
      <c r="B24" s="5" t="s">
        <v>203</v>
      </c>
      <c r="C24" s="142">
        <f>'3.  LDC Assumptions and Data'!C32</f>
        <v>0</v>
      </c>
      <c r="D24" s="142">
        <f>'3.  LDC Assumptions and Data'!D32</f>
        <v>0</v>
      </c>
      <c r="E24" s="142">
        <f>'3.  LDC Assumptions and Data'!F32</f>
        <v>8614.62</v>
      </c>
      <c r="F24" s="142">
        <f>'3.  LDC Assumptions and Data'!G32</f>
        <v>0</v>
      </c>
      <c r="G24" s="142">
        <f>'3.  LDC Assumptions and Data'!H32</f>
        <v>0</v>
      </c>
      <c r="H24" s="142">
        <f>'3.  LDC Assumptions and Data'!I32</f>
        <v>0</v>
      </c>
      <c r="I24" s="5"/>
    </row>
    <row r="25" spans="1:9" ht="12.75">
      <c r="A25" s="5"/>
      <c r="B25" s="5" t="s">
        <v>169</v>
      </c>
      <c r="C25" s="140">
        <f aca="true" t="shared" si="5" ref="C25:H25">SUM(C23:C24)</f>
        <v>0</v>
      </c>
      <c r="D25" s="140">
        <f t="shared" si="5"/>
        <v>0</v>
      </c>
      <c r="E25" s="140">
        <f t="shared" si="5"/>
        <v>8614.62</v>
      </c>
      <c r="F25" s="140">
        <f t="shared" si="5"/>
        <v>8614.62</v>
      </c>
      <c r="G25" s="140">
        <f t="shared" si="5"/>
        <v>8614.62</v>
      </c>
      <c r="H25" s="140">
        <f t="shared" si="5"/>
        <v>8614.62</v>
      </c>
      <c r="I25" s="5"/>
    </row>
    <row r="26" spans="1:9" ht="12.75">
      <c r="A26" s="5"/>
      <c r="B26" s="5"/>
      <c r="C26" s="64"/>
      <c r="D26" s="64"/>
      <c r="E26" s="64"/>
      <c r="F26" s="64"/>
      <c r="G26" s="64"/>
      <c r="H26" s="5"/>
      <c r="I26" s="5"/>
    </row>
    <row r="27" spans="1:9" ht="12.75">
      <c r="A27" s="5"/>
      <c r="B27" s="5" t="s">
        <v>170</v>
      </c>
      <c r="C27" s="140">
        <v>0</v>
      </c>
      <c r="D27" s="140">
        <f>C29</f>
        <v>0</v>
      </c>
      <c r="E27" s="140">
        <f>D29</f>
        <v>0</v>
      </c>
      <c r="F27" s="140">
        <f>E29</f>
        <v>430.73100000000005</v>
      </c>
      <c r="G27" s="140">
        <f>F29</f>
        <v>1292.1930000000002</v>
      </c>
      <c r="H27" s="140">
        <f>G29</f>
        <v>2153.655</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430.73100000000005</v>
      </c>
      <c r="F28" s="102">
        <f>IF(F27+(F23/'3.  LDC Assumptions and Data'!C61)+(F24/'3.  LDC Assumptions and Data'!C61/2)&lt;F25,(F23/'3.  LDC Assumptions and Data'!C61)+(F24/'3.  LDC Assumptions and Data'!C61/2),F25-F27)</f>
        <v>861.4620000000001</v>
      </c>
      <c r="G28" s="102">
        <f>IF(G27+(G23/'3.  LDC Assumptions and Data'!C61)+(G24/'3.  LDC Assumptions and Data'!C61/2)&lt;G25,(G23/'3.  LDC Assumptions and Data'!C61)+(G24/'3.  LDC Assumptions and Data'!C61/2),G25-G27)</f>
        <v>861.4620000000001</v>
      </c>
      <c r="H28" s="102">
        <f>IF(H27+(H23/'3.  LDC Assumptions and Data'!D61)+(H24/'3.  LDC Assumptions and Data'!D61/2)&lt;H25,(H23/'3.  LDC Assumptions and Data'!D61)+(H24/'3.  LDC Assumptions and Data'!D61/2),H25-H27)</f>
        <v>861.4620000000001</v>
      </c>
      <c r="I28" s="5"/>
    </row>
    <row r="29" spans="1:9" ht="12.75">
      <c r="A29" s="5"/>
      <c r="B29" s="5" t="s">
        <v>171</v>
      </c>
      <c r="C29" s="140">
        <f aca="true" t="shared" si="6" ref="C29:H29">SUM(C27:C28)</f>
        <v>0</v>
      </c>
      <c r="D29" s="140">
        <f t="shared" si="6"/>
        <v>0</v>
      </c>
      <c r="E29" s="140">
        <f t="shared" si="6"/>
        <v>430.73100000000005</v>
      </c>
      <c r="F29" s="140">
        <f t="shared" si="6"/>
        <v>1292.1930000000002</v>
      </c>
      <c r="G29" s="140">
        <f t="shared" si="6"/>
        <v>2153.655</v>
      </c>
      <c r="H29" s="140">
        <f t="shared" si="6"/>
        <v>3015.117</v>
      </c>
      <c r="I29" s="5"/>
    </row>
    <row r="30" spans="1:9" ht="12.75">
      <c r="A30" s="5"/>
      <c r="B30" s="5"/>
      <c r="H30" s="5"/>
      <c r="I30" s="5"/>
    </row>
    <row r="31" spans="1:9" ht="12.75">
      <c r="A31" s="5"/>
      <c r="B31" s="5" t="s">
        <v>172</v>
      </c>
      <c r="C31" s="102">
        <f>0</f>
        <v>0</v>
      </c>
      <c r="D31" s="102">
        <f>C32</f>
        <v>0</v>
      </c>
      <c r="E31" s="102">
        <f>D32</f>
        <v>0</v>
      </c>
      <c r="F31" s="102">
        <f>E32</f>
        <v>8183.889000000001</v>
      </c>
      <c r="G31" s="102">
        <f>F32</f>
        <v>7322.427000000001</v>
      </c>
      <c r="H31" s="102">
        <f>G32</f>
        <v>6460.965</v>
      </c>
      <c r="I31" s="5"/>
    </row>
    <row r="32" spans="1:9" ht="12.75">
      <c r="A32" s="5"/>
      <c r="B32" s="5" t="s">
        <v>173</v>
      </c>
      <c r="C32" s="140">
        <f aca="true" t="shared" si="7" ref="C32:H32">C25-C29</f>
        <v>0</v>
      </c>
      <c r="D32" s="148">
        <f t="shared" si="7"/>
        <v>0</v>
      </c>
      <c r="E32" s="148">
        <f t="shared" si="7"/>
        <v>8183.889000000001</v>
      </c>
      <c r="F32" s="148">
        <f t="shared" si="7"/>
        <v>7322.427000000001</v>
      </c>
      <c r="G32" s="148">
        <f t="shared" si="7"/>
        <v>6460.965</v>
      </c>
      <c r="H32" s="148">
        <f t="shared" si="7"/>
        <v>5599.503000000001</v>
      </c>
      <c r="I32" s="5"/>
    </row>
    <row r="33" spans="1:9" ht="13.5" thickBot="1">
      <c r="A33" s="5"/>
      <c r="B33" s="5" t="s">
        <v>174</v>
      </c>
      <c r="C33" s="147">
        <f aca="true" t="shared" si="8" ref="C33:H33">(C32+C31)/2</f>
        <v>0</v>
      </c>
      <c r="D33" s="149">
        <f t="shared" si="8"/>
        <v>0</v>
      </c>
      <c r="E33" s="149">
        <f t="shared" si="8"/>
        <v>4091.9445000000005</v>
      </c>
      <c r="F33" s="149">
        <f t="shared" si="8"/>
        <v>7753.158000000001</v>
      </c>
      <c r="G33" s="149">
        <f t="shared" si="8"/>
        <v>6891.696</v>
      </c>
      <c r="H33" s="149">
        <f t="shared" si="8"/>
        <v>6030.234</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13308.67</v>
      </c>
      <c r="F38" s="140">
        <f>E40</f>
        <v>53340.5</v>
      </c>
      <c r="G38" s="140">
        <f>F40</f>
        <v>58340.5</v>
      </c>
      <c r="H38" s="140">
        <f>G40</f>
        <v>58340.5</v>
      </c>
      <c r="I38" s="5"/>
    </row>
    <row r="39" spans="1:9" ht="12.75">
      <c r="A39" s="5"/>
      <c r="B39" s="5" t="s">
        <v>202</v>
      </c>
      <c r="C39" s="142">
        <f>'3.  LDC Assumptions and Data'!C33</f>
        <v>0</v>
      </c>
      <c r="D39" s="142">
        <f>'3.  LDC Assumptions and Data'!D33</f>
        <v>13308.67</v>
      </c>
      <c r="E39" s="142">
        <f>'3.  LDC Assumptions and Data'!F33</f>
        <v>40031.83</v>
      </c>
      <c r="F39" s="142">
        <f>'3.  LDC Assumptions and Data'!G33</f>
        <v>5000</v>
      </c>
      <c r="G39" s="142">
        <f>'3.  LDC Assumptions and Data'!H33</f>
        <v>0</v>
      </c>
      <c r="H39" s="142">
        <f>'3.  LDC Assumptions and Data'!I33</f>
        <v>0</v>
      </c>
      <c r="I39" s="5"/>
    </row>
    <row r="40" spans="1:9" ht="12.75">
      <c r="A40" s="5"/>
      <c r="B40" s="5" t="s">
        <v>169</v>
      </c>
      <c r="C40" s="140">
        <f aca="true" t="shared" si="10" ref="C40:H40">SUM(C38:C39)</f>
        <v>0</v>
      </c>
      <c r="D40" s="140">
        <f t="shared" si="10"/>
        <v>13308.67</v>
      </c>
      <c r="E40" s="140">
        <f t="shared" si="10"/>
        <v>53340.5</v>
      </c>
      <c r="F40" s="140">
        <f t="shared" si="10"/>
        <v>58340.5</v>
      </c>
      <c r="G40" s="140">
        <f t="shared" si="10"/>
        <v>58340.5</v>
      </c>
      <c r="H40" s="140">
        <f t="shared" si="10"/>
        <v>58340.5</v>
      </c>
      <c r="I40" s="5"/>
    </row>
    <row r="41" spans="1:9" ht="12.75">
      <c r="A41" s="5"/>
      <c r="B41" s="5"/>
      <c r="C41" s="64"/>
      <c r="D41" s="64"/>
      <c r="E41" s="64"/>
      <c r="F41" s="64"/>
      <c r="G41" s="64"/>
      <c r="H41" s="5"/>
      <c r="I41" s="5"/>
    </row>
    <row r="42" spans="1:9" ht="12.75">
      <c r="A42" s="5"/>
      <c r="B42" s="5" t="s">
        <v>170</v>
      </c>
      <c r="C42" s="140">
        <v>0</v>
      </c>
      <c r="D42" s="140">
        <f>C44</f>
        <v>0</v>
      </c>
      <c r="E42" s="140">
        <f>D44</f>
        <v>1330.867</v>
      </c>
      <c r="F42" s="140">
        <f>E44</f>
        <v>7995.784</v>
      </c>
      <c r="G42" s="140">
        <f>F44</f>
        <v>19163.884</v>
      </c>
      <c r="H42" s="140">
        <f>G44</f>
        <v>30831.983999999997</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1330.867</v>
      </c>
      <c r="E43" s="102">
        <f>IF(E42+(E38/'3.  LDC Assumptions and Data'!C62)+(E39/'3.  LDC Assumptions and Data'!C62/2)&lt;E40,(E38/'3.  LDC Assumptions and Data'!C62)+(E39/'3.  LDC Assumptions and Data'!C62/2),E40-E42)</f>
        <v>6664.9169999999995</v>
      </c>
      <c r="F43" s="102">
        <f>IF(F42+(F38/'3.  LDC Assumptions and Data'!C62)+(F39/'3.  LDC Assumptions and Data'!C62/2)&lt;F40,(F38/'3.  LDC Assumptions and Data'!C62)+(F39/'3.  LDC Assumptions and Data'!C62/2),F40-F42)</f>
        <v>11168.1</v>
      </c>
      <c r="G43" s="102">
        <f>IF(G42+(G38/'3.  LDC Assumptions and Data'!C62)+(G39/'3.  LDC Assumptions and Data'!C62/2)&lt;G40,(G38/'3.  LDC Assumptions and Data'!C62)+(G39/'3.  LDC Assumptions and Data'!C62/2),G40-G42)</f>
        <v>11668.1</v>
      </c>
      <c r="H43" s="102">
        <f>IF(H42+(H38/'3.  LDC Assumptions and Data'!D62)+(H39/'3.  LDC Assumptions and Data'!D62/2)&lt;H40,(H38/'3.  LDC Assumptions and Data'!D62)+(H39/'3.  LDC Assumptions and Data'!D62/2),H40-H42)</f>
        <v>11668.1</v>
      </c>
      <c r="I43" s="5"/>
    </row>
    <row r="44" spans="1:9" ht="12.75">
      <c r="A44" s="5"/>
      <c r="B44" s="5" t="s">
        <v>171</v>
      </c>
      <c r="C44" s="140">
        <f aca="true" t="shared" si="11" ref="C44:H44">SUM(C42:C43)</f>
        <v>0</v>
      </c>
      <c r="D44" s="140">
        <f t="shared" si="11"/>
        <v>1330.867</v>
      </c>
      <c r="E44" s="140">
        <f t="shared" si="11"/>
        <v>7995.784</v>
      </c>
      <c r="F44" s="140">
        <f t="shared" si="11"/>
        <v>19163.884</v>
      </c>
      <c r="G44" s="140">
        <f t="shared" si="11"/>
        <v>30831.983999999997</v>
      </c>
      <c r="H44" s="140">
        <f t="shared" si="11"/>
        <v>42500.083999999995</v>
      </c>
      <c r="I44" s="5"/>
    </row>
    <row r="45" spans="1:9" ht="12.75">
      <c r="A45" s="5"/>
      <c r="B45" s="5"/>
      <c r="H45" s="5"/>
      <c r="I45" s="5"/>
    </row>
    <row r="46" spans="1:9" ht="12.75">
      <c r="A46" s="5"/>
      <c r="B46" s="5" t="s">
        <v>172</v>
      </c>
      <c r="C46" s="102">
        <f>0</f>
        <v>0</v>
      </c>
      <c r="D46" s="102">
        <f>C47</f>
        <v>0</v>
      </c>
      <c r="E46" s="102">
        <f>D47</f>
        <v>11977.803</v>
      </c>
      <c r="F46" s="102">
        <f>E47</f>
        <v>45344.716</v>
      </c>
      <c r="G46" s="102">
        <f>F47</f>
        <v>39176.616</v>
      </c>
      <c r="H46" s="102">
        <f>G47</f>
        <v>27508.516000000003</v>
      </c>
      <c r="I46" s="5"/>
    </row>
    <row r="47" spans="1:9" ht="12.75">
      <c r="A47" s="5"/>
      <c r="B47" s="5" t="s">
        <v>173</v>
      </c>
      <c r="C47" s="140">
        <f aca="true" t="shared" si="12" ref="C47:H47">C40-C44</f>
        <v>0</v>
      </c>
      <c r="D47" s="148">
        <f t="shared" si="12"/>
        <v>11977.803</v>
      </c>
      <c r="E47" s="148">
        <f t="shared" si="12"/>
        <v>45344.716</v>
      </c>
      <c r="F47" s="148">
        <f t="shared" si="12"/>
        <v>39176.616</v>
      </c>
      <c r="G47" s="148">
        <f t="shared" si="12"/>
        <v>27508.516000000003</v>
      </c>
      <c r="H47" s="148">
        <f t="shared" si="12"/>
        <v>15840.416000000005</v>
      </c>
      <c r="I47" s="5"/>
    </row>
    <row r="48" spans="1:9" ht="13.5" thickBot="1">
      <c r="A48" s="5"/>
      <c r="B48" s="5" t="s">
        <v>174</v>
      </c>
      <c r="C48" s="147">
        <f aca="true" t="shared" si="13" ref="C48:H48">(C47+C46)/2</f>
        <v>0</v>
      </c>
      <c r="D48" s="149">
        <f t="shared" si="13"/>
        <v>5988.9015</v>
      </c>
      <c r="E48" s="149">
        <f t="shared" si="13"/>
        <v>28661.2595</v>
      </c>
      <c r="F48" s="149">
        <f t="shared" si="13"/>
        <v>42260.666</v>
      </c>
      <c r="G48" s="149">
        <f t="shared" si="13"/>
        <v>33342.566000000006</v>
      </c>
      <c r="H48" s="149">
        <f t="shared" si="13"/>
        <v>21674.466000000004</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Data'!F34</f>
        <v>0</v>
      </c>
      <c r="F54" s="142">
        <f>'3.  LDC Assumptions and Data'!G34</f>
        <v>0</v>
      </c>
      <c r="G54" s="142">
        <f>'3.  LDC Assumptions and Data'!H34</f>
        <v>0</v>
      </c>
      <c r="H54" s="142">
        <f>'3.  LDC Assumptions and Data'!I34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Data'!F35</f>
        <v>0</v>
      </c>
      <c r="F69" s="142">
        <f>'3.  LDC Assumptions and Data'!G35</f>
        <v>0</v>
      </c>
      <c r="G69" s="142">
        <f>'3.  LDC Assumptions and Data'!H35</f>
        <v>0</v>
      </c>
      <c r="H69" s="142">
        <f>'3.  LDC Assumptions and Data'!I35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0</v>
      </c>
      <c r="G86" s="140">
        <f>F88-F93</f>
        <v>1014436.4927999999</v>
      </c>
      <c r="H86" s="140">
        <f>G88-G93</f>
        <v>1003879.9733759998</v>
      </c>
      <c r="I86" s="5"/>
    </row>
    <row r="87" spans="1:9" ht="12.75">
      <c r="A87" s="5"/>
      <c r="B87" s="5" t="s">
        <v>182</v>
      </c>
      <c r="C87" s="102">
        <f aca="true" t="shared" si="25" ref="C87:H87">C9</f>
        <v>0</v>
      </c>
      <c r="D87" s="102">
        <f t="shared" si="25"/>
        <v>0</v>
      </c>
      <c r="E87" s="102">
        <f t="shared" si="25"/>
        <v>0</v>
      </c>
      <c r="F87" s="102">
        <f t="shared" si="25"/>
        <v>1056704.68</v>
      </c>
      <c r="G87" s="102">
        <f t="shared" si="25"/>
        <v>73540</v>
      </c>
      <c r="H87" s="102">
        <f t="shared" si="25"/>
        <v>0</v>
      </c>
      <c r="I87" s="5"/>
    </row>
    <row r="88" spans="1:9" ht="12.75">
      <c r="A88" s="5"/>
      <c r="B88" s="5" t="s">
        <v>183</v>
      </c>
      <c r="C88" s="140">
        <f aca="true" t="shared" si="26" ref="C88:H88">SUM(C86:C87)</f>
        <v>0</v>
      </c>
      <c r="D88" s="140">
        <f t="shared" si="26"/>
        <v>0</v>
      </c>
      <c r="E88" s="140">
        <f t="shared" si="26"/>
        <v>0</v>
      </c>
      <c r="F88" s="140">
        <f t="shared" si="26"/>
        <v>1056704.68</v>
      </c>
      <c r="G88" s="140">
        <f t="shared" si="26"/>
        <v>1087976.4928</v>
      </c>
      <c r="H88" s="140">
        <f t="shared" si="26"/>
        <v>1003879.9733759998</v>
      </c>
      <c r="I88" s="5"/>
    </row>
    <row r="89" spans="1:9" ht="12.75">
      <c r="A89" s="5"/>
      <c r="B89" s="5" t="s">
        <v>184</v>
      </c>
      <c r="C89" s="102">
        <f aca="true" t="shared" si="27" ref="C89:H89">SUM(C87:C87)/2</f>
        <v>0</v>
      </c>
      <c r="D89" s="102">
        <f t="shared" si="27"/>
        <v>0</v>
      </c>
      <c r="E89" s="102">
        <f t="shared" si="27"/>
        <v>0</v>
      </c>
      <c r="F89" s="102">
        <f t="shared" si="27"/>
        <v>528352.34</v>
      </c>
      <c r="G89" s="102">
        <f t="shared" si="27"/>
        <v>36770</v>
      </c>
      <c r="H89" s="102">
        <f t="shared" si="27"/>
        <v>0</v>
      </c>
      <c r="I89" s="5"/>
    </row>
    <row r="90" spans="1:9" ht="12.75">
      <c r="A90" s="5"/>
      <c r="B90" s="5" t="s">
        <v>185</v>
      </c>
      <c r="C90" s="140">
        <f aca="true" t="shared" si="28" ref="C90:H90">C86+C89</f>
        <v>0</v>
      </c>
      <c r="D90" s="140">
        <f t="shared" si="28"/>
        <v>0</v>
      </c>
      <c r="E90" s="140">
        <f t="shared" si="28"/>
        <v>0</v>
      </c>
      <c r="F90" s="140">
        <f t="shared" si="28"/>
        <v>528352.34</v>
      </c>
      <c r="G90" s="140">
        <f t="shared" si="28"/>
        <v>1051206.4928</v>
      </c>
      <c r="H90" s="140">
        <f t="shared" si="28"/>
        <v>1003879.9733759998</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0</v>
      </c>
      <c r="F93" s="140">
        <f t="shared" si="29"/>
        <v>42268.1872</v>
      </c>
      <c r="G93" s="140">
        <f t="shared" si="29"/>
        <v>84096.519424</v>
      </c>
      <c r="H93" s="140">
        <f t="shared" si="29"/>
        <v>80310.39787007999</v>
      </c>
      <c r="I93" s="5"/>
    </row>
    <row r="94" spans="1:9" ht="13.5" thickBot="1">
      <c r="A94" s="5"/>
      <c r="B94" s="5" t="s">
        <v>187</v>
      </c>
      <c r="C94" s="147">
        <f aca="true" t="shared" si="30" ref="C94:H94">IF((C88-C93)&lt;0,0,(C88-C93))</f>
        <v>0</v>
      </c>
      <c r="D94" s="147">
        <f t="shared" si="30"/>
        <v>0</v>
      </c>
      <c r="E94" s="147">
        <f t="shared" si="30"/>
        <v>0</v>
      </c>
      <c r="F94" s="147">
        <f t="shared" si="30"/>
        <v>1014436.4927999999</v>
      </c>
      <c r="G94" s="147">
        <f t="shared" si="30"/>
        <v>1003879.9733759998</v>
      </c>
      <c r="H94" s="147">
        <f t="shared" si="30"/>
        <v>923569.5755059199</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9648.78575</v>
      </c>
      <c r="F99" s="140">
        <f>E108</f>
        <v>39610.6298375</v>
      </c>
      <c r="G99" s="140">
        <f>F108</f>
        <v>21449.783426874998</v>
      </c>
      <c r="H99" s="140">
        <f>G108</f>
        <v>9652.402542093749</v>
      </c>
      <c r="I99" s="5"/>
    </row>
    <row r="100" spans="1:9" ht="12.75">
      <c r="A100" s="5"/>
      <c r="B100" s="5" t="s">
        <v>189</v>
      </c>
      <c r="C100" s="102">
        <f aca="true" t="shared" si="32" ref="C100:H100">C24</f>
        <v>0</v>
      </c>
      <c r="D100" s="102">
        <f t="shared" si="32"/>
        <v>0</v>
      </c>
      <c r="E100" s="102">
        <f t="shared" si="32"/>
        <v>8614.62</v>
      </c>
      <c r="F100" s="102">
        <f t="shared" si="32"/>
        <v>0</v>
      </c>
      <c r="G100" s="102">
        <f t="shared" si="32"/>
        <v>0</v>
      </c>
      <c r="H100" s="102">
        <f t="shared" si="32"/>
        <v>0</v>
      </c>
      <c r="I100" s="5"/>
    </row>
    <row r="101" spans="1:9" ht="12.75">
      <c r="A101" s="5"/>
      <c r="B101" s="5" t="s">
        <v>190</v>
      </c>
      <c r="C101" s="102">
        <f aca="true" t="shared" si="33" ref="C101:H101">C39</f>
        <v>0</v>
      </c>
      <c r="D101" s="102">
        <f t="shared" si="33"/>
        <v>13308.67</v>
      </c>
      <c r="E101" s="102">
        <f t="shared" si="33"/>
        <v>40031.83</v>
      </c>
      <c r="F101" s="102">
        <f t="shared" si="33"/>
        <v>5000</v>
      </c>
      <c r="G101" s="102">
        <f t="shared" si="33"/>
        <v>0</v>
      </c>
      <c r="H101" s="102">
        <f t="shared" si="33"/>
        <v>0</v>
      </c>
      <c r="I101" s="5"/>
    </row>
    <row r="102" spans="1:9" ht="12.75">
      <c r="A102" s="5"/>
      <c r="B102" s="5" t="s">
        <v>183</v>
      </c>
      <c r="C102" s="140">
        <f aca="true" t="shared" si="34" ref="C102:H102">SUM(C99:C101)</f>
        <v>0</v>
      </c>
      <c r="D102" s="140">
        <f t="shared" si="34"/>
        <v>13308.67</v>
      </c>
      <c r="E102" s="140">
        <f t="shared" si="34"/>
        <v>58295.23575</v>
      </c>
      <c r="F102" s="140">
        <f t="shared" si="34"/>
        <v>44610.6298375</v>
      </c>
      <c r="G102" s="140">
        <f t="shared" si="34"/>
        <v>21449.783426874998</v>
      </c>
      <c r="H102" s="140">
        <f t="shared" si="34"/>
        <v>9652.402542093749</v>
      </c>
      <c r="I102" s="5"/>
    </row>
    <row r="103" spans="1:9" ht="12.75">
      <c r="A103" s="5"/>
      <c r="B103" s="5" t="s">
        <v>184</v>
      </c>
      <c r="C103" s="102">
        <f aca="true" t="shared" si="35" ref="C103:H103">SUM(C100:C101)/2</f>
        <v>0</v>
      </c>
      <c r="D103" s="102">
        <f t="shared" si="35"/>
        <v>6654.335</v>
      </c>
      <c r="E103" s="102">
        <f t="shared" si="35"/>
        <v>24323.225000000002</v>
      </c>
      <c r="F103" s="102">
        <f t="shared" si="35"/>
        <v>2500</v>
      </c>
      <c r="G103" s="102">
        <f t="shared" si="35"/>
        <v>0</v>
      </c>
      <c r="H103" s="102">
        <f t="shared" si="35"/>
        <v>0</v>
      </c>
      <c r="I103" s="5"/>
    </row>
    <row r="104" spans="1:9" ht="12.75">
      <c r="A104" s="5"/>
      <c r="B104" s="5" t="s">
        <v>185</v>
      </c>
      <c r="C104" s="140">
        <f aca="true" t="shared" si="36" ref="C104:H104">C99+C103</f>
        <v>0</v>
      </c>
      <c r="D104" s="140">
        <f t="shared" si="36"/>
        <v>6654.335</v>
      </c>
      <c r="E104" s="140">
        <f t="shared" si="36"/>
        <v>33972.01075</v>
      </c>
      <c r="F104" s="140">
        <f t="shared" si="36"/>
        <v>42110.6298375</v>
      </c>
      <c r="G104" s="140">
        <f t="shared" si="36"/>
        <v>21449.783426874998</v>
      </c>
      <c r="H104" s="140">
        <f t="shared" si="36"/>
        <v>9652.402542093749</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0</v>
      </c>
      <c r="D107" s="140">
        <f t="shared" si="37"/>
        <v>3659.8842500000005</v>
      </c>
      <c r="E107" s="140">
        <f t="shared" si="37"/>
        <v>18684.605912500003</v>
      </c>
      <c r="F107" s="140">
        <f t="shared" si="37"/>
        <v>23160.846410625</v>
      </c>
      <c r="G107" s="140">
        <f t="shared" si="37"/>
        <v>11797.380884781249</v>
      </c>
      <c r="H107" s="140">
        <f t="shared" si="37"/>
        <v>5308.821398151562</v>
      </c>
      <c r="I107" s="5"/>
    </row>
    <row r="108" spans="1:9" ht="13.5" thickBot="1">
      <c r="A108" s="5"/>
      <c r="B108" s="5" t="s">
        <v>187</v>
      </c>
      <c r="C108" s="147">
        <f aca="true" t="shared" si="38" ref="C108:H108">IF((C102-C107)&lt;0,0,(C102-C107))</f>
        <v>0</v>
      </c>
      <c r="D108" s="147">
        <f t="shared" si="38"/>
        <v>9648.78575</v>
      </c>
      <c r="E108" s="147">
        <f t="shared" si="38"/>
        <v>39610.6298375</v>
      </c>
      <c r="F108" s="147">
        <f t="shared" si="38"/>
        <v>21449.783426874998</v>
      </c>
      <c r="G108" s="147">
        <f t="shared" si="38"/>
        <v>9652.402542093749</v>
      </c>
      <c r="H108" s="147">
        <f t="shared" si="38"/>
        <v>4343.581143942187</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67" bottom="0.55" header="0.24" footer="0.5"/>
  <pageSetup fitToHeight="2" fitToWidth="1" horizontalDpi="600" verticalDpi="600" orientation="landscape" scale="60"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46">
      <selection activeCell="C69" sqref="C69"/>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0.0725</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0.0725</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0.0725</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 t="shared" si="2"/>
        <v>0</v>
      </c>
      <c r="I7" s="120" t="s">
        <v>242</v>
      </c>
      <c r="J7" s="122">
        <v>4.59</v>
      </c>
      <c r="K7" s="122">
        <v>4.72</v>
      </c>
    </row>
    <row r="8" spans="1:11" ht="15.75">
      <c r="A8" s="135">
        <v>38838</v>
      </c>
      <c r="B8" s="119">
        <f t="shared" si="1"/>
        <v>0</v>
      </c>
      <c r="C8" s="117">
        <v>0</v>
      </c>
      <c r="D8" s="137">
        <v>0.0414</v>
      </c>
      <c r="E8" s="118">
        <f t="shared" si="0"/>
        <v>0</v>
      </c>
      <c r="F8" s="118">
        <f t="shared" si="2"/>
        <v>0</v>
      </c>
      <c r="I8" s="120" t="s">
        <v>241</v>
      </c>
      <c r="J8" s="122">
        <v>4.59</v>
      </c>
      <c r="K8" s="122">
        <v>5.18</v>
      </c>
    </row>
    <row r="9" spans="1:11" ht="15.75">
      <c r="A9" s="135">
        <v>38869</v>
      </c>
      <c r="B9" s="119">
        <f t="shared" si="1"/>
        <v>0</v>
      </c>
      <c r="C9" s="117">
        <v>0</v>
      </c>
      <c r="D9" s="137">
        <v>0.0414</v>
      </c>
      <c r="E9" s="118">
        <f t="shared" si="0"/>
        <v>0</v>
      </c>
      <c r="F9" s="118">
        <f t="shared" si="2"/>
        <v>0</v>
      </c>
      <c r="I9" s="120" t="s">
        <v>240</v>
      </c>
      <c r="J9" s="122">
        <v>5.14</v>
      </c>
      <c r="K9" s="122">
        <v>5.18</v>
      </c>
    </row>
    <row r="10" spans="1:11" ht="15.75">
      <c r="A10" s="135">
        <v>38899</v>
      </c>
      <c r="B10" s="119">
        <f t="shared" si="1"/>
        <v>0</v>
      </c>
      <c r="C10" s="117">
        <v>1439.82</v>
      </c>
      <c r="D10" s="137">
        <v>0.0459</v>
      </c>
      <c r="E10" s="118">
        <f t="shared" si="0"/>
        <v>0</v>
      </c>
      <c r="F10" s="118">
        <f t="shared" si="2"/>
        <v>1439.82</v>
      </c>
      <c r="I10" s="120" t="s">
        <v>239</v>
      </c>
      <c r="J10" s="122">
        <v>5.14</v>
      </c>
      <c r="K10" s="122">
        <v>5.18</v>
      </c>
    </row>
    <row r="11" spans="1:11" ht="15.75">
      <c r="A11" s="135">
        <v>38930</v>
      </c>
      <c r="B11" s="119">
        <f t="shared" si="1"/>
        <v>1439.82</v>
      </c>
      <c r="C11" s="117">
        <v>1562.83</v>
      </c>
      <c r="D11" s="137">
        <v>0.0459</v>
      </c>
      <c r="E11" s="118">
        <f t="shared" si="0"/>
        <v>5.5073115</v>
      </c>
      <c r="F11" s="118">
        <f t="shared" si="2"/>
        <v>3008.1573114999997</v>
      </c>
      <c r="I11" s="120" t="s">
        <v>238</v>
      </c>
      <c r="J11" s="122">
        <v>4.08</v>
      </c>
      <c r="K11" s="122">
        <v>5.18</v>
      </c>
    </row>
    <row r="12" spans="1:11" ht="15.75">
      <c r="A12" s="135">
        <v>38961</v>
      </c>
      <c r="B12" s="119">
        <f t="shared" si="1"/>
        <v>3008.1573114999997</v>
      </c>
      <c r="C12" s="117">
        <v>1580.18</v>
      </c>
      <c r="D12" s="137">
        <v>0.0459</v>
      </c>
      <c r="E12" s="118">
        <f t="shared" si="0"/>
        <v>11.506201716487501</v>
      </c>
      <c r="F12" s="118">
        <f t="shared" si="2"/>
        <v>4599.843513216487</v>
      </c>
      <c r="I12" s="120" t="s">
        <v>237</v>
      </c>
      <c r="J12" s="122">
        <v>3.35</v>
      </c>
      <c r="K12" s="122">
        <v>5.43</v>
      </c>
    </row>
    <row r="13" spans="1:11" ht="15.75">
      <c r="A13" s="135">
        <v>38991</v>
      </c>
      <c r="B13" s="119">
        <f t="shared" si="1"/>
        <v>4599.843513216487</v>
      </c>
      <c r="C13" s="117">
        <v>1575.44</v>
      </c>
      <c r="D13" s="137">
        <v>0.0459</v>
      </c>
      <c r="E13" s="118">
        <f t="shared" si="0"/>
        <v>17.594401438053065</v>
      </c>
      <c r="F13" s="118">
        <f t="shared" si="2"/>
        <v>6192.87791465454</v>
      </c>
      <c r="I13" s="120" t="s">
        <v>236</v>
      </c>
      <c r="J13" s="122">
        <v>3.35</v>
      </c>
      <c r="K13" s="122">
        <v>5.43</v>
      </c>
    </row>
    <row r="14" spans="1:11" ht="15.75">
      <c r="A14" s="135">
        <v>39022</v>
      </c>
      <c r="B14" s="119">
        <f t="shared" si="1"/>
        <v>6192.87791465454</v>
      </c>
      <c r="C14" s="117">
        <v>1599.75</v>
      </c>
      <c r="D14" s="137">
        <v>0.0459</v>
      </c>
      <c r="E14" s="118">
        <f t="shared" si="0"/>
        <v>23.687758023553616</v>
      </c>
      <c r="F14" s="118">
        <f t="shared" si="2"/>
        <v>7816.3156726780935</v>
      </c>
      <c r="I14" s="120" t="s">
        <v>252</v>
      </c>
      <c r="J14" s="125">
        <v>2.45</v>
      </c>
      <c r="K14" s="125">
        <v>6.61</v>
      </c>
    </row>
    <row r="15" spans="1:11" ht="15.75">
      <c r="A15" s="135">
        <v>39052</v>
      </c>
      <c r="B15" s="119">
        <f t="shared" si="1"/>
        <v>7816.3156726780935</v>
      </c>
      <c r="C15" s="117">
        <v>1604.13</v>
      </c>
      <c r="D15" s="137">
        <v>0.0459</v>
      </c>
      <c r="E15" s="118">
        <f t="shared" si="0"/>
        <v>29.89740744799371</v>
      </c>
      <c r="F15" s="118">
        <f t="shared" si="2"/>
        <v>9450.343080126087</v>
      </c>
      <c r="I15" s="120" t="s">
        <v>253</v>
      </c>
      <c r="J15" s="125">
        <v>1</v>
      </c>
      <c r="K15" s="125">
        <v>6.61</v>
      </c>
    </row>
    <row r="16" spans="1:11" ht="15.75">
      <c r="A16" s="135">
        <v>39083</v>
      </c>
      <c r="B16" s="119">
        <f t="shared" si="1"/>
        <v>9450.343080126087</v>
      </c>
      <c r="C16" s="117">
        <v>1604.22</v>
      </c>
      <c r="D16" s="137">
        <v>0.0459</v>
      </c>
      <c r="E16" s="118">
        <f t="shared" si="0"/>
        <v>36.14756228148229</v>
      </c>
      <c r="F16" s="118">
        <f t="shared" si="2"/>
        <v>11090.710642407568</v>
      </c>
      <c r="I16" s="120" t="s">
        <v>254</v>
      </c>
      <c r="J16" s="125">
        <v>0.55</v>
      </c>
      <c r="K16" s="125">
        <v>5.67</v>
      </c>
    </row>
    <row r="17" spans="1:11" ht="15.75">
      <c r="A17" s="135">
        <v>39114</v>
      </c>
      <c r="B17" s="119">
        <f t="shared" si="1"/>
        <v>11090.710642407568</v>
      </c>
      <c r="C17" s="117">
        <v>1568.8</v>
      </c>
      <c r="D17" s="137">
        <v>0.0459</v>
      </c>
      <c r="E17" s="118">
        <f t="shared" si="0"/>
        <v>42.421968207208955</v>
      </c>
      <c r="F17" s="118">
        <f t="shared" si="2"/>
        <v>12701.932610614776</v>
      </c>
      <c r="I17" s="120" t="s">
        <v>256</v>
      </c>
      <c r="J17" s="125">
        <v>0.55</v>
      </c>
      <c r="K17" s="125">
        <v>4.66</v>
      </c>
    </row>
    <row r="18" spans="1:11" ht="15.75">
      <c r="A18" s="135">
        <v>39142</v>
      </c>
      <c r="B18" s="119">
        <f t="shared" si="1"/>
        <v>12701.932610614776</v>
      </c>
      <c r="C18" s="117">
        <v>1593.89</v>
      </c>
      <c r="D18" s="137">
        <v>0.0459</v>
      </c>
      <c r="E18" s="118">
        <f t="shared" si="0"/>
        <v>48.58489223560152</v>
      </c>
      <c r="F18" s="118">
        <f t="shared" si="2"/>
        <v>14344.407502850378</v>
      </c>
      <c r="I18" s="120" t="s">
        <v>257</v>
      </c>
      <c r="J18" s="125">
        <v>0.55</v>
      </c>
      <c r="K18" s="125">
        <v>4.34</v>
      </c>
    </row>
    <row r="19" spans="1:11" ht="15.75">
      <c r="A19" s="135">
        <v>39173</v>
      </c>
      <c r="B19" s="119">
        <f t="shared" si="1"/>
        <v>14344.407502850378</v>
      </c>
      <c r="C19" s="117">
        <v>1594.51</v>
      </c>
      <c r="D19" s="137">
        <v>0.0459</v>
      </c>
      <c r="E19" s="118">
        <f t="shared" si="0"/>
        <v>54.867358698402704</v>
      </c>
      <c r="F19" s="118">
        <f t="shared" si="2"/>
        <v>15993.78486154878</v>
      </c>
      <c r="I19" s="120" t="s">
        <v>258</v>
      </c>
      <c r="J19" s="125">
        <v>0.55</v>
      </c>
      <c r="K19" s="125">
        <v>4.34</v>
      </c>
    </row>
    <row r="20" spans="1:11" ht="15.75">
      <c r="A20" s="135">
        <v>39203</v>
      </c>
      <c r="B20" s="119">
        <f t="shared" si="1"/>
        <v>15993.78486154878</v>
      </c>
      <c r="C20" s="117">
        <v>1606.19</v>
      </c>
      <c r="D20" s="137">
        <v>0.0459</v>
      </c>
      <c r="E20" s="118">
        <f t="shared" si="0"/>
        <v>61.17622709542409</v>
      </c>
      <c r="F20" s="118">
        <f t="shared" si="2"/>
        <v>17661.151088644205</v>
      </c>
      <c r="I20" s="120" t="s">
        <v>255</v>
      </c>
      <c r="J20" s="125">
        <v>0.89</v>
      </c>
      <c r="K20" s="125">
        <v>4.66</v>
      </c>
    </row>
    <row r="21" spans="1:6" ht="15">
      <c r="A21" s="135">
        <v>39234</v>
      </c>
      <c r="B21" s="119">
        <f t="shared" si="1"/>
        <v>17661.151088644205</v>
      </c>
      <c r="C21" s="117">
        <v>1585.38</v>
      </c>
      <c r="D21" s="137">
        <v>0.0459</v>
      </c>
      <c r="E21" s="118">
        <f t="shared" si="0"/>
        <v>67.5539029140641</v>
      </c>
      <c r="F21" s="118">
        <f t="shared" si="2"/>
        <v>19314.08499155827</v>
      </c>
    </row>
    <row r="22" spans="1:6" ht="15">
      <c r="A22" s="135">
        <v>39264</v>
      </c>
      <c r="B22" s="119">
        <f t="shared" si="1"/>
        <v>19314.08499155827</v>
      </c>
      <c r="C22" s="117">
        <v>1594.99</v>
      </c>
      <c r="D22" s="137">
        <v>0.0459</v>
      </c>
      <c r="E22" s="118">
        <f t="shared" si="0"/>
        <v>73.87637509271039</v>
      </c>
      <c r="F22" s="118">
        <f t="shared" si="2"/>
        <v>20982.95136665098</v>
      </c>
    </row>
    <row r="23" spans="1:10" ht="15">
      <c r="A23" s="135">
        <v>39295</v>
      </c>
      <c r="B23" s="119">
        <f t="shared" si="1"/>
        <v>20982.95136665098</v>
      </c>
      <c r="C23" s="117">
        <v>1566.74</v>
      </c>
      <c r="D23" s="137">
        <v>0.0459</v>
      </c>
      <c r="E23" s="118">
        <f t="shared" si="0"/>
        <v>80.25978897744001</v>
      </c>
      <c r="F23" s="118">
        <f t="shared" si="2"/>
        <v>22629.951155628423</v>
      </c>
      <c r="J23" s="132" t="s">
        <v>235</v>
      </c>
    </row>
    <row r="24" spans="1:6" ht="15">
      <c r="A24" s="135">
        <v>39326</v>
      </c>
      <c r="B24" s="119">
        <f t="shared" si="1"/>
        <v>22629.951155628423</v>
      </c>
      <c r="C24" s="117">
        <v>1548.32</v>
      </c>
      <c r="D24" s="137">
        <v>0.0459</v>
      </c>
      <c r="E24" s="118">
        <f t="shared" si="0"/>
        <v>86.55956317027874</v>
      </c>
      <c r="F24" s="118">
        <f t="shared" si="2"/>
        <v>24264.8307187987</v>
      </c>
    </row>
    <row r="25" spans="1:6" ht="15">
      <c r="A25" s="135">
        <v>39356</v>
      </c>
      <c r="B25" s="119">
        <f t="shared" si="1"/>
        <v>24264.8307187987</v>
      </c>
      <c r="C25" s="117">
        <v>1645.89</v>
      </c>
      <c r="D25" s="137">
        <v>0.0514</v>
      </c>
      <c r="E25" s="118">
        <f t="shared" si="0"/>
        <v>103.9343582455211</v>
      </c>
      <c r="F25" s="118">
        <f t="shared" si="2"/>
        <v>26014.655077044223</v>
      </c>
    </row>
    <row r="26" spans="1:6" ht="15">
      <c r="A26" s="135">
        <v>39387</v>
      </c>
      <c r="B26" s="119">
        <f t="shared" si="1"/>
        <v>26014.655077044223</v>
      </c>
      <c r="C26" s="117">
        <v>1515.23</v>
      </c>
      <c r="D26" s="137">
        <v>0.0514</v>
      </c>
      <c r="E26" s="118">
        <f t="shared" si="0"/>
        <v>111.42943924667276</v>
      </c>
      <c r="F26" s="118">
        <f t="shared" si="2"/>
        <v>27641.314516290895</v>
      </c>
    </row>
    <row r="27" spans="1:6" ht="15">
      <c r="A27" s="135">
        <v>39417</v>
      </c>
      <c r="B27" s="119">
        <f t="shared" si="1"/>
        <v>27641.314516290895</v>
      </c>
      <c r="C27" s="117">
        <v>1602.3</v>
      </c>
      <c r="D27" s="137">
        <v>0.0514</v>
      </c>
      <c r="E27" s="118">
        <f t="shared" si="0"/>
        <v>118.39696384477934</v>
      </c>
      <c r="F27" s="118">
        <f t="shared" si="2"/>
        <v>29362.011480135672</v>
      </c>
    </row>
    <row r="28" spans="1:6" ht="15">
      <c r="A28" s="135">
        <v>39448</v>
      </c>
      <c r="B28" s="119">
        <f t="shared" si="1"/>
        <v>29362.011480135672</v>
      </c>
      <c r="C28" s="117">
        <v>1878.22</v>
      </c>
      <c r="D28" s="137">
        <v>0.0514</v>
      </c>
      <c r="E28" s="118">
        <f aca="true" t="shared" si="3" ref="E28:E80">(B28*D28)/12</f>
        <v>125.76728250658113</v>
      </c>
      <c r="F28" s="118">
        <f aca="true" t="shared" si="4" ref="F28:F80">SUM(B28:C28,E28)</f>
        <v>31365.998762642255</v>
      </c>
    </row>
    <row r="29" spans="1:6" ht="15">
      <c r="A29" s="135">
        <v>39479</v>
      </c>
      <c r="B29" s="119">
        <f aca="true" t="shared" si="5" ref="B29:B80">F28</f>
        <v>31365.998762642255</v>
      </c>
      <c r="C29" s="117">
        <v>1592.15</v>
      </c>
      <c r="D29" s="137">
        <v>0.0514</v>
      </c>
      <c r="E29" s="118">
        <f t="shared" si="3"/>
        <v>134.35102803331765</v>
      </c>
      <c r="F29" s="118">
        <f t="shared" si="4"/>
        <v>33092.499790675574</v>
      </c>
    </row>
    <row r="30" spans="1:6" ht="15">
      <c r="A30" s="135">
        <v>39508</v>
      </c>
      <c r="B30" s="119">
        <f t="shared" si="5"/>
        <v>33092.499790675574</v>
      </c>
      <c r="C30" s="117">
        <v>1567.14</v>
      </c>
      <c r="D30" s="137">
        <v>0.0514</v>
      </c>
      <c r="E30" s="118">
        <f t="shared" si="3"/>
        <v>141.74620743672705</v>
      </c>
      <c r="F30" s="118">
        <f t="shared" si="4"/>
        <v>34801.3859981123</v>
      </c>
    </row>
    <row r="31" spans="1:10" ht="15">
      <c r="A31" s="135">
        <v>39539</v>
      </c>
      <c r="B31" s="119">
        <f t="shared" si="5"/>
        <v>34801.3859981123</v>
      </c>
      <c r="C31" s="117">
        <v>1557.9</v>
      </c>
      <c r="D31" s="137">
        <v>0.0408</v>
      </c>
      <c r="E31" s="118">
        <f t="shared" si="3"/>
        <v>118.32471239358183</v>
      </c>
      <c r="F31" s="118">
        <f t="shared" si="4"/>
        <v>36477.61071050588</v>
      </c>
      <c r="J31" s="132" t="s">
        <v>235</v>
      </c>
    </row>
    <row r="32" spans="1:6" ht="15">
      <c r="A32" s="135">
        <v>39569</v>
      </c>
      <c r="B32" s="119">
        <f t="shared" si="5"/>
        <v>36477.61071050588</v>
      </c>
      <c r="C32" s="117">
        <v>1494.18</v>
      </c>
      <c r="D32" s="137">
        <v>0.0408</v>
      </c>
      <c r="E32" s="118">
        <f t="shared" si="3"/>
        <v>124.02387641572001</v>
      </c>
      <c r="F32" s="118">
        <f t="shared" si="4"/>
        <v>38095.8145869216</v>
      </c>
    </row>
    <row r="33" spans="1:6" ht="15">
      <c r="A33" s="135">
        <v>39600</v>
      </c>
      <c r="B33" s="119">
        <f t="shared" si="5"/>
        <v>38095.8145869216</v>
      </c>
      <c r="C33" s="117">
        <v>1486.24</v>
      </c>
      <c r="D33" s="137">
        <v>0.0408</v>
      </c>
      <c r="E33" s="118">
        <f t="shared" si="3"/>
        <v>129.52576959553346</v>
      </c>
      <c r="F33" s="118">
        <f t="shared" si="4"/>
        <v>39711.58035651714</v>
      </c>
    </row>
    <row r="34" spans="1:6" ht="15">
      <c r="A34" s="135">
        <v>39630</v>
      </c>
      <c r="B34" s="119">
        <f t="shared" si="5"/>
        <v>39711.58035651714</v>
      </c>
      <c r="C34" s="117">
        <v>1732.35</v>
      </c>
      <c r="D34" s="137">
        <v>0.0335</v>
      </c>
      <c r="E34" s="118">
        <f t="shared" si="3"/>
        <v>110.8614951619437</v>
      </c>
      <c r="F34" s="118">
        <f t="shared" si="4"/>
        <v>41554.79185167908</v>
      </c>
    </row>
    <row r="35" spans="1:10" ht="15">
      <c r="A35" s="135">
        <v>39661</v>
      </c>
      <c r="B35" s="119">
        <f t="shared" si="5"/>
        <v>41554.79185167908</v>
      </c>
      <c r="C35" s="117">
        <v>1605.29</v>
      </c>
      <c r="D35" s="137">
        <v>0.0335</v>
      </c>
      <c r="E35" s="118">
        <f t="shared" si="3"/>
        <v>116.0071272526041</v>
      </c>
      <c r="F35" s="118">
        <f t="shared" si="4"/>
        <v>43276.088978931686</v>
      </c>
      <c r="J35" s="132" t="s">
        <v>235</v>
      </c>
    </row>
    <row r="36" spans="1:6" ht="15">
      <c r="A36" s="135">
        <v>39692</v>
      </c>
      <c r="B36" s="119">
        <f t="shared" si="5"/>
        <v>43276.088978931686</v>
      </c>
      <c r="C36" s="117">
        <v>1516.48</v>
      </c>
      <c r="D36" s="137">
        <v>0.0335</v>
      </c>
      <c r="E36" s="118">
        <f t="shared" si="3"/>
        <v>120.8124150661843</v>
      </c>
      <c r="F36" s="118">
        <f t="shared" si="4"/>
        <v>44913.38139399787</v>
      </c>
    </row>
    <row r="37" spans="1:6" ht="15">
      <c r="A37" s="135">
        <v>39722</v>
      </c>
      <c r="B37" s="119">
        <f t="shared" si="5"/>
        <v>44913.38139399787</v>
      </c>
      <c r="C37" s="117">
        <v>1577.67</v>
      </c>
      <c r="D37" s="137">
        <v>0.0335</v>
      </c>
      <c r="E37" s="118">
        <f t="shared" si="3"/>
        <v>125.38318972491074</v>
      </c>
      <c r="F37" s="118">
        <f t="shared" si="4"/>
        <v>46616.43458372278</v>
      </c>
    </row>
    <row r="38" spans="1:6" ht="15">
      <c r="A38" s="135">
        <v>39753</v>
      </c>
      <c r="B38" s="119">
        <f t="shared" si="5"/>
        <v>46616.43458372278</v>
      </c>
      <c r="C38" s="117">
        <v>1563.51</v>
      </c>
      <c r="D38" s="137">
        <v>0.0335</v>
      </c>
      <c r="E38" s="118">
        <f t="shared" si="3"/>
        <v>130.1375465462261</v>
      </c>
      <c r="F38" s="118">
        <f t="shared" si="4"/>
        <v>48310.08213026901</v>
      </c>
    </row>
    <row r="39" spans="1:10" ht="15">
      <c r="A39" s="135">
        <v>39783</v>
      </c>
      <c r="B39" s="119">
        <f t="shared" si="5"/>
        <v>48310.08213026901</v>
      </c>
      <c r="C39" s="117">
        <v>1580.5</v>
      </c>
      <c r="D39" s="137">
        <v>0.0335</v>
      </c>
      <c r="E39" s="118">
        <f t="shared" si="3"/>
        <v>134.86564594700098</v>
      </c>
      <c r="F39" s="118">
        <f t="shared" si="4"/>
        <v>50025.44777621601</v>
      </c>
      <c r="J39" s="132" t="s">
        <v>235</v>
      </c>
    </row>
    <row r="40" spans="1:6" ht="15">
      <c r="A40" s="135">
        <v>39814</v>
      </c>
      <c r="B40" s="119">
        <f t="shared" si="5"/>
        <v>50025.44777621601</v>
      </c>
      <c r="C40" s="117">
        <v>1692.51</v>
      </c>
      <c r="D40" s="137">
        <v>0.0245</v>
      </c>
      <c r="E40" s="118">
        <f t="shared" si="3"/>
        <v>102.13528920977437</v>
      </c>
      <c r="F40" s="118">
        <f t="shared" si="4"/>
        <v>51820.09306542578</v>
      </c>
    </row>
    <row r="41" spans="1:6" ht="15">
      <c r="A41" s="135">
        <v>39845</v>
      </c>
      <c r="B41" s="119">
        <f t="shared" si="5"/>
        <v>51820.09306542578</v>
      </c>
      <c r="C41" s="117">
        <v>1580.27</v>
      </c>
      <c r="D41" s="137">
        <v>0.0245</v>
      </c>
      <c r="E41" s="118">
        <f t="shared" si="3"/>
        <v>105.79935667524431</v>
      </c>
      <c r="F41" s="118">
        <f t="shared" si="4"/>
        <v>53506.16242210102</v>
      </c>
    </row>
    <row r="42" spans="1:6" ht="15">
      <c r="A42" s="135">
        <v>39873</v>
      </c>
      <c r="B42" s="119">
        <f t="shared" si="5"/>
        <v>53506.16242210102</v>
      </c>
      <c r="C42" s="117">
        <v>1552.46</v>
      </c>
      <c r="D42" s="137">
        <v>0.0245</v>
      </c>
      <c r="E42" s="118">
        <f t="shared" si="3"/>
        <v>109.24174827845626</v>
      </c>
      <c r="F42" s="118">
        <f t="shared" si="4"/>
        <v>55167.86417037948</v>
      </c>
    </row>
    <row r="43" spans="1:10" ht="15">
      <c r="A43" s="135">
        <v>39904</v>
      </c>
      <c r="B43" s="119">
        <f t="shared" si="5"/>
        <v>55167.86417037948</v>
      </c>
      <c r="C43" s="117">
        <v>1553.18</v>
      </c>
      <c r="D43" s="137">
        <v>0.01</v>
      </c>
      <c r="E43" s="118">
        <f t="shared" si="3"/>
        <v>45.9732201419829</v>
      </c>
      <c r="F43" s="118">
        <f t="shared" si="4"/>
        <v>56767.01739052146</v>
      </c>
      <c r="J43" s="132" t="s">
        <v>235</v>
      </c>
    </row>
    <row r="44" spans="1:6" ht="15">
      <c r="A44" s="135">
        <v>39934</v>
      </c>
      <c r="B44" s="119">
        <f t="shared" si="5"/>
        <v>56767.01739052146</v>
      </c>
      <c r="C44" s="117">
        <v>1586.06</v>
      </c>
      <c r="D44" s="137">
        <v>0.01</v>
      </c>
      <c r="E44" s="118">
        <f t="shared" si="3"/>
        <v>47.30584782543455</v>
      </c>
      <c r="F44" s="118">
        <f t="shared" si="4"/>
        <v>58400.38323834689</v>
      </c>
    </row>
    <row r="45" spans="1:6" ht="15">
      <c r="A45" s="135">
        <v>39965</v>
      </c>
      <c r="B45" s="119">
        <f t="shared" si="5"/>
        <v>58400.38323834689</v>
      </c>
      <c r="C45" s="117">
        <v>5871.61</v>
      </c>
      <c r="D45" s="137">
        <v>0.01</v>
      </c>
      <c r="E45" s="118">
        <f t="shared" si="3"/>
        <v>48.66698603195574</v>
      </c>
      <c r="F45" s="118">
        <f t="shared" si="4"/>
        <v>64320.660224378844</v>
      </c>
    </row>
    <row r="46" spans="1:6" ht="15">
      <c r="A46" s="135">
        <v>39995</v>
      </c>
      <c r="B46" s="119">
        <f t="shared" si="5"/>
        <v>64320.660224378844</v>
      </c>
      <c r="C46" s="117">
        <v>6088.28</v>
      </c>
      <c r="D46" s="137">
        <v>0.0055</v>
      </c>
      <c r="E46" s="118">
        <f t="shared" si="3"/>
        <v>29.4803026028403</v>
      </c>
      <c r="F46" s="118">
        <f t="shared" si="4"/>
        <v>70438.42052698169</v>
      </c>
    </row>
    <row r="47" spans="1:10" ht="15">
      <c r="A47" s="135">
        <v>40026</v>
      </c>
      <c r="B47" s="119">
        <f t="shared" si="5"/>
        <v>70438.42052698169</v>
      </c>
      <c r="C47" s="117">
        <v>6127.79</v>
      </c>
      <c r="D47" s="137">
        <v>0.0055</v>
      </c>
      <c r="E47" s="118">
        <f t="shared" si="3"/>
        <v>32.284276074866604</v>
      </c>
      <c r="F47" s="118">
        <f t="shared" si="4"/>
        <v>76598.49480305654</v>
      </c>
      <c r="J47" s="132" t="s">
        <v>235</v>
      </c>
    </row>
    <row r="48" spans="1:6" ht="15">
      <c r="A48" s="135">
        <v>40057</v>
      </c>
      <c r="B48" s="119">
        <f t="shared" si="5"/>
        <v>76598.49480305654</v>
      </c>
      <c r="C48" s="117">
        <v>5904.94</v>
      </c>
      <c r="D48" s="137">
        <v>0.0055</v>
      </c>
      <c r="E48" s="118">
        <f t="shared" si="3"/>
        <v>35.10764345140091</v>
      </c>
      <c r="F48" s="118">
        <f t="shared" si="4"/>
        <v>82538.54244650794</v>
      </c>
    </row>
    <row r="49" spans="1:6" ht="15">
      <c r="A49" s="135">
        <v>40087</v>
      </c>
      <c r="B49" s="119">
        <f t="shared" si="5"/>
        <v>82538.54244650794</v>
      </c>
      <c r="C49" s="117">
        <v>6400.74</v>
      </c>
      <c r="D49" s="137">
        <v>0.0055</v>
      </c>
      <c r="E49" s="118">
        <f t="shared" si="3"/>
        <v>37.8301652879828</v>
      </c>
      <c r="F49" s="118">
        <f t="shared" si="4"/>
        <v>88977.11261179594</v>
      </c>
    </row>
    <row r="50" spans="1:6" ht="15">
      <c r="A50" s="135">
        <v>40118</v>
      </c>
      <c r="B50" s="119">
        <f t="shared" si="5"/>
        <v>88977.11261179594</v>
      </c>
      <c r="C50" s="117">
        <v>6088.56</v>
      </c>
      <c r="D50" s="137">
        <v>0.0055</v>
      </c>
      <c r="E50" s="118">
        <f t="shared" si="3"/>
        <v>40.7811766137398</v>
      </c>
      <c r="F50" s="118">
        <f t="shared" si="4"/>
        <v>95106.45378840968</v>
      </c>
    </row>
    <row r="51" spans="1:10" ht="15">
      <c r="A51" s="135">
        <v>40148</v>
      </c>
      <c r="B51" s="119">
        <f t="shared" si="5"/>
        <v>95106.45378840968</v>
      </c>
      <c r="C51" s="117">
        <v>6045.7</v>
      </c>
      <c r="D51" s="137">
        <v>0.0055</v>
      </c>
      <c r="E51" s="118">
        <f t="shared" si="3"/>
        <v>43.59045798635444</v>
      </c>
      <c r="F51" s="118">
        <f t="shared" si="4"/>
        <v>101195.74424639603</v>
      </c>
      <c r="J51" s="132" t="s">
        <v>235</v>
      </c>
    </row>
    <row r="52" spans="1:6" ht="15">
      <c r="A52" s="135">
        <v>40179</v>
      </c>
      <c r="B52" s="119">
        <f t="shared" si="5"/>
        <v>101195.74424639603</v>
      </c>
      <c r="C52" s="117">
        <v>6085.7</v>
      </c>
      <c r="D52" s="137">
        <v>0.0055</v>
      </c>
      <c r="E52" s="118">
        <f t="shared" si="3"/>
        <v>46.38138277959818</v>
      </c>
      <c r="F52" s="118">
        <f t="shared" si="4"/>
        <v>107327.82562917563</v>
      </c>
    </row>
    <row r="53" spans="1:6" ht="15">
      <c r="A53" s="135">
        <v>40210</v>
      </c>
      <c r="B53" s="119">
        <f t="shared" si="5"/>
        <v>107327.82562917563</v>
      </c>
      <c r="C53" s="117">
        <v>5951.79</v>
      </c>
      <c r="D53" s="137">
        <v>0.0055</v>
      </c>
      <c r="E53" s="118">
        <f t="shared" si="3"/>
        <v>49.19192008003882</v>
      </c>
      <c r="F53" s="118">
        <f t="shared" si="4"/>
        <v>113328.80754925565</v>
      </c>
    </row>
    <row r="54" spans="1:6" ht="15">
      <c r="A54" s="135">
        <v>40238</v>
      </c>
      <c r="B54" s="119">
        <f t="shared" si="5"/>
        <v>113328.80754925565</v>
      </c>
      <c r="C54" s="117">
        <v>6086.24</v>
      </c>
      <c r="D54" s="137">
        <v>0.0055</v>
      </c>
      <c r="E54" s="118">
        <f t="shared" si="3"/>
        <v>51.94237012674217</v>
      </c>
      <c r="F54" s="118">
        <f t="shared" si="4"/>
        <v>119466.9899193824</v>
      </c>
    </row>
    <row r="55" spans="1:10" ht="15">
      <c r="A55" s="135">
        <v>40269</v>
      </c>
      <c r="B55" s="119">
        <f t="shared" si="5"/>
        <v>119466.9899193824</v>
      </c>
      <c r="C55" s="117">
        <v>6050.87</v>
      </c>
      <c r="D55" s="137">
        <v>0.0055</v>
      </c>
      <c r="E55" s="118">
        <f t="shared" si="3"/>
        <v>54.75570371305026</v>
      </c>
      <c r="F55" s="118">
        <f t="shared" si="4"/>
        <v>125572.61562309544</v>
      </c>
      <c r="J55" s="132" t="s">
        <v>235</v>
      </c>
    </row>
    <row r="56" spans="1:6" ht="15">
      <c r="A56" s="135">
        <v>40299</v>
      </c>
      <c r="B56" s="119">
        <f t="shared" si="5"/>
        <v>125572.61562309544</v>
      </c>
      <c r="C56" s="117">
        <v>6019.82</v>
      </c>
      <c r="D56" s="137">
        <v>0.0055</v>
      </c>
      <c r="E56" s="118">
        <f t="shared" si="3"/>
        <v>57.55411549391874</v>
      </c>
      <c r="F56" s="118">
        <f t="shared" si="4"/>
        <v>131649.98973858936</v>
      </c>
    </row>
    <row r="57" spans="1:6" ht="15">
      <c r="A57" s="135">
        <v>40330</v>
      </c>
      <c r="B57" s="119">
        <f t="shared" si="5"/>
        <v>131649.98973858936</v>
      </c>
      <c r="C57" s="117">
        <v>5985.1</v>
      </c>
      <c r="D57" s="137">
        <v>0.0055</v>
      </c>
      <c r="E57" s="118">
        <f t="shared" si="3"/>
        <v>60.339578630186786</v>
      </c>
      <c r="F57" s="118">
        <f t="shared" si="4"/>
        <v>137695.42931721956</v>
      </c>
    </row>
    <row r="58" spans="1:6" ht="15">
      <c r="A58" s="135">
        <v>40360</v>
      </c>
      <c r="B58" s="119">
        <f t="shared" si="5"/>
        <v>137695.42931721956</v>
      </c>
      <c r="C58" s="117">
        <v>5715.71</v>
      </c>
      <c r="D58" s="137">
        <v>0.0089</v>
      </c>
      <c r="E58" s="118">
        <f t="shared" si="3"/>
        <v>102.12411007693784</v>
      </c>
      <c r="F58" s="118">
        <f t="shared" si="4"/>
        <v>143513.26342729648</v>
      </c>
    </row>
    <row r="59" spans="1:6" ht="15">
      <c r="A59" s="135">
        <v>40391</v>
      </c>
      <c r="B59" s="119">
        <f t="shared" si="5"/>
        <v>143513.26342729648</v>
      </c>
      <c r="C59" s="117">
        <v>6000</v>
      </c>
      <c r="D59" s="137">
        <v>0.0089</v>
      </c>
      <c r="E59" s="118">
        <f t="shared" si="3"/>
        <v>106.43900370857823</v>
      </c>
      <c r="F59" s="118">
        <f t="shared" si="4"/>
        <v>149619.70243100505</v>
      </c>
    </row>
    <row r="60" spans="1:6" ht="15">
      <c r="A60" s="135">
        <v>40422</v>
      </c>
      <c r="B60" s="119">
        <f t="shared" si="5"/>
        <v>149619.70243100505</v>
      </c>
      <c r="C60" s="117">
        <v>6000</v>
      </c>
      <c r="D60" s="137">
        <v>0.0089</v>
      </c>
      <c r="E60" s="118">
        <f t="shared" si="3"/>
        <v>110.96794596966208</v>
      </c>
      <c r="F60" s="118">
        <f t="shared" si="4"/>
        <v>155730.6703769747</v>
      </c>
    </row>
    <row r="61" spans="1:6" ht="15">
      <c r="A61" s="135">
        <v>40452</v>
      </c>
      <c r="B61" s="119">
        <f t="shared" si="5"/>
        <v>155730.6703769747</v>
      </c>
      <c r="C61" s="117">
        <v>6000</v>
      </c>
      <c r="D61" s="137">
        <v>0.0089</v>
      </c>
      <c r="E61" s="118">
        <f t="shared" si="3"/>
        <v>115.50024719625624</v>
      </c>
      <c r="F61" s="118">
        <f t="shared" si="4"/>
        <v>161846.17062417098</v>
      </c>
    </row>
    <row r="62" spans="1:6" ht="15">
      <c r="A62" s="135">
        <v>40483</v>
      </c>
      <c r="B62" s="119">
        <f t="shared" si="5"/>
        <v>161846.17062417098</v>
      </c>
      <c r="C62" s="117">
        <v>6000</v>
      </c>
      <c r="D62" s="137">
        <v>0.0089</v>
      </c>
      <c r="E62" s="118">
        <f t="shared" si="3"/>
        <v>120.03590987959348</v>
      </c>
      <c r="F62" s="118">
        <f t="shared" si="4"/>
        <v>167966.20653405058</v>
      </c>
    </row>
    <row r="63" spans="1:6" ht="15">
      <c r="A63" s="135">
        <v>40513</v>
      </c>
      <c r="B63" s="119">
        <f t="shared" si="5"/>
        <v>167966.20653405058</v>
      </c>
      <c r="C63" s="117">
        <v>6000</v>
      </c>
      <c r="D63" s="137">
        <v>0.0089</v>
      </c>
      <c r="E63" s="118">
        <f t="shared" si="3"/>
        <v>124.57493651275418</v>
      </c>
      <c r="F63" s="118">
        <f t="shared" si="4"/>
        <v>174090.78147056332</v>
      </c>
    </row>
    <row r="64" spans="1:6" ht="15">
      <c r="A64" s="135">
        <v>40544</v>
      </c>
      <c r="B64" s="119">
        <f t="shared" si="5"/>
        <v>174090.78147056332</v>
      </c>
      <c r="C64" s="117">
        <v>6000</v>
      </c>
      <c r="D64" s="137">
        <v>0.0089</v>
      </c>
      <c r="E64" s="118">
        <f t="shared" si="3"/>
        <v>129.1173295906678</v>
      </c>
      <c r="F64" s="118">
        <f t="shared" si="4"/>
        <v>180219.89880015398</v>
      </c>
    </row>
    <row r="65" spans="1:6" ht="15">
      <c r="A65" s="135">
        <v>40575</v>
      </c>
      <c r="B65" s="119">
        <f t="shared" si="5"/>
        <v>180219.89880015398</v>
      </c>
      <c r="C65" s="117">
        <v>6000</v>
      </c>
      <c r="D65" s="137">
        <v>0.0089</v>
      </c>
      <c r="E65" s="118">
        <f t="shared" si="3"/>
        <v>133.6630916101142</v>
      </c>
      <c r="F65" s="118">
        <f t="shared" si="4"/>
        <v>186353.5618917641</v>
      </c>
    </row>
    <row r="66" spans="1:6" ht="15">
      <c r="A66" s="135">
        <v>40603</v>
      </c>
      <c r="B66" s="119">
        <f t="shared" si="5"/>
        <v>186353.5618917641</v>
      </c>
      <c r="C66" s="117">
        <v>6000</v>
      </c>
      <c r="D66" s="137">
        <v>0.0089</v>
      </c>
      <c r="E66" s="118">
        <f t="shared" si="3"/>
        <v>138.21222506972506</v>
      </c>
      <c r="F66" s="118">
        <f t="shared" si="4"/>
        <v>192491.77411683384</v>
      </c>
    </row>
    <row r="67" spans="1:6" ht="15">
      <c r="A67" s="135">
        <v>40634</v>
      </c>
      <c r="B67" s="119">
        <f t="shared" si="5"/>
        <v>192491.77411683384</v>
      </c>
      <c r="C67" s="117">
        <v>6000</v>
      </c>
      <c r="D67" s="137">
        <v>0.0089</v>
      </c>
      <c r="E67" s="118">
        <f t="shared" si="3"/>
        <v>142.7647324699851</v>
      </c>
      <c r="F67" s="118">
        <f t="shared" si="4"/>
        <v>198634.53884930382</v>
      </c>
    </row>
    <row r="68" spans="1:6" ht="15">
      <c r="A68" s="135">
        <v>40664</v>
      </c>
      <c r="B68" s="119">
        <f t="shared" si="5"/>
        <v>198634.53884930382</v>
      </c>
      <c r="C68" s="117">
        <v>0</v>
      </c>
      <c r="D68" s="137"/>
      <c r="E68" s="118">
        <f t="shared" si="3"/>
        <v>0</v>
      </c>
      <c r="F68" s="118">
        <f t="shared" si="4"/>
        <v>198634.53884930382</v>
      </c>
    </row>
    <row r="69" spans="1:6" ht="15">
      <c r="A69" s="135">
        <v>40695</v>
      </c>
      <c r="B69" s="119">
        <f t="shared" si="5"/>
        <v>198634.53884930382</v>
      </c>
      <c r="C69" s="117">
        <v>0</v>
      </c>
      <c r="D69" s="137"/>
      <c r="E69" s="118">
        <f t="shared" si="3"/>
        <v>0</v>
      </c>
      <c r="F69" s="118">
        <f t="shared" si="4"/>
        <v>198634.53884930382</v>
      </c>
    </row>
    <row r="70" spans="1:6" ht="15">
      <c r="A70" s="135">
        <v>40725</v>
      </c>
      <c r="B70" s="119">
        <f t="shared" si="5"/>
        <v>198634.53884930382</v>
      </c>
      <c r="C70" s="117">
        <v>0</v>
      </c>
      <c r="D70" s="137"/>
      <c r="E70" s="118">
        <f t="shared" si="3"/>
        <v>0</v>
      </c>
      <c r="F70" s="118">
        <f t="shared" si="4"/>
        <v>198634.53884930382</v>
      </c>
    </row>
    <row r="71" spans="1:6" ht="15">
      <c r="A71" s="135">
        <v>40756</v>
      </c>
      <c r="B71" s="119">
        <f t="shared" si="5"/>
        <v>198634.53884930382</v>
      </c>
      <c r="C71" s="117">
        <v>0</v>
      </c>
      <c r="D71" s="137"/>
      <c r="E71" s="118">
        <f t="shared" si="3"/>
        <v>0</v>
      </c>
      <c r="F71" s="118">
        <f t="shared" si="4"/>
        <v>198634.53884930382</v>
      </c>
    </row>
    <row r="72" spans="1:6" ht="15">
      <c r="A72" s="135">
        <v>40787</v>
      </c>
      <c r="B72" s="119">
        <f t="shared" si="5"/>
        <v>198634.53884930382</v>
      </c>
      <c r="C72" s="117">
        <v>0</v>
      </c>
      <c r="D72" s="137"/>
      <c r="E72" s="118">
        <f t="shared" si="3"/>
        <v>0</v>
      </c>
      <c r="F72" s="118">
        <f t="shared" si="4"/>
        <v>198634.53884930382</v>
      </c>
    </row>
    <row r="73" spans="1:6" ht="15">
      <c r="A73" s="135">
        <v>40817</v>
      </c>
      <c r="B73" s="119">
        <f t="shared" si="5"/>
        <v>198634.53884930382</v>
      </c>
      <c r="C73" s="117">
        <v>0</v>
      </c>
      <c r="D73" s="137"/>
      <c r="E73" s="118">
        <f t="shared" si="3"/>
        <v>0</v>
      </c>
      <c r="F73" s="118">
        <f t="shared" si="4"/>
        <v>198634.53884930382</v>
      </c>
    </row>
    <row r="74" spans="1:6" ht="15">
      <c r="A74" s="135">
        <v>40848</v>
      </c>
      <c r="B74" s="119">
        <f t="shared" si="5"/>
        <v>198634.53884930382</v>
      </c>
      <c r="C74" s="117">
        <v>0</v>
      </c>
      <c r="D74" s="137"/>
      <c r="E74" s="118">
        <f t="shared" si="3"/>
        <v>0</v>
      </c>
      <c r="F74" s="118">
        <f t="shared" si="4"/>
        <v>198634.53884930382</v>
      </c>
    </row>
    <row r="75" spans="1:6" ht="15">
      <c r="A75" s="135">
        <v>40878</v>
      </c>
      <c r="B75" s="119">
        <f t="shared" si="5"/>
        <v>198634.53884930382</v>
      </c>
      <c r="C75" s="117">
        <v>0</v>
      </c>
      <c r="D75" s="137"/>
      <c r="E75" s="118">
        <f t="shared" si="3"/>
        <v>0</v>
      </c>
      <c r="F75" s="118">
        <f t="shared" si="4"/>
        <v>198634.53884930382</v>
      </c>
    </row>
    <row r="76" spans="1:6" ht="15">
      <c r="A76" s="135">
        <v>40909</v>
      </c>
      <c r="B76" s="119">
        <f t="shared" si="5"/>
        <v>198634.53884930382</v>
      </c>
      <c r="C76" s="117">
        <v>0</v>
      </c>
      <c r="D76" s="137"/>
      <c r="E76" s="118">
        <f t="shared" si="3"/>
        <v>0</v>
      </c>
      <c r="F76" s="118">
        <f t="shared" si="4"/>
        <v>198634.53884930382</v>
      </c>
    </row>
    <row r="77" spans="1:6" ht="15">
      <c r="A77" s="135">
        <v>40940</v>
      </c>
      <c r="B77" s="119">
        <f t="shared" si="5"/>
        <v>198634.53884930382</v>
      </c>
      <c r="C77" s="117">
        <v>0</v>
      </c>
      <c r="D77" s="137"/>
      <c r="E77" s="118">
        <f t="shared" si="3"/>
        <v>0</v>
      </c>
      <c r="F77" s="118">
        <f t="shared" si="4"/>
        <v>198634.53884930382</v>
      </c>
    </row>
    <row r="78" spans="1:6" ht="15">
      <c r="A78" s="135">
        <v>40969</v>
      </c>
      <c r="B78" s="119">
        <f t="shared" si="5"/>
        <v>198634.53884930382</v>
      </c>
      <c r="C78" s="117">
        <v>0</v>
      </c>
      <c r="D78" s="137"/>
      <c r="E78" s="118">
        <f t="shared" si="3"/>
        <v>0</v>
      </c>
      <c r="F78" s="118">
        <f t="shared" si="4"/>
        <v>198634.53884930382</v>
      </c>
    </row>
    <row r="79" spans="1:6" ht="15">
      <c r="A79" s="135">
        <v>41000</v>
      </c>
      <c r="B79" s="119">
        <f t="shared" si="5"/>
        <v>198634.53884930382</v>
      </c>
      <c r="C79" s="117">
        <v>0</v>
      </c>
      <c r="D79" s="137"/>
      <c r="E79" s="118">
        <f t="shared" si="3"/>
        <v>0</v>
      </c>
      <c r="F79" s="118">
        <f t="shared" si="4"/>
        <v>198634.53884930382</v>
      </c>
    </row>
    <row r="80" spans="1:6" ht="15">
      <c r="A80" s="135">
        <v>41030</v>
      </c>
      <c r="B80" s="119">
        <f t="shared" si="5"/>
        <v>198634.53884930382</v>
      </c>
      <c r="C80" s="117">
        <v>0</v>
      </c>
      <c r="D80" s="137"/>
      <c r="E80" s="118">
        <f t="shared" si="3"/>
        <v>0</v>
      </c>
      <c r="F80" s="118">
        <f t="shared" si="4"/>
        <v>198634.53884930382</v>
      </c>
    </row>
    <row r="81" spans="3:6" ht="15.75" thickBot="1">
      <c r="C81" s="126">
        <f>SUM(C4:C80)</f>
        <v>193927.56999999998</v>
      </c>
      <c r="E81" s="126">
        <f>SUM(E4:E80)</f>
        <v>4706.968849303846</v>
      </c>
      <c r="F81" s="58"/>
    </row>
  </sheetData>
  <sheetProtection/>
  <printOptions/>
  <pageMargins left="0.75" right="0.25" top="0.61" bottom="1" header="0.17" footer="0.5"/>
  <pageSetup fitToHeight="1" fitToWidth="1" horizontalDpi="600" verticalDpi="600" orientation="portrait" scale="51" r:id="rId1"/>
  <headerFooter alignWithMargins="0">
    <oddHeader>&amp;REB-2010-0103
Northern Ontario Wires Inc.
2011 Distribution Rates
Tab 3
</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B25" sqref="B25"/>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679.8920949227454</v>
      </c>
    </row>
    <row r="7" spans="2:3" ht="12.75">
      <c r="B7" s="128" t="s">
        <v>263</v>
      </c>
      <c r="C7" s="129">
        <f>'4. Smart Meter Rev Req'!K55</f>
        <v>4519.9184612051085</v>
      </c>
    </row>
    <row r="8" spans="2:3" ht="12.75">
      <c r="B8" s="128" t="s">
        <v>264</v>
      </c>
      <c r="C8" s="129">
        <f>'4. Smart Meter Rev Req'!N55</f>
        <v>188476.723445963</v>
      </c>
    </row>
    <row r="9" spans="2:3" ht="12.75">
      <c r="B9" s="128" t="s">
        <v>265</v>
      </c>
      <c r="C9" s="129">
        <f>'4. Smart Meter Rev Req'!Q55</f>
        <v>325314.2243482953</v>
      </c>
    </row>
    <row r="10" spans="2:3" ht="12.75">
      <c r="B10" s="128" t="s">
        <v>266</v>
      </c>
      <c r="C10" s="129">
        <f>'4. Smart Meter Rev Req'!T55</f>
        <v>254325.95552280688</v>
      </c>
    </row>
    <row r="11" spans="2:3" ht="13.5" thickBot="1">
      <c r="B11" s="7" t="s">
        <v>267</v>
      </c>
      <c r="C11" s="130">
        <f>SUM(C5:C10)</f>
        <v>773316.713873193</v>
      </c>
    </row>
    <row r="13" spans="2:3" ht="12.75">
      <c r="B13" s="7" t="s">
        <v>270</v>
      </c>
      <c r="C13" s="131">
        <f>-'7. Funding Adder Collected'!C81</f>
        <v>-193927.56999999998</v>
      </c>
    </row>
    <row r="14" spans="2:3" ht="12.75">
      <c r="B14" s="7" t="s">
        <v>271</v>
      </c>
      <c r="C14" s="131">
        <f>-'7. Funding Adder Collected'!E81</f>
        <v>-4706.968849303846</v>
      </c>
    </row>
    <row r="16" spans="2:3" ht="13.5" thickBot="1">
      <c r="B16" s="7" t="s">
        <v>272</v>
      </c>
      <c r="C16" s="130">
        <f>SUM(C11:C14)</f>
        <v>574682.1750238892</v>
      </c>
    </row>
    <row r="18" spans="2:3" ht="12.75">
      <c r="B18" s="7" t="s">
        <v>274</v>
      </c>
      <c r="C18" s="37">
        <v>6090</v>
      </c>
    </row>
    <row r="20" spans="2:3" ht="12.75">
      <c r="B20" s="127" t="s">
        <v>275</v>
      </c>
      <c r="C20" s="138">
        <f>IF(C18&lt;&gt;0,C16/C18/12,0)</f>
        <v>7.863740763873689</v>
      </c>
    </row>
  </sheetData>
  <sheetProtection/>
  <printOptions/>
  <pageMargins left="0.17" right="0.16" top="0.92" bottom="1" header="0.17" footer="0.5"/>
  <pageSetup horizontalDpi="600" verticalDpi="600" orientation="portrait" r:id="rId1"/>
  <headerFooter alignWithMargins="0">
    <oddHeader>&amp;REB-2010-0103
Northern Ontario Wires Inc.
2011 Distribution Rates
Tab 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monika</cp:lastModifiedBy>
  <cp:lastPrinted>2010-11-18T22:12:34Z</cp:lastPrinted>
  <dcterms:created xsi:type="dcterms:W3CDTF">2007-08-13T15:48:29Z</dcterms:created>
  <dcterms:modified xsi:type="dcterms:W3CDTF">2010-11-18T22:36:51Z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