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596" firstSheet="4" activeTab="6"/>
  </bookViews>
  <sheets>
    <sheet name="Revenue Input" sheetId="1" r:id="rId1"/>
    <sheet name="Transformer Allowance" sheetId="2" r:id="rId2"/>
    <sheet name="Forecast Data For 2011" sheetId="3" r:id="rId3"/>
    <sheet name="2010 Existing RatesNF" sheetId="4" r:id="rId4"/>
    <sheet name="2010 Existing RatesPW" sheetId="5" r:id="rId5"/>
    <sheet name="2011 Test Yr On Existing Rates" sheetId="6" r:id="rId6"/>
    <sheet name="Cost Allocation Study" sheetId="7" r:id="rId7"/>
    <sheet name="Rates By Rate Class" sheetId="8" r:id="rId8"/>
    <sheet name="Allocation Low Voltage Costs" sheetId="9" r:id="rId9"/>
    <sheet name="Low Voltage Rates" sheetId="10" r:id="rId10"/>
    <sheet name="LRAM and SSM Rate Rider" sheetId="11" r:id="rId11"/>
    <sheet name="2011 Rate Rider" sheetId="12" r:id="rId12"/>
    <sheet name="Distribution Rate Schedule" sheetId="13" r:id="rId13"/>
    <sheet name="Other Electriciy Rates NF" sheetId="14" r:id="rId14"/>
    <sheet name="Other Electriciy Rates PW" sheetId="15" r:id="rId15"/>
    <sheet name="BILL IMPACTS NF" sheetId="16" r:id="rId16"/>
    <sheet name="BILL IMPACTS PW" sheetId="17" r:id="rId17"/>
    <sheet name="Rate Schedule (Part 1) NF" sheetId="18" r:id="rId18"/>
    <sheet name="Rate Schedule (Part 1) PW" sheetId="19" r:id="rId19"/>
    <sheet name="Rate Schedule (Part 2)" sheetId="20" r:id="rId20"/>
    <sheet name="Dist. Rev. Reconciliation" sheetId="21" r:id="rId21"/>
    <sheet name="Revenue Deficiency Analysis" sheetId="22" r:id="rId22"/>
  </sheets>
  <definedNames>
    <definedName name="_xlnm.Print_Area" localSheetId="15">'BILL IMPACTS NF'!$A$1:$P$609</definedName>
    <definedName name="_xlnm.Print_Area" localSheetId="6">'Cost Allocation Study'!$A$1:$M$15</definedName>
    <definedName name="_xlnm.Print_Area" localSheetId="12">'Distribution Rate Schedule'!$A$1:$E$39</definedName>
    <definedName name="_xlnm.Print_Area" localSheetId="10">'LRAM and SSM Rate Rider'!$A$1:$L$16</definedName>
    <definedName name="_xlnm.Print_Area" localSheetId="19">'Rate Schedule (Part 2)'!$B$5:$D$51</definedName>
    <definedName name="_xlnm.Print_Area" localSheetId="21">'Revenue Deficiency Analysis'!$A$1:$I$28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<sst xmlns="http://schemas.openxmlformats.org/spreadsheetml/2006/main" count="2554" uniqueCount="324">
  <si>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</si>
  <si>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</si>
  <si>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</si>
  <si>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</si>
  <si>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</si>
  <si>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</si>
  <si>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</si>
  <si>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</si>
  <si>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</si>
  <si>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</si>
  <si>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</si>
  <si>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</si>
  <si>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</si>
  <si>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</si>
  <si>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</si>
  <si>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</si>
  <si>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</si>
  <si>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</si>
  <si>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</si>
  <si>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</si>
  <si>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</si>
  <si>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</si>
  <si>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</si>
  <si>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</si>
  <si>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</si>
  <si>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</si>
  <si>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</si>
  <si>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</si>
  <si>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</si>
  <si>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</si>
  <si>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</si>
  <si>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</si>
  <si>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</si>
  <si>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</si>
  <si>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</si>
  <si>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</si>
  <si>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</si>
  <si>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</si>
  <si>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</si>
  <si>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</si>
  <si>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</si>
  <si>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</si>
  <si>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</si>
  <si>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</si>
  <si>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</si>
  <si>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</si>
  <si>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</si>
  <si>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</si>
  <si>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</si>
  <si>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</si>
  <si>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</si>
  <si>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</si>
  <si>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</si>
  <si>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</si>
  <si>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</si>
  <si>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</si>
  <si>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</si>
  <si>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</si>
  <si>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</si>
  <si>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</si>
  <si>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</si>
  <si>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</si>
  <si>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</si>
  <si>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</si>
  <si>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</si>
  <si>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</si>
  <si>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</si>
  <si>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</si>
  <si>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</si>
  <si>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</si>
  <si>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</si>
  <si>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</si>
  <si>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</si>
  <si>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</si>
  <si>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</si>
  <si>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</si>
  <si>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</si>
  <si>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</si>
  <si>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</si>
  <si>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</si>
  <si>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</si>
  <si>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</si>
  <si>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</si>
  <si>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 xml:space="preserve"> Sentinel Lighting</t>
  </si>
  <si>
    <t xml:space="preserve"> Street Lighting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</si>
  <si>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</si>
  <si>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</si>
  <si>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</si>
  <si>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</si>
  <si>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</si>
  <si>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</si>
  <si>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GENERAL SERVICE &gt; 50 kW</t>
  </si>
  <si>
    <t>Item Description (Rate Code)</t>
  </si>
  <si>
    <t>Calculation Basis</t>
  </si>
  <si>
    <t>Arrears certificate  (1)</t>
  </si>
  <si>
    <t>Statement of account (2)</t>
  </si>
  <si>
    <t>Pulling post dated cheques (3)</t>
  </si>
  <si>
    <t>Duplicate invoices for previous billing  (4)</t>
  </si>
  <si>
    <t>Request for other billing information (5)</t>
  </si>
  <si>
    <t>Easement letter (6)</t>
  </si>
  <si>
    <t>Income tax letter  (7)</t>
  </si>
  <si>
    <t>Notification charge (8)</t>
  </si>
  <si>
    <t>Account history (9)</t>
  </si>
  <si>
    <t>Credit reference/credit check (plus credit agency costs) (10)</t>
  </si>
  <si>
    <t>Returned cheque charge (plus bank charges) (11)</t>
  </si>
  <si>
    <t>Charge to certify cheque (12)</t>
  </si>
  <si>
    <t>Legal letter charge (13)</t>
  </si>
  <si>
    <t>Account set up charge/change of occupancy charge (plus credit agency costs if applicable) (14)</t>
  </si>
  <si>
    <t>Special meter reads (15)</t>
  </si>
  <si>
    <t>Collection of account charge - no disconnection (16)</t>
  </si>
  <si>
    <t>Collection of account charge  - no disconnection - after regular hours (17)</t>
  </si>
  <si>
    <t>Disconnect/Reconnect at meter - during regular hours  (18)</t>
  </si>
  <si>
    <t>Install/Remove load control device - during regular hours (19)</t>
  </si>
  <si>
    <t>Disconnect/Reconnect at meter - after regular hours (20)</t>
  </si>
  <si>
    <t>Install/Remove load control device - after regular hours (21)</t>
  </si>
  <si>
    <t>Disconnect/Reconnect at pole - during regular hours  (22)</t>
  </si>
  <si>
    <t>Disconnect/Reconnect at pole - after regular hours  (23)</t>
  </si>
  <si>
    <t>Meter dispute charge plus Measurement Canada fees (if meter found correct) (24)</t>
  </si>
  <si>
    <t>Service call - customer-owned equipment (25)</t>
  </si>
  <si>
    <t>Service call - after regular hours (26)</t>
  </si>
  <si>
    <t>Temporary service install &amp; remove - overhead - no transformer (27)</t>
  </si>
  <si>
    <t>Temporary service install &amp; remove - underground - no transformer (28)</t>
  </si>
  <si>
    <t>Temporary service install &amp; remove - overhead - with transformer (29)</t>
  </si>
  <si>
    <t>Specific Charge for Access to the Power Poles $/pole/year (30)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</si>
  <si>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</si>
  <si>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</si>
  <si>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</si>
  <si>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</si>
  <si>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</si>
  <si>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</si>
  <si>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</si>
  <si>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</si>
  <si>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</si>
  <si>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</si>
  <si>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</si>
  <si>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</si>
  <si>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</si>
  <si>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</si>
  <si>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</si>
  <si>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</si>
  <si>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</si>
  <si>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</si>
  <si>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</si>
  <si>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</si>
  <si>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</si>
  <si>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</si>
  <si>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</si>
  <si>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</si>
  <si>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</si>
  <si>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</si>
  <si>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</si>
  <si>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</si>
  <si>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</si>
  <si>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</si>
  <si>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</si>
  <si>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</si>
  <si>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</si>
  <si>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</si>
  <si>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</si>
  <si>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</si>
  <si>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</si>
  <si>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</si>
  <si>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</si>
  <si>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</si>
  <si>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</si>
  <si>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</si>
  <si>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</si>
  <si>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Rounding is turned on</t>
  </si>
  <si>
    <t>Smart Meter Rate Rider ($)
per Metered Cust./Month</t>
  </si>
  <si>
    <t>Smart Meter Rate Rider</t>
  </si>
  <si>
    <t>Smart Meter Rider (per month)</t>
  </si>
  <si>
    <t>Difference Due to Rate Rounding</t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</si>
  <si>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</si>
  <si>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</si>
  <si>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</si>
  <si>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</si>
  <si>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</si>
  <si>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</si>
  <si>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</si>
  <si>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</si>
  <si>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</si>
  <si>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</si>
  <si>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</si>
  <si>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t>Rate ($)</t>
  </si>
  <si>
    <t>Addback LV Charges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</si>
  <si>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</si>
  <si>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</si>
  <si>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</si>
  <si>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</si>
  <si>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</si>
  <si>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</si>
  <si>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</si>
  <si>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</si>
  <si>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</si>
  <si>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</si>
  <si>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</si>
  <si>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Deferral and Variance 
Account Rate Riders 
($) per kWh</t>
  </si>
  <si>
    <t>Deferral and Variance 
Account Rate Riders 
($) per kW</t>
  </si>
  <si>
    <t>2010 BILL</t>
  </si>
  <si>
    <t>2010 Test Year Distribution Revenue Reconciliation</t>
  </si>
  <si>
    <t>Check total - should be zero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</si>
  <si>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</si>
  <si>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</si>
  <si>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</si>
  <si>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</si>
  <si>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</si>
  <si>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</si>
  <si>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This need to be zero</t>
  </si>
  <si>
    <t>Amounts (Up to 2009)</t>
  </si>
  <si>
    <t>Residential</t>
  </si>
  <si>
    <t>GS &lt; 50 kW</t>
  </si>
  <si>
    <t>GS &gt;50</t>
  </si>
  <si>
    <t>Large Use</t>
  </si>
  <si>
    <t>Sentinel Lights</t>
  </si>
  <si>
    <t>Street Lighting</t>
  </si>
  <si>
    <t>USL</t>
  </si>
  <si>
    <t>Forecast Data For 2011 Test Year Projection</t>
  </si>
  <si>
    <t>2011 Test Year Normalized</t>
  </si>
  <si>
    <t>Total Check</t>
  </si>
  <si>
    <t># of Cust/Con</t>
  </si>
  <si>
    <t>EXISTING 2010 RATE YEAR - DISTRIBUTION REVENUE RATES EXCLUDING SMART METER RATE RIDER</t>
  </si>
  <si>
    <t>Regulatory Assets Rate Rider For 2010, if applicable</t>
  </si>
  <si>
    <t>Low Voltage Rate Component For 2010</t>
  </si>
  <si>
    <t>Smart Meter Adder - 2010</t>
  </si>
  <si>
    <t>EXISTING 2010 DISTRIBUTION VOLUMETRIC EXCL LV</t>
  </si>
  <si>
    <t>2011 Test</t>
  </si>
  <si>
    <t>Forecast Class Billing Determinants for 2011 Test Year Based on Existing Class Revenue Proportions</t>
  </si>
  <si>
    <t>Revenue Requirement - 2011 Cost Allocation Model</t>
  </si>
  <si>
    <t>Miscellaneous Revenue Allocated from 2011 Cost Allocation Model</t>
  </si>
  <si>
    <t>Board Target Low</t>
  </si>
  <si>
    <t>Board Target High</t>
  </si>
  <si>
    <t>Distribution Rate Allocation Between Fixed &amp; Variable Rates For 2011 Test Year</t>
  </si>
  <si>
    <t>Rate Schedule - 2011 Test Year Filing</t>
  </si>
  <si>
    <t>2011 TEST YEAR - BASE REVENUE DISTRIBUTION RATES</t>
  </si>
  <si>
    <t>2011 TEST YEAR - Low Voltage Distribution Rates</t>
  </si>
  <si>
    <t>2011 TEST YEAR - Distribution Rates</t>
  </si>
  <si>
    <t>2011 Test Year - LRAM and SSM Rider</t>
  </si>
  <si>
    <t>Billing Units (2011)</t>
  </si>
  <si>
    <t>Effective May 1, 2011</t>
  </si>
  <si>
    <t>Deferral and Variance Account Rider</t>
  </si>
  <si>
    <t>Smart Meter Rate Adder</t>
  </si>
  <si>
    <t>Low Voltage Rider</t>
  </si>
  <si>
    <t>y</t>
  </si>
  <si>
    <t>2010 Rates</t>
  </si>
  <si>
    <t>2011 Rates</t>
  </si>
  <si>
    <t>2011 BILL</t>
  </si>
  <si>
    <t>Low Voltage Rider (kWh)</t>
  </si>
  <si>
    <t>Distribution Sub-Total</t>
  </si>
  <si>
    <t>Retail Transmisssion (kWh)</t>
  </si>
  <si>
    <t>Delivery Sub-Total</t>
  </si>
  <si>
    <t>Low Voltage Rider (kW)</t>
  </si>
  <si>
    <t>LRAM &amp; SSM Rider (kW)</t>
  </si>
  <si>
    <t>Retail Transmisssion (kW)</t>
  </si>
  <si>
    <t>Global Adjustment Rate Rider For 2010, if applicable</t>
  </si>
  <si>
    <t>Residential suburban</t>
  </si>
  <si>
    <t>2009 Actual $</t>
  </si>
  <si>
    <t>01-200-4036-00-00</t>
  </si>
  <si>
    <t>01-200-4036-00-01</t>
  </si>
  <si>
    <t>PW only</t>
  </si>
  <si>
    <t>NF only</t>
  </si>
  <si>
    <t>Summed together</t>
  </si>
  <si>
    <t>Difference</t>
  </si>
  <si>
    <t>Revised NF</t>
  </si>
  <si>
    <t>difference pushed to NF</t>
  </si>
  <si>
    <t xml:space="preserve">Revised </t>
  </si>
  <si>
    <t>Urban</t>
  </si>
  <si>
    <t>Suburban</t>
  </si>
  <si>
    <t>NF</t>
  </si>
  <si>
    <t>PW</t>
  </si>
  <si>
    <t>Check Revenue Cost Ratios from 2011 Cost Allocation Model</t>
  </si>
  <si>
    <t>2011 Base Revenue Allocated based on Proportion of Revenue at Existing Rates</t>
  </si>
  <si>
    <t>2010 Rates From OEB Approved Tariff</t>
  </si>
  <si>
    <t>Per Revenue Requirement</t>
  </si>
  <si>
    <t>Model</t>
  </si>
  <si>
    <t>HST</t>
  </si>
  <si>
    <t>Global Adjustment
Rate Riders 
($) per kWh</t>
  </si>
  <si>
    <t>Global Adjustment
Rate Riders 
($) per kW</t>
  </si>
  <si>
    <t>RESIDENTIAL URBAN</t>
  </si>
  <si>
    <t>RESIDENTIAL SUBURBAN</t>
  </si>
  <si>
    <r>
      <t>NIAGARA FALLS BILL IMPACTS</t>
    </r>
    <r>
      <rPr>
        <b/>
        <i/>
        <sz val="16"/>
        <rFont val="Arial"/>
        <family val="2"/>
      </rPr>
      <t xml:space="preserve">  (Monthly Consumptions)</t>
    </r>
  </si>
  <si>
    <r>
      <t>PENINSULA WEST BILL IMPACTS</t>
    </r>
    <r>
      <rPr>
        <b/>
        <i/>
        <sz val="16"/>
        <rFont val="Arial"/>
        <family val="2"/>
      </rPr>
      <t xml:space="preserve">  (Monthly Consumptions)</t>
    </r>
  </si>
  <si>
    <t>Global Adjustment Rate Rider</t>
  </si>
  <si>
    <t>Niagara Falls Schedule of Distribution Rates and Charges</t>
  </si>
  <si>
    <t>Peninsula West Schedule of Distribution Rates and Charges</t>
  </si>
  <si>
    <t>Forecast Revenue For 2011 Test Year Based on Existing Rates (Less Low Voltage Rate Component)</t>
  </si>
  <si>
    <t>n/a</t>
  </si>
  <si>
    <t>Deferrral &amp; Variance Acct (kWh) May 2010-April 2012</t>
  </si>
  <si>
    <t>Niagara Falls - 2011 Test Year - Rate Rider May 2010 to April 2012</t>
  </si>
  <si>
    <t>Peninsula West - 2011 Test Year - Rate Rider May 2010 to April 2012</t>
  </si>
  <si>
    <t>NPEI - 2011 Test Year - Rate Rider May 2011 to April 2012</t>
  </si>
  <si>
    <t>Global Adjustment Rate Rider, May 2010 to April 2012</t>
  </si>
  <si>
    <t>Deferral and Variance Account Rider, May 2010 to April 2012</t>
  </si>
  <si>
    <t>Global Adjustment Rate Rider, May 2011 to April 2012</t>
  </si>
  <si>
    <t>Deferral and Variance Account Rider, May 2011 to April 2012</t>
  </si>
  <si>
    <t>Deferrral &amp; Variance Acct (kWh) May 2011-April 2012</t>
  </si>
  <si>
    <t>Deferrral &amp; Variance Acct (kW) May 2010-April 2012</t>
  </si>
  <si>
    <t>Deferrral &amp; Variance Acct (kW) May 2011-April 2012</t>
  </si>
  <si>
    <t>Per 2010 Tariffs</t>
  </si>
  <si>
    <t>Residential - Urban</t>
  </si>
  <si>
    <t>Residential - Suburban</t>
  </si>
  <si>
    <t>Niagara Falls Territory</t>
  </si>
  <si>
    <t>Peninsula West Territory</t>
  </si>
  <si>
    <t>RESIDENTIAL NF territory</t>
  </si>
  <si>
    <t>GENERAL SERVICE &lt; 50 kW-NF Territory</t>
  </si>
  <si>
    <t>GENERAL SERVICE &gt; 50 kW- NF Territory</t>
  </si>
  <si>
    <t xml:space="preserve"> Street Lighting -NF Territory</t>
  </si>
  <si>
    <t xml:space="preserve"> Sentinel Lighting - NF Territory</t>
  </si>
  <si>
    <t xml:space="preserve"> Unmetered Scattered - NF Territory</t>
  </si>
  <si>
    <t>RESIDENTIAL URBAN - PW Territory</t>
  </si>
  <si>
    <t>RESIDENTIAL SUBURBAN - PW Territory</t>
  </si>
  <si>
    <t>GENERAL SERVICE &lt; 50 kW - PW Territory</t>
  </si>
  <si>
    <t>GENERAL SERVICE &gt; 50 kW - PW Territory</t>
  </si>
  <si>
    <t xml:space="preserve"> Street Lighting - PW Territory</t>
  </si>
  <si>
    <t xml:space="preserve"> Sentinel Lighting - PW Territory</t>
  </si>
  <si>
    <t xml:space="preserve"> Unmetered Scattered - PW Territory</t>
  </si>
  <si>
    <t xml:space="preserve"> </t>
  </si>
  <si>
    <t>Global Adjustmenr Rate Rider (kWh) May 2010 - April 2012 Non-RPP Only.</t>
  </si>
  <si>
    <t>Global Adjustmenr Rate Rider (kWh) May 2011 - April 2012 Non-RPP Only.</t>
  </si>
  <si>
    <t>Global Adjustmenr Rate Rider (kW) May 2010 - April 2012 Non-RPP Only.</t>
  </si>
  <si>
    <t>Global Adjustmenr Rate Rider (kW) May 2011 - April 2012 Non-RPP Only.</t>
  </si>
  <si>
    <t>Special Purpose Charge</t>
  </si>
  <si>
    <t>Other Charges (per month)</t>
  </si>
  <si>
    <t>Niagara Peninsula Energy</t>
  </si>
  <si>
    <t>, License Number ED-2007-0749, File Number EB-2010-0138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</si>
</sst>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0"/>
    <numFmt numFmtId="173" formatCode="0.000%"/>
    <numFmt numFmtId="174" formatCode="_-&quot;$&quot;* #,##0.0000_-;\-&quot;$&quot;* #,##0.0000_-;_-&quot;$&quot;* &quot;-&quot;??_-;_-@_-"/>
    <numFmt numFmtId="175" formatCode="_-* #,##0.00000000_-;\-* #,##0.00000000_-;_-* &quot;-&quot;??_-;_-@_-"/>
    <numFmt numFmtId="176" formatCode="#,##0.0000_);\(#,##0.0000\)"/>
    <numFmt numFmtId="177" formatCode="#,##0.0000"/>
    <numFmt numFmtId="178" formatCode="0.0%"/>
    <numFmt numFmtId="179" formatCode="0.00000"/>
    <numFmt numFmtId="180" formatCode="0_ ;\-0\ "/>
    <numFmt numFmtId="181" formatCode="#,##0.00;[Red]\(#,##0.00\)"/>
    <numFmt numFmtId="182" formatCode="#,##0.00_ ;\-#,##0.00\ "/>
    <numFmt numFmtId="183" formatCode="&quot;$&quot;#,##0.0000_);[Red]\(#,##0.0000\)"/>
    <numFmt numFmtId="184" formatCode="#,##0.00%;[Red]\(#,##0.00%\)"/>
    <numFmt numFmtId="185" formatCode="&quot;$&quot;#,##0.00;\(&quot;$&quot;###0.00\)"/>
    <numFmt numFmtId="186" formatCode="&quot;$&quot;#,##0;\(&quot;$&quot;#,##0\)"/>
    <numFmt numFmtId="187" formatCode="&quot;$&quot;#,##0.00_);[Red]\(#,##0.00\)"/>
    <numFmt numFmtId="188" formatCode="0.0000%"/>
    <numFmt numFmtId="189" formatCode="_-* #,##0.000_-;\-* #,##0.000_-;_-* &quot;-&quot;??_-;_-@_-"/>
    <numFmt numFmtId="190" formatCode="_-* #,##0.0000_-;\-* #,##0.0000_-;_-* &quot;-&quot;??_-;_-@_-"/>
    <numFmt numFmtId="191" formatCode="#,##0.00000_);\(#,##0.00000\)"/>
    <numFmt numFmtId="192" formatCode="#,##0.000000_);\(#,##0.000000\)"/>
    <numFmt numFmtId="193" formatCode="0.000000000000000%"/>
    <numFmt numFmtId="194" formatCode="_-* #,##0.0_-;\-* #,##0.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0_-;\-* #,##0.000000000_-;_-* &quot;-&quot;??_-;_-@_-"/>
    <numFmt numFmtId="199" formatCode="0.00000000"/>
    <numFmt numFmtId="200" formatCode="0.0000000"/>
    <numFmt numFmtId="201" formatCode="0.000000"/>
  </numFmts>
  <fonts count="29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56"/>
      <name val="Arial"/>
      <family val="0"/>
    </font>
    <font>
      <b/>
      <i/>
      <sz val="16"/>
      <name val="Arial"/>
      <family val="2"/>
    </font>
    <font>
      <b/>
      <i/>
      <sz val="20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21">
    <xf numFmtId="0" fontId="0" fillId="0" borderId="0" xfId="0" applyAlignment="1">
      <alignment/>
    </xf>
    <xf numFmtId="168" fontId="0" fillId="0" borderId="0" xfId="15" applyNumberFormat="1" applyAlignment="1">
      <alignment/>
    </xf>
    <xf numFmtId="0" fontId="5" fillId="0" borderId="0" xfId="0" applyFont="1" applyAlignment="1">
      <alignment/>
    </xf>
    <xf numFmtId="167" fontId="0" fillId="0" borderId="0" xfId="15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0" fontId="3" fillId="0" borderId="0" xfId="18" applyNumberFormat="1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37" fontId="5" fillId="0" borderId="0" xfId="0" applyNumberFormat="1" applyFont="1" applyFill="1" applyBorder="1" applyAlignment="1">
      <alignment horizontal="left" vertical="center" wrapText="1"/>
    </xf>
    <xf numFmtId="170" fontId="0" fillId="0" borderId="0" xfId="18" applyNumberFormat="1" applyFont="1" applyFill="1" applyBorder="1" applyAlignment="1">
      <alignment/>
    </xf>
    <xf numFmtId="174" fontId="0" fillId="0" borderId="0" xfId="18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70" fontId="5" fillId="0" borderId="0" xfId="18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68" fontId="0" fillId="0" borderId="0" xfId="15" applyNumberFormat="1" applyFill="1" applyBorder="1" applyAlignment="1">
      <alignment/>
    </xf>
    <xf numFmtId="168" fontId="5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18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172" fontId="0" fillId="0" borderId="0" xfId="0" applyNumberFormat="1" applyAlignment="1">
      <alignment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69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0" fontId="3" fillId="0" borderId="5" xfId="18" applyNumberFormat="1" applyFont="1" applyFill="1" applyBorder="1" applyAlignment="1">
      <alignment/>
    </xf>
    <xf numFmtId="170" fontId="3" fillId="0" borderId="6" xfId="18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indent="5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9" fontId="17" fillId="0" borderId="0" xfId="2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9" fontId="17" fillId="0" borderId="0" xfId="20" applyNumberFormat="1" applyFont="1" applyFill="1" applyBorder="1" applyAlignment="1">
      <alignment horizontal="center" vertical="center"/>
    </xf>
    <xf numFmtId="10" fontId="0" fillId="0" borderId="0" xfId="28" applyNumberForma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5" fontId="0" fillId="0" borderId="0" xfId="15" applyNumberFormat="1" applyFill="1" applyBorder="1" applyAlignment="1">
      <alignment/>
    </xf>
    <xf numFmtId="0" fontId="0" fillId="3" borderId="0" xfId="0" applyFill="1" applyAlignment="1">
      <alignment/>
    </xf>
    <xf numFmtId="168" fontId="5" fillId="0" borderId="0" xfId="15" applyNumberFormat="1" applyFont="1" applyAlignment="1">
      <alignment/>
    </xf>
    <xf numFmtId="167" fontId="0" fillId="0" borderId="0" xfId="0" applyNumberFormat="1" applyAlignment="1">
      <alignment/>
    </xf>
    <xf numFmtId="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5" fillId="0" borderId="7" xfId="0" applyFont="1" applyFill="1" applyBorder="1" applyAlignment="1">
      <alignment/>
    </xf>
    <xf numFmtId="37" fontId="0" fillId="4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37" fontId="0" fillId="4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7" fontId="0" fillId="4" borderId="14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76" fontId="5" fillId="5" borderId="17" xfId="0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176" fontId="5" fillId="5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5" borderId="1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37" fontId="5" fillId="0" borderId="23" xfId="0" applyNumberFormat="1" applyFont="1" applyFill="1" applyBorder="1" applyAlignment="1">
      <alignment horizontal="center"/>
    </xf>
    <xf numFmtId="10" fontId="5" fillId="0" borderId="23" xfId="28" applyNumberFormat="1" applyFont="1" applyFill="1" applyBorder="1" applyAlignment="1">
      <alignment horizontal="center"/>
    </xf>
    <xf numFmtId="10" fontId="0" fillId="0" borderId="17" xfId="28" applyNumberFormat="1" applyFont="1" applyFill="1" applyBorder="1" applyAlignment="1">
      <alignment horizontal="center"/>
    </xf>
    <xf numFmtId="4" fontId="0" fillId="0" borderId="17" xfId="15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0" fontId="0" fillId="0" borderId="17" xfId="28" applyNumberFormat="1" applyFill="1" applyBorder="1" applyAlignment="1">
      <alignment horizontal="center"/>
    </xf>
    <xf numFmtId="9" fontId="5" fillId="0" borderId="6" xfId="28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indent="1"/>
    </xf>
    <xf numFmtId="168" fontId="5" fillId="0" borderId="6" xfId="0" applyNumberFormat="1" applyFont="1" applyFill="1" applyBorder="1" applyAlignment="1">
      <alignment horizontal="left" indent="1"/>
    </xf>
    <xf numFmtId="0" fontId="0" fillId="0" borderId="25" xfId="0" applyFill="1" applyBorder="1" applyAlignment="1">
      <alignment/>
    </xf>
    <xf numFmtId="173" fontId="5" fillId="0" borderId="25" xfId="28" applyNumberFormat="1" applyFont="1" applyFill="1" applyBorder="1" applyAlignment="1">
      <alignment/>
    </xf>
    <xf numFmtId="170" fontId="5" fillId="0" borderId="6" xfId="18" applyNumberFormat="1" applyFont="1" applyFill="1" applyBorder="1" applyAlignment="1">
      <alignment horizontal="center"/>
    </xf>
    <xf numFmtId="10" fontId="5" fillId="0" borderId="6" xfId="28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171" fontId="5" fillId="0" borderId="6" xfId="0" applyNumberFormat="1" applyFont="1" applyFill="1" applyBorder="1" applyAlignment="1">
      <alignment horizontal="center"/>
    </xf>
    <xf numFmtId="37" fontId="5" fillId="0" borderId="17" xfId="0" applyNumberFormat="1" applyFont="1" applyFill="1" applyBorder="1" applyAlignment="1">
      <alignment/>
    </xf>
    <xf numFmtId="171" fontId="0" fillId="0" borderId="17" xfId="18" applyNumberFormat="1" applyFont="1" applyFill="1" applyBorder="1" applyAlignment="1">
      <alignment horizontal="center"/>
    </xf>
    <xf numFmtId="170" fontId="0" fillId="0" borderId="17" xfId="18" applyNumberFormat="1" applyFont="1" applyFill="1" applyBorder="1" applyAlignment="1">
      <alignment/>
    </xf>
    <xf numFmtId="174" fontId="0" fillId="0" borderId="17" xfId="18" applyNumberFormat="1" applyFont="1" applyFill="1" applyBorder="1" applyAlignment="1">
      <alignment/>
    </xf>
    <xf numFmtId="182" fontId="0" fillId="0" borderId="17" xfId="15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indent="1"/>
    </xf>
    <xf numFmtId="4" fontId="0" fillId="4" borderId="17" xfId="15" applyNumberFormat="1" applyFont="1" applyFill="1" applyBorder="1" applyAlignment="1">
      <alignment horizontal="center"/>
    </xf>
    <xf numFmtId="168" fontId="5" fillId="5" borderId="17" xfId="15" applyNumberFormat="1" applyFont="1" applyFill="1" applyBorder="1" applyAlignment="1">
      <alignment horizontal="center"/>
    </xf>
    <xf numFmtId="10" fontId="5" fillId="5" borderId="17" xfId="28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168" fontId="5" fillId="0" borderId="26" xfId="0" applyNumberFormat="1" applyFont="1" applyFill="1" applyBorder="1" applyAlignment="1">
      <alignment horizontal="left" indent="1"/>
    </xf>
    <xf numFmtId="170" fontId="5" fillId="0" borderId="26" xfId="18" applyNumberFormat="1" applyFont="1" applyFill="1" applyBorder="1" applyAlignment="1">
      <alignment horizontal="left" indent="1"/>
    </xf>
    <xf numFmtId="168" fontId="0" fillId="0" borderId="17" xfId="15" applyNumberFormat="1" applyFont="1" applyFill="1" applyBorder="1" applyAlignment="1">
      <alignment horizontal="center"/>
    </xf>
    <xf numFmtId="3" fontId="0" fillId="0" borderId="17" xfId="15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26" xfId="15" applyNumberFormat="1" applyFont="1" applyFill="1" applyBorder="1" applyAlignment="1">
      <alignment horizontal="center"/>
    </xf>
    <xf numFmtId="177" fontId="0" fillId="0" borderId="17" xfId="15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177" fontId="0" fillId="0" borderId="17" xfId="0" applyNumberFormat="1" applyFont="1" applyFill="1" applyBorder="1" applyAlignment="1">
      <alignment horizontal="center"/>
    </xf>
    <xf numFmtId="183" fontId="0" fillId="0" borderId="20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3" fillId="5" borderId="17" xfId="0" applyFont="1" applyFill="1" applyBorder="1" applyAlignment="1">
      <alignment horizontal="center" wrapText="1"/>
    </xf>
    <xf numFmtId="166" fontId="23" fillId="5" borderId="17" xfId="18" applyFont="1" applyFill="1" applyBorder="1" applyAlignment="1">
      <alignment horizontal="center" wrapText="1"/>
    </xf>
    <xf numFmtId="179" fontId="23" fillId="5" borderId="17" xfId="0" applyNumberFormat="1" applyFont="1" applyFill="1" applyBorder="1" applyAlignment="1">
      <alignment horizontal="center" wrapText="1"/>
    </xf>
    <xf numFmtId="180" fontId="23" fillId="5" borderId="17" xfId="0" applyNumberFormat="1" applyFont="1" applyFill="1" applyBorder="1" applyAlignment="1">
      <alignment horizontal="center" wrapText="1"/>
    </xf>
    <xf numFmtId="0" fontId="17" fillId="5" borderId="27" xfId="0" applyFont="1" applyFill="1" applyBorder="1" applyAlignment="1">
      <alignment horizontal="center" wrapText="1"/>
    </xf>
    <xf numFmtId="176" fontId="0" fillId="4" borderId="28" xfId="18" applyNumberFormat="1" applyFont="1" applyFill="1" applyBorder="1" applyAlignment="1" applyProtection="1">
      <alignment horizontal="center"/>
      <protection locked="0"/>
    </xf>
    <xf numFmtId="176" fontId="0" fillId="4" borderId="29" xfId="18" applyNumberFormat="1" applyFont="1" applyFill="1" applyBorder="1" applyAlignment="1" applyProtection="1">
      <alignment horizontal="center"/>
      <protection locked="0"/>
    </xf>
    <xf numFmtId="176" fontId="0" fillId="5" borderId="30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72" fontId="0" fillId="5" borderId="17" xfId="0" applyNumberForma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172" fontId="0" fillId="5" borderId="30" xfId="0" applyNumberFormat="1" applyFill="1" applyBorder="1" applyAlignment="1">
      <alignment horizontal="center" vertical="center" wrapText="1"/>
    </xf>
    <xf numFmtId="0" fontId="0" fillId="5" borderId="30" xfId="0" applyFill="1" applyBorder="1" applyAlignment="1" quotePrefix="1">
      <alignment horizontal="center" vertical="center" wrapText="1"/>
    </xf>
    <xf numFmtId="176" fontId="0" fillId="5" borderId="30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72" fontId="0" fillId="5" borderId="17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172" fontId="0" fillId="5" borderId="30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vertical="center"/>
    </xf>
    <xf numFmtId="176" fontId="0" fillId="4" borderId="30" xfId="0" applyNumberFormat="1" applyFont="1" applyFill="1" applyBorder="1" applyAlignment="1" applyProtection="1">
      <alignment horizontal="center"/>
      <protection/>
    </xf>
    <xf numFmtId="172" fontId="0" fillId="4" borderId="17" xfId="0" applyNumberFormat="1" applyFont="1" applyFill="1" applyBorder="1" applyAlignment="1" applyProtection="1">
      <alignment horizontal="center"/>
      <protection locked="0"/>
    </xf>
    <xf numFmtId="176" fontId="0" fillId="4" borderId="30" xfId="0" applyNumberFormat="1" applyFill="1" applyBorder="1" applyAlignment="1" applyProtection="1">
      <alignment horizontal="center"/>
      <protection/>
    </xf>
    <xf numFmtId="172" fontId="0" fillId="4" borderId="17" xfId="0" applyNumberFormat="1" applyFill="1" applyBorder="1" applyAlignment="1" applyProtection="1">
      <alignment horizontal="center"/>
      <protection locked="0"/>
    </xf>
    <xf numFmtId="172" fontId="0" fillId="0" borderId="17" xfId="0" applyNumberFormat="1" applyFill="1" applyBorder="1" applyAlignment="1">
      <alignment horizontal="center"/>
    </xf>
    <xf numFmtId="172" fontId="0" fillId="1" borderId="30" xfId="0" applyNumberFormat="1" applyFont="1" applyFill="1" applyBorder="1" applyAlignment="1" applyProtection="1">
      <alignment horizontal="center"/>
      <protection/>
    </xf>
    <xf numFmtId="172" fontId="5" fillId="1" borderId="17" xfId="0" applyNumberFormat="1" applyFont="1" applyFill="1" applyBorder="1" applyAlignment="1" applyProtection="1">
      <alignment horizontal="center"/>
      <protection/>
    </xf>
    <xf numFmtId="172" fontId="0" fillId="1" borderId="17" xfId="0" applyNumberFormat="1" applyFill="1" applyBorder="1" applyAlignment="1" applyProtection="1">
      <alignment horizontal="center"/>
      <protection/>
    </xf>
    <xf numFmtId="172" fontId="0" fillId="1" borderId="30" xfId="0" applyNumberFormat="1" applyFill="1" applyBorder="1" applyAlignment="1" applyProtection="1">
      <alignment horizontal="center"/>
      <protection/>
    </xf>
    <xf numFmtId="172" fontId="0" fillId="4" borderId="30" xfId="0" applyNumberFormat="1" applyFill="1" applyBorder="1" applyAlignment="1" applyProtection="1">
      <alignment horizontal="center"/>
      <protection/>
    </xf>
    <xf numFmtId="172" fontId="0" fillId="4" borderId="30" xfId="0" applyNumberFormat="1" applyFont="1" applyFill="1" applyBorder="1" applyAlignment="1" applyProtection="1">
      <alignment horizontal="center"/>
      <protection locked="0"/>
    </xf>
    <xf numFmtId="172" fontId="0" fillId="4" borderId="3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3" fontId="16" fillId="5" borderId="33" xfId="0" applyNumberFormat="1" applyFont="1" applyFill="1" applyBorder="1" applyAlignment="1">
      <alignment horizontal="right" vertical="center"/>
    </xf>
    <xf numFmtId="3" fontId="16" fillId="5" borderId="34" xfId="0" applyNumberFormat="1" applyFont="1" applyFill="1" applyBorder="1" applyAlignment="1">
      <alignment horizontal="left" vertical="center"/>
    </xf>
    <xf numFmtId="3" fontId="16" fillId="5" borderId="32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36" xfId="0" applyBorder="1" applyAlignment="1">
      <alignment/>
    </xf>
    <xf numFmtId="10" fontId="21" fillId="0" borderId="0" xfId="28" applyNumberFormat="1" applyFont="1" applyFill="1" applyBorder="1" applyAlignment="1">
      <alignment horizontal="center" vertical="center"/>
    </xf>
    <xf numFmtId="10" fontId="17" fillId="0" borderId="0" xfId="28" applyNumberFormat="1" applyFont="1" applyFill="1" applyBorder="1" applyAlignment="1">
      <alignment horizontal="center" vertical="center"/>
    </xf>
    <xf numFmtId="39" fontId="5" fillId="0" borderId="0" xfId="2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indent="5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39" fontId="17" fillId="0" borderId="4" xfId="2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39" fontId="17" fillId="0" borderId="4" xfId="20" applyNumberFormat="1" applyFont="1" applyFill="1" applyBorder="1" applyAlignment="1">
      <alignment horizontal="center" vertical="center"/>
    </xf>
    <xf numFmtId="10" fontId="21" fillId="0" borderId="4" xfId="28" applyNumberFormat="1" applyFont="1" applyFill="1" applyBorder="1" applyAlignment="1">
      <alignment horizontal="center" vertical="center"/>
    </xf>
    <xf numFmtId="10" fontId="17" fillId="0" borderId="4" xfId="28" applyNumberFormat="1" applyFont="1" applyFill="1" applyBorder="1" applyAlignment="1">
      <alignment horizontal="center" vertical="center"/>
    </xf>
    <xf numFmtId="39" fontId="5" fillId="0" borderId="4" xfId="2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2" fontId="5" fillId="5" borderId="38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 wrapText="1"/>
    </xf>
    <xf numFmtId="2" fontId="5" fillId="5" borderId="39" xfId="0" applyNumberFormat="1" applyFont="1" applyFill="1" applyBorder="1" applyAlignment="1">
      <alignment horizontal="center" vertical="center" wrapText="1"/>
    </xf>
    <xf numFmtId="2" fontId="5" fillId="5" borderId="34" xfId="0" applyNumberFormat="1" applyFont="1" applyFill="1" applyBorder="1" applyAlignment="1">
      <alignment horizontal="center" vertical="center" wrapText="1"/>
    </xf>
    <xf numFmtId="176" fontId="0" fillId="0" borderId="17" xfId="2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39" fontId="0" fillId="0" borderId="44" xfId="2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39" fontId="0" fillId="0" borderId="45" xfId="20" applyNumberFormat="1" applyFont="1" applyFill="1" applyBorder="1" applyAlignment="1">
      <alignment horizontal="center" vertical="center"/>
    </xf>
    <xf numFmtId="0" fontId="0" fillId="1" borderId="46" xfId="0" applyFont="1" applyFill="1" applyBorder="1" applyAlignment="1">
      <alignment horizontal="center" vertical="center"/>
    </xf>
    <xf numFmtId="0" fontId="0" fillId="1" borderId="47" xfId="0" applyFont="1" applyFill="1" applyBorder="1" applyAlignment="1">
      <alignment horizontal="center" vertical="center"/>
    </xf>
    <xf numFmtId="39" fontId="0" fillId="0" borderId="48" xfId="20" applyNumberFormat="1" applyFont="1" applyFill="1" applyBorder="1" applyAlignment="1">
      <alignment horizontal="center" vertical="center"/>
    </xf>
    <xf numFmtId="39" fontId="0" fillId="0" borderId="49" xfId="20" applyNumberFormat="1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181" fontId="0" fillId="0" borderId="48" xfId="20" applyNumberFormat="1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181" fontId="0" fillId="0" borderId="49" xfId="2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2" fontId="5" fillId="5" borderId="31" xfId="0" applyNumberFormat="1" applyFont="1" applyFill="1" applyBorder="1" applyAlignment="1">
      <alignment horizontal="center" vertical="center" wrapText="1"/>
    </xf>
    <xf numFmtId="184" fontId="0" fillId="0" borderId="17" xfId="28" applyNumberFormat="1" applyFont="1" applyFill="1" applyBorder="1" applyAlignment="1">
      <alignment horizontal="center" vertical="center"/>
    </xf>
    <xf numFmtId="0" fontId="0" fillId="1" borderId="17" xfId="0" applyFont="1" applyFill="1" applyBorder="1" applyAlignment="1">
      <alignment horizontal="center" vertical="center"/>
    </xf>
    <xf numFmtId="0" fontId="0" fillId="1" borderId="30" xfId="0" applyFont="1" applyFill="1" applyBorder="1" applyAlignment="1">
      <alignment horizontal="center" vertical="center"/>
    </xf>
    <xf numFmtId="181" fontId="0" fillId="0" borderId="46" xfId="20" applyNumberFormat="1" applyFont="1" applyFill="1" applyBorder="1" applyAlignment="1">
      <alignment horizontal="center" vertical="center"/>
    </xf>
    <xf numFmtId="184" fontId="0" fillId="0" borderId="47" xfId="28" applyNumberFormat="1" applyFont="1" applyFill="1" applyBorder="1" applyAlignment="1">
      <alignment horizontal="center" vertical="center"/>
    </xf>
    <xf numFmtId="184" fontId="0" fillId="0" borderId="48" xfId="28" applyNumberFormat="1" applyFont="1" applyFill="1" applyBorder="1" applyAlignment="1">
      <alignment horizontal="center" vertical="center"/>
    </xf>
    <xf numFmtId="181" fontId="0" fillId="0" borderId="30" xfId="20" applyNumberFormat="1" applyFont="1" applyFill="1" applyBorder="1" applyAlignment="1">
      <alignment horizontal="center" vertical="center"/>
    </xf>
    <xf numFmtId="184" fontId="0" fillId="0" borderId="49" xfId="28" applyNumberFormat="1" applyFont="1" applyFill="1" applyBorder="1" applyAlignment="1">
      <alignment horizontal="center" vertical="center"/>
    </xf>
    <xf numFmtId="181" fontId="0" fillId="0" borderId="45" xfId="20" applyNumberFormat="1" applyFont="1" applyFill="1" applyBorder="1" applyAlignment="1">
      <alignment horizontal="center" vertical="center"/>
    </xf>
    <xf numFmtId="181" fontId="0" fillId="0" borderId="50" xfId="20" applyNumberFormat="1" applyFont="1" applyFill="1" applyBorder="1" applyAlignment="1">
      <alignment horizontal="center" vertical="center"/>
    </xf>
    <xf numFmtId="184" fontId="0" fillId="0" borderId="15" xfId="28" applyNumberFormat="1" applyFont="1" applyFill="1" applyBorder="1" applyAlignment="1">
      <alignment horizontal="center" vertical="center"/>
    </xf>
    <xf numFmtId="181" fontId="0" fillId="0" borderId="44" xfId="20" applyNumberFormat="1" applyFont="1" applyFill="1" applyBorder="1" applyAlignment="1">
      <alignment horizontal="center" vertical="center"/>
    </xf>
    <xf numFmtId="181" fontId="0" fillId="0" borderId="43" xfId="20" applyNumberFormat="1" applyFont="1" applyFill="1" applyBorder="1" applyAlignment="1">
      <alignment horizontal="center" vertical="center"/>
    </xf>
    <xf numFmtId="184" fontId="0" fillId="0" borderId="21" xfId="28" applyNumberFormat="1" applyFont="1" applyFill="1" applyBorder="1" applyAlignment="1">
      <alignment horizontal="center" vertical="center"/>
    </xf>
    <xf numFmtId="184" fontId="0" fillId="0" borderId="44" xfId="28" applyNumberFormat="1" applyFont="1" applyFill="1" applyBorder="1" applyAlignment="1">
      <alignment horizontal="center" vertical="center"/>
    </xf>
    <xf numFmtId="177" fontId="5" fillId="6" borderId="33" xfId="0" applyNumberFormat="1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39" fontId="5" fillId="6" borderId="52" xfId="20" applyNumberFormat="1" applyFont="1" applyFill="1" applyBorder="1" applyAlignment="1">
      <alignment horizontal="center" vertical="center"/>
    </xf>
    <xf numFmtId="39" fontId="17" fillId="6" borderId="52" xfId="20" applyNumberFormat="1" applyFont="1" applyFill="1" applyBorder="1" applyAlignment="1">
      <alignment horizontal="center" vertical="center"/>
    </xf>
    <xf numFmtId="181" fontId="5" fillId="6" borderId="53" xfId="20" applyNumberFormat="1" applyFont="1" applyFill="1" applyBorder="1" applyAlignment="1">
      <alignment horizontal="center" vertical="center"/>
    </xf>
    <xf numFmtId="184" fontId="5" fillId="6" borderId="39" xfId="28" applyNumberFormat="1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184" fontId="5" fillId="6" borderId="52" xfId="28" applyNumberFormat="1" applyFont="1" applyFill="1" applyBorder="1" applyAlignment="1">
      <alignment horizontal="center" vertical="center"/>
    </xf>
    <xf numFmtId="184" fontId="0" fillId="0" borderId="54" xfId="28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wrapText="1"/>
    </xf>
    <xf numFmtId="39" fontId="6" fillId="0" borderId="2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0" fontId="19" fillId="0" borderId="32" xfId="0" applyFont="1" applyFill="1" applyBorder="1" applyAlignment="1">
      <alignment wrapText="1"/>
    </xf>
    <xf numFmtId="169" fontId="6" fillId="0" borderId="4" xfId="0" applyNumberFormat="1" applyFont="1" applyFill="1" applyBorder="1" applyAlignment="1">
      <alignment/>
    </xf>
    <xf numFmtId="171" fontId="6" fillId="0" borderId="4" xfId="0" applyNumberFormat="1" applyFont="1" applyFill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/>
    </xf>
    <xf numFmtId="0" fontId="15" fillId="2" borderId="17" xfId="0" applyFont="1" applyFill="1" applyBorder="1" applyAlignment="1">
      <alignment horizontal="left" vertical="center" wrapText="1"/>
    </xf>
    <xf numFmtId="0" fontId="15" fillId="7" borderId="17" xfId="0" applyFont="1" applyFill="1" applyBorder="1" applyAlignment="1">
      <alignment horizontal="left" vertical="center" wrapText="1"/>
    </xf>
    <xf numFmtId="171" fontId="26" fillId="7" borderId="17" xfId="0" applyNumberFormat="1" applyFont="1" applyFill="1" applyBorder="1" applyAlignment="1">
      <alignment horizontal="left" vertical="center"/>
    </xf>
    <xf numFmtId="171" fontId="0" fillId="0" borderId="17" xfId="0" applyNumberFormat="1" applyFont="1" applyFill="1" applyBorder="1" applyAlignment="1">
      <alignment horizontal="center" vertical="center"/>
    </xf>
    <xf numFmtId="39" fontId="0" fillId="0" borderId="17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71" fontId="20" fillId="0" borderId="0" xfId="0" applyNumberFormat="1" applyFont="1" applyFill="1" applyBorder="1" applyAlignment="1">
      <alignment horizontal="left" vertical="center"/>
    </xf>
    <xf numFmtId="39" fontId="6" fillId="0" borderId="0" xfId="0" applyNumberFormat="1" applyFont="1" applyFill="1" applyBorder="1" applyAlignment="1">
      <alignment horizontal="left" vertical="center"/>
    </xf>
    <xf numFmtId="170" fontId="0" fillId="8" borderId="0" xfId="0" applyNumberFormat="1" applyFill="1" applyAlignment="1">
      <alignment/>
    </xf>
    <xf numFmtId="0" fontId="0" fillId="8" borderId="0" xfId="0" applyFill="1" applyAlignment="1">
      <alignment/>
    </xf>
    <xf numFmtId="170" fontId="0" fillId="8" borderId="23" xfId="0" applyNumberFormat="1" applyFill="1" applyBorder="1" applyAlignment="1">
      <alignment/>
    </xf>
    <xf numFmtId="170" fontId="5" fillId="0" borderId="6" xfId="18" applyNumberFormat="1" applyFont="1" applyFill="1" applyBorder="1" applyAlignment="1">
      <alignment/>
    </xf>
    <xf numFmtId="38" fontId="0" fillId="0" borderId="17" xfId="0" applyNumberFormat="1" applyFill="1" applyBorder="1" applyAlignment="1">
      <alignment horizontal="center"/>
    </xf>
    <xf numFmtId="38" fontId="5" fillId="0" borderId="6" xfId="0" applyNumberFormat="1" applyFont="1" applyFill="1" applyBorder="1" applyAlignment="1">
      <alignment horizontal="center"/>
    </xf>
    <xf numFmtId="8" fontId="5" fillId="0" borderId="6" xfId="18" applyNumberFormat="1" applyFont="1" applyFill="1" applyBorder="1" applyAlignment="1">
      <alignment horizontal="center"/>
    </xf>
    <xf numFmtId="4" fontId="24" fillId="4" borderId="17" xfId="0" applyNumberFormat="1" applyFont="1" applyFill="1" applyBorder="1" applyAlignment="1">
      <alignment horizontal="center" wrapText="1"/>
    </xf>
    <xf numFmtId="3" fontId="24" fillId="4" borderId="17" xfId="0" applyNumberFormat="1" applyFont="1" applyFill="1" applyBorder="1" applyAlignment="1">
      <alignment horizontal="center" wrapText="1"/>
    </xf>
    <xf numFmtId="3" fontId="23" fillId="4" borderId="17" xfId="0" applyNumberFormat="1" applyFont="1" applyFill="1" applyBorder="1" applyAlignment="1">
      <alignment wrapText="1"/>
    </xf>
    <xf numFmtId="172" fontId="24" fillId="0" borderId="17" xfId="0" applyNumberFormat="1" applyFont="1" applyFill="1" applyBorder="1" applyAlignment="1">
      <alignment wrapText="1"/>
    </xf>
    <xf numFmtId="172" fontId="24" fillId="4" borderId="17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4" fontId="23" fillId="0" borderId="26" xfId="0" applyNumberFormat="1" applyFont="1" applyFill="1" applyBorder="1" applyAlignment="1">
      <alignment horizontal="center" wrapText="1"/>
    </xf>
    <xf numFmtId="4" fontId="23" fillId="0" borderId="26" xfId="0" applyNumberFormat="1" applyFont="1" applyFill="1" applyBorder="1" applyAlignment="1">
      <alignment wrapText="1"/>
    </xf>
    <xf numFmtId="0" fontId="17" fillId="0" borderId="55" xfId="0" applyFont="1" applyFill="1" applyBorder="1" applyAlignment="1">
      <alignment horizontal="left" vertical="center" indent="5"/>
    </xf>
    <xf numFmtId="0" fontId="17" fillId="0" borderId="55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39" fontId="17" fillId="0" borderId="55" xfId="20" applyNumberFormat="1" applyFont="1" applyFill="1" applyBorder="1" applyAlignment="1">
      <alignment vertical="center"/>
    </xf>
    <xf numFmtId="0" fontId="17" fillId="0" borderId="55" xfId="0" applyFont="1" applyFill="1" applyBorder="1" applyAlignment="1">
      <alignment horizontal="left" vertical="center"/>
    </xf>
    <xf numFmtId="10" fontId="21" fillId="0" borderId="55" xfId="28" applyNumberFormat="1" applyFont="1" applyFill="1" applyBorder="1" applyAlignment="1">
      <alignment horizontal="center" vertical="center"/>
    </xf>
    <xf numFmtId="10" fontId="17" fillId="0" borderId="55" xfId="28" applyNumberFormat="1" applyFont="1" applyFill="1" applyBorder="1" applyAlignment="1">
      <alignment horizontal="center" vertical="center"/>
    </xf>
    <xf numFmtId="39" fontId="0" fillId="4" borderId="29" xfId="18" applyNumberFormat="1" applyFont="1" applyFill="1" applyBorder="1" applyAlignment="1" applyProtection="1">
      <alignment horizontal="center"/>
      <protection locked="0"/>
    </xf>
    <xf numFmtId="172" fontId="24" fillId="0" borderId="17" xfId="0" applyNumberFormat="1" applyFont="1" applyFill="1" applyBorder="1" applyAlignment="1">
      <alignment horizontal="center" wrapText="1"/>
    </xf>
    <xf numFmtId="170" fontId="3" fillId="4" borderId="0" xfId="18" applyNumberFormat="1" applyFont="1" applyFill="1" applyAlignment="1">
      <alignment/>
    </xf>
    <xf numFmtId="168" fontId="5" fillId="4" borderId="20" xfId="15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/>
    </xf>
    <xf numFmtId="37" fontId="23" fillId="0" borderId="17" xfId="0" applyNumberFormat="1" applyFont="1" applyFill="1" applyBorder="1" applyAlignment="1">
      <alignment wrapText="1"/>
    </xf>
    <xf numFmtId="37" fontId="3" fillId="0" borderId="28" xfId="0" applyNumberFormat="1" applyFont="1" applyFill="1" applyBorder="1" applyAlignment="1">
      <alignment/>
    </xf>
    <xf numFmtId="37" fontId="3" fillId="0" borderId="56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5" borderId="33" xfId="0" applyFont="1" applyFill="1" applyBorder="1" applyAlignment="1">
      <alignment horizontal="center"/>
    </xf>
    <xf numFmtId="0" fontId="5" fillId="5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4" fontId="16" fillId="5" borderId="32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vertical="center" wrapText="1"/>
    </xf>
    <xf numFmtId="3" fontId="0" fillId="0" borderId="51" xfId="0" applyNumberFormat="1" applyFont="1" applyFill="1" applyBorder="1" applyAlignment="1">
      <alignment horizontal="center" vertical="center"/>
    </xf>
    <xf numFmtId="39" fontId="0" fillId="0" borderId="38" xfId="20" applyNumberFormat="1" applyFont="1" applyFill="1" applyBorder="1" applyAlignment="1">
      <alignment horizontal="center" vertical="center"/>
    </xf>
    <xf numFmtId="181" fontId="0" fillId="0" borderId="38" xfId="20" applyNumberFormat="1" applyFont="1" applyFill="1" applyBorder="1" applyAlignment="1">
      <alignment horizontal="center" vertical="center"/>
    </xf>
    <xf numFmtId="184" fontId="0" fillId="0" borderId="57" xfId="28" applyNumberFormat="1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 vertical="center"/>
    </xf>
    <xf numFmtId="10" fontId="0" fillId="0" borderId="2" xfId="0" applyNumberFormat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76" fontId="0" fillId="4" borderId="21" xfId="0" applyNumberFormat="1" applyFont="1" applyFill="1" applyBorder="1" applyAlignment="1">
      <alignment horizontal="right"/>
    </xf>
    <xf numFmtId="39" fontId="0" fillId="4" borderId="21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/>
    </xf>
    <xf numFmtId="37" fontId="0" fillId="0" borderId="17" xfId="0" applyNumberFormat="1" applyFill="1" applyBorder="1" applyAlignment="1">
      <alignment/>
    </xf>
    <xf numFmtId="3" fontId="0" fillId="0" borderId="17" xfId="15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center"/>
    </xf>
    <xf numFmtId="6" fontId="0" fillId="0" borderId="17" xfId="18" applyNumberFormat="1" applyFill="1" applyBorder="1" applyAlignment="1">
      <alignment horizontal="center"/>
    </xf>
    <xf numFmtId="6" fontId="3" fillId="0" borderId="17" xfId="0" applyNumberFormat="1" applyFont="1" applyFill="1" applyBorder="1" applyAlignment="1">
      <alignment/>
    </xf>
    <xf numFmtId="185" fontId="0" fillId="4" borderId="20" xfId="0" applyNumberForma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176" fontId="0" fillId="4" borderId="41" xfId="18" applyNumberFormat="1" applyFont="1" applyFill="1" applyBorder="1" applyAlignment="1" applyProtection="1">
      <alignment horizontal="center"/>
      <protection locked="0"/>
    </xf>
    <xf numFmtId="39" fontId="0" fillId="4" borderId="27" xfId="18" applyNumberFormat="1" applyFont="1" applyFill="1" applyBorder="1" applyAlignment="1" applyProtection="1">
      <alignment horizontal="center"/>
      <protection locked="0"/>
    </xf>
    <xf numFmtId="39" fontId="0" fillId="4" borderId="58" xfId="18" applyNumberFormat="1" applyFont="1" applyFill="1" applyBorder="1" applyAlignment="1" applyProtection="1">
      <alignment horizontal="center"/>
      <protection locked="0"/>
    </xf>
    <xf numFmtId="176" fontId="0" fillId="4" borderId="40" xfId="18" applyNumberFormat="1" applyFont="1" applyFill="1" applyBorder="1" applyAlignment="1" applyProtection="1">
      <alignment horizontal="center"/>
      <protection locked="0"/>
    </xf>
    <xf numFmtId="8" fontId="0" fillId="0" borderId="0" xfId="18" applyNumberFormat="1" applyFill="1" applyBorder="1" applyAlignment="1">
      <alignment/>
    </xf>
    <xf numFmtId="170" fontId="5" fillId="0" borderId="59" xfId="18" applyNumberFormat="1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18" applyNumberFormat="1" applyFill="1" applyBorder="1" applyAlignment="1">
      <alignment/>
    </xf>
    <xf numFmtId="170" fontId="5" fillId="0" borderId="23" xfId="18" applyNumberFormat="1" applyFont="1" applyFill="1" applyBorder="1" applyAlignment="1">
      <alignment/>
    </xf>
    <xf numFmtId="170" fontId="0" fillId="0" borderId="0" xfId="18" applyNumberFormat="1" applyFill="1" applyAlignment="1">
      <alignment/>
    </xf>
    <xf numFmtId="170" fontId="5" fillId="0" borderId="6" xfId="18" applyNumberFormat="1" applyFont="1" applyFill="1" applyBorder="1" applyAlignment="1">
      <alignment/>
    </xf>
    <xf numFmtId="173" fontId="5" fillId="0" borderId="0" xfId="28" applyNumberFormat="1" applyFont="1" applyFill="1" applyBorder="1" applyAlignment="1">
      <alignment/>
    </xf>
    <xf numFmtId="186" fontId="0" fillId="0" borderId="17" xfId="18" applyNumberFormat="1" applyFont="1" applyFill="1" applyBorder="1" applyAlignment="1">
      <alignment/>
    </xf>
    <xf numFmtId="186" fontId="5" fillId="0" borderId="6" xfId="18" applyNumberFormat="1" applyFont="1" applyFill="1" applyBorder="1" applyAlignment="1">
      <alignment/>
    </xf>
    <xf numFmtId="3" fontId="5" fillId="5" borderId="17" xfId="0" applyNumberFormat="1" applyFont="1" applyFill="1" applyBorder="1" applyAlignment="1">
      <alignment horizontal="center" wrapText="1"/>
    </xf>
    <xf numFmtId="3" fontId="0" fillId="4" borderId="17" xfId="18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7" xfId="28" applyNumberFormat="1" applyFont="1" applyFill="1" applyBorder="1" applyAlignment="1">
      <alignment horizontal="center"/>
    </xf>
    <xf numFmtId="178" fontId="0" fillId="0" borderId="17" xfId="15" applyNumberFormat="1" applyFont="1" applyFill="1" applyBorder="1" applyAlignment="1">
      <alignment horizontal="center"/>
    </xf>
    <xf numFmtId="178" fontId="0" fillId="4" borderId="17" xfId="18" applyNumberFormat="1" applyFont="1" applyFill="1" applyBorder="1" applyAlignment="1">
      <alignment horizontal="center"/>
    </xf>
    <xf numFmtId="178" fontId="5" fillId="0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9" borderId="0" xfId="0" applyNumberFormat="1" applyFill="1" applyAlignment="1">
      <alignment horizontal="center"/>
    </xf>
    <xf numFmtId="178" fontId="0" fillId="4" borderId="17" xfId="28" applyNumberFormat="1" applyFont="1" applyFill="1" applyBorder="1" applyAlignment="1">
      <alignment horizontal="center"/>
    </xf>
    <xf numFmtId="3" fontId="5" fillId="0" borderId="6" xfId="18" applyNumberFormat="1" applyFont="1" applyFill="1" applyBorder="1" applyAlignment="1">
      <alignment horizontal="center"/>
    </xf>
    <xf numFmtId="3" fontId="0" fillId="0" borderId="17" xfId="28" applyNumberForma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left" indent="1"/>
    </xf>
    <xf numFmtId="0" fontId="5" fillId="7" borderId="0" xfId="0" applyFont="1" applyFill="1" applyAlignment="1">
      <alignment/>
    </xf>
    <xf numFmtId="172" fontId="7" fillId="5" borderId="40" xfId="0" applyNumberFormat="1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0" fillId="0" borderId="63" xfId="0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37" fontId="0" fillId="0" borderId="8" xfId="0" applyNumberFormat="1" applyFont="1" applyFill="1" applyBorder="1" applyAlignment="1">
      <alignment horizontal="center"/>
    </xf>
    <xf numFmtId="37" fontId="0" fillId="0" borderId="14" xfId="0" applyNumberFormat="1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 wrapText="1"/>
    </xf>
    <xf numFmtId="37" fontId="5" fillId="5" borderId="64" xfId="28" applyNumberFormat="1" applyFont="1" applyFill="1" applyBorder="1" applyAlignment="1">
      <alignment horizontal="center" wrapText="1"/>
    </xf>
    <xf numFmtId="37" fontId="5" fillId="5" borderId="17" xfId="28" applyNumberFormat="1" applyFont="1" applyFill="1" applyBorder="1" applyAlignment="1">
      <alignment horizontal="center" wrapText="1"/>
    </xf>
    <xf numFmtId="9" fontId="0" fillId="0" borderId="17" xfId="28" applyNumberFormat="1" applyFon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3" fontId="24" fillId="4" borderId="15" xfId="0" applyNumberFormat="1" applyFont="1" applyFill="1" applyBorder="1" applyAlignment="1">
      <alignment horizontal="center" wrapText="1"/>
    </xf>
    <xf numFmtId="172" fontId="24" fillId="0" borderId="15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/>
    </xf>
    <xf numFmtId="3" fontId="16" fillId="5" borderId="0" xfId="0" applyNumberFormat="1" applyFont="1" applyFill="1" applyBorder="1" applyAlignment="1">
      <alignment horizontal="right" vertical="center"/>
    </xf>
    <xf numFmtId="3" fontId="16" fillId="5" borderId="0" xfId="0" applyNumberFormat="1" applyFont="1" applyFill="1" applyBorder="1" applyAlignment="1">
      <alignment horizontal="left" vertical="center"/>
    </xf>
    <xf numFmtId="184" fontId="5" fillId="6" borderId="57" xfId="28" applyNumberFormat="1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81" fontId="0" fillId="0" borderId="53" xfId="20" applyNumberFormat="1" applyFont="1" applyFill="1" applyBorder="1" applyAlignment="1">
      <alignment horizontal="center" vertical="center"/>
    </xf>
    <xf numFmtId="184" fontId="5" fillId="6" borderId="48" xfId="28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7" fillId="6" borderId="33" xfId="0" applyFont="1" applyFill="1" applyBorder="1" applyAlignment="1">
      <alignment horizontal="center" vertical="center"/>
    </xf>
    <xf numFmtId="39" fontId="17" fillId="6" borderId="52" xfId="20" applyNumberFormat="1" applyFont="1" applyFill="1" applyBorder="1" applyAlignment="1">
      <alignment horizontal="center" vertical="center"/>
    </xf>
    <xf numFmtId="184" fontId="17" fillId="6" borderId="39" xfId="28" applyNumberFormat="1" applyFont="1" applyFill="1" applyBorder="1" applyAlignment="1">
      <alignment horizontal="center" vertical="center"/>
    </xf>
    <xf numFmtId="184" fontId="17" fillId="6" borderId="52" xfId="28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15" fillId="0" borderId="0" xfId="0" applyFont="1" applyAlignment="1">
      <alignment/>
    </xf>
    <xf numFmtId="0" fontId="0" fillId="0" borderId="65" xfId="0" applyBorder="1" applyAlignment="1">
      <alignment/>
    </xf>
    <xf numFmtId="187" fontId="5" fillId="6" borderId="52" xfId="20" applyNumberFormat="1" applyFont="1" applyFill="1" applyBorder="1" applyAlignment="1">
      <alignment horizontal="center" vertical="center"/>
    </xf>
    <xf numFmtId="8" fontId="17" fillId="6" borderId="52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1" xfId="20" applyNumberFormat="1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 wrapText="1"/>
    </xf>
    <xf numFmtId="2" fontId="5" fillId="5" borderId="52" xfId="0" applyNumberFormat="1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172" fontId="0" fillId="5" borderId="67" xfId="0" applyNumberFormat="1" applyFill="1" applyBorder="1" applyAlignment="1">
      <alignment horizontal="center" vertical="center" wrapText="1"/>
    </xf>
    <xf numFmtId="172" fontId="0" fillId="5" borderId="67" xfId="0" applyNumberFormat="1" applyFill="1" applyBorder="1" applyAlignment="1">
      <alignment horizontal="center" vertical="center"/>
    </xf>
    <xf numFmtId="172" fontId="0" fillId="4" borderId="67" xfId="0" applyNumberFormat="1" applyFont="1" applyFill="1" applyBorder="1" applyAlignment="1" applyProtection="1">
      <alignment horizontal="center"/>
      <protection locked="0"/>
    </xf>
    <xf numFmtId="172" fontId="0" fillId="4" borderId="64" xfId="0" applyNumberFormat="1" applyFont="1" applyFill="1" applyBorder="1" applyAlignment="1" applyProtection="1">
      <alignment horizontal="center"/>
      <protection locked="0"/>
    </xf>
    <xf numFmtId="172" fontId="0" fillId="4" borderId="64" xfId="0" applyNumberFormat="1" applyFill="1" applyBorder="1" applyAlignment="1" applyProtection="1">
      <alignment horizontal="center"/>
      <protection locked="0"/>
    </xf>
    <xf numFmtId="172" fontId="0" fillId="5" borderId="29" xfId="0" applyNumberFormat="1" applyFill="1" applyBorder="1" applyAlignment="1">
      <alignment horizontal="center" vertical="center" wrapText="1"/>
    </xf>
    <xf numFmtId="172" fontId="0" fillId="5" borderId="29" xfId="0" applyNumberFormat="1" applyFill="1" applyBorder="1" applyAlignment="1">
      <alignment horizontal="center" vertical="center"/>
    </xf>
    <xf numFmtId="172" fontId="0" fillId="4" borderId="29" xfId="0" applyNumberFormat="1" applyFont="1" applyFill="1" applyBorder="1" applyAlignment="1" applyProtection="1">
      <alignment horizontal="center"/>
      <protection locked="0"/>
    </xf>
    <xf numFmtId="172" fontId="0" fillId="4" borderId="29" xfId="0" applyNumberFormat="1" applyFill="1" applyBorder="1" applyAlignment="1" applyProtection="1">
      <alignment horizontal="center"/>
      <protection locked="0"/>
    </xf>
    <xf numFmtId="172" fontId="0" fillId="5" borderId="68" xfId="0" applyNumberFormat="1" applyFill="1" applyBorder="1" applyAlignment="1">
      <alignment horizontal="center" vertical="center" wrapText="1"/>
    </xf>
    <xf numFmtId="172" fontId="0" fillId="4" borderId="67" xfId="0" applyNumberFormat="1" applyFill="1" applyBorder="1" applyAlignment="1" applyProtection="1">
      <alignment horizontal="center"/>
      <protection locked="0"/>
    </xf>
    <xf numFmtId="172" fontId="0" fillId="4" borderId="5" xfId="0" applyNumberFormat="1" applyFont="1" applyFill="1" applyBorder="1" applyAlignment="1" applyProtection="1">
      <alignment horizontal="center"/>
      <protection locked="0"/>
    </xf>
    <xf numFmtId="0" fontId="17" fillId="6" borderId="27" xfId="0" applyFont="1" applyFill="1" applyBorder="1" applyAlignment="1">
      <alignment horizontal="center" vertical="center"/>
    </xf>
    <xf numFmtId="39" fontId="5" fillId="6" borderId="57" xfId="20" applyNumberFormat="1" applyFont="1" applyFill="1" applyBorder="1" applyAlignment="1">
      <alignment horizontal="center" vertical="center"/>
    </xf>
    <xf numFmtId="184" fontId="5" fillId="6" borderId="10" xfId="28" applyNumberFormat="1" applyFont="1" applyFill="1" applyBorder="1" applyAlignment="1">
      <alignment horizontal="center" vertical="center"/>
    </xf>
    <xf numFmtId="39" fontId="17" fillId="0" borderId="55" xfId="2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176" fontId="0" fillId="4" borderId="22" xfId="0" applyNumberFormat="1" applyFont="1" applyFill="1" applyBorder="1" applyAlignment="1">
      <alignment horizontal="center"/>
    </xf>
    <xf numFmtId="176" fontId="0" fillId="4" borderId="5" xfId="0" applyNumberFormat="1" applyFont="1" applyFill="1" applyBorder="1" applyAlignment="1">
      <alignment horizontal="center"/>
    </xf>
    <xf numFmtId="176" fontId="0" fillId="4" borderId="64" xfId="0" applyNumberFormat="1" applyFont="1" applyFill="1" applyBorder="1" applyAlignment="1">
      <alignment horizontal="center"/>
    </xf>
    <xf numFmtId="0" fontId="5" fillId="0" borderId="69" xfId="0" applyFont="1" applyFill="1" applyBorder="1" applyAlignment="1">
      <alignment/>
    </xf>
    <xf numFmtId="167" fontId="0" fillId="4" borderId="17" xfId="15" applyFill="1" applyBorder="1" applyAlignment="1">
      <alignment/>
    </xf>
    <xf numFmtId="176" fontId="0" fillId="4" borderId="66" xfId="0" applyNumberFormat="1" applyFont="1" applyFill="1" applyBorder="1" applyAlignment="1">
      <alignment horizontal="center"/>
    </xf>
    <xf numFmtId="167" fontId="0" fillId="0" borderId="63" xfId="15" applyBorder="1" applyAlignment="1">
      <alignment/>
    </xf>
    <xf numFmtId="167" fontId="0" fillId="0" borderId="6" xfId="15" applyBorder="1" applyAlignment="1">
      <alignment/>
    </xf>
    <xf numFmtId="37" fontId="0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37" fontId="0" fillId="4" borderId="16" xfId="0" applyNumberFormat="1" applyFont="1" applyFill="1" applyBorder="1" applyAlignment="1">
      <alignment horizontal="center"/>
    </xf>
    <xf numFmtId="37" fontId="0" fillId="4" borderId="18" xfId="0" applyNumberFormat="1" applyFont="1" applyFill="1" applyBorder="1" applyAlignment="1">
      <alignment horizontal="center"/>
    </xf>
    <xf numFmtId="37" fontId="0" fillId="4" borderId="70" xfId="0" applyNumberFormat="1" applyFont="1" applyFill="1" applyBorder="1" applyAlignment="1">
      <alignment horizontal="center"/>
    </xf>
    <xf numFmtId="37" fontId="0" fillId="4" borderId="71" xfId="0" applyNumberFormat="1" applyFont="1" applyFill="1" applyBorder="1" applyAlignment="1">
      <alignment horizontal="center"/>
    </xf>
    <xf numFmtId="37" fontId="0" fillId="4" borderId="72" xfId="0" applyNumberFormat="1" applyFont="1" applyFill="1" applyBorder="1" applyAlignment="1">
      <alignment horizontal="center"/>
    </xf>
    <xf numFmtId="37" fontId="0" fillId="4" borderId="4" xfId="0" applyNumberFormat="1" applyFont="1" applyFill="1" applyBorder="1" applyAlignment="1">
      <alignment horizontal="center"/>
    </xf>
    <xf numFmtId="37" fontId="0" fillId="0" borderId="71" xfId="0" applyNumberFormat="1" applyFont="1" applyFill="1" applyBorder="1" applyAlignment="1">
      <alignment horizontal="center"/>
    </xf>
    <xf numFmtId="37" fontId="0" fillId="0" borderId="18" xfId="0" applyNumberFormat="1" applyFont="1" applyFill="1" applyBorder="1" applyAlignment="1">
      <alignment horizontal="center"/>
    </xf>
    <xf numFmtId="37" fontId="0" fillId="0" borderId="7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0" fontId="5" fillId="5" borderId="7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3" fontId="0" fillId="4" borderId="8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0" fontId="5" fillId="4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82" fontId="0" fillId="6" borderId="17" xfId="15" applyNumberFormat="1" applyFont="1" applyFill="1" applyBorder="1" applyAlignment="1">
      <alignment horizontal="center"/>
    </xf>
    <xf numFmtId="3" fontId="0" fillId="0" borderId="0" xfId="15" applyNumberFormat="1" applyFont="1" applyFill="1" applyBorder="1" applyAlignment="1">
      <alignment horizontal="right"/>
    </xf>
    <xf numFmtId="38" fontId="0" fillId="0" borderId="6" xfId="0" applyNumberFormat="1" applyFill="1" applyBorder="1" applyAlignment="1">
      <alignment/>
    </xf>
    <xf numFmtId="176" fontId="0" fillId="4" borderId="36" xfId="18" applyNumberFormat="1" applyFont="1" applyFill="1" applyBorder="1" applyAlignment="1" applyProtection="1">
      <alignment horizontal="center"/>
      <protection locked="0"/>
    </xf>
    <xf numFmtId="176" fontId="0" fillId="4" borderId="42" xfId="18" applyNumberFormat="1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>
      <alignment horizontal="center" vertical="center"/>
    </xf>
    <xf numFmtId="39" fontId="17" fillId="6" borderId="4" xfId="20" applyNumberFormat="1" applyFont="1" applyFill="1" applyBorder="1" applyAlignment="1">
      <alignment horizontal="center" vertical="center"/>
    </xf>
    <xf numFmtId="184" fontId="5" fillId="6" borderId="4" xfId="2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90" fontId="6" fillId="4" borderId="19" xfId="15" applyNumberFormat="1" applyFont="1" applyFill="1" applyBorder="1" applyAlignment="1">
      <alignment/>
    </xf>
    <xf numFmtId="190" fontId="6" fillId="0" borderId="19" xfId="15" applyNumberFormat="1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5" borderId="64" xfId="0" applyFont="1" applyFill="1" applyBorder="1" applyAlignment="1">
      <alignment/>
    </xf>
    <xf numFmtId="0" fontId="3" fillId="5" borderId="22" xfId="0" applyFont="1" applyFill="1" applyBorder="1" applyAlignment="1">
      <alignment/>
    </xf>
    <xf numFmtId="190" fontId="6" fillId="4" borderId="18" xfId="15" applyNumberFormat="1" applyFont="1" applyFill="1" applyBorder="1" applyAlignment="1">
      <alignment/>
    </xf>
    <xf numFmtId="190" fontId="6" fillId="0" borderId="18" xfId="15" applyNumberFormat="1" applyFont="1" applyFill="1" applyBorder="1" applyAlignment="1">
      <alignment/>
    </xf>
    <xf numFmtId="190" fontId="6" fillId="0" borderId="18" xfId="15" applyNumberFormat="1" applyFont="1" applyFill="1" applyBorder="1" applyAlignment="1">
      <alignment horizontal="center"/>
    </xf>
    <xf numFmtId="190" fontId="6" fillId="0" borderId="19" xfId="15" applyNumberFormat="1" applyFont="1" applyFill="1" applyBorder="1" applyAlignment="1">
      <alignment horizontal="center"/>
    </xf>
    <xf numFmtId="190" fontId="6" fillId="0" borderId="69" xfId="15" applyNumberFormat="1" applyFont="1" applyFill="1" applyBorder="1" applyAlignment="1">
      <alignment horizontal="center"/>
    </xf>
    <xf numFmtId="190" fontId="6" fillId="0" borderId="66" xfId="15" applyNumberFormat="1" applyFont="1" applyFill="1" applyBorder="1" applyAlignment="1">
      <alignment horizontal="center"/>
    </xf>
    <xf numFmtId="190" fontId="6" fillId="0" borderId="18" xfId="15" applyNumberFormat="1" applyFont="1" applyFill="1" applyBorder="1" applyAlignment="1">
      <alignment horizontal="right"/>
    </xf>
    <xf numFmtId="190" fontId="6" fillId="0" borderId="19" xfId="15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center" vertical="center"/>
    </xf>
    <xf numFmtId="181" fontId="0" fillId="0" borderId="64" xfId="2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9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0" fillId="4" borderId="17" xfId="15" applyNumberFormat="1" applyFont="1" applyFill="1" applyBorder="1" applyAlignment="1">
      <alignment horizontal="center"/>
    </xf>
    <xf numFmtId="172" fontId="0" fillId="0" borderId="8" xfId="0" applyNumberFormat="1" applyFont="1" applyFill="1" applyBorder="1" applyAlignment="1">
      <alignment horizontal="center" vertical="center" wrapText="1"/>
    </xf>
    <xf numFmtId="0" fontId="0" fillId="1" borderId="75" xfId="0" applyFont="1" applyFill="1" applyBorder="1" applyAlignment="1">
      <alignment horizontal="center" vertical="center"/>
    </xf>
    <xf numFmtId="0" fontId="0" fillId="1" borderId="64" xfId="0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vertical="center" wrapText="1"/>
    </xf>
    <xf numFmtId="39" fontId="0" fillId="0" borderId="77" xfId="20" applyNumberFormat="1" applyFont="1" applyFill="1" applyBorder="1" applyAlignment="1">
      <alignment horizontal="center" vertical="center"/>
    </xf>
    <xf numFmtId="39" fontId="0" fillId="0" borderId="22" xfId="20" applyNumberFormat="1" applyFont="1" applyFill="1" applyBorder="1" applyAlignment="1">
      <alignment horizontal="center" vertical="center"/>
    </xf>
    <xf numFmtId="39" fontId="0" fillId="0" borderId="16" xfId="20" applyNumberFormat="1" applyFont="1" applyFill="1" applyBorder="1" applyAlignment="1">
      <alignment horizontal="center" vertical="center"/>
    </xf>
    <xf numFmtId="39" fontId="0" fillId="0" borderId="18" xfId="20" applyNumberFormat="1" applyFont="1" applyFill="1" applyBorder="1" applyAlignment="1">
      <alignment horizontal="center" vertical="center"/>
    </xf>
    <xf numFmtId="181" fontId="0" fillId="0" borderId="75" xfId="2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81" fontId="0" fillId="0" borderId="78" xfId="20" applyNumberFormat="1" applyFont="1" applyFill="1" applyBorder="1" applyAlignment="1">
      <alignment horizontal="center" vertical="center"/>
    </xf>
    <xf numFmtId="181" fontId="0" fillId="0" borderId="54" xfId="20" applyNumberFormat="1" applyFont="1" applyFill="1" applyBorder="1" applyAlignment="1">
      <alignment horizontal="center" vertical="center"/>
    </xf>
    <xf numFmtId="200" fontId="0" fillId="4" borderId="17" xfId="0" applyNumberFormat="1" applyFont="1" applyFill="1" applyBorder="1" applyAlignment="1" applyProtection="1">
      <alignment horizontal="center"/>
      <protection locked="0"/>
    </xf>
    <xf numFmtId="9" fontId="0" fillId="0" borderId="0" xfId="28" applyAlignment="1">
      <alignment/>
    </xf>
    <xf numFmtId="39" fontId="0" fillId="0" borderId="17" xfId="20" applyNumberFormat="1" applyFont="1" applyFill="1" applyBorder="1" applyAlignment="1">
      <alignment horizontal="center" vertical="center"/>
    </xf>
    <xf numFmtId="181" fontId="0" fillId="0" borderId="66" xfId="20" applyNumberFormat="1" applyFont="1" applyFill="1" applyBorder="1" applyAlignment="1">
      <alignment horizontal="center" vertical="center"/>
    </xf>
    <xf numFmtId="181" fontId="0" fillId="0" borderId="17" xfId="20" applyNumberFormat="1" applyFont="1" applyFill="1" applyBorder="1" applyAlignment="1">
      <alignment horizontal="center" vertical="center"/>
    </xf>
    <xf numFmtId="181" fontId="0" fillId="0" borderId="79" xfId="20" applyNumberFormat="1" applyFont="1" applyFill="1" applyBorder="1" applyAlignment="1">
      <alignment horizontal="center" vertical="center"/>
    </xf>
    <xf numFmtId="184" fontId="0" fillId="0" borderId="80" xfId="28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39" fontId="0" fillId="0" borderId="78" xfId="20" applyNumberFormat="1" applyFont="1" applyFill="1" applyBorder="1" applyAlignment="1">
      <alignment horizontal="center" vertical="center"/>
    </xf>
    <xf numFmtId="181" fontId="0" fillId="0" borderId="69" xfId="20" applyNumberFormat="1" applyFont="1" applyFill="1" applyBorder="1" applyAlignment="1">
      <alignment horizontal="center" vertical="center"/>
    </xf>
    <xf numFmtId="181" fontId="0" fillId="0" borderId="22" xfId="20" applyNumberFormat="1" applyFont="1" applyFill="1" applyBorder="1" applyAlignment="1">
      <alignment horizontal="center" vertical="center"/>
    </xf>
    <xf numFmtId="181" fontId="0" fillId="0" borderId="37" xfId="20" applyNumberFormat="1" applyFont="1" applyFill="1" applyBorder="1" applyAlignment="1">
      <alignment horizontal="center" vertical="center"/>
    </xf>
    <xf numFmtId="184" fontId="0" fillId="0" borderId="14" xfId="28" applyNumberFormat="1" applyFont="1" applyFill="1" applyBorder="1" applyAlignment="1">
      <alignment horizontal="center" vertical="center"/>
    </xf>
    <xf numFmtId="184" fontId="0" fillId="0" borderId="78" xfId="28" applyNumberFormat="1" applyFont="1" applyFill="1" applyBorder="1" applyAlignment="1">
      <alignment horizontal="center" vertical="center"/>
    </xf>
    <xf numFmtId="188" fontId="0" fillId="4" borderId="17" xfId="28" applyNumberFormat="1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0" fillId="4" borderId="47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0" fontId="8" fillId="0" borderId="63" xfId="0" applyFont="1" applyBorder="1" applyAlignment="1">
      <alignment horizontal="center"/>
    </xf>
    <xf numFmtId="0" fontId="5" fillId="7" borderId="0" xfId="0" applyFont="1" applyFill="1" applyAlignment="1">
      <alignment horizontal="left"/>
    </xf>
    <xf numFmtId="0" fontId="25" fillId="7" borderId="0" xfId="0" applyFont="1" applyFill="1" applyAlignment="1">
      <alignment/>
    </xf>
    <xf numFmtId="176" fontId="0" fillId="0" borderId="17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5" borderId="17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3" xfId="0" applyFont="1" applyBorder="1" applyAlignment="1">
      <alignment horizontal="center"/>
    </xf>
    <xf numFmtId="0" fontId="5" fillId="7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76" fontId="0" fillId="4" borderId="17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76" fontId="0" fillId="4" borderId="2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6" fontId="5" fillId="5" borderId="33" xfId="0" applyNumberFormat="1" applyFont="1" applyFill="1" applyBorder="1" applyAlignment="1">
      <alignment horizontal="center" wrapText="1"/>
    </xf>
    <xf numFmtId="176" fontId="5" fillId="5" borderId="3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5" borderId="34" xfId="0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37" fontId="5" fillId="5" borderId="17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Alignment="1">
      <alignment horizontal="center" vertical="center" wrapText="1"/>
    </xf>
    <xf numFmtId="37" fontId="5" fillId="5" borderId="17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5" borderId="17" xfId="0" applyFont="1" applyFill="1" applyBorder="1" applyAlignment="1">
      <alignment horizontal="center" wrapText="1"/>
    </xf>
    <xf numFmtId="0" fontId="23" fillId="5" borderId="15" xfId="0" applyFont="1" applyFill="1" applyBorder="1" applyAlignment="1">
      <alignment horizontal="center" wrapText="1"/>
    </xf>
    <xf numFmtId="0" fontId="23" fillId="5" borderId="8" xfId="0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65" xfId="0" applyFont="1" applyFill="1" applyBorder="1" applyAlignment="1">
      <alignment horizontal="center"/>
    </xf>
    <xf numFmtId="0" fontId="8" fillId="5" borderId="82" xfId="0" applyFont="1" applyFill="1" applyBorder="1" applyAlignment="1">
      <alignment horizontal="center"/>
    </xf>
    <xf numFmtId="176" fontId="7" fillId="5" borderId="40" xfId="0" applyNumberFormat="1" applyFont="1" applyFill="1" applyBorder="1" applyAlignment="1">
      <alignment horizontal="center" vertical="center" wrapText="1"/>
    </xf>
    <xf numFmtId="176" fontId="7" fillId="5" borderId="83" xfId="0" applyNumberFormat="1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83" xfId="0" applyFont="1" applyFill="1" applyBorder="1" applyAlignment="1">
      <alignment horizontal="center" vertical="center" wrapText="1"/>
    </xf>
    <xf numFmtId="172" fontId="7" fillId="5" borderId="40" xfId="0" applyNumberFormat="1" applyFont="1" applyFill="1" applyBorder="1" applyAlignment="1">
      <alignment horizontal="center" vertical="center" wrapText="1"/>
    </xf>
    <xf numFmtId="172" fontId="7" fillId="5" borderId="8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0" fontId="2" fillId="8" borderId="7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7" fontId="3" fillId="0" borderId="36" xfId="0" applyNumberFormat="1" applyFont="1" applyFill="1" applyBorder="1" applyAlignment="1">
      <alignment horizontal="left" wrapText="1"/>
    </xf>
    <xf numFmtId="0" fontId="3" fillId="0" borderId="72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64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70" fontId="0" fillId="8" borderId="0" xfId="0" applyNumberFormat="1" applyFill="1" applyAlignment="1">
      <alignment/>
    </xf>
    <xf numFmtId="0" fontId="27" fillId="0" borderId="0" xfId="0" applyFont="1" applyFill="1" applyAlignment="1">
      <alignment/>
    </xf>
    <xf numFmtId="37" fontId="0" fillId="0" borderId="0" xfId="0" applyNumberFormat="1" applyFill="1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Final - 2004 RAM for rate schedule - milton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5" zoomScaleNormal="75" workbookViewId="0" topLeftCell="A1">
      <selection activeCell="A3" sqref="A3:B3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537" t="s">
        <v>322</v>
      </c>
      <c r="B1" s="537"/>
    </row>
    <row r="2" spans="1:2" ht="12.75">
      <c r="A2" s="537" t="s">
        <v>323</v>
      </c>
      <c r="B2" s="537"/>
    </row>
    <row r="3" spans="1:2" ht="12.75">
      <c r="A3" s="537"/>
      <c r="B3" s="537"/>
    </row>
    <row r="4" spans="1:2" ht="12.75">
      <c r="A4" s="538"/>
      <c r="B4" s="538"/>
    </row>
    <row r="5" spans="1:2" ht="30.75" customHeight="1">
      <c r="A5" s="536" t="s">
        <v>40</v>
      </c>
      <c r="B5" s="536"/>
    </row>
    <row r="6" ht="7.5" customHeight="1">
      <c r="A6" s="6"/>
    </row>
    <row r="7" spans="1:12" ht="18">
      <c r="A7" s="6"/>
      <c r="D7" s="56"/>
      <c r="E7" s="8"/>
      <c r="F7" s="8"/>
      <c r="G7" s="8"/>
      <c r="H7" s="8"/>
      <c r="I7" s="8"/>
      <c r="J7" s="8"/>
      <c r="K7" s="8"/>
      <c r="L7" s="8"/>
    </row>
    <row r="8" spans="1:12" ht="15.75">
      <c r="A8" s="5" t="s">
        <v>39</v>
      </c>
      <c r="B8" s="284">
        <v>32421329.780409973</v>
      </c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43</v>
      </c>
      <c r="B9" s="284">
        <v>2185746.71</v>
      </c>
      <c r="E9" s="8"/>
      <c r="F9" s="8"/>
      <c r="G9" s="8"/>
      <c r="H9" s="8"/>
      <c r="I9" s="8"/>
      <c r="J9" s="8"/>
      <c r="K9" s="8"/>
      <c r="L9" s="8"/>
    </row>
    <row r="10" spans="1:12" ht="15.75">
      <c r="A10" s="5" t="s">
        <v>185</v>
      </c>
      <c r="B10" s="47">
        <f>+B8-B9</f>
        <v>30235583.070409972</v>
      </c>
      <c r="E10" s="8"/>
      <c r="F10" s="8"/>
      <c r="G10" s="8"/>
      <c r="H10" s="8"/>
      <c r="I10" s="8"/>
      <c r="J10" s="8"/>
      <c r="K10" s="8"/>
      <c r="L10" s="8"/>
    </row>
    <row r="11" spans="5:12" ht="12.75">
      <c r="E11" s="8"/>
      <c r="F11" s="8"/>
      <c r="G11" s="8"/>
      <c r="H11" s="8"/>
      <c r="I11" s="8"/>
      <c r="J11" s="8"/>
      <c r="K11" s="8"/>
      <c r="L11" s="8"/>
    </row>
    <row r="12" spans="1:12" ht="15.75">
      <c r="A12" s="5" t="s">
        <v>184</v>
      </c>
      <c r="B12" s="284">
        <v>360511.77</v>
      </c>
      <c r="E12" s="8"/>
      <c r="F12" s="8"/>
      <c r="G12" s="8"/>
      <c r="H12" s="8"/>
      <c r="I12" s="8"/>
      <c r="J12" s="8"/>
      <c r="K12" s="8"/>
      <c r="L12" s="8"/>
    </row>
    <row r="13" spans="1:2" ht="15.75">
      <c r="A13" s="5" t="s">
        <v>44</v>
      </c>
      <c r="B13" s="7">
        <f>-'Transformer Allowance'!C15</f>
        <v>392475.6</v>
      </c>
    </row>
    <row r="14" spans="1:2" ht="16.5" thickBot="1">
      <c r="A14" s="5" t="s">
        <v>45</v>
      </c>
      <c r="B14" s="48">
        <f>+B10+B12+B13</f>
        <v>30988570.440409973</v>
      </c>
    </row>
    <row r="15" ht="13.5" thickTop="1"/>
    <row r="16" spans="1:4" s="16" customFormat="1" ht="15.75">
      <c r="A16" s="20"/>
      <c r="D16"/>
    </row>
    <row r="17" spans="1:4" s="16" customFormat="1" ht="15.75">
      <c r="A17" s="20"/>
      <c r="B17" s="21"/>
      <c r="D17"/>
    </row>
    <row r="18" spans="1:2" s="16" customFormat="1" ht="15.75">
      <c r="A18" s="20"/>
      <c r="B18" s="21"/>
    </row>
    <row r="19" spans="1:2" s="16" customFormat="1" ht="15.75">
      <c r="A19" s="20"/>
      <c r="B19" s="21"/>
    </row>
    <row r="20" spans="1:2" ht="15.75">
      <c r="A20" s="5"/>
      <c r="B20" s="7"/>
    </row>
    <row r="22" spans="1:2" ht="15.75">
      <c r="A22" s="5"/>
      <c r="B22" s="7"/>
    </row>
    <row r="23" spans="1:2" ht="15.75">
      <c r="A23" s="5"/>
      <c r="B23" s="7"/>
    </row>
    <row r="24" spans="1:2" ht="15.75">
      <c r="A24" s="5"/>
      <c r="B24" s="7"/>
    </row>
    <row r="25" ht="12.75">
      <c r="B25" s="8"/>
    </row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F27" sqref="F27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12.75">
      <c r="A1" s="534" t="str">
        <f>+'Revenue Input'!A1</f>
        <v>Niagara Peninsula Energy</v>
      </c>
      <c r="B1" s="534"/>
      <c r="C1" s="534"/>
      <c r="D1" s="534"/>
      <c r="E1" s="534"/>
      <c r="F1" s="534"/>
      <c r="G1" s="534"/>
    </row>
    <row r="2" spans="1:7" ht="12.75">
      <c r="A2" s="534" t="str">
        <f>+'Revenue Input'!A2</f>
        <v>, License Number ED-2007-0749, File Number EB-2010-0138</v>
      </c>
      <c r="B2" s="534"/>
      <c r="C2" s="534"/>
      <c r="D2" s="534"/>
      <c r="E2" s="534"/>
      <c r="F2" s="534"/>
      <c r="G2" s="534"/>
    </row>
    <row r="3" spans="1:7" ht="12.75">
      <c r="A3" s="534">
        <f>+'Revenue Input'!A3</f>
        <v>0</v>
      </c>
      <c r="B3" s="534"/>
      <c r="C3" s="534"/>
      <c r="D3" s="534"/>
      <c r="E3" s="534"/>
      <c r="F3" s="534"/>
      <c r="G3" s="534"/>
    </row>
    <row r="4" spans="1:7" ht="6.75" customHeight="1">
      <c r="A4" s="545"/>
      <c r="B4" s="545"/>
      <c r="C4" s="545"/>
      <c r="D4" s="545"/>
      <c r="E4" s="545"/>
      <c r="F4" s="545"/>
      <c r="G4" s="545"/>
    </row>
    <row r="5" spans="1:7" ht="20.25">
      <c r="A5" s="565" t="s">
        <v>134</v>
      </c>
      <c r="B5" s="565"/>
      <c r="C5" s="565"/>
      <c r="D5" s="565"/>
      <c r="E5" s="565"/>
      <c r="F5" s="565"/>
      <c r="G5" s="565"/>
    </row>
    <row r="6" spans="1:7" ht="8.25" customHeight="1">
      <c r="A6" s="564"/>
      <c r="B6" s="564"/>
      <c r="C6" s="564"/>
      <c r="D6" s="564"/>
      <c r="E6" s="564"/>
      <c r="F6" s="564"/>
      <c r="G6" s="564"/>
    </row>
    <row r="7" spans="1:7" ht="25.5">
      <c r="A7" s="86" t="s">
        <v>0</v>
      </c>
      <c r="B7" s="91" t="s">
        <v>133</v>
      </c>
      <c r="C7" s="91" t="s">
        <v>13</v>
      </c>
      <c r="D7" s="91" t="s">
        <v>14</v>
      </c>
      <c r="E7" s="91" t="s">
        <v>15</v>
      </c>
      <c r="F7" s="91" t="s">
        <v>131</v>
      </c>
      <c r="G7" s="91" t="s">
        <v>132</v>
      </c>
    </row>
    <row r="8" spans="1:7" ht="18" customHeight="1">
      <c r="A8" s="108" t="str">
        <f>'Allocation Low Voltage Costs'!A8</f>
        <v>Residential</v>
      </c>
      <c r="B8" s="96">
        <f>+'Allocation Low Voltage Costs'!F8</f>
        <v>138074.89760871662</v>
      </c>
      <c r="C8" s="125">
        <f>+'2011 Test Yr On Existing Rates'!B9</f>
        <v>459406922.9621654</v>
      </c>
      <c r="D8" s="125">
        <f>+'2011 Test Yr On Existing Rates'!C9</f>
        <v>0</v>
      </c>
      <c r="E8" s="124" t="s">
        <v>16</v>
      </c>
      <c r="F8" s="128">
        <f>+B8/C8</f>
        <v>0.00030055031978716573</v>
      </c>
      <c r="G8" s="128"/>
    </row>
    <row r="9" spans="1:7" ht="18" customHeight="1">
      <c r="A9" s="108" t="str">
        <f>'Allocation Low Voltage Costs'!A9</f>
        <v>GS &lt; 50 kW</v>
      </c>
      <c r="B9" s="96">
        <f>+'Allocation Low Voltage Costs'!F9</f>
        <v>31935.830807655973</v>
      </c>
      <c r="C9" s="125">
        <f>+'2011 Test Yr On Existing Rates'!B10</f>
        <v>121437542.89615433</v>
      </c>
      <c r="D9" s="125">
        <f>+'2011 Test Yr On Existing Rates'!C10</f>
        <v>0</v>
      </c>
      <c r="E9" s="124" t="s">
        <v>16</v>
      </c>
      <c r="F9" s="128">
        <f>+B9/C9</f>
        <v>0.0002629815298137699</v>
      </c>
      <c r="G9" s="128"/>
    </row>
    <row r="10" spans="1:7" ht="18" customHeight="1">
      <c r="A10" s="108" t="str">
        <f>'Allocation Low Voltage Costs'!A10</f>
        <v>GS &gt;50</v>
      </c>
      <c r="B10" s="96">
        <f>+'Allocation Low Voltage Costs'!F10</f>
        <v>188192.14833976427</v>
      </c>
      <c r="C10" s="125">
        <f>+'2011 Test Yr On Existing Rates'!B11</f>
        <v>623806669.8519042</v>
      </c>
      <c r="D10" s="125">
        <f>+'2011 Test Yr On Existing Rates'!C11</f>
        <v>1806009.478738651</v>
      </c>
      <c r="E10" s="124" t="s">
        <v>17</v>
      </c>
      <c r="F10" s="128"/>
      <c r="G10" s="128">
        <f>+B10/D10</f>
        <v>0.10420330045620857</v>
      </c>
    </row>
    <row r="11" spans="1:7" ht="18" customHeight="1">
      <c r="A11" s="108" t="str">
        <f>'Allocation Low Voltage Costs'!A11</f>
        <v>Large Use</v>
      </c>
      <c r="B11" s="96">
        <f>+'Allocation Low Voltage Costs'!F11</f>
        <v>0</v>
      </c>
      <c r="C11" s="125">
        <f>+'2011 Test Yr On Existing Rates'!B12</f>
        <v>0</v>
      </c>
      <c r="D11" s="125">
        <f>+'2011 Test Yr On Existing Rates'!C12</f>
        <v>0</v>
      </c>
      <c r="E11" s="124" t="s">
        <v>17</v>
      </c>
      <c r="F11" s="128"/>
      <c r="G11" s="128">
        <v>0</v>
      </c>
    </row>
    <row r="12" spans="1:7" ht="18" customHeight="1">
      <c r="A12" s="108" t="str">
        <f>'Allocation Low Voltage Costs'!A12</f>
        <v>Sentinel Lights</v>
      </c>
      <c r="B12" s="96">
        <f>+'Allocation Low Voltage Costs'!F12</f>
        <v>70.43968676268348</v>
      </c>
      <c r="C12" s="125">
        <f>+'2011 Test Yr On Existing Rates'!B13</f>
        <v>292817.0019203169</v>
      </c>
      <c r="D12" s="125">
        <f>+'2011 Test Yr On Existing Rates'!C13</f>
        <v>808.9826992464147</v>
      </c>
      <c r="E12" s="124" t="s">
        <v>17</v>
      </c>
      <c r="F12" s="128"/>
      <c r="G12" s="128">
        <f>+B12/D12</f>
        <v>0.08707193222834013</v>
      </c>
    </row>
    <row r="13" spans="1:7" ht="18" customHeight="1">
      <c r="A13" s="108" t="str">
        <f>'Allocation Low Voltage Costs'!A13</f>
        <v>Street Lighting</v>
      </c>
      <c r="B13" s="96">
        <f>+'Allocation Low Voltage Costs'!F13</f>
        <v>1609.655972928039</v>
      </c>
      <c r="C13" s="125">
        <f>+'2011 Test Yr On Existing Rates'!B14</f>
        <v>7467590.678805388</v>
      </c>
      <c r="D13" s="125">
        <f>+'2011 Test Yr On Existing Rates'!C14</f>
        <v>20107.421231269767</v>
      </c>
      <c r="E13" s="124" t="s">
        <v>17</v>
      </c>
      <c r="F13" s="128"/>
      <c r="G13" s="128">
        <f>+B13/D13</f>
        <v>0.08005282996831069</v>
      </c>
    </row>
    <row r="14" spans="1:7" ht="21" customHeight="1">
      <c r="A14" s="108" t="str">
        <f>'Allocation Low Voltage Costs'!A14</f>
        <v>USL</v>
      </c>
      <c r="B14" s="96">
        <f>+'Allocation Low Voltage Costs'!F14</f>
        <v>628.7975841724516</v>
      </c>
      <c r="C14" s="125">
        <f>+'2011 Test Yr On Existing Rates'!B15</f>
        <v>2335427.833945072</v>
      </c>
      <c r="D14" s="125">
        <f>+'2011 Test Yr On Existing Rates'!C15</f>
        <v>0</v>
      </c>
      <c r="E14" s="124" t="s">
        <v>16</v>
      </c>
      <c r="F14" s="128">
        <f>+B14/C14</f>
        <v>0.0002692429948093359</v>
      </c>
      <c r="G14" s="128"/>
    </row>
    <row r="15" spans="1:7" ht="18" customHeight="1" thickBot="1">
      <c r="A15" s="113" t="s">
        <v>18</v>
      </c>
      <c r="B15" s="121">
        <f>SUM(B8:B14)</f>
        <v>360511.7700000001</v>
      </c>
      <c r="C15" s="126">
        <f>SUM(C8:C14)</f>
        <v>1214746971.2248945</v>
      </c>
      <c r="D15" s="127">
        <f>SUM(D8:D14)</f>
        <v>1826925.8826691671</v>
      </c>
      <c r="E15" s="122"/>
      <c r="F15" s="123"/>
      <c r="G15" s="122"/>
    </row>
    <row r="16" ht="13.5" thickTop="1"/>
  </sheetData>
  <mergeCells count="6">
    <mergeCell ref="A6:G6"/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 topLeftCell="A1">
      <selection activeCell="G13" sqref="G13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2.28125" style="0" customWidth="1"/>
    <col min="14" max="14" width="22.28125" style="0" customWidth="1"/>
  </cols>
  <sheetData>
    <row r="1" spans="1:12" ht="12.75">
      <c r="A1" s="534" t="str">
        <f>+'Revenue Input'!A1</f>
        <v>Niagara Peninsula Energy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ht="12.75">
      <c r="A2" s="534" t="str">
        <f>+'Revenue Input'!A2</f>
        <v>, License Number ED-2007-0749, File Number EB-2010-0138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12.75">
      <c r="A3" s="534">
        <f>+'Revenue Input'!A3</f>
        <v>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1:12" ht="13.5" thickBo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</row>
    <row r="5" spans="1:15" ht="21" thickBot="1">
      <c r="A5" s="565" t="s">
        <v>236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N5" s="56" t="s">
        <v>167</v>
      </c>
      <c r="O5" s="132" t="str">
        <f>'Distribution Rate Schedule'!H5</f>
        <v>y</v>
      </c>
    </row>
    <row r="6" spans="1:12" ht="25.5">
      <c r="A6" s="567" t="s">
        <v>154</v>
      </c>
      <c r="B6" s="566" t="s">
        <v>208</v>
      </c>
      <c r="C6" s="566"/>
      <c r="D6" s="133" t="s">
        <v>237</v>
      </c>
      <c r="E6" s="133"/>
      <c r="F6" s="566" t="s">
        <v>155</v>
      </c>
      <c r="G6" s="566"/>
      <c r="H6" s="566"/>
      <c r="I6" s="133" t="s">
        <v>156</v>
      </c>
      <c r="J6" s="133" t="s">
        <v>157</v>
      </c>
      <c r="K6" s="133" t="s">
        <v>164</v>
      </c>
      <c r="L6" s="133" t="s">
        <v>165</v>
      </c>
    </row>
    <row r="7" spans="1:12" ht="12.75">
      <c r="A7" s="568"/>
      <c r="B7" s="133" t="s">
        <v>158</v>
      </c>
      <c r="C7" s="133" t="s">
        <v>159</v>
      </c>
      <c r="D7" s="133"/>
      <c r="E7" s="133"/>
      <c r="F7" s="133" t="s">
        <v>158</v>
      </c>
      <c r="G7" s="133" t="s">
        <v>159</v>
      </c>
      <c r="H7" s="133" t="s">
        <v>41</v>
      </c>
      <c r="I7" s="133" t="s">
        <v>41</v>
      </c>
      <c r="J7" s="133" t="s">
        <v>41</v>
      </c>
      <c r="K7" s="133" t="s">
        <v>166</v>
      </c>
      <c r="L7" s="133" t="s">
        <v>41</v>
      </c>
    </row>
    <row r="8" spans="1:12" ht="24.75" customHeight="1">
      <c r="A8" s="569"/>
      <c r="B8" s="134" t="s">
        <v>160</v>
      </c>
      <c r="C8" s="134" t="s">
        <v>160</v>
      </c>
      <c r="D8" s="134"/>
      <c r="E8" s="134" t="s">
        <v>182</v>
      </c>
      <c r="F8" s="133" t="s">
        <v>161</v>
      </c>
      <c r="G8" s="133" t="s">
        <v>161</v>
      </c>
      <c r="H8" s="135" t="s">
        <v>161</v>
      </c>
      <c r="I8" s="135" t="s">
        <v>161</v>
      </c>
      <c r="J8" s="135" t="s">
        <v>161</v>
      </c>
      <c r="K8" s="136">
        <v>3</v>
      </c>
      <c r="L8" s="135" t="s">
        <v>161</v>
      </c>
    </row>
    <row r="9" spans="1:12" ht="19.5" customHeight="1">
      <c r="A9" s="287" t="str">
        <f>'Distribution Rate Schedule'!A11</f>
        <v>Residential</v>
      </c>
      <c r="B9" s="267"/>
      <c r="C9" s="267"/>
      <c r="D9" s="268">
        <f>'Low Voltage Rates'!C8</f>
        <v>459406922.9621654</v>
      </c>
      <c r="E9" s="269" t="str">
        <f>'Low Voltage Rates'!E8</f>
        <v>kWh</v>
      </c>
      <c r="F9" s="271">
        <f>B9/D9</f>
        <v>0</v>
      </c>
      <c r="G9" s="271">
        <f>C9/D9</f>
        <v>0</v>
      </c>
      <c r="H9" s="271">
        <f>F9+G9</f>
        <v>0</v>
      </c>
      <c r="I9" s="271">
        <f>H9/2</f>
        <v>0</v>
      </c>
      <c r="J9" s="271">
        <f>H9/3</f>
        <v>0</v>
      </c>
      <c r="K9" s="270"/>
      <c r="L9" s="283">
        <f>IF($O$5="Y",ROUND(IF($K$8=2,I9,IF($K$8=3,J9,0)),4),IF($K$8=2,I9,IF($K$8=3,J9,0)))</f>
        <v>0</v>
      </c>
    </row>
    <row r="10" spans="1:15" ht="19.5" customHeight="1">
      <c r="A10" s="287" t="str">
        <f>'Distribution Rate Schedule'!A12</f>
        <v>GS &lt; 50 kW</v>
      </c>
      <c r="B10" s="267"/>
      <c r="C10" s="267"/>
      <c r="D10" s="268">
        <f>'Low Voltage Rates'!C9</f>
        <v>121437542.89615433</v>
      </c>
      <c r="E10" s="269" t="str">
        <f>'Low Voltage Rates'!E9</f>
        <v>kWh</v>
      </c>
      <c r="F10" s="271">
        <f aca="true" t="shared" si="0" ref="F10:F15">B10/D10</f>
        <v>0</v>
      </c>
      <c r="G10" s="271">
        <f aca="true" t="shared" si="1" ref="G10:G15">C10/D10</f>
        <v>0</v>
      </c>
      <c r="H10" s="271">
        <f aca="true" t="shared" si="2" ref="H10:H15">F10+G10</f>
        <v>0</v>
      </c>
      <c r="I10" s="271">
        <f aca="true" t="shared" si="3" ref="I10:I15">H10/2</f>
        <v>0</v>
      </c>
      <c r="J10" s="271">
        <f aca="true" t="shared" si="4" ref="J10:J15">H10/3</f>
        <v>0</v>
      </c>
      <c r="K10" s="270"/>
      <c r="L10" s="283">
        <f aca="true" t="shared" si="5" ref="L10:L15">IF($O$5="Y",ROUND(IF($K$8=2,I10,IF($K$8=3,J10,0)),4),IF($K$8=2,I10,IF($K$8=3,J10,0)))</f>
        <v>0</v>
      </c>
      <c r="M10" s="56"/>
      <c r="N10" s="8"/>
      <c r="O10" s="8"/>
    </row>
    <row r="11" spans="1:12" ht="19.5" customHeight="1">
      <c r="A11" s="287" t="str">
        <f>'Distribution Rate Schedule'!A13</f>
        <v>GS &gt;50</v>
      </c>
      <c r="B11" s="267"/>
      <c r="C11" s="267"/>
      <c r="D11" s="268">
        <f>'Low Voltage Rates'!D10</f>
        <v>1806009.478738651</v>
      </c>
      <c r="E11" s="269" t="str">
        <f>'Low Voltage Rates'!E10</f>
        <v>kW</v>
      </c>
      <c r="F11" s="271">
        <f t="shared" si="0"/>
        <v>0</v>
      </c>
      <c r="G11" s="271">
        <f t="shared" si="1"/>
        <v>0</v>
      </c>
      <c r="H11" s="271">
        <f t="shared" si="2"/>
        <v>0</v>
      </c>
      <c r="I11" s="271">
        <f t="shared" si="3"/>
        <v>0</v>
      </c>
      <c r="J11" s="271">
        <f t="shared" si="4"/>
        <v>0</v>
      </c>
      <c r="K11" s="270"/>
      <c r="L11" s="283">
        <f t="shared" si="5"/>
        <v>0</v>
      </c>
    </row>
    <row r="12" spans="1:12" ht="19.5" customHeight="1">
      <c r="A12" s="287" t="str">
        <f>'Distribution Rate Schedule'!A14</f>
        <v>Large Use</v>
      </c>
      <c r="B12" s="267"/>
      <c r="C12" s="267"/>
      <c r="D12" s="268">
        <f>'Low Voltage Rates'!D11</f>
        <v>0</v>
      </c>
      <c r="E12" s="269" t="str">
        <f>'Low Voltage Rates'!E11</f>
        <v>kW</v>
      </c>
      <c r="F12" s="271">
        <f>IF(ISERROR(B12/D12),0,B12/D12)</f>
        <v>0</v>
      </c>
      <c r="G12" s="271">
        <f>IF(ISERROR(C12/D12),0,C12/D12)</f>
        <v>0</v>
      </c>
      <c r="H12" s="271">
        <f t="shared" si="2"/>
        <v>0</v>
      </c>
      <c r="I12" s="271">
        <f t="shared" si="3"/>
        <v>0</v>
      </c>
      <c r="J12" s="271">
        <f t="shared" si="4"/>
        <v>0</v>
      </c>
      <c r="K12" s="270"/>
      <c r="L12" s="283">
        <f t="shared" si="5"/>
        <v>0</v>
      </c>
    </row>
    <row r="13" spans="1:12" ht="19.5" customHeight="1">
      <c r="A13" s="287" t="str">
        <f>'Distribution Rate Schedule'!A15</f>
        <v>Sentinel Lights</v>
      </c>
      <c r="B13" s="267"/>
      <c r="C13" s="267"/>
      <c r="D13" s="361">
        <f>'Low Voltage Rates'!D12</f>
        <v>808.9826992464147</v>
      </c>
      <c r="E13" s="269" t="str">
        <f>'Low Voltage Rates'!E12</f>
        <v>kW</v>
      </c>
      <c r="F13" s="271">
        <f t="shared" si="0"/>
        <v>0</v>
      </c>
      <c r="G13" s="271">
        <f t="shared" si="1"/>
        <v>0</v>
      </c>
      <c r="H13" s="271">
        <f t="shared" si="2"/>
        <v>0</v>
      </c>
      <c r="I13" s="271">
        <f t="shared" si="3"/>
        <v>0</v>
      </c>
      <c r="J13" s="271">
        <f t="shared" si="4"/>
        <v>0</v>
      </c>
      <c r="K13" s="362"/>
      <c r="L13" s="283">
        <f t="shared" si="5"/>
        <v>0</v>
      </c>
    </row>
    <row r="14" spans="1:12" ht="19.5" customHeight="1">
      <c r="A14" s="287" t="str">
        <f>'Distribution Rate Schedule'!A16</f>
        <v>Street Lighting</v>
      </c>
      <c r="B14" s="267"/>
      <c r="C14" s="267"/>
      <c r="D14" s="361">
        <f>'Low Voltage Rates'!D13</f>
        <v>20107.421231269767</v>
      </c>
      <c r="E14" s="269" t="str">
        <f>'Low Voltage Rates'!E13</f>
        <v>kW</v>
      </c>
      <c r="F14" s="271">
        <f t="shared" si="0"/>
        <v>0</v>
      </c>
      <c r="G14" s="271">
        <f t="shared" si="1"/>
        <v>0</v>
      </c>
      <c r="H14" s="271">
        <f t="shared" si="2"/>
        <v>0</v>
      </c>
      <c r="I14" s="271">
        <f t="shared" si="3"/>
        <v>0</v>
      </c>
      <c r="J14" s="271">
        <f t="shared" si="4"/>
        <v>0</v>
      </c>
      <c r="K14" s="362"/>
      <c r="L14" s="283">
        <f t="shared" si="5"/>
        <v>0</v>
      </c>
    </row>
    <row r="15" spans="1:12" ht="19.5" customHeight="1">
      <c r="A15" s="287" t="str">
        <f>'Distribution Rate Schedule'!A17</f>
        <v>USL</v>
      </c>
      <c r="B15" s="267"/>
      <c r="C15" s="267"/>
      <c r="D15" s="361">
        <f>'Low Voltage Rates'!C14</f>
        <v>2335427.833945072</v>
      </c>
      <c r="E15" s="269" t="str">
        <f>'Low Voltage Rates'!E14</f>
        <v>kWh</v>
      </c>
      <c r="F15" s="271">
        <f t="shared" si="0"/>
        <v>0</v>
      </c>
      <c r="G15" s="271">
        <f t="shared" si="1"/>
        <v>0</v>
      </c>
      <c r="H15" s="271">
        <f t="shared" si="2"/>
        <v>0</v>
      </c>
      <c r="I15" s="271">
        <f t="shared" si="3"/>
        <v>0</v>
      </c>
      <c r="J15" s="271">
        <f t="shared" si="4"/>
        <v>0</v>
      </c>
      <c r="K15" s="362"/>
      <c r="L15" s="283">
        <f t="shared" si="5"/>
        <v>0</v>
      </c>
    </row>
    <row r="16" spans="1:12" ht="19.5" customHeight="1" thickBot="1">
      <c r="A16" s="272" t="s">
        <v>41</v>
      </c>
      <c r="B16" s="273">
        <f>SUM(B9:B12)</f>
        <v>0</v>
      </c>
      <c r="C16" s="273">
        <f>SUM(C9:C12)</f>
        <v>0</v>
      </c>
      <c r="D16" s="273"/>
      <c r="E16" s="274"/>
      <c r="F16" s="273"/>
      <c r="G16" s="273"/>
      <c r="H16" s="273"/>
      <c r="I16" s="273"/>
      <c r="J16" s="273"/>
      <c r="K16" s="273"/>
      <c r="L16" s="273"/>
    </row>
    <row r="17" ht="13.5" thickTop="1"/>
  </sheetData>
  <mergeCells count="8">
    <mergeCell ref="B6:C6"/>
    <mergeCell ref="F6:H6"/>
    <mergeCell ref="A1:L1"/>
    <mergeCell ref="A2:L2"/>
    <mergeCell ref="A3:L3"/>
    <mergeCell ref="A4:L4"/>
    <mergeCell ref="A5:L5"/>
    <mergeCell ref="A6:A8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9.57421875" style="0" bestFit="1" customWidth="1"/>
    <col min="2" max="2" width="27.7109375" style="0" customWidth="1"/>
    <col min="3" max="3" width="24.57421875" style="0" customWidth="1"/>
    <col min="4" max="4" width="23.57421875" style="0" customWidth="1"/>
    <col min="5" max="5" width="23.7109375" style="0" customWidth="1"/>
    <col min="6" max="6" width="30.140625" style="0" customWidth="1"/>
    <col min="7" max="7" width="22.00390625" style="0" customWidth="1"/>
    <col min="8" max="11" width="10.00390625" style="0" customWidth="1"/>
  </cols>
  <sheetData>
    <row r="1" spans="1:6" ht="12.75">
      <c r="A1" s="534" t="str">
        <f>+'Revenue Input'!A1</f>
        <v>Niagara Peninsula Energy</v>
      </c>
      <c r="B1" s="534"/>
      <c r="C1" s="534"/>
      <c r="D1" s="534"/>
      <c r="E1" s="534"/>
      <c r="F1" s="534"/>
    </row>
    <row r="2" spans="1:6" ht="12.75">
      <c r="A2" s="534" t="str">
        <f>+'Revenue Input'!A2</f>
        <v>, License Number ED-2007-0749, File Number EB-2010-0138</v>
      </c>
      <c r="B2" s="534"/>
      <c r="C2" s="534"/>
      <c r="D2" s="534"/>
      <c r="E2" s="534"/>
      <c r="F2" s="534"/>
    </row>
    <row r="3" spans="1:6" ht="12.75">
      <c r="A3" s="534">
        <f>+'Revenue Input'!A3</f>
        <v>0</v>
      </c>
      <c r="B3" s="534"/>
      <c r="C3" s="534"/>
      <c r="D3" s="534"/>
      <c r="E3" s="534"/>
      <c r="F3" s="534"/>
    </row>
    <row r="4" spans="1:6" ht="13.5" thickBot="1">
      <c r="A4" s="545"/>
      <c r="B4" s="545"/>
      <c r="C4" s="545"/>
      <c r="D4" s="545"/>
      <c r="E4" s="545"/>
      <c r="F4" s="545"/>
    </row>
    <row r="5" spans="1:8" ht="21" thickBot="1">
      <c r="A5" s="570" t="s">
        <v>287</v>
      </c>
      <c r="B5" s="570"/>
      <c r="C5" s="570"/>
      <c r="D5" s="570"/>
      <c r="E5" s="570"/>
      <c r="F5" s="570"/>
      <c r="G5" s="56" t="s">
        <v>167</v>
      </c>
      <c r="H5" s="132" t="str">
        <f>'Distribution Rate Schedule'!H5</f>
        <v>y</v>
      </c>
    </row>
    <row r="6" spans="1:6" ht="45.75" thickBot="1">
      <c r="A6" s="137" t="s">
        <v>0</v>
      </c>
      <c r="B6" s="137" t="s">
        <v>196</v>
      </c>
      <c r="C6" s="137" t="s">
        <v>197</v>
      </c>
      <c r="D6" s="137" t="s">
        <v>275</v>
      </c>
      <c r="E6" s="137" t="s">
        <v>276</v>
      </c>
      <c r="F6" s="137" t="s">
        <v>168</v>
      </c>
    </row>
    <row r="7" spans="1:11" ht="16.5" thickBot="1">
      <c r="A7" s="288" t="str">
        <f>'Distribution Rate Schedule'!A11</f>
        <v>Residential</v>
      </c>
      <c r="B7" s="138">
        <v>-0.0028</v>
      </c>
      <c r="C7" s="319"/>
      <c r="D7" s="467">
        <v>0.0011</v>
      </c>
      <c r="E7" s="467"/>
      <c r="F7" s="317">
        <v>1</v>
      </c>
      <c r="G7" s="56"/>
      <c r="H7" s="56"/>
      <c r="I7" s="56"/>
      <c r="J7" s="56"/>
      <c r="K7" s="56"/>
    </row>
    <row r="8" spans="1:6" ht="16.5" thickBot="1">
      <c r="A8" s="288" t="str">
        <f>'Distribution Rate Schedule'!A12</f>
        <v>GS &lt; 50 kW</v>
      </c>
      <c r="B8" s="139">
        <v>-0.0027</v>
      </c>
      <c r="C8" s="316"/>
      <c r="D8" s="316">
        <v>0.0011</v>
      </c>
      <c r="E8" s="316"/>
      <c r="F8" s="282">
        <v>1</v>
      </c>
    </row>
    <row r="9" spans="1:6" ht="16.5" thickBot="1">
      <c r="A9" s="288" t="str">
        <f>'Distribution Rate Schedule'!A13</f>
        <v>GS &gt;50</v>
      </c>
      <c r="B9" s="139"/>
      <c r="C9" s="316">
        <v>-1.16</v>
      </c>
      <c r="D9" s="316"/>
      <c r="E9" s="316">
        <v>0.4244</v>
      </c>
      <c r="F9" s="282">
        <v>1</v>
      </c>
    </row>
    <row r="10" spans="1:6" ht="16.5" thickBot="1">
      <c r="A10" s="288" t="str">
        <f>'Distribution Rate Schedule'!A14</f>
        <v>Large Use</v>
      </c>
      <c r="B10" s="139"/>
      <c r="C10" s="316"/>
      <c r="D10" s="468"/>
      <c r="E10" s="468"/>
      <c r="F10" s="318"/>
    </row>
    <row r="11" spans="1:6" ht="16.5" thickBot="1">
      <c r="A11" s="288" t="str">
        <f>'Distribution Rate Schedule'!A15</f>
        <v>Sentinel Lights</v>
      </c>
      <c r="B11" s="139"/>
      <c r="C11" s="316">
        <v>-1.2973</v>
      </c>
      <c r="D11" s="316"/>
      <c r="E11" s="316">
        <v>0.3939</v>
      </c>
      <c r="F11" s="282"/>
    </row>
    <row r="12" spans="1:6" ht="16.5" thickBot="1">
      <c r="A12" s="288" t="str">
        <f>'Distribution Rate Schedule'!A16</f>
        <v>Street Lighting</v>
      </c>
      <c r="B12" s="139"/>
      <c r="C12" s="316">
        <v>-0.5038</v>
      </c>
      <c r="D12" s="316"/>
      <c r="E12" s="316"/>
      <c r="F12" s="282"/>
    </row>
    <row r="13" spans="1:6" ht="15.75">
      <c r="A13" s="288" t="str">
        <f>'Distribution Rate Schedule'!A17</f>
        <v>USL</v>
      </c>
      <c r="B13" s="139">
        <v>-0.0027</v>
      </c>
      <c r="C13" s="316"/>
      <c r="D13" s="316">
        <v>0.0011</v>
      </c>
      <c r="E13" s="316"/>
      <c r="F13" s="282"/>
    </row>
    <row r="18" spans="1:6" ht="21" thickBot="1">
      <c r="A18" s="570" t="s">
        <v>288</v>
      </c>
      <c r="B18" s="570"/>
      <c r="C18" s="570"/>
      <c r="D18" s="570"/>
      <c r="E18" s="570"/>
      <c r="F18" s="570"/>
    </row>
    <row r="19" spans="1:6" ht="45.75" thickBot="1">
      <c r="A19" s="137" t="s">
        <v>0</v>
      </c>
      <c r="B19" s="137" t="s">
        <v>196</v>
      </c>
      <c r="C19" s="137" t="s">
        <v>197</v>
      </c>
      <c r="D19" s="137" t="s">
        <v>275</v>
      </c>
      <c r="E19" s="137" t="s">
        <v>276</v>
      </c>
      <c r="F19" s="137" t="s">
        <v>168</v>
      </c>
    </row>
    <row r="20" spans="1:6" ht="16.5" thickBot="1">
      <c r="A20" s="288" t="str">
        <f>'Distribution Rate Schedule'!A11</f>
        <v>Residential</v>
      </c>
      <c r="B20" s="138">
        <v>-0.0064</v>
      </c>
      <c r="C20" s="319"/>
      <c r="D20" s="467">
        <v>0.0007</v>
      </c>
      <c r="E20" s="467"/>
      <c r="F20" s="317">
        <v>1</v>
      </c>
    </row>
    <row r="21" spans="1:6" ht="16.5" thickBot="1">
      <c r="A21" s="288" t="str">
        <f>'Distribution Rate Schedule'!A12</f>
        <v>GS &lt; 50 kW</v>
      </c>
      <c r="B21" s="139">
        <v>-0.0065</v>
      </c>
      <c r="C21" s="316"/>
      <c r="D21" s="316">
        <v>0.0007</v>
      </c>
      <c r="E21" s="316"/>
      <c r="F21" s="282">
        <v>1</v>
      </c>
    </row>
    <row r="22" spans="1:6" ht="16.5" thickBot="1">
      <c r="A22" s="288" t="str">
        <f>'Distribution Rate Schedule'!A13</f>
        <v>GS &gt;50</v>
      </c>
      <c r="B22" s="139"/>
      <c r="C22" s="316">
        <v>-1.9651</v>
      </c>
      <c r="D22" s="316"/>
      <c r="E22" s="316">
        <v>0.3116</v>
      </c>
      <c r="F22" s="282">
        <v>1</v>
      </c>
    </row>
    <row r="23" spans="1:6" ht="16.5" thickBot="1">
      <c r="A23" s="288" t="str">
        <f>'Distribution Rate Schedule'!A14</f>
        <v>Large Use</v>
      </c>
      <c r="B23" s="139"/>
      <c r="C23" s="316"/>
      <c r="D23" s="468"/>
      <c r="E23" s="468"/>
      <c r="F23" s="318"/>
    </row>
    <row r="24" spans="1:6" ht="16.5" thickBot="1">
      <c r="A24" s="288" t="str">
        <f>'Distribution Rate Schedule'!A15</f>
        <v>Sentinel Lights</v>
      </c>
      <c r="B24" s="139"/>
      <c r="C24" s="316">
        <v>-2.2732</v>
      </c>
      <c r="D24" s="316"/>
      <c r="E24" s="316">
        <v>0.2799</v>
      </c>
      <c r="F24" s="282"/>
    </row>
    <row r="25" spans="1:6" ht="16.5" thickBot="1">
      <c r="A25" s="288" t="str">
        <f>'Distribution Rate Schedule'!A16</f>
        <v>Street Lighting</v>
      </c>
      <c r="B25" s="139"/>
      <c r="C25" s="316">
        <v>-2.1909</v>
      </c>
      <c r="D25" s="316"/>
      <c r="E25" s="316"/>
      <c r="F25" s="282"/>
    </row>
    <row r="26" spans="1:6" ht="15.75">
      <c r="A26" s="288" t="str">
        <f>'Distribution Rate Schedule'!A17</f>
        <v>USL</v>
      </c>
      <c r="B26" s="139">
        <v>-0.0064</v>
      </c>
      <c r="C26" s="316"/>
      <c r="D26" s="316">
        <v>0.001</v>
      </c>
      <c r="E26" s="316"/>
      <c r="F26" s="282"/>
    </row>
    <row r="29" spans="1:6" ht="21" thickBot="1">
      <c r="A29" s="570" t="s">
        <v>289</v>
      </c>
      <c r="B29" s="570"/>
      <c r="C29" s="570"/>
      <c r="D29" s="570"/>
      <c r="E29" s="570"/>
      <c r="F29" s="570"/>
    </row>
    <row r="30" spans="1:6" ht="45.75" thickBot="1">
      <c r="A30" s="137" t="s">
        <v>0</v>
      </c>
      <c r="B30" s="137" t="s">
        <v>196</v>
      </c>
      <c r="C30" s="137" t="s">
        <v>197</v>
      </c>
      <c r="D30" s="137" t="s">
        <v>275</v>
      </c>
      <c r="E30" s="137" t="s">
        <v>276</v>
      </c>
      <c r="F30" s="137" t="s">
        <v>168</v>
      </c>
    </row>
    <row r="31" spans="1:6" ht="16.5" thickBot="1">
      <c r="A31" s="288" t="str">
        <f>'Distribution Rate Schedule'!A11</f>
        <v>Residential</v>
      </c>
      <c r="B31" s="138">
        <v>0.0001</v>
      </c>
      <c r="C31" s="319"/>
      <c r="D31" s="467">
        <v>0.0016</v>
      </c>
      <c r="E31" s="467"/>
      <c r="F31" s="317"/>
    </row>
    <row r="32" spans="1:6" ht="16.5" thickBot="1">
      <c r="A32" s="288" t="str">
        <f>'Distribution Rate Schedule'!A12</f>
        <v>GS &lt; 50 kW</v>
      </c>
      <c r="B32" s="139">
        <v>-0.0013</v>
      </c>
      <c r="C32" s="316"/>
      <c r="D32" s="316">
        <v>0.0019</v>
      </c>
      <c r="E32" s="316"/>
      <c r="F32" s="282"/>
    </row>
    <row r="33" spans="1:6" ht="16.5" thickBot="1">
      <c r="A33" s="288" t="str">
        <f>'Distribution Rate Schedule'!A13</f>
        <v>GS &gt;50</v>
      </c>
      <c r="B33" s="139"/>
      <c r="C33" s="316">
        <v>-0.6119</v>
      </c>
      <c r="D33" s="316"/>
      <c r="E33" s="316">
        <v>0.6442</v>
      </c>
      <c r="F33" s="282"/>
    </row>
    <row r="34" spans="1:6" ht="16.5" thickBot="1">
      <c r="A34" s="288" t="str">
        <f>'Distribution Rate Schedule'!A14</f>
        <v>Large Use</v>
      </c>
      <c r="B34" s="139"/>
      <c r="C34" s="316"/>
      <c r="D34" s="468"/>
      <c r="E34" s="468"/>
      <c r="F34" s="318"/>
    </row>
    <row r="35" spans="1:6" ht="16.5" thickBot="1">
      <c r="A35" s="288" t="str">
        <f>'Distribution Rate Schedule'!A15</f>
        <v>Sentinel Lights</v>
      </c>
      <c r="B35" s="139"/>
      <c r="C35" s="316">
        <v>2.1482</v>
      </c>
      <c r="D35" s="316"/>
      <c r="E35" s="316">
        <v>0.978</v>
      </c>
      <c r="F35" s="282"/>
    </row>
    <row r="36" spans="1:6" ht="16.5" thickBot="1">
      <c r="A36" s="288" t="str">
        <f>'Distribution Rate Schedule'!A16</f>
        <v>Street Lighting</v>
      </c>
      <c r="B36" s="139"/>
      <c r="C36" s="316">
        <v>-0.6329</v>
      </c>
      <c r="D36" s="316"/>
      <c r="E36" s="316">
        <v>0.6613</v>
      </c>
      <c r="F36" s="282"/>
    </row>
    <row r="37" spans="1:6" ht="15.75">
      <c r="A37" s="288" t="str">
        <f>'Distribution Rate Schedule'!A17</f>
        <v>USL</v>
      </c>
      <c r="B37" s="139">
        <v>-0.0005</v>
      </c>
      <c r="C37" s="316"/>
      <c r="D37" s="316">
        <v>0.0016</v>
      </c>
      <c r="E37" s="316"/>
      <c r="F37" s="282"/>
    </row>
  </sheetData>
  <mergeCells count="7">
    <mergeCell ref="A29:F29"/>
    <mergeCell ref="A18:F18"/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355" verticalDpi="355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C11" sqref="C11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9.00390625" style="1" bestFit="1" customWidth="1"/>
    <col min="8" max="8" width="13.8515625" style="1" bestFit="1" customWidth="1"/>
    <col min="9" max="9" width="10.28125" style="1" bestFit="1" customWidth="1"/>
    <col min="10" max="11" width="14.00390625" style="1" bestFit="1" customWidth="1"/>
    <col min="12" max="12" width="13.7109375" style="1" customWidth="1"/>
  </cols>
  <sheetData>
    <row r="1" spans="1:5" ht="12.75">
      <c r="A1" s="534" t="str">
        <f>+'Revenue Input'!A1</f>
        <v>Niagara Peninsula Energy</v>
      </c>
      <c r="B1" s="534"/>
      <c r="C1" s="534"/>
      <c r="D1" s="534"/>
      <c r="E1" s="534"/>
    </row>
    <row r="2" spans="1:5" ht="12.75">
      <c r="A2" s="534" t="str">
        <f>+'Revenue Input'!A2</f>
        <v>, License Number ED-2007-0749, File Number EB-2010-0138</v>
      </c>
      <c r="B2" s="534"/>
      <c r="C2" s="534"/>
      <c r="D2" s="534"/>
      <c r="E2" s="534"/>
    </row>
    <row r="3" spans="1:5" ht="12.75">
      <c r="A3" s="534">
        <f>+'Revenue Input'!A3</f>
        <v>0</v>
      </c>
      <c r="B3" s="534"/>
      <c r="C3" s="534"/>
      <c r="D3" s="534"/>
      <c r="E3" s="534"/>
    </row>
    <row r="4" spans="1:5" ht="13.5" thickBot="1">
      <c r="A4" s="545"/>
      <c r="B4" s="545"/>
      <c r="C4" s="545"/>
      <c r="D4" s="545"/>
      <c r="E4" s="545"/>
    </row>
    <row r="5" spans="1:8" ht="21" thickBot="1">
      <c r="A5" s="573" t="s">
        <v>232</v>
      </c>
      <c r="B5" s="573"/>
      <c r="C5" s="573"/>
      <c r="D5" s="573"/>
      <c r="E5" s="573"/>
      <c r="G5" s="61" t="s">
        <v>147</v>
      </c>
      <c r="H5" s="285" t="s">
        <v>242</v>
      </c>
    </row>
    <row r="6" spans="1:5" ht="15.75">
      <c r="A6" s="572"/>
      <c r="B6" s="572"/>
      <c r="C6" s="572"/>
      <c r="D6" s="572"/>
      <c r="E6" s="572"/>
    </row>
    <row r="7" spans="1:11" ht="12.75">
      <c r="A7" s="571"/>
      <c r="B7" s="571"/>
      <c r="C7" s="571"/>
      <c r="D7" s="571"/>
      <c r="E7" s="571"/>
      <c r="F7" s="57"/>
      <c r="G7" s="57"/>
      <c r="H7" s="57"/>
      <c r="I7" s="57"/>
      <c r="J7" s="57"/>
      <c r="K7" s="57"/>
    </row>
    <row r="8" spans="1:5" ht="15.75">
      <c r="A8" s="572"/>
      <c r="B8" s="572"/>
      <c r="C8" s="572"/>
      <c r="D8" s="572"/>
      <c r="E8" s="572"/>
    </row>
    <row r="9" spans="1:12" s="8" customFormat="1" ht="18">
      <c r="A9" s="552" t="s">
        <v>233</v>
      </c>
      <c r="B9" s="552"/>
      <c r="C9" s="552"/>
      <c r="D9" s="552"/>
      <c r="E9" s="552"/>
      <c r="G9" s="18"/>
      <c r="H9" s="18"/>
      <c r="I9" s="18"/>
      <c r="J9" s="18"/>
      <c r="K9" s="18"/>
      <c r="L9" s="18"/>
    </row>
    <row r="10" spans="1:12" s="8" customFormat="1" ht="12.75">
      <c r="A10" s="86" t="s">
        <v>0</v>
      </c>
      <c r="B10" s="85" t="s">
        <v>25</v>
      </c>
      <c r="C10" s="85" t="s">
        <v>26</v>
      </c>
      <c r="D10" s="85" t="s">
        <v>17</v>
      </c>
      <c r="E10" s="85" t="s">
        <v>16</v>
      </c>
      <c r="G10" s="19"/>
      <c r="H10" s="19"/>
      <c r="I10" s="19"/>
      <c r="J10" s="19"/>
      <c r="K10" s="19"/>
      <c r="L10" s="19"/>
    </row>
    <row r="11" spans="1:12" s="8" customFormat="1" ht="18" customHeight="1">
      <c r="A11" s="108" t="str">
        <f>'Low Voltage Rates'!A8</f>
        <v>Residential</v>
      </c>
      <c r="B11" s="311">
        <v>0</v>
      </c>
      <c r="C11" s="311">
        <f>IF(+$H$5="Y",+ROUND(+'Rates By Rate Class'!D8,2),+'Rates By Rate Class'!D8)</f>
        <v>16.55</v>
      </c>
      <c r="D11" s="130">
        <v>0</v>
      </c>
      <c r="E11" s="130">
        <f>IF(+$H$5="Y",ROUND(+'Rates By Rate Class'!E8,4),+'Rates By Rate Class'!E8)</f>
        <v>0.0167</v>
      </c>
      <c r="G11" s="59"/>
      <c r="H11" s="59"/>
      <c r="I11" s="18"/>
      <c r="J11" s="18"/>
      <c r="K11" s="18"/>
      <c r="L11" s="18"/>
    </row>
    <row r="12" spans="1:12" s="8" customFormat="1" ht="18" customHeight="1">
      <c r="A12" s="108" t="str">
        <f>'Low Voltage Rates'!A9</f>
        <v>GS &lt; 50 kW</v>
      </c>
      <c r="B12" s="311">
        <v>0</v>
      </c>
      <c r="C12" s="311">
        <f>IF(+$H$5="Y",+ROUND(+'Rates By Rate Class'!D9,2),+'Rates By Rate Class'!D9)</f>
        <v>38.45</v>
      </c>
      <c r="D12" s="130">
        <v>0</v>
      </c>
      <c r="E12" s="130">
        <f>IF(+$H$5="Y",ROUND(+'Rates By Rate Class'!E9,4),+'Rates By Rate Class'!E9)</f>
        <v>0.0141</v>
      </c>
      <c r="G12" s="59"/>
      <c r="H12" s="59"/>
      <c r="I12" s="18"/>
      <c r="J12" s="18"/>
      <c r="K12" s="18"/>
      <c r="L12" s="18"/>
    </row>
    <row r="13" spans="1:12" s="8" customFormat="1" ht="18" customHeight="1">
      <c r="A13" s="108" t="str">
        <f>'Low Voltage Rates'!A10</f>
        <v>GS &gt;50</v>
      </c>
      <c r="B13" s="311">
        <v>0</v>
      </c>
      <c r="C13" s="311">
        <f>IF(+$H$5="Y",+ROUND(+'Rates By Rate Class'!D10,2),+'Rates By Rate Class'!D10)</f>
        <v>222.81</v>
      </c>
      <c r="D13" s="130">
        <f>IF(+$H$5="Y",ROUND(+'Rates By Rate Class'!E10,4),+'Rates By Rate Class'!E10)</f>
        <v>4.0311</v>
      </c>
      <c r="E13" s="130">
        <v>0</v>
      </c>
      <c r="G13" s="59"/>
      <c r="H13" s="59"/>
      <c r="I13" s="18"/>
      <c r="J13" s="18"/>
      <c r="K13" s="18"/>
      <c r="L13" s="18"/>
    </row>
    <row r="14" spans="1:12" s="8" customFormat="1" ht="18" customHeight="1">
      <c r="A14" s="108" t="str">
        <f>'Low Voltage Rates'!A11</f>
        <v>Large Use</v>
      </c>
      <c r="B14" s="311">
        <v>0</v>
      </c>
      <c r="C14" s="311">
        <f>IF(+$H$5="Y",+ROUND(+'Rates By Rate Class'!D11,2),+'Rates By Rate Class'!D11)</f>
        <v>0</v>
      </c>
      <c r="D14" s="130">
        <f>IF(+$H$5="Y",ROUND(+'Rates By Rate Class'!E11,4),+'Rates By Rate Class'!E11)</f>
        <v>0</v>
      </c>
      <c r="E14" s="130">
        <v>0</v>
      </c>
      <c r="G14" s="59"/>
      <c r="H14" s="59"/>
      <c r="I14" s="18"/>
      <c r="J14" s="18"/>
      <c r="K14" s="18"/>
      <c r="L14" s="18"/>
    </row>
    <row r="15" spans="1:12" s="8" customFormat="1" ht="18" customHeight="1">
      <c r="A15" s="108" t="str">
        <f>'Low Voltage Rates'!A12</f>
        <v>Sentinel Lights</v>
      </c>
      <c r="B15" s="311">
        <f>IF(+$H$5="Y",+ROUND(+'Rates By Rate Class'!D12,4),+'Rates By Rate Class'!D12)</f>
        <v>7.1862</v>
      </c>
      <c r="C15" s="311">
        <v>0</v>
      </c>
      <c r="D15" s="130">
        <f>IF(+$H$5="Y",ROUND(+'Rates By Rate Class'!E12,4),+'Rates By Rate Class'!E12)</f>
        <v>8.9771</v>
      </c>
      <c r="E15" s="130">
        <v>0</v>
      </c>
      <c r="G15" s="59"/>
      <c r="H15" s="59"/>
      <c r="I15" s="18"/>
      <c r="J15" s="18"/>
      <c r="K15" s="18"/>
      <c r="L15" s="18"/>
    </row>
    <row r="16" spans="1:12" s="8" customFormat="1" ht="18" customHeight="1">
      <c r="A16" s="108" t="str">
        <f>'Low Voltage Rates'!A13</f>
        <v>Street Lighting</v>
      </c>
      <c r="B16" s="311">
        <f>IF(+$H$5="Y",+ROUND(+'Rates By Rate Class'!D13,4),+'Rates By Rate Class'!D13)</f>
        <v>0.8005</v>
      </c>
      <c r="C16" s="311">
        <v>0</v>
      </c>
      <c r="D16" s="130">
        <f>IF(+$H$5="Y",ROUND(+'Rates By Rate Class'!E13,4),+'Rates By Rate Class'!E13)</f>
        <v>3.1398</v>
      </c>
      <c r="E16" s="130">
        <v>0</v>
      </c>
      <c r="G16" s="59"/>
      <c r="H16" s="59"/>
      <c r="I16" s="18"/>
      <c r="J16" s="18"/>
      <c r="K16" s="18"/>
      <c r="L16" s="18"/>
    </row>
    <row r="17" spans="1:12" s="8" customFormat="1" ht="18" customHeight="1">
      <c r="A17" s="108" t="str">
        <f>'Low Voltage Rates'!A14</f>
        <v>USL</v>
      </c>
      <c r="B17" s="311">
        <f>IF(+$H$5="Y",+ROUND(+'Rates By Rate Class'!D14,4),+'Rates By Rate Class'!D14)</f>
        <v>19.8658</v>
      </c>
      <c r="C17" s="311">
        <v>0</v>
      </c>
      <c r="D17" s="130">
        <v>0</v>
      </c>
      <c r="E17" s="130">
        <f>IF(+$H$5="Y",ROUND(+'Rates By Rate Class'!E14,4),+'Rates By Rate Class'!E14)</f>
        <v>0.0139</v>
      </c>
      <c r="G17" s="59"/>
      <c r="H17" s="59"/>
      <c r="I17" s="18"/>
      <c r="J17" s="18"/>
      <c r="K17" s="18"/>
      <c r="L17" s="18"/>
    </row>
    <row r="18" spans="1:12" ht="18.75" customHeight="1">
      <c r="A18" s="572"/>
      <c r="B18" s="572"/>
      <c r="C18" s="572"/>
      <c r="D18" s="572"/>
      <c r="E18" s="572"/>
      <c r="G18" s="18"/>
      <c r="H18" s="18"/>
      <c r="I18" s="18"/>
      <c r="J18" s="18"/>
      <c r="K18" s="18"/>
      <c r="L18" s="18"/>
    </row>
    <row r="19" spans="1:12" s="8" customFormat="1" ht="18">
      <c r="A19" s="552" t="s">
        <v>234</v>
      </c>
      <c r="B19" s="552"/>
      <c r="C19" s="552"/>
      <c r="D19" s="552"/>
      <c r="E19" s="552"/>
      <c r="G19" s="18"/>
      <c r="H19" s="18"/>
      <c r="I19" s="18"/>
      <c r="J19" s="18"/>
      <c r="K19" s="18"/>
      <c r="L19" s="18"/>
    </row>
    <row r="20" spans="1:12" s="8" customFormat="1" ht="12.75">
      <c r="A20" s="86" t="s">
        <v>0</v>
      </c>
      <c r="B20" s="85" t="s">
        <v>25</v>
      </c>
      <c r="C20" s="85" t="s">
        <v>26</v>
      </c>
      <c r="D20" s="85" t="s">
        <v>17</v>
      </c>
      <c r="E20" s="85" t="s">
        <v>16</v>
      </c>
      <c r="G20" s="18"/>
      <c r="H20" s="18"/>
      <c r="I20" s="18"/>
      <c r="J20" s="18"/>
      <c r="K20" s="18"/>
      <c r="L20" s="18"/>
    </row>
    <row r="21" spans="1:12" s="8" customFormat="1" ht="18" customHeight="1">
      <c r="A21" s="108" t="str">
        <f aca="true" t="shared" si="0" ref="A21:A27">A11</f>
        <v>Residential</v>
      </c>
      <c r="B21" s="130"/>
      <c r="C21" s="130"/>
      <c r="D21" s="130"/>
      <c r="E21" s="130">
        <f>IF(+$H$5="Y",+ROUND(+'Low Voltage Rates'!F8,4),+'Low Voltage Rates'!F8)</f>
        <v>0.0003</v>
      </c>
      <c r="G21" s="59"/>
      <c r="H21" s="59"/>
      <c r="I21" s="18"/>
      <c r="J21" s="18"/>
      <c r="K21" s="18"/>
      <c r="L21" s="18"/>
    </row>
    <row r="22" spans="1:12" s="8" customFormat="1" ht="18" customHeight="1">
      <c r="A22" s="108" t="str">
        <f t="shared" si="0"/>
        <v>GS &lt; 50 kW</v>
      </c>
      <c r="B22" s="130"/>
      <c r="C22" s="130"/>
      <c r="D22" s="130"/>
      <c r="E22" s="130">
        <f>IF(+$H$5="Y",+ROUND(+'Low Voltage Rates'!F9,4),+'Low Voltage Rates'!F9)</f>
        <v>0.0003</v>
      </c>
      <c r="G22" s="59"/>
      <c r="H22" s="59"/>
      <c r="I22" s="18"/>
      <c r="J22" s="18"/>
      <c r="K22" s="18"/>
      <c r="L22" s="18"/>
    </row>
    <row r="23" spans="1:12" s="8" customFormat="1" ht="18" customHeight="1">
      <c r="A23" s="108" t="str">
        <f t="shared" si="0"/>
        <v>GS &gt;50</v>
      </c>
      <c r="B23" s="130"/>
      <c r="C23" s="130"/>
      <c r="D23" s="130">
        <f>IF(+$H$5="Y",+ROUND(+'Low Voltage Rates'!G10,4),+'Low Voltage Rates'!G10)</f>
        <v>0.1042</v>
      </c>
      <c r="E23" s="130"/>
      <c r="G23" s="59"/>
      <c r="H23" s="59"/>
      <c r="I23" s="18"/>
      <c r="J23" s="18"/>
      <c r="K23" s="18"/>
      <c r="L23" s="18"/>
    </row>
    <row r="24" spans="1:12" s="8" customFormat="1" ht="18" customHeight="1">
      <c r="A24" s="108" t="str">
        <f t="shared" si="0"/>
        <v>Large Use</v>
      </c>
      <c r="B24" s="130"/>
      <c r="C24" s="130"/>
      <c r="D24" s="130">
        <f>IF(+$H$5="Y",+ROUND(+'Low Voltage Rates'!G11,4),+'Low Voltage Rates'!G11)</f>
        <v>0</v>
      </c>
      <c r="E24" s="130"/>
      <c r="G24" s="59"/>
      <c r="H24" s="59"/>
      <c r="I24" s="18"/>
      <c r="J24" s="18"/>
      <c r="K24" s="18"/>
      <c r="L24" s="18"/>
    </row>
    <row r="25" spans="1:12" s="8" customFormat="1" ht="18" customHeight="1">
      <c r="A25" s="108" t="str">
        <f t="shared" si="0"/>
        <v>Sentinel Lights</v>
      </c>
      <c r="B25" s="130"/>
      <c r="C25" s="130"/>
      <c r="D25" s="130">
        <f>IF(+$H$5="Y",+ROUND(+'Low Voltage Rates'!G12,4),+'Low Voltage Rates'!G12)</f>
        <v>0.0871</v>
      </c>
      <c r="E25" s="130"/>
      <c r="G25" s="59"/>
      <c r="H25" s="59"/>
      <c r="I25" s="18"/>
      <c r="J25" s="18"/>
      <c r="K25" s="18"/>
      <c r="L25" s="18"/>
    </row>
    <row r="26" spans="1:12" s="8" customFormat="1" ht="18" customHeight="1">
      <c r="A26" s="108" t="str">
        <f t="shared" si="0"/>
        <v>Street Lighting</v>
      </c>
      <c r="B26" s="130"/>
      <c r="C26" s="130"/>
      <c r="D26" s="130">
        <f>IF(+$H$5="Y",+ROUND(+'Low Voltage Rates'!G13,4),+'Low Voltage Rates'!G13)</f>
        <v>0.0801</v>
      </c>
      <c r="E26" s="130"/>
      <c r="G26" s="59"/>
      <c r="H26" s="59"/>
      <c r="I26" s="18"/>
      <c r="J26" s="18"/>
      <c r="K26" s="18"/>
      <c r="L26" s="18"/>
    </row>
    <row r="27" spans="1:12" s="8" customFormat="1" ht="18" customHeight="1">
      <c r="A27" s="108" t="str">
        <f t="shared" si="0"/>
        <v>USL</v>
      </c>
      <c r="B27" s="130"/>
      <c r="C27" s="130"/>
      <c r="D27" s="130"/>
      <c r="E27" s="130">
        <f>IF(+$H$5="Y",+ROUND(+'Low Voltage Rates'!F14,4),+'Low Voltage Rates'!F14)</f>
        <v>0.0003</v>
      </c>
      <c r="G27" s="59"/>
      <c r="H27" s="59"/>
      <c r="I27" s="18"/>
      <c r="J27" s="18"/>
      <c r="K27" s="18"/>
      <c r="L27" s="18"/>
    </row>
    <row r="28" spans="1:12" s="8" customFormat="1" ht="15.75">
      <c r="A28" s="572"/>
      <c r="B28" s="572"/>
      <c r="C28" s="572"/>
      <c r="D28" s="572"/>
      <c r="E28" s="572"/>
      <c r="G28" s="18"/>
      <c r="H28" s="18"/>
      <c r="I28" s="18"/>
      <c r="J28" s="18"/>
      <c r="K28" s="18"/>
      <c r="L28" s="18"/>
    </row>
    <row r="29" spans="1:12" s="8" customFormat="1" ht="18">
      <c r="A29" s="552" t="s">
        <v>235</v>
      </c>
      <c r="B29" s="552"/>
      <c r="C29" s="552"/>
      <c r="D29" s="552"/>
      <c r="E29" s="552"/>
      <c r="G29" s="18"/>
      <c r="H29" s="18"/>
      <c r="I29" s="18"/>
      <c r="J29" s="18"/>
      <c r="K29" s="18"/>
      <c r="L29" s="18"/>
    </row>
    <row r="30" spans="1:12" s="8" customFormat="1" ht="12.75">
      <c r="A30" s="86" t="s">
        <v>0</v>
      </c>
      <c r="B30" s="85" t="s">
        <v>25</v>
      </c>
      <c r="C30" s="85" t="s">
        <v>26</v>
      </c>
      <c r="D30" s="85" t="s">
        <v>17</v>
      </c>
      <c r="E30" s="85" t="s">
        <v>16</v>
      </c>
      <c r="G30" s="19"/>
      <c r="H30" s="19"/>
      <c r="I30" s="19"/>
      <c r="J30" s="19"/>
      <c r="K30" s="19"/>
      <c r="L30" s="19"/>
    </row>
    <row r="31" spans="1:13" s="8" customFormat="1" ht="18" customHeight="1">
      <c r="A31" s="108" t="str">
        <f aca="true" t="shared" si="1" ref="A31:A37">A21</f>
        <v>Residential</v>
      </c>
      <c r="B31" s="311">
        <f aca="true" t="shared" si="2" ref="B31:E37">+B11+B21</f>
        <v>0</v>
      </c>
      <c r="C31" s="311">
        <f t="shared" si="2"/>
        <v>16.55</v>
      </c>
      <c r="D31" s="130">
        <f t="shared" si="2"/>
        <v>0</v>
      </c>
      <c r="E31" s="130">
        <f t="shared" si="2"/>
        <v>0.017</v>
      </c>
      <c r="G31" s="59"/>
      <c r="H31" s="59"/>
      <c r="I31" s="18"/>
      <c r="J31" s="18"/>
      <c r="K31" s="18"/>
      <c r="L31" s="18"/>
      <c r="M31" s="129"/>
    </row>
    <row r="32" spans="1:13" s="8" customFormat="1" ht="18" customHeight="1">
      <c r="A32" s="108" t="str">
        <f t="shared" si="1"/>
        <v>GS &lt; 50 kW</v>
      </c>
      <c r="B32" s="311">
        <f t="shared" si="2"/>
        <v>0</v>
      </c>
      <c r="C32" s="311">
        <f t="shared" si="2"/>
        <v>38.45</v>
      </c>
      <c r="D32" s="130">
        <f t="shared" si="2"/>
        <v>0</v>
      </c>
      <c r="E32" s="130">
        <f t="shared" si="2"/>
        <v>0.0144</v>
      </c>
      <c r="G32" s="59"/>
      <c r="H32" s="59"/>
      <c r="I32" s="18"/>
      <c r="J32" s="18"/>
      <c r="K32" s="18"/>
      <c r="L32" s="18"/>
      <c r="M32" s="129"/>
    </row>
    <row r="33" spans="1:13" s="8" customFormat="1" ht="18" customHeight="1">
      <c r="A33" s="108" t="str">
        <f t="shared" si="1"/>
        <v>GS &gt;50</v>
      </c>
      <c r="B33" s="311">
        <f t="shared" si="2"/>
        <v>0</v>
      </c>
      <c r="C33" s="311">
        <f t="shared" si="2"/>
        <v>222.81</v>
      </c>
      <c r="D33" s="130">
        <f t="shared" si="2"/>
        <v>4.1353</v>
      </c>
      <c r="E33" s="130">
        <f t="shared" si="2"/>
        <v>0</v>
      </c>
      <c r="G33" s="59"/>
      <c r="H33" s="59"/>
      <c r="I33" s="18"/>
      <c r="J33" s="18"/>
      <c r="K33" s="18"/>
      <c r="L33" s="18"/>
      <c r="M33" s="129"/>
    </row>
    <row r="34" spans="1:13" s="8" customFormat="1" ht="18" customHeight="1">
      <c r="A34" s="108" t="str">
        <f t="shared" si="1"/>
        <v>Large Use</v>
      </c>
      <c r="B34" s="311">
        <f t="shared" si="2"/>
        <v>0</v>
      </c>
      <c r="C34" s="311">
        <f t="shared" si="2"/>
        <v>0</v>
      </c>
      <c r="D34" s="130">
        <f t="shared" si="2"/>
        <v>0</v>
      </c>
      <c r="E34" s="130">
        <f t="shared" si="2"/>
        <v>0</v>
      </c>
      <c r="G34" s="59"/>
      <c r="H34" s="59"/>
      <c r="I34" s="18"/>
      <c r="J34" s="18"/>
      <c r="K34" s="18"/>
      <c r="L34" s="18"/>
      <c r="M34" s="129"/>
    </row>
    <row r="35" spans="1:13" s="8" customFormat="1" ht="18" customHeight="1">
      <c r="A35" s="108" t="str">
        <f t="shared" si="1"/>
        <v>Sentinel Lights</v>
      </c>
      <c r="B35" s="311">
        <f t="shared" si="2"/>
        <v>7.1862</v>
      </c>
      <c r="C35" s="311">
        <f t="shared" si="2"/>
        <v>0</v>
      </c>
      <c r="D35" s="130">
        <f t="shared" si="2"/>
        <v>9.0642</v>
      </c>
      <c r="E35" s="130">
        <f t="shared" si="2"/>
        <v>0</v>
      </c>
      <c r="G35" s="59"/>
      <c r="H35" s="59"/>
      <c r="I35" s="18"/>
      <c r="J35" s="18"/>
      <c r="K35" s="18"/>
      <c r="L35" s="18"/>
      <c r="M35" s="129"/>
    </row>
    <row r="36" spans="1:13" s="8" customFormat="1" ht="18" customHeight="1">
      <c r="A36" s="108" t="str">
        <f t="shared" si="1"/>
        <v>Street Lighting</v>
      </c>
      <c r="B36" s="311">
        <f t="shared" si="2"/>
        <v>0.8005</v>
      </c>
      <c r="C36" s="311">
        <f t="shared" si="2"/>
        <v>0</v>
      </c>
      <c r="D36" s="130">
        <f t="shared" si="2"/>
        <v>3.2199</v>
      </c>
      <c r="E36" s="130">
        <f t="shared" si="2"/>
        <v>0</v>
      </c>
      <c r="G36" s="59"/>
      <c r="H36" s="59"/>
      <c r="I36" s="18"/>
      <c r="J36" s="18"/>
      <c r="K36" s="18"/>
      <c r="L36" s="18"/>
      <c r="M36" s="129"/>
    </row>
    <row r="37" spans="1:13" s="8" customFormat="1" ht="18" customHeight="1">
      <c r="A37" s="108" t="str">
        <f t="shared" si="1"/>
        <v>USL</v>
      </c>
      <c r="B37" s="311">
        <f t="shared" si="2"/>
        <v>19.8658</v>
      </c>
      <c r="C37" s="311">
        <f t="shared" si="2"/>
        <v>0</v>
      </c>
      <c r="D37" s="130">
        <f t="shared" si="2"/>
        <v>0</v>
      </c>
      <c r="E37" s="130">
        <f t="shared" si="2"/>
        <v>0.014199999999999999</v>
      </c>
      <c r="G37" s="59"/>
      <c r="H37" s="59"/>
      <c r="I37" s="18"/>
      <c r="J37" s="18"/>
      <c r="K37" s="18"/>
      <c r="L37" s="18"/>
      <c r="M37" s="129"/>
    </row>
    <row r="38" spans="1:12" s="8" customFormat="1" ht="16.5" thickBot="1">
      <c r="A38" s="572"/>
      <c r="B38" s="572"/>
      <c r="C38" s="572"/>
      <c r="D38" s="572"/>
      <c r="E38" s="572"/>
      <c r="G38" s="18"/>
      <c r="H38" s="18"/>
      <c r="I38" s="18"/>
      <c r="J38" s="18"/>
      <c r="K38" s="18"/>
      <c r="L38" s="18"/>
    </row>
    <row r="39" spans="1:12" s="8" customFormat="1" ht="18" customHeight="1" thickBot="1">
      <c r="A39" s="56" t="s">
        <v>153</v>
      </c>
      <c r="B39" s="66"/>
      <c r="C39" s="66"/>
      <c r="D39" s="131">
        <f>'Transformer Allowance'!B17</f>
        <v>-0.6</v>
      </c>
      <c r="E39" s="66"/>
      <c r="G39" s="18"/>
      <c r="H39" s="18"/>
      <c r="I39" s="18"/>
      <c r="J39" s="18"/>
      <c r="K39" s="18"/>
      <c r="L39" s="18"/>
    </row>
  </sheetData>
  <mergeCells count="14">
    <mergeCell ref="A28:E28"/>
    <mergeCell ref="A38:E38"/>
    <mergeCell ref="A1:E1"/>
    <mergeCell ref="A2:E2"/>
    <mergeCell ref="A3:E3"/>
    <mergeCell ref="A4:E4"/>
    <mergeCell ref="A9:E9"/>
    <mergeCell ref="A5:E5"/>
    <mergeCell ref="A19:E19"/>
    <mergeCell ref="A29:E29"/>
    <mergeCell ref="A7:E7"/>
    <mergeCell ref="A6:E6"/>
    <mergeCell ref="A8:E8"/>
    <mergeCell ref="A18:E18"/>
  </mergeCells>
  <printOptions/>
  <pageMargins left="0.75" right="0.75" top="1" bottom="1" header="0.5" footer="0.5"/>
  <pageSetup fitToHeight="1" fitToWidth="1" horizontalDpi="355" verticalDpi="3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85" zoomScaleNormal="85" workbookViewId="0" topLeftCell="A1">
      <selection activeCell="B7" sqref="B7:F7"/>
    </sheetView>
  </sheetViews>
  <sheetFormatPr defaultColWidth="9.140625" defaultRowHeight="12.75"/>
  <cols>
    <col min="1" max="1" width="42.8515625" style="0" bestFit="1" customWidth="1"/>
    <col min="2" max="6" width="11.7109375" style="0" customWidth="1"/>
    <col min="7" max="7" width="13.7109375" style="0" customWidth="1"/>
    <col min="8" max="8" width="13.421875" style="0" bestFit="1" customWidth="1"/>
    <col min="9" max="9" width="10.8515625" style="0" customWidth="1"/>
    <col min="10" max="10" width="7.28125" style="0" bestFit="1" customWidth="1"/>
    <col min="11" max="12" width="13.00390625" style="0" customWidth="1"/>
    <col min="13" max="13" width="15.7109375" style="0" customWidth="1"/>
    <col min="14" max="14" width="1.57421875" style="0" customWidth="1"/>
  </cols>
  <sheetData>
    <row r="1" spans="1:13" ht="12.75">
      <c r="A1" s="544" t="str">
        <f>+'Revenue Input'!A1</f>
        <v>Niagara Peninsula Energy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3" ht="12.75">
      <c r="A2" s="544" t="str">
        <f>+'Revenue Input'!A2</f>
        <v>, License Number ED-2007-0749, File Number EB-2010-0138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3" ht="12.75">
      <c r="A3" s="544">
        <f>+'Revenue Input'!A3</f>
        <v>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3" ht="12.75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3" ht="20.25">
      <c r="A5" s="565" t="s">
        <v>66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ht="21" thickBot="1">
      <c r="A6" s="585" t="s">
        <v>243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</row>
    <row r="7" spans="1:13" ht="54">
      <c r="A7" s="576" t="s">
        <v>0</v>
      </c>
      <c r="B7" s="579" t="s">
        <v>49</v>
      </c>
      <c r="C7" s="580"/>
      <c r="D7" s="580"/>
      <c r="E7" s="580"/>
      <c r="F7" s="580"/>
      <c r="G7" s="581" t="s">
        <v>50</v>
      </c>
      <c r="H7" s="582"/>
      <c r="I7" s="582"/>
      <c r="J7" s="582"/>
      <c r="K7" s="583" t="s">
        <v>51</v>
      </c>
      <c r="L7" s="584"/>
      <c r="M7" s="345" t="s">
        <v>52</v>
      </c>
    </row>
    <row r="8" spans="1:13" ht="51.75" customHeight="1">
      <c r="A8" s="577"/>
      <c r="B8" s="140" t="s">
        <v>136</v>
      </c>
      <c r="C8" s="141" t="s">
        <v>54</v>
      </c>
      <c r="D8" s="141" t="s">
        <v>320</v>
      </c>
      <c r="E8" s="141" t="s">
        <v>172</v>
      </c>
      <c r="F8" s="142" t="s">
        <v>41</v>
      </c>
      <c r="G8" s="143" t="s">
        <v>53</v>
      </c>
      <c r="H8" s="141" t="s">
        <v>54</v>
      </c>
      <c r="I8" s="141" t="s">
        <v>172</v>
      </c>
      <c r="J8" s="142" t="s">
        <v>41</v>
      </c>
      <c r="K8" s="405" t="s">
        <v>148</v>
      </c>
      <c r="L8" s="400" t="s">
        <v>149</v>
      </c>
      <c r="M8" s="145">
        <v>2010</v>
      </c>
    </row>
    <row r="9" spans="1:13" ht="13.5" thickBot="1">
      <c r="A9" s="578"/>
      <c r="B9" s="146" t="s">
        <v>22</v>
      </c>
      <c r="C9" s="147" t="s">
        <v>22</v>
      </c>
      <c r="D9" s="147" t="s">
        <v>22</v>
      </c>
      <c r="E9" s="147" t="s">
        <v>22</v>
      </c>
      <c r="F9" s="148" t="s">
        <v>22</v>
      </c>
      <c r="G9" s="149" t="s">
        <v>55</v>
      </c>
      <c r="H9" s="147" t="s">
        <v>55</v>
      </c>
      <c r="I9" s="147" t="s">
        <v>55</v>
      </c>
      <c r="J9" s="148" t="s">
        <v>55</v>
      </c>
      <c r="K9" s="406" t="s">
        <v>56</v>
      </c>
      <c r="L9" s="401" t="s">
        <v>56</v>
      </c>
      <c r="M9" s="151"/>
    </row>
    <row r="10" spans="1:13" ht="18" customHeight="1">
      <c r="A10" s="289" t="str">
        <f>'2011 Rate Rider'!A7</f>
        <v>Residential</v>
      </c>
      <c r="B10" s="152">
        <f>0.0053+0.0046</f>
        <v>0.009899999999999999</v>
      </c>
      <c r="C10" s="153">
        <f aca="true" t="shared" si="0" ref="C10:C16">0.0052+0.0013</f>
        <v>0.0065</v>
      </c>
      <c r="D10" s="510">
        <v>0.0003725</v>
      </c>
      <c r="E10" s="153">
        <v>0.007</v>
      </c>
      <c r="F10" s="156">
        <f>SUM(B10:E10)</f>
        <v>0.0237725</v>
      </c>
      <c r="G10" s="157">
        <v>0</v>
      </c>
      <c r="H10" s="158"/>
      <c r="I10" s="158"/>
      <c r="J10" s="159"/>
      <c r="K10" s="407">
        <v>0.065</v>
      </c>
      <c r="L10" s="402">
        <v>0.075</v>
      </c>
      <c r="M10" s="162">
        <v>1.0572</v>
      </c>
    </row>
    <row r="11" spans="1:13" ht="18" customHeight="1">
      <c r="A11" s="289" t="str">
        <f>'2011 Rate Rider'!A8</f>
        <v>GS &lt; 50 kW</v>
      </c>
      <c r="B11" s="154">
        <f>0.0046+0.0045</f>
        <v>0.0091</v>
      </c>
      <c r="C11" s="153">
        <f t="shared" si="0"/>
        <v>0.0065</v>
      </c>
      <c r="D11" s="510">
        <v>0.0003725</v>
      </c>
      <c r="E11" s="153">
        <v>0.007</v>
      </c>
      <c r="F11" s="156">
        <f aca="true" t="shared" si="1" ref="F11:F16">SUM(B11:E11)</f>
        <v>0.0229725</v>
      </c>
      <c r="G11" s="160">
        <v>0</v>
      </c>
      <c r="H11" s="159"/>
      <c r="I11" s="159"/>
      <c r="J11" s="159"/>
      <c r="K11" s="407">
        <v>0.065</v>
      </c>
      <c r="L11" s="402">
        <v>0.075</v>
      </c>
      <c r="M11" s="162">
        <v>1.0572</v>
      </c>
    </row>
    <row r="12" spans="1:13" ht="18" customHeight="1">
      <c r="A12" s="289" t="str">
        <f>'2011 Rate Rider'!A9</f>
        <v>GS &gt;50</v>
      </c>
      <c r="B12" s="159"/>
      <c r="C12" s="153">
        <f t="shared" si="0"/>
        <v>0.0065</v>
      </c>
      <c r="D12" s="510">
        <v>0.0003725</v>
      </c>
      <c r="E12" s="153">
        <v>0.007</v>
      </c>
      <c r="F12" s="156">
        <f t="shared" si="1"/>
        <v>0.0138725</v>
      </c>
      <c r="G12" s="161">
        <f>1.9973+1.6277</f>
        <v>3.625</v>
      </c>
      <c r="H12" s="159"/>
      <c r="I12" s="159"/>
      <c r="J12" s="156">
        <f>SUM(G12:I12)</f>
        <v>3.625</v>
      </c>
      <c r="K12" s="407">
        <v>0.06062</v>
      </c>
      <c r="L12" s="403">
        <v>0.06062</v>
      </c>
      <c r="M12" s="162">
        <v>1.0572</v>
      </c>
    </row>
    <row r="13" spans="1:13" ht="18" customHeight="1">
      <c r="A13" s="289" t="str">
        <f>'2011 Rate Rider'!A10</f>
        <v>Large Use</v>
      </c>
      <c r="B13" s="159"/>
      <c r="C13" s="153">
        <f t="shared" si="0"/>
        <v>0.0065</v>
      </c>
      <c r="D13" s="510">
        <v>0.0003725</v>
      </c>
      <c r="E13" s="153">
        <v>0.007</v>
      </c>
      <c r="F13" s="156">
        <f>SUM(B13:E13)</f>
        <v>0.0138725</v>
      </c>
      <c r="G13" s="161"/>
      <c r="H13" s="159"/>
      <c r="I13" s="159"/>
      <c r="J13" s="156">
        <f>SUM(G13:I13)</f>
        <v>0</v>
      </c>
      <c r="K13" s="408"/>
      <c r="L13" s="404"/>
      <c r="M13" s="163"/>
    </row>
    <row r="14" spans="1:13" ht="18" customHeight="1">
      <c r="A14" s="289" t="str">
        <f>'2011 Rate Rider'!A11</f>
        <v>Sentinel Lights</v>
      </c>
      <c r="B14" s="159"/>
      <c r="C14" s="153">
        <f t="shared" si="0"/>
        <v>0.0065</v>
      </c>
      <c r="D14" s="510">
        <v>0.0003725</v>
      </c>
      <c r="E14" s="153">
        <v>0.007</v>
      </c>
      <c r="F14" s="156">
        <f t="shared" si="1"/>
        <v>0.0138725</v>
      </c>
      <c r="G14" s="161">
        <f>1.5139+1.2847</f>
        <v>2.7986</v>
      </c>
      <c r="H14" s="159"/>
      <c r="I14" s="159"/>
      <c r="J14" s="156">
        <f>SUM(G14:I14)</f>
        <v>2.7986</v>
      </c>
      <c r="K14" s="408">
        <v>0.065</v>
      </c>
      <c r="L14" s="404">
        <v>0.075</v>
      </c>
      <c r="M14" s="163">
        <v>1.0572</v>
      </c>
    </row>
    <row r="15" spans="1:13" ht="18" customHeight="1">
      <c r="A15" s="289" t="str">
        <f>'2011 Rate Rider'!A12</f>
        <v>Street Lighting</v>
      </c>
      <c r="B15" s="159"/>
      <c r="C15" s="153">
        <f t="shared" si="0"/>
        <v>0.0065</v>
      </c>
      <c r="D15" s="510">
        <v>0.0003725</v>
      </c>
      <c r="E15" s="155">
        <v>0.007</v>
      </c>
      <c r="F15" s="156">
        <f t="shared" si="1"/>
        <v>0.0138725</v>
      </c>
      <c r="G15" s="161">
        <f>1.5063+1.2583</f>
        <v>2.7645999999999997</v>
      </c>
      <c r="H15" s="159"/>
      <c r="I15" s="159"/>
      <c r="J15" s="156">
        <f>SUM(G15:I15)</f>
        <v>2.7645999999999997</v>
      </c>
      <c r="K15" s="407">
        <v>0.06062</v>
      </c>
      <c r="L15" s="403">
        <v>0.06062</v>
      </c>
      <c r="M15" s="162">
        <v>1.0572</v>
      </c>
    </row>
    <row r="16" spans="1:13" ht="18" customHeight="1">
      <c r="A16" s="289" t="str">
        <f>'2011 Rate Rider'!A13</f>
        <v>USL</v>
      </c>
      <c r="B16" s="154">
        <f>0.0049+0.0041</f>
        <v>0.009000000000000001</v>
      </c>
      <c r="C16" s="153">
        <f t="shared" si="0"/>
        <v>0.0065</v>
      </c>
      <c r="D16" s="510">
        <v>0.0003725</v>
      </c>
      <c r="E16" s="155">
        <v>0.007</v>
      </c>
      <c r="F16" s="156">
        <f t="shared" si="1"/>
        <v>0.0228725</v>
      </c>
      <c r="G16" s="160">
        <v>0</v>
      </c>
      <c r="H16" s="159"/>
      <c r="I16" s="159"/>
      <c r="J16" s="159"/>
      <c r="K16" s="407">
        <v>0.065</v>
      </c>
      <c r="L16" s="402">
        <v>0.075</v>
      </c>
      <c r="M16" s="162">
        <v>1.0572</v>
      </c>
    </row>
    <row r="17" spans="1:13" ht="18" customHeight="1">
      <c r="A17" s="363"/>
      <c r="B17" s="365"/>
      <c r="C17" s="366"/>
      <c r="D17" s="366"/>
      <c r="E17" s="367"/>
      <c r="F17" s="364"/>
      <c r="G17" s="368"/>
      <c r="H17" s="368"/>
      <c r="I17" s="368"/>
      <c r="J17" s="368"/>
      <c r="K17" s="366"/>
      <c r="L17" s="366"/>
      <c r="M17" s="366"/>
    </row>
    <row r="18" spans="1:13" ht="18" customHeight="1">
      <c r="A18" s="363"/>
      <c r="B18" s="365"/>
      <c r="C18" s="366"/>
      <c r="D18" s="366"/>
      <c r="E18" s="367"/>
      <c r="F18" s="364"/>
      <c r="G18" s="368"/>
      <c r="H18" s="368"/>
      <c r="I18" s="368"/>
      <c r="J18" s="368"/>
      <c r="K18" s="366"/>
      <c r="L18" s="366"/>
      <c r="M18" s="366"/>
    </row>
    <row r="19" spans="1:13" ht="15">
      <c r="A19" s="26"/>
      <c r="B19" s="27"/>
      <c r="F19" s="28"/>
      <c r="J19" s="28"/>
      <c r="K19" s="28"/>
      <c r="L19" s="28"/>
      <c r="M19" s="25"/>
    </row>
    <row r="20" spans="1:13" ht="21" thickBot="1">
      <c r="A20" s="585" t="s">
        <v>244</v>
      </c>
      <c r="B20" s="585"/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</row>
    <row r="21" spans="1:13" ht="54">
      <c r="A21" s="576" t="s">
        <v>0</v>
      </c>
      <c r="B21" s="579" t="s">
        <v>49</v>
      </c>
      <c r="C21" s="580"/>
      <c r="D21" s="580"/>
      <c r="E21" s="580"/>
      <c r="F21" s="580"/>
      <c r="G21" s="581" t="s">
        <v>50</v>
      </c>
      <c r="H21" s="582"/>
      <c r="I21" s="582"/>
      <c r="J21" s="582"/>
      <c r="K21" s="583" t="s">
        <v>51</v>
      </c>
      <c r="L21" s="584"/>
      <c r="M21" s="345" t="s">
        <v>52</v>
      </c>
    </row>
    <row r="22" spans="1:13" ht="51">
      <c r="A22" s="577"/>
      <c r="B22" s="140" t="s">
        <v>136</v>
      </c>
      <c r="C22" s="141" t="s">
        <v>54</v>
      </c>
      <c r="D22" s="141" t="s">
        <v>320</v>
      </c>
      <c r="E22" s="141" t="s">
        <v>172</v>
      </c>
      <c r="F22" s="142" t="s">
        <v>41</v>
      </c>
      <c r="G22" s="143" t="s">
        <v>53</v>
      </c>
      <c r="H22" s="141" t="s">
        <v>54</v>
      </c>
      <c r="I22" s="141" t="s">
        <v>172</v>
      </c>
      <c r="J22" s="142" t="s">
        <v>41</v>
      </c>
      <c r="K22" s="144" t="s">
        <v>148</v>
      </c>
      <c r="L22" s="409" t="s">
        <v>149</v>
      </c>
      <c r="M22" s="145">
        <v>2011</v>
      </c>
    </row>
    <row r="23" spans="1:13" ht="13.5" thickBot="1">
      <c r="A23" s="578"/>
      <c r="B23" s="146" t="s">
        <v>22</v>
      </c>
      <c r="C23" s="147" t="s">
        <v>22</v>
      </c>
      <c r="D23" s="147"/>
      <c r="E23" s="147" t="s">
        <v>22</v>
      </c>
      <c r="F23" s="148" t="s">
        <v>22</v>
      </c>
      <c r="G23" s="149" t="s">
        <v>55</v>
      </c>
      <c r="H23" s="147" t="s">
        <v>55</v>
      </c>
      <c r="I23" s="147" t="s">
        <v>55</v>
      </c>
      <c r="J23" s="148" t="s">
        <v>55</v>
      </c>
      <c r="K23" s="150" t="s">
        <v>56</v>
      </c>
      <c r="L23" s="401" t="s">
        <v>56</v>
      </c>
      <c r="M23" s="151"/>
    </row>
    <row r="24" spans="1:13" ht="15.75">
      <c r="A24" s="289" t="str">
        <f>A10</f>
        <v>Residential</v>
      </c>
      <c r="B24" s="152">
        <v>0.010132682166659615</v>
      </c>
      <c r="C24" s="153">
        <f aca="true" t="shared" si="2" ref="C24:C30">0.0052+0.0013</f>
        <v>0.0065</v>
      </c>
      <c r="D24" s="510">
        <v>0</v>
      </c>
      <c r="E24" s="153">
        <v>0.007</v>
      </c>
      <c r="F24" s="156">
        <f aca="true" t="shared" si="3" ref="F24:F30">SUM(B24:E24)</f>
        <v>0.023632682166659615</v>
      </c>
      <c r="G24" s="157">
        <v>0</v>
      </c>
      <c r="H24" s="158"/>
      <c r="I24" s="158"/>
      <c r="J24" s="159"/>
      <c r="K24" s="162">
        <v>0.065</v>
      </c>
      <c r="L24" s="402">
        <v>0.075</v>
      </c>
      <c r="M24" s="162">
        <v>1.0559902750928698</v>
      </c>
    </row>
    <row r="25" spans="1:13" ht="15.75">
      <c r="A25" s="289" t="str">
        <f aca="true" t="shared" si="4" ref="A25:A30">A11</f>
        <v>GS &lt; 50 kW</v>
      </c>
      <c r="B25" s="154">
        <v>0.009039845539860984</v>
      </c>
      <c r="C25" s="153">
        <f t="shared" si="2"/>
        <v>0.0065</v>
      </c>
      <c r="D25" s="510">
        <v>0</v>
      </c>
      <c r="E25" s="153">
        <v>0.007</v>
      </c>
      <c r="F25" s="156">
        <f t="shared" si="3"/>
        <v>0.02253984553986098</v>
      </c>
      <c r="G25" s="160">
        <v>0</v>
      </c>
      <c r="H25" s="159"/>
      <c r="I25" s="159"/>
      <c r="J25" s="159"/>
      <c r="K25" s="162">
        <v>0.065</v>
      </c>
      <c r="L25" s="402">
        <v>0.075</v>
      </c>
      <c r="M25" s="162">
        <v>1.0559902750928698</v>
      </c>
    </row>
    <row r="26" spans="1:13" ht="15.75">
      <c r="A26" s="289" t="str">
        <f t="shared" si="4"/>
        <v>GS &gt;50</v>
      </c>
      <c r="B26" s="159"/>
      <c r="C26" s="153">
        <f t="shared" si="2"/>
        <v>0.0065</v>
      </c>
      <c r="D26" s="510">
        <v>0</v>
      </c>
      <c r="E26" s="153">
        <v>0.007</v>
      </c>
      <c r="F26" s="156">
        <f t="shared" si="3"/>
        <v>0.0135</v>
      </c>
      <c r="G26" s="161">
        <v>3.6656054700065805</v>
      </c>
      <c r="H26" s="159"/>
      <c r="I26" s="159"/>
      <c r="J26" s="156">
        <f>SUM(G26:I26)</f>
        <v>3.6656054700065805</v>
      </c>
      <c r="K26" s="162">
        <v>0.06062</v>
      </c>
      <c r="L26" s="402">
        <v>0.06062</v>
      </c>
      <c r="M26" s="162">
        <v>1.0559902750928698</v>
      </c>
    </row>
    <row r="27" spans="1:16" ht="15.75">
      <c r="A27" s="289" t="str">
        <f t="shared" si="4"/>
        <v>Large Use</v>
      </c>
      <c r="B27" s="159"/>
      <c r="C27" s="153">
        <f t="shared" si="2"/>
        <v>0.0065</v>
      </c>
      <c r="D27" s="510">
        <v>0</v>
      </c>
      <c r="E27" s="153">
        <v>0.007</v>
      </c>
      <c r="F27" s="156">
        <f t="shared" si="3"/>
        <v>0.0135</v>
      </c>
      <c r="G27" s="161"/>
      <c r="H27" s="159"/>
      <c r="I27" s="159"/>
      <c r="J27" s="156">
        <f>SUM(G27:I27)</f>
        <v>0</v>
      </c>
      <c r="K27" s="163"/>
      <c r="L27" s="410"/>
      <c r="M27" s="163"/>
      <c r="P27" s="25"/>
    </row>
    <row r="28" spans="1:13" ht="15.75">
      <c r="A28" s="289" t="str">
        <f t="shared" si="4"/>
        <v>Sentinel Lights</v>
      </c>
      <c r="B28" s="159"/>
      <c r="C28" s="153">
        <f t="shared" si="2"/>
        <v>0.0065</v>
      </c>
      <c r="D28" s="510">
        <v>0</v>
      </c>
      <c r="E28" s="153">
        <v>0.007</v>
      </c>
      <c r="F28" s="156">
        <f t="shared" si="3"/>
        <v>0.0135</v>
      </c>
      <c r="G28" s="161">
        <v>2.861367432444399</v>
      </c>
      <c r="H28" s="159"/>
      <c r="I28" s="159"/>
      <c r="J28" s="156">
        <f>SUM(G28:I28)</f>
        <v>2.861367432444399</v>
      </c>
      <c r="K28" s="163">
        <v>0.065</v>
      </c>
      <c r="L28" s="410">
        <v>0.075</v>
      </c>
      <c r="M28" s="163">
        <v>1.0559902750928698</v>
      </c>
    </row>
    <row r="29" spans="1:13" ht="15.75">
      <c r="A29" s="289" t="str">
        <f t="shared" si="4"/>
        <v>Street Lighting</v>
      </c>
      <c r="B29" s="159"/>
      <c r="C29" s="153">
        <f t="shared" si="2"/>
        <v>0.0065</v>
      </c>
      <c r="D29" s="510">
        <v>0</v>
      </c>
      <c r="E29" s="155">
        <v>0.007</v>
      </c>
      <c r="F29" s="156">
        <f t="shared" si="3"/>
        <v>0.0135</v>
      </c>
      <c r="G29" s="161">
        <v>2.790111290450164</v>
      </c>
      <c r="H29" s="159"/>
      <c r="I29" s="159"/>
      <c r="J29" s="156">
        <f>SUM(G29:I29)</f>
        <v>2.790111290450164</v>
      </c>
      <c r="K29" s="162">
        <v>0.06062</v>
      </c>
      <c r="L29" s="411">
        <v>0.06062</v>
      </c>
      <c r="M29" s="162">
        <v>1.0559902750928698</v>
      </c>
    </row>
    <row r="30" spans="1:13" ht="15.75">
      <c r="A30" s="289" t="str">
        <f t="shared" si="4"/>
        <v>USL</v>
      </c>
      <c r="B30" s="154">
        <v>0.009132883108925464</v>
      </c>
      <c r="C30" s="153">
        <f t="shared" si="2"/>
        <v>0.0065</v>
      </c>
      <c r="D30" s="510">
        <v>0</v>
      </c>
      <c r="E30" s="155">
        <v>0.007</v>
      </c>
      <c r="F30" s="156">
        <f t="shared" si="3"/>
        <v>0.022632883108925462</v>
      </c>
      <c r="G30" s="160">
        <v>0</v>
      </c>
      <c r="H30" s="159"/>
      <c r="I30" s="159"/>
      <c r="J30" s="159"/>
      <c r="K30" s="407">
        <v>0.065</v>
      </c>
      <c r="L30" s="402">
        <v>0.075</v>
      </c>
      <c r="M30" s="162">
        <v>1.0559902750928698</v>
      </c>
    </row>
    <row r="36" spans="1:15" ht="17.25" customHeight="1">
      <c r="A36" s="574" t="s">
        <v>126</v>
      </c>
      <c r="B36" s="575"/>
      <c r="C36" s="575"/>
      <c r="D36" s="575"/>
      <c r="E36" s="575"/>
      <c r="F36" s="575"/>
      <c r="G36" s="479">
        <v>2010</v>
      </c>
      <c r="H36" s="478">
        <v>2011</v>
      </c>
      <c r="I36" s="25"/>
      <c r="J36" s="25"/>
      <c r="K36" s="25"/>
      <c r="N36" s="25"/>
      <c r="O36" s="25"/>
    </row>
    <row r="37" spans="1:15" ht="15.75">
      <c r="A37" s="473" t="s">
        <v>57</v>
      </c>
      <c r="B37" s="472"/>
      <c r="C37" s="472"/>
      <c r="D37" s="472"/>
      <c r="E37" s="472"/>
      <c r="F37" s="472"/>
      <c r="G37" s="480">
        <v>1.0045</v>
      </c>
      <c r="H37" s="474">
        <v>1.0045</v>
      </c>
      <c r="I37" s="472"/>
      <c r="J37" s="472"/>
      <c r="K37" s="472"/>
      <c r="L37" s="472"/>
      <c r="M37" s="472"/>
      <c r="N37" s="472"/>
      <c r="O37" s="25"/>
    </row>
    <row r="38" spans="1:15" ht="15.75">
      <c r="A38" s="473" t="s">
        <v>58</v>
      </c>
      <c r="B38" s="472"/>
      <c r="C38" s="472"/>
      <c r="D38" s="472"/>
      <c r="E38" s="472"/>
      <c r="F38" s="472"/>
      <c r="G38" s="481">
        <f>M10/G37</f>
        <v>1.0524639123942259</v>
      </c>
      <c r="H38" s="475">
        <f>M24/H37</f>
        <v>1.0512596068619908</v>
      </c>
      <c r="I38" s="472"/>
      <c r="J38" s="472"/>
      <c r="K38" s="472"/>
      <c r="L38" s="472"/>
      <c r="M38" s="472"/>
      <c r="N38" s="472"/>
      <c r="O38" s="25"/>
    </row>
    <row r="39" spans="1:15" ht="15.75">
      <c r="A39" s="473" t="s">
        <v>59</v>
      </c>
      <c r="B39" s="472"/>
      <c r="C39" s="472"/>
      <c r="D39" s="472"/>
      <c r="E39" s="472"/>
      <c r="F39" s="472"/>
      <c r="G39" s="482" t="s">
        <v>285</v>
      </c>
      <c r="H39" s="483" t="s">
        <v>285</v>
      </c>
      <c r="I39" s="472"/>
      <c r="J39" s="472"/>
      <c r="K39" s="472"/>
      <c r="L39" s="472"/>
      <c r="M39" s="472"/>
      <c r="N39" s="472"/>
      <c r="O39" s="25"/>
    </row>
    <row r="40" spans="1:15" ht="15.75">
      <c r="A40" s="473" t="s">
        <v>60</v>
      </c>
      <c r="B40" s="472"/>
      <c r="C40" s="472"/>
      <c r="D40" s="472"/>
      <c r="E40" s="472"/>
      <c r="F40" s="472"/>
      <c r="G40" s="481">
        <f>G38*0.99</f>
        <v>1.0419392732702837</v>
      </c>
      <c r="H40" s="475">
        <f>H38*0.99</f>
        <v>1.040747010793371</v>
      </c>
      <c r="I40" s="472"/>
      <c r="J40" s="472"/>
      <c r="K40" s="472"/>
      <c r="L40" s="472"/>
      <c r="M40" s="472"/>
      <c r="N40" s="472"/>
      <c r="O40" s="25"/>
    </row>
    <row r="41" spans="1:15" ht="15.75">
      <c r="A41" s="473" t="s">
        <v>61</v>
      </c>
      <c r="B41" s="472"/>
      <c r="C41" s="472"/>
      <c r="D41" s="472"/>
      <c r="E41" s="472"/>
      <c r="F41" s="472"/>
      <c r="G41" s="482" t="s">
        <v>285</v>
      </c>
      <c r="H41" s="483" t="s">
        <v>285</v>
      </c>
      <c r="I41" s="472"/>
      <c r="J41" s="472"/>
      <c r="K41" s="472"/>
      <c r="L41" s="472"/>
      <c r="M41" s="472"/>
      <c r="N41" s="472"/>
      <c r="O41" s="25"/>
    </row>
    <row r="42" spans="1:15" ht="15.75">
      <c r="A42" s="473" t="s">
        <v>62</v>
      </c>
      <c r="B42" s="472"/>
      <c r="C42" s="472"/>
      <c r="D42" s="472"/>
      <c r="E42" s="472"/>
      <c r="F42" s="472"/>
      <c r="G42" s="481">
        <f>G37*G38</f>
        <v>1.0572</v>
      </c>
      <c r="H42" s="475">
        <f>H37*H38</f>
        <v>1.0559902750928698</v>
      </c>
      <c r="I42" s="472"/>
      <c r="J42" s="472"/>
      <c r="K42" s="472"/>
      <c r="L42" s="472"/>
      <c r="M42" s="472"/>
      <c r="N42" s="472"/>
      <c r="O42" s="25"/>
    </row>
    <row r="43" spans="1:15" ht="15.75">
      <c r="A43" s="473" t="s">
        <v>63</v>
      </c>
      <c r="B43" s="472"/>
      <c r="C43" s="472"/>
      <c r="D43" s="472"/>
      <c r="E43" s="472"/>
      <c r="F43" s="472"/>
      <c r="G43" s="482" t="s">
        <v>285</v>
      </c>
      <c r="H43" s="483" t="s">
        <v>285</v>
      </c>
      <c r="I43" s="472"/>
      <c r="J43" s="472"/>
      <c r="K43" s="472"/>
      <c r="L43" s="472"/>
      <c r="M43" s="472"/>
      <c r="N43" s="472"/>
      <c r="O43" s="25"/>
    </row>
    <row r="44" spans="1:15" ht="15.75">
      <c r="A44" s="473" t="s">
        <v>64</v>
      </c>
      <c r="B44" s="472"/>
      <c r="C44" s="472"/>
      <c r="D44" s="472"/>
      <c r="E44" s="472"/>
      <c r="F44" s="472"/>
      <c r="G44" s="481">
        <f>G37*G40</f>
        <v>1.046628</v>
      </c>
      <c r="H44" s="475">
        <f>H37*H40</f>
        <v>1.0454303723419411</v>
      </c>
      <c r="I44" s="472"/>
      <c r="J44" s="472"/>
      <c r="K44" s="472"/>
      <c r="L44" s="472"/>
      <c r="M44" s="472"/>
      <c r="N44" s="472"/>
      <c r="O44" s="25"/>
    </row>
    <row r="45" spans="1:15" ht="15.75">
      <c r="A45" s="476" t="s">
        <v>65</v>
      </c>
      <c r="B45" s="477"/>
      <c r="C45" s="477"/>
      <c r="D45" s="477"/>
      <c r="E45" s="477"/>
      <c r="F45" s="477"/>
      <c r="G45" s="484" t="s">
        <v>285</v>
      </c>
      <c r="H45" s="485" t="s">
        <v>285</v>
      </c>
      <c r="I45" s="472"/>
      <c r="J45" s="472"/>
      <c r="K45" s="472"/>
      <c r="L45" s="472"/>
      <c r="M45" s="472"/>
      <c r="N45" s="472"/>
      <c r="O45" s="25"/>
    </row>
    <row r="46" spans="1:1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</sheetData>
  <mergeCells count="16">
    <mergeCell ref="G21:J21"/>
    <mergeCell ref="K21:L21"/>
    <mergeCell ref="A1:M1"/>
    <mergeCell ref="A2:M2"/>
    <mergeCell ref="A3:M3"/>
    <mergeCell ref="A4:M4"/>
    <mergeCell ref="A36:F36"/>
    <mergeCell ref="A5:M5"/>
    <mergeCell ref="A7:A9"/>
    <mergeCell ref="B7:F7"/>
    <mergeCell ref="G7:J7"/>
    <mergeCell ref="K7:L7"/>
    <mergeCell ref="A6:M6"/>
    <mergeCell ref="A20:M20"/>
    <mergeCell ref="A21:A23"/>
    <mergeCell ref="B21:F21"/>
  </mergeCells>
  <printOptions/>
  <pageMargins left="0.75" right="0.75" top="0.6" bottom="0.6" header="0.5" footer="0.5"/>
  <pageSetup fitToHeight="1" fitToWidth="1" horizontalDpi="355" verticalDpi="355" orientation="landscape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42.8515625" style="0" bestFit="1" customWidth="1"/>
    <col min="2" max="6" width="11.7109375" style="0" customWidth="1"/>
    <col min="7" max="7" width="13.7109375" style="0" customWidth="1"/>
    <col min="8" max="8" width="13.421875" style="0" bestFit="1" customWidth="1"/>
    <col min="9" max="9" width="10.8515625" style="0" customWidth="1"/>
    <col min="10" max="10" width="7.28125" style="0" bestFit="1" customWidth="1"/>
    <col min="11" max="12" width="13.00390625" style="0" customWidth="1"/>
    <col min="13" max="13" width="15.7109375" style="0" customWidth="1"/>
    <col min="14" max="14" width="1.57421875" style="0" customWidth="1"/>
  </cols>
  <sheetData>
    <row r="1" spans="1:13" ht="12.75">
      <c r="A1" s="544" t="str">
        <f>+'Revenue Input'!A1</f>
        <v>Niagara Peninsula Energy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3" ht="12.75">
      <c r="A2" s="544" t="str">
        <f>+'Revenue Input'!A2</f>
        <v>, License Number ED-2007-0749, File Number EB-2010-0138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3" ht="12.75">
      <c r="A3" s="544">
        <f>+'Revenue Input'!A3</f>
        <v>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3" ht="12.75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3" ht="20.25">
      <c r="A5" s="565" t="s">
        <v>66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ht="21" thickBot="1">
      <c r="A6" s="585" t="s">
        <v>243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</row>
    <row r="7" spans="1:13" ht="54">
      <c r="A7" s="576" t="s">
        <v>0</v>
      </c>
      <c r="B7" s="579" t="s">
        <v>49</v>
      </c>
      <c r="C7" s="580"/>
      <c r="D7" s="580"/>
      <c r="E7" s="580"/>
      <c r="F7" s="580"/>
      <c r="G7" s="581" t="s">
        <v>50</v>
      </c>
      <c r="H7" s="582"/>
      <c r="I7" s="582"/>
      <c r="J7" s="582"/>
      <c r="K7" s="583" t="s">
        <v>51</v>
      </c>
      <c r="L7" s="584"/>
      <c r="M7" s="345" t="s">
        <v>52</v>
      </c>
    </row>
    <row r="8" spans="1:13" ht="51.75" customHeight="1">
      <c r="A8" s="577"/>
      <c r="B8" s="140" t="s">
        <v>136</v>
      </c>
      <c r="C8" s="141" t="s">
        <v>54</v>
      </c>
      <c r="D8" s="141" t="s">
        <v>320</v>
      </c>
      <c r="E8" s="141" t="s">
        <v>172</v>
      </c>
      <c r="F8" s="142" t="s">
        <v>41</v>
      </c>
      <c r="G8" s="143" t="s">
        <v>53</v>
      </c>
      <c r="H8" s="141" t="s">
        <v>54</v>
      </c>
      <c r="I8" s="141" t="s">
        <v>172</v>
      </c>
      <c r="J8" s="142" t="s">
        <v>41</v>
      </c>
      <c r="K8" s="405" t="s">
        <v>148</v>
      </c>
      <c r="L8" s="400" t="s">
        <v>149</v>
      </c>
      <c r="M8" s="145">
        <v>2010</v>
      </c>
    </row>
    <row r="9" spans="1:13" ht="13.5" thickBot="1">
      <c r="A9" s="578"/>
      <c r="B9" s="146" t="s">
        <v>22</v>
      </c>
      <c r="C9" s="147" t="s">
        <v>22</v>
      </c>
      <c r="D9" s="147"/>
      <c r="E9" s="147" t="s">
        <v>22</v>
      </c>
      <c r="F9" s="148" t="s">
        <v>22</v>
      </c>
      <c r="G9" s="149" t="s">
        <v>55</v>
      </c>
      <c r="H9" s="147" t="s">
        <v>55</v>
      </c>
      <c r="I9" s="147" t="s">
        <v>55</v>
      </c>
      <c r="J9" s="148" t="s">
        <v>55</v>
      </c>
      <c r="K9" s="406" t="s">
        <v>56</v>
      </c>
      <c r="L9" s="401" t="s">
        <v>56</v>
      </c>
      <c r="M9" s="151"/>
    </row>
    <row r="10" spans="1:13" ht="18" customHeight="1">
      <c r="A10" s="289" t="str">
        <f>'2011 Rate Rider'!A7</f>
        <v>Residential</v>
      </c>
      <c r="B10" s="152">
        <f>0.0052+0.0051</f>
        <v>0.0103</v>
      </c>
      <c r="C10" s="153">
        <f aca="true" t="shared" si="0" ref="C10:C16">0.0052+0.0013</f>
        <v>0.0065</v>
      </c>
      <c r="D10" s="510">
        <v>0.0003725</v>
      </c>
      <c r="E10" s="153">
        <v>0.007</v>
      </c>
      <c r="F10" s="156">
        <f aca="true" t="shared" si="1" ref="F10:F16">SUM(B10:E10)</f>
        <v>0.0241725</v>
      </c>
      <c r="G10" s="157">
        <v>0</v>
      </c>
      <c r="H10" s="158"/>
      <c r="I10" s="158"/>
      <c r="J10" s="159"/>
      <c r="K10" s="407">
        <v>0.065</v>
      </c>
      <c r="L10" s="402">
        <v>0.075</v>
      </c>
      <c r="M10" s="162">
        <v>1.0601</v>
      </c>
    </row>
    <row r="11" spans="1:13" ht="18" customHeight="1">
      <c r="A11" s="289" t="str">
        <f>'2011 Rate Rider'!A8</f>
        <v>GS &lt; 50 kW</v>
      </c>
      <c r="B11" s="154">
        <f>0.0047+0.0045</f>
        <v>0.0092</v>
      </c>
      <c r="C11" s="153">
        <f t="shared" si="0"/>
        <v>0.0065</v>
      </c>
      <c r="D11" s="510">
        <v>0.0003725</v>
      </c>
      <c r="E11" s="153">
        <v>0.007</v>
      </c>
      <c r="F11" s="156">
        <f t="shared" si="1"/>
        <v>0.0230725</v>
      </c>
      <c r="G11" s="160">
        <v>0</v>
      </c>
      <c r="H11" s="159"/>
      <c r="I11" s="159"/>
      <c r="J11" s="159"/>
      <c r="K11" s="407">
        <v>0.065</v>
      </c>
      <c r="L11" s="402">
        <v>0.075</v>
      </c>
      <c r="M11" s="162">
        <v>1.0601</v>
      </c>
    </row>
    <row r="12" spans="1:13" ht="18" customHeight="1">
      <c r="A12" s="289" t="str">
        <f>'2011 Rate Rider'!A9</f>
        <v>GS &gt;50</v>
      </c>
      <c r="B12" s="159"/>
      <c r="C12" s="153">
        <f t="shared" si="0"/>
        <v>0.0065</v>
      </c>
      <c r="D12" s="510">
        <v>0.0003725</v>
      </c>
      <c r="E12" s="153">
        <v>0.007</v>
      </c>
      <c r="F12" s="156">
        <f t="shared" si="1"/>
        <v>0.0138725</v>
      </c>
      <c r="G12" s="161">
        <f>1.9309+1.7693</f>
        <v>3.7002</v>
      </c>
      <c r="H12" s="159"/>
      <c r="I12" s="159"/>
      <c r="J12" s="156">
        <f>SUM(G12:I12)</f>
        <v>3.7002</v>
      </c>
      <c r="K12" s="407">
        <v>0.06062</v>
      </c>
      <c r="L12" s="403">
        <v>0.06062</v>
      </c>
      <c r="M12" s="162">
        <v>1.0601</v>
      </c>
    </row>
    <row r="13" spans="1:13" ht="18" customHeight="1">
      <c r="A13" s="289" t="str">
        <f>'2011 Rate Rider'!A10</f>
        <v>Large Use</v>
      </c>
      <c r="B13" s="159"/>
      <c r="C13" s="153">
        <f t="shared" si="0"/>
        <v>0.0065</v>
      </c>
      <c r="D13" s="510">
        <v>0.0003725</v>
      </c>
      <c r="E13" s="153">
        <v>0.007</v>
      </c>
      <c r="F13" s="156">
        <f t="shared" si="1"/>
        <v>0.0138725</v>
      </c>
      <c r="G13" s="161"/>
      <c r="H13" s="159"/>
      <c r="I13" s="159"/>
      <c r="J13" s="156">
        <f>SUM(G13:I13)</f>
        <v>0</v>
      </c>
      <c r="K13" s="408"/>
      <c r="L13" s="404"/>
      <c r="M13" s="163"/>
    </row>
    <row r="14" spans="1:13" ht="18" customHeight="1">
      <c r="A14" s="289" t="str">
        <f>'2011 Rate Rider'!A11</f>
        <v>Sentinel Lights</v>
      </c>
      <c r="B14" s="159"/>
      <c r="C14" s="153">
        <f t="shared" si="0"/>
        <v>0.0065</v>
      </c>
      <c r="D14" s="510">
        <v>0.0003725</v>
      </c>
      <c r="E14" s="153">
        <v>0.007</v>
      </c>
      <c r="F14" s="156">
        <f t="shared" si="1"/>
        <v>0.0138725</v>
      </c>
      <c r="G14" s="161">
        <f>1.4635+1.3963</f>
        <v>2.8598</v>
      </c>
      <c r="H14" s="159"/>
      <c r="I14" s="159"/>
      <c r="J14" s="156">
        <f>SUM(G14:I14)</f>
        <v>2.8598</v>
      </c>
      <c r="K14" s="408">
        <v>0.065</v>
      </c>
      <c r="L14" s="404">
        <v>0.075</v>
      </c>
      <c r="M14" s="163">
        <v>1.0601</v>
      </c>
    </row>
    <row r="15" spans="1:13" ht="18" customHeight="1">
      <c r="A15" s="289" t="str">
        <f>'2011 Rate Rider'!A12</f>
        <v>Street Lighting</v>
      </c>
      <c r="B15" s="159"/>
      <c r="C15" s="153">
        <f t="shared" si="0"/>
        <v>0.0065</v>
      </c>
      <c r="D15" s="510">
        <v>0.0003725</v>
      </c>
      <c r="E15" s="155">
        <v>0.007</v>
      </c>
      <c r="F15" s="156">
        <f t="shared" si="1"/>
        <v>0.0138725</v>
      </c>
      <c r="G15" s="161">
        <f>1.4562+1.3678</f>
        <v>2.824</v>
      </c>
      <c r="H15" s="159"/>
      <c r="I15" s="159"/>
      <c r="J15" s="156">
        <f>SUM(G15:I15)</f>
        <v>2.824</v>
      </c>
      <c r="K15" s="407">
        <v>0.06062</v>
      </c>
      <c r="L15" s="403">
        <v>0.06062</v>
      </c>
      <c r="M15" s="162">
        <v>1.0601</v>
      </c>
    </row>
    <row r="16" spans="1:13" ht="18" customHeight="1">
      <c r="A16" s="289" t="str">
        <f>'2011 Rate Rider'!A13</f>
        <v>USL</v>
      </c>
      <c r="B16" s="154">
        <f>0.0047+0.0045</f>
        <v>0.0092</v>
      </c>
      <c r="C16" s="153">
        <f t="shared" si="0"/>
        <v>0.0065</v>
      </c>
      <c r="D16" s="510">
        <v>0.0003725</v>
      </c>
      <c r="E16" s="155">
        <v>0.007</v>
      </c>
      <c r="F16" s="156">
        <f t="shared" si="1"/>
        <v>0.0230725</v>
      </c>
      <c r="G16" s="160">
        <v>0</v>
      </c>
      <c r="H16" s="159"/>
      <c r="I16" s="159"/>
      <c r="J16" s="159"/>
      <c r="K16" s="407">
        <v>0.065</v>
      </c>
      <c r="L16" s="402">
        <v>0.075</v>
      </c>
      <c r="M16" s="162">
        <v>1.0601</v>
      </c>
    </row>
    <row r="17" spans="1:13" ht="18" customHeight="1">
      <c r="A17" s="363"/>
      <c r="B17" s="365"/>
      <c r="C17" s="366"/>
      <c r="D17" s="366"/>
      <c r="E17" s="367"/>
      <c r="F17" s="364"/>
      <c r="G17" s="368"/>
      <c r="H17" s="368"/>
      <c r="I17" s="368"/>
      <c r="J17" s="368"/>
      <c r="K17" s="366"/>
      <c r="L17" s="366"/>
      <c r="M17" s="366"/>
    </row>
    <row r="18" spans="1:13" ht="18" customHeight="1">
      <c r="A18" s="363"/>
      <c r="B18" s="365"/>
      <c r="C18" s="366"/>
      <c r="D18" s="366"/>
      <c r="E18" s="367"/>
      <c r="F18" s="364"/>
      <c r="G18" s="368"/>
      <c r="H18" s="368"/>
      <c r="I18" s="368"/>
      <c r="J18" s="368"/>
      <c r="K18" s="366"/>
      <c r="L18" s="366"/>
      <c r="M18" s="366"/>
    </row>
    <row r="19" spans="1:13" ht="15">
      <c r="A19" s="26"/>
      <c r="B19" s="27"/>
      <c r="F19" s="28"/>
      <c r="J19" s="28"/>
      <c r="K19" s="28"/>
      <c r="L19" s="28"/>
      <c r="M19" s="25"/>
    </row>
    <row r="20" spans="1:13" ht="21" thickBot="1">
      <c r="A20" s="585" t="s">
        <v>244</v>
      </c>
      <c r="B20" s="585"/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</row>
    <row r="21" spans="1:13" ht="54">
      <c r="A21" s="576" t="s">
        <v>0</v>
      </c>
      <c r="B21" s="579" t="s">
        <v>49</v>
      </c>
      <c r="C21" s="580"/>
      <c r="D21" s="580"/>
      <c r="E21" s="580"/>
      <c r="F21" s="580"/>
      <c r="G21" s="581" t="s">
        <v>50</v>
      </c>
      <c r="H21" s="582"/>
      <c r="I21" s="582"/>
      <c r="J21" s="582"/>
      <c r="K21" s="583" t="s">
        <v>51</v>
      </c>
      <c r="L21" s="584"/>
      <c r="M21" s="345" t="s">
        <v>52</v>
      </c>
    </row>
    <row r="22" spans="1:13" ht="51">
      <c r="A22" s="577"/>
      <c r="B22" s="140" t="s">
        <v>136</v>
      </c>
      <c r="C22" s="141" t="s">
        <v>54</v>
      </c>
      <c r="D22" s="141" t="s">
        <v>320</v>
      </c>
      <c r="E22" s="141" t="s">
        <v>172</v>
      </c>
      <c r="F22" s="142" t="s">
        <v>41</v>
      </c>
      <c r="G22" s="143" t="s">
        <v>53</v>
      </c>
      <c r="H22" s="141" t="s">
        <v>54</v>
      </c>
      <c r="I22" s="141" t="s">
        <v>172</v>
      </c>
      <c r="J22" s="142" t="s">
        <v>41</v>
      </c>
      <c r="K22" s="144" t="s">
        <v>148</v>
      </c>
      <c r="L22" s="409" t="s">
        <v>149</v>
      </c>
      <c r="M22" s="145">
        <v>2011</v>
      </c>
    </row>
    <row r="23" spans="1:13" ht="13.5" thickBot="1">
      <c r="A23" s="578"/>
      <c r="B23" s="146" t="s">
        <v>22</v>
      </c>
      <c r="C23" s="147" t="s">
        <v>22</v>
      </c>
      <c r="D23" s="147"/>
      <c r="E23" s="147" t="s">
        <v>22</v>
      </c>
      <c r="F23" s="148" t="s">
        <v>22</v>
      </c>
      <c r="G23" s="149" t="s">
        <v>55</v>
      </c>
      <c r="H23" s="147" t="s">
        <v>55</v>
      </c>
      <c r="I23" s="147" t="s">
        <v>55</v>
      </c>
      <c r="J23" s="148" t="s">
        <v>55</v>
      </c>
      <c r="K23" s="150" t="s">
        <v>56</v>
      </c>
      <c r="L23" s="401" t="s">
        <v>56</v>
      </c>
      <c r="M23" s="151"/>
    </row>
    <row r="24" spans="1:13" ht="15.75">
      <c r="A24" s="289" t="str">
        <f aca="true" t="shared" si="2" ref="A24:A30">A10</f>
        <v>Residential</v>
      </c>
      <c r="B24" s="152">
        <v>0.010132682166659615</v>
      </c>
      <c r="C24" s="153">
        <f aca="true" t="shared" si="3" ref="C24:C30">0.0052+0.0013</f>
        <v>0.0065</v>
      </c>
      <c r="D24" s="510">
        <v>0</v>
      </c>
      <c r="E24" s="153">
        <v>0.007</v>
      </c>
      <c r="F24" s="156">
        <f aca="true" t="shared" si="4" ref="F24:F30">SUM(B24:E24)</f>
        <v>0.023632682166659615</v>
      </c>
      <c r="G24" s="157">
        <v>0</v>
      </c>
      <c r="H24" s="158"/>
      <c r="I24" s="158"/>
      <c r="J24" s="159"/>
      <c r="K24" s="162">
        <v>0.065</v>
      </c>
      <c r="L24" s="402">
        <v>0.075</v>
      </c>
      <c r="M24" s="162">
        <v>1.0559902750928698</v>
      </c>
    </row>
    <row r="25" spans="1:13" ht="15.75">
      <c r="A25" s="289" t="str">
        <f t="shared" si="2"/>
        <v>GS &lt; 50 kW</v>
      </c>
      <c r="B25" s="154">
        <v>0.009039845539860984</v>
      </c>
      <c r="C25" s="153">
        <f t="shared" si="3"/>
        <v>0.0065</v>
      </c>
      <c r="D25" s="510">
        <v>0</v>
      </c>
      <c r="E25" s="153">
        <v>0.007</v>
      </c>
      <c r="F25" s="156">
        <f t="shared" si="4"/>
        <v>0.02253984553986098</v>
      </c>
      <c r="G25" s="160">
        <v>0</v>
      </c>
      <c r="H25" s="159"/>
      <c r="I25" s="159"/>
      <c r="J25" s="159"/>
      <c r="K25" s="162">
        <v>0.065</v>
      </c>
      <c r="L25" s="402">
        <v>0.075</v>
      </c>
      <c r="M25" s="162">
        <v>1.0559902750928698</v>
      </c>
    </row>
    <row r="26" spans="1:13" ht="15.75">
      <c r="A26" s="289" t="str">
        <f t="shared" si="2"/>
        <v>GS &gt;50</v>
      </c>
      <c r="B26" s="159"/>
      <c r="C26" s="153">
        <f t="shared" si="3"/>
        <v>0.0065</v>
      </c>
      <c r="D26" s="510">
        <v>0</v>
      </c>
      <c r="E26" s="153">
        <v>0.007</v>
      </c>
      <c r="F26" s="156">
        <f t="shared" si="4"/>
        <v>0.0135</v>
      </c>
      <c r="G26" s="161">
        <v>3.6656054700065805</v>
      </c>
      <c r="H26" s="159"/>
      <c r="I26" s="159"/>
      <c r="J26" s="156">
        <f>SUM(G26:I26)</f>
        <v>3.6656054700065805</v>
      </c>
      <c r="K26" s="162">
        <v>0.06062</v>
      </c>
      <c r="L26" s="402">
        <v>0.06062</v>
      </c>
      <c r="M26" s="162">
        <v>1.0559902750928698</v>
      </c>
    </row>
    <row r="27" spans="1:16" ht="15.75">
      <c r="A27" s="289" t="str">
        <f t="shared" si="2"/>
        <v>Large Use</v>
      </c>
      <c r="B27" s="159"/>
      <c r="C27" s="153">
        <f t="shared" si="3"/>
        <v>0.0065</v>
      </c>
      <c r="D27" s="510">
        <v>0</v>
      </c>
      <c r="E27" s="153">
        <v>0.007</v>
      </c>
      <c r="F27" s="156">
        <f t="shared" si="4"/>
        <v>0.0135</v>
      </c>
      <c r="G27" s="161"/>
      <c r="H27" s="159"/>
      <c r="I27" s="159"/>
      <c r="J27" s="156">
        <f>SUM(G27:I27)</f>
        <v>0</v>
      </c>
      <c r="K27" s="163"/>
      <c r="L27" s="410"/>
      <c r="M27" s="163"/>
      <c r="P27" s="25"/>
    </row>
    <row r="28" spans="1:13" ht="15.75">
      <c r="A28" s="289" t="str">
        <f t="shared" si="2"/>
        <v>Sentinel Lights</v>
      </c>
      <c r="B28" s="159"/>
      <c r="C28" s="153">
        <f t="shared" si="3"/>
        <v>0.0065</v>
      </c>
      <c r="D28" s="510">
        <v>0</v>
      </c>
      <c r="E28" s="153">
        <v>0.007</v>
      </c>
      <c r="F28" s="156">
        <f t="shared" si="4"/>
        <v>0.0135</v>
      </c>
      <c r="G28" s="161">
        <v>2.861367432444399</v>
      </c>
      <c r="H28" s="159"/>
      <c r="I28" s="159"/>
      <c r="J28" s="156">
        <f>SUM(G28:I28)</f>
        <v>2.861367432444399</v>
      </c>
      <c r="K28" s="163">
        <v>0.065</v>
      </c>
      <c r="L28" s="410">
        <v>0.075</v>
      </c>
      <c r="M28" s="163">
        <v>1.0559902750928698</v>
      </c>
    </row>
    <row r="29" spans="1:13" ht="15.75">
      <c r="A29" s="289" t="str">
        <f t="shared" si="2"/>
        <v>Street Lighting</v>
      </c>
      <c r="B29" s="159"/>
      <c r="C29" s="153">
        <f t="shared" si="3"/>
        <v>0.0065</v>
      </c>
      <c r="D29" s="510">
        <v>0</v>
      </c>
      <c r="E29" s="155">
        <v>0.007</v>
      </c>
      <c r="F29" s="156">
        <f t="shared" si="4"/>
        <v>0.0135</v>
      </c>
      <c r="G29" s="161">
        <v>2.790111290450164</v>
      </c>
      <c r="H29" s="159"/>
      <c r="I29" s="159"/>
      <c r="J29" s="156">
        <f>SUM(G29:I29)</f>
        <v>2.790111290450164</v>
      </c>
      <c r="K29" s="162">
        <v>0.06062</v>
      </c>
      <c r="L29" s="411">
        <v>0.06062</v>
      </c>
      <c r="M29" s="162">
        <v>1.0559902750928698</v>
      </c>
    </row>
    <row r="30" spans="1:13" ht="15.75">
      <c r="A30" s="289" t="str">
        <f t="shared" si="2"/>
        <v>USL</v>
      </c>
      <c r="B30" s="154">
        <v>0.009132883108925464</v>
      </c>
      <c r="C30" s="153">
        <f t="shared" si="3"/>
        <v>0.0065</v>
      </c>
      <c r="D30" s="510">
        <v>0</v>
      </c>
      <c r="E30" s="155">
        <v>0.007</v>
      </c>
      <c r="F30" s="156">
        <f t="shared" si="4"/>
        <v>0.022632883108925462</v>
      </c>
      <c r="G30" s="160">
        <v>0</v>
      </c>
      <c r="H30" s="159"/>
      <c r="I30" s="159"/>
      <c r="J30" s="159"/>
      <c r="K30" s="407">
        <v>0.065</v>
      </c>
      <c r="L30" s="402">
        <v>0.075</v>
      </c>
      <c r="M30" s="162">
        <v>1.0559902750928698</v>
      </c>
    </row>
    <row r="36" spans="1:8" ht="15.75">
      <c r="A36" s="574" t="s">
        <v>126</v>
      </c>
      <c r="B36" s="575"/>
      <c r="C36" s="575"/>
      <c r="D36" s="575"/>
      <c r="E36" s="575"/>
      <c r="F36" s="575"/>
      <c r="G36" s="479">
        <v>2010</v>
      </c>
      <c r="H36" s="478">
        <v>2011</v>
      </c>
    </row>
    <row r="37" spans="1:8" ht="15.75">
      <c r="A37" s="473" t="s">
        <v>57</v>
      </c>
      <c r="B37" s="472"/>
      <c r="C37" s="472"/>
      <c r="D37" s="472"/>
      <c r="E37" s="472"/>
      <c r="F37" s="472"/>
      <c r="G37" s="480">
        <v>1.0045</v>
      </c>
      <c r="H37" s="474">
        <v>1.0045</v>
      </c>
    </row>
    <row r="38" spans="1:8" ht="15.75">
      <c r="A38" s="473" t="s">
        <v>58</v>
      </c>
      <c r="B38" s="472"/>
      <c r="C38" s="472"/>
      <c r="D38" s="472"/>
      <c r="E38" s="472"/>
      <c r="F38" s="472"/>
      <c r="G38" s="481">
        <f>M10/G37</f>
        <v>1.0553509208561473</v>
      </c>
      <c r="H38" s="475">
        <f>M24/H37</f>
        <v>1.0512596068619908</v>
      </c>
    </row>
    <row r="39" spans="1:8" ht="15.75">
      <c r="A39" s="473" t="s">
        <v>59</v>
      </c>
      <c r="B39" s="472"/>
      <c r="C39" s="472"/>
      <c r="D39" s="472"/>
      <c r="E39" s="472"/>
      <c r="F39" s="472"/>
      <c r="G39" s="486" t="s">
        <v>285</v>
      </c>
      <c r="H39" s="487" t="s">
        <v>285</v>
      </c>
    </row>
    <row r="40" spans="1:8" ht="15.75">
      <c r="A40" s="473" t="s">
        <v>60</v>
      </c>
      <c r="B40" s="472"/>
      <c r="C40" s="472"/>
      <c r="D40" s="472"/>
      <c r="E40" s="472"/>
      <c r="F40" s="472"/>
      <c r="G40" s="481">
        <f>G38*0.99</f>
        <v>1.0447974116475858</v>
      </c>
      <c r="H40" s="475">
        <f>H38*0.99</f>
        <v>1.040747010793371</v>
      </c>
    </row>
    <row r="41" spans="1:8" ht="15.75">
      <c r="A41" s="473" t="s">
        <v>61</v>
      </c>
      <c r="B41" s="472"/>
      <c r="C41" s="472"/>
      <c r="D41" s="472"/>
      <c r="E41" s="472"/>
      <c r="F41" s="472"/>
      <c r="G41" s="486" t="s">
        <v>285</v>
      </c>
      <c r="H41" s="487" t="s">
        <v>285</v>
      </c>
    </row>
    <row r="42" spans="1:8" ht="15.75">
      <c r="A42" s="473" t="s">
        <v>62</v>
      </c>
      <c r="B42" s="472"/>
      <c r="C42" s="472"/>
      <c r="D42" s="472"/>
      <c r="E42" s="472"/>
      <c r="F42" s="472"/>
      <c r="G42" s="481">
        <f>G37*G38</f>
        <v>1.0601</v>
      </c>
      <c r="H42" s="475">
        <f>H37*H38</f>
        <v>1.0559902750928698</v>
      </c>
    </row>
    <row r="43" spans="1:8" ht="15.75">
      <c r="A43" s="473" t="s">
        <v>63</v>
      </c>
      <c r="B43" s="472"/>
      <c r="C43" s="472"/>
      <c r="D43" s="472"/>
      <c r="E43" s="472"/>
      <c r="F43" s="472"/>
      <c r="G43" s="486" t="s">
        <v>285</v>
      </c>
      <c r="H43" s="487" t="s">
        <v>285</v>
      </c>
    </row>
    <row r="44" spans="1:8" ht="15.75">
      <c r="A44" s="473" t="s">
        <v>64</v>
      </c>
      <c r="B44" s="472"/>
      <c r="C44" s="472"/>
      <c r="D44" s="472"/>
      <c r="E44" s="472"/>
      <c r="F44" s="472"/>
      <c r="G44" s="481">
        <f>G37*G40</f>
        <v>1.049499</v>
      </c>
      <c r="H44" s="475">
        <f>H37*H40</f>
        <v>1.0454303723419411</v>
      </c>
    </row>
    <row r="45" spans="1:8" ht="15.75">
      <c r="A45" s="476" t="s">
        <v>65</v>
      </c>
      <c r="B45" s="477"/>
      <c r="C45" s="477"/>
      <c r="D45" s="477"/>
      <c r="E45" s="477"/>
      <c r="F45" s="477"/>
      <c r="G45" s="484" t="s">
        <v>285</v>
      </c>
      <c r="H45" s="485" t="s">
        <v>285</v>
      </c>
    </row>
  </sheetData>
  <mergeCells count="16">
    <mergeCell ref="A5:M5"/>
    <mergeCell ref="A7:A9"/>
    <mergeCell ref="B7:F7"/>
    <mergeCell ref="G7:J7"/>
    <mergeCell ref="K7:L7"/>
    <mergeCell ref="A6:M6"/>
    <mergeCell ref="A1:M1"/>
    <mergeCell ref="A2:M2"/>
    <mergeCell ref="A3:M3"/>
    <mergeCell ref="A4:M4"/>
    <mergeCell ref="A36:F36"/>
    <mergeCell ref="A20:M20"/>
    <mergeCell ref="A21:A23"/>
    <mergeCell ref="B21:F21"/>
    <mergeCell ref="G21:J21"/>
    <mergeCell ref="K21:L21"/>
  </mergeCells>
  <printOptions/>
  <pageMargins left="0.75" right="0.75" top="0.6" bottom="0.27" header="0.5" footer="0.19"/>
  <pageSetup fitToHeight="1" fitToWidth="1" horizontalDpi="355" verticalDpi="355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07"/>
  <sheetViews>
    <sheetView zoomScale="75" zoomScaleNormal="75" workbookViewId="0" topLeftCell="A1">
      <selection activeCell="A1" sqref="A1:P609"/>
    </sheetView>
  </sheetViews>
  <sheetFormatPr defaultColWidth="9.140625" defaultRowHeight="12.75"/>
  <cols>
    <col min="2" max="2" width="1.57421875" style="0" customWidth="1"/>
    <col min="3" max="3" width="18.57421875" style="0" customWidth="1"/>
    <col min="4" max="4" width="16.28125" style="0" bestFit="1" customWidth="1"/>
    <col min="5" max="5" width="1.28515625" style="0" customWidth="1"/>
    <col min="6" max="6" width="34.00390625" style="0" customWidth="1"/>
    <col min="7" max="7" width="11.00390625" style="0" bestFit="1" customWidth="1"/>
    <col min="8" max="8" width="9.7109375" style="0" bestFit="1" customWidth="1"/>
    <col min="9" max="9" width="13.8515625" style="0" bestFit="1" customWidth="1"/>
    <col min="10" max="10" width="11.00390625" style="0" bestFit="1" customWidth="1"/>
    <col min="11" max="11" width="11.7109375" style="0" bestFit="1" customWidth="1"/>
    <col min="12" max="12" width="14.8515625" style="0" bestFit="1" customWidth="1"/>
    <col min="13" max="13" width="13.57421875" style="0" bestFit="1" customWidth="1"/>
    <col min="14" max="14" width="11.00390625" style="0" bestFit="1" customWidth="1"/>
    <col min="15" max="15" width="14.00390625" style="0" bestFit="1" customWidth="1"/>
    <col min="16" max="16" width="1.57421875" style="0" customWidth="1"/>
  </cols>
  <sheetData>
    <row r="1" spans="1:15" ht="12.75">
      <c r="A1" s="60"/>
      <c r="B1" s="544" t="str">
        <f>+'Revenue Input'!A1</f>
        <v>Niagara Peninsula Energy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ht="12.75">
      <c r="A2" s="60"/>
      <c r="B2" s="544" t="str">
        <f>+'Revenue Input'!A2</f>
        <v>, License Number ED-2007-0749, File Number EB-2010-0138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5" ht="12.75">
      <c r="A3" s="60"/>
      <c r="B3" s="544">
        <f>+'Revenue Input'!A3</f>
        <v>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5" ht="12.75">
      <c r="A4" s="60"/>
      <c r="B4" s="8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</row>
    <row r="5" spans="1:15" ht="20.25">
      <c r="A5" s="60"/>
      <c r="B5" s="8"/>
      <c r="C5" s="565" t="s">
        <v>279</v>
      </c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</row>
    <row r="6" spans="1:15" ht="18">
      <c r="A6" s="60"/>
      <c r="B6" s="8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</row>
    <row r="7" spans="1:15" ht="18" customHeight="1" thickBot="1">
      <c r="A7" s="60"/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</row>
    <row r="8" spans="2:16" ht="21.75" customHeight="1">
      <c r="B8" s="174"/>
      <c r="C8" s="603" t="s">
        <v>48</v>
      </c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164"/>
    </row>
    <row r="9" spans="2:16" ht="21.75" customHeight="1" thickBot="1">
      <c r="B9" s="172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165"/>
    </row>
    <row r="10" spans="2:16" ht="21.75" customHeight="1" thickBot="1">
      <c r="B10" s="172"/>
      <c r="C10" s="173"/>
      <c r="D10" s="173"/>
      <c r="E10" s="31"/>
      <c r="F10" s="37"/>
      <c r="G10" s="595" t="s">
        <v>198</v>
      </c>
      <c r="H10" s="596"/>
      <c r="I10" s="597"/>
      <c r="J10" s="595" t="s">
        <v>245</v>
      </c>
      <c r="K10" s="596"/>
      <c r="L10" s="597"/>
      <c r="M10" s="595" t="s">
        <v>73</v>
      </c>
      <c r="N10" s="596"/>
      <c r="O10" s="597"/>
      <c r="P10" s="165"/>
    </row>
    <row r="11" spans="2:16" ht="26.25" thickBot="1">
      <c r="B11" s="172"/>
      <c r="C11" s="31"/>
      <c r="D11" s="31"/>
      <c r="E11" s="33"/>
      <c r="F11" s="38"/>
      <c r="G11" s="213" t="s">
        <v>67</v>
      </c>
      <c r="H11" s="189" t="s">
        <v>68</v>
      </c>
      <c r="I11" s="190" t="s">
        <v>69</v>
      </c>
      <c r="J11" s="213" t="s">
        <v>67</v>
      </c>
      <c r="K11" s="189" t="s">
        <v>68</v>
      </c>
      <c r="L11" s="190" t="s">
        <v>69</v>
      </c>
      <c r="M11" s="215" t="s">
        <v>74</v>
      </c>
      <c r="N11" s="216" t="s">
        <v>75</v>
      </c>
      <c r="O11" s="217" t="s">
        <v>76</v>
      </c>
      <c r="P11" s="165"/>
    </row>
    <row r="12" spans="2:16" ht="21.75" customHeight="1" thickBot="1">
      <c r="B12" s="172"/>
      <c r="C12" s="593" t="s">
        <v>70</v>
      </c>
      <c r="D12" s="594"/>
      <c r="E12" s="31"/>
      <c r="F12" s="198" t="s">
        <v>71</v>
      </c>
      <c r="G12" s="207"/>
      <c r="H12" s="208"/>
      <c r="I12" s="209">
        <f>+'2010 Existing RatesNF'!$C$8</f>
        <v>15.96</v>
      </c>
      <c r="J12" s="207"/>
      <c r="K12" s="208"/>
      <c r="L12" s="212">
        <f>'Rate Schedule (Part 1) NF'!$E$11</f>
        <v>16.55</v>
      </c>
      <c r="M12" s="221">
        <f aca="true" t="shared" si="0" ref="M12:M17">+L12-I12</f>
        <v>0.5899999999999999</v>
      </c>
      <c r="N12" s="222">
        <f aca="true" t="shared" si="1" ref="N12:N21">+M12/I12</f>
        <v>0.036967418546365906</v>
      </c>
      <c r="O12" s="223">
        <f>L12/L29</f>
        <v>0.5074933727297415</v>
      </c>
      <c r="P12" s="165"/>
    </row>
    <row r="13" spans="2:16" ht="21.75" customHeight="1" thickBot="1">
      <c r="B13" s="172"/>
      <c r="C13" s="168">
        <v>100</v>
      </c>
      <c r="D13" s="169" t="s">
        <v>16</v>
      </c>
      <c r="E13" s="31"/>
      <c r="F13" s="199" t="s">
        <v>72</v>
      </c>
      <c r="G13" s="201">
        <f>+C13</f>
        <v>100</v>
      </c>
      <c r="H13" s="196">
        <f>'2010 Existing RatesNF'!$B$69</f>
        <v>0.0136</v>
      </c>
      <c r="I13" s="210">
        <f>+G13*H13</f>
        <v>1.3599999999999999</v>
      </c>
      <c r="J13" s="201">
        <f>+C13</f>
        <v>100</v>
      </c>
      <c r="K13" s="195">
        <f>'Rate Schedule (Part 1) NF'!$E$12</f>
        <v>0.0167</v>
      </c>
      <c r="L13" s="214">
        <f>+J13*K13</f>
        <v>1.67</v>
      </c>
      <c r="M13" s="224">
        <f t="shared" si="0"/>
        <v>0.31000000000000005</v>
      </c>
      <c r="N13" s="218">
        <f t="shared" si="1"/>
        <v>0.22794117647058829</v>
      </c>
      <c r="O13" s="225">
        <f>L13/L29</f>
        <v>0.05120930105490443</v>
      </c>
      <c r="P13" s="165"/>
    </row>
    <row r="14" spans="2:16" ht="21.75" customHeight="1">
      <c r="B14" s="172"/>
      <c r="C14" s="369"/>
      <c r="D14" s="370"/>
      <c r="E14" s="31"/>
      <c r="F14" s="199" t="s">
        <v>246</v>
      </c>
      <c r="G14" s="201">
        <f>G13</f>
        <v>100</v>
      </c>
      <c r="H14" s="196">
        <f>'2010 Existing RatesNF'!$B$46</f>
        <v>0</v>
      </c>
      <c r="I14" s="210">
        <f>+G14*H14</f>
        <v>0</v>
      </c>
      <c r="J14" s="201">
        <f>J13</f>
        <v>100</v>
      </c>
      <c r="K14" s="195">
        <f>'Rate Schedule (Part 1) NF'!$E$13</f>
        <v>0.0003</v>
      </c>
      <c r="L14" s="214">
        <f>+J14*K14</f>
        <v>0.03</v>
      </c>
      <c r="M14" s="224">
        <f t="shared" si="0"/>
        <v>0.03</v>
      </c>
      <c r="N14" s="218" t="e">
        <f t="shared" si="1"/>
        <v>#DIV/0!</v>
      </c>
      <c r="O14" s="225">
        <f>L14/L29</f>
        <v>0.0009199275638605586</v>
      </c>
      <c r="P14" s="165"/>
    </row>
    <row r="15" spans="2:16" ht="21.75" customHeight="1">
      <c r="B15" s="172"/>
      <c r="C15" s="63"/>
      <c r="D15" s="64"/>
      <c r="E15" s="31"/>
      <c r="F15" s="199" t="s">
        <v>170</v>
      </c>
      <c r="G15" s="220"/>
      <c r="H15" s="219"/>
      <c r="I15" s="210">
        <f>'2010 Existing RatesNF'!$B$57</f>
        <v>1</v>
      </c>
      <c r="J15" s="220"/>
      <c r="K15" s="219"/>
      <c r="L15" s="214">
        <f>'Rate Schedule (Part 1) NF'!$E$15</f>
        <v>1</v>
      </c>
      <c r="M15" s="224">
        <f t="shared" si="0"/>
        <v>0</v>
      </c>
      <c r="N15" s="218">
        <f t="shared" si="1"/>
        <v>0</v>
      </c>
      <c r="O15" s="225">
        <f>L15/L29</f>
        <v>0.030664252128685288</v>
      </c>
      <c r="P15" s="165"/>
    </row>
    <row r="16" spans="2:16" ht="21.75" customHeight="1">
      <c r="B16" s="172"/>
      <c r="C16" s="63"/>
      <c r="D16" s="64"/>
      <c r="E16" s="31"/>
      <c r="F16" s="199" t="s">
        <v>162</v>
      </c>
      <c r="G16" s="201">
        <f>C13</f>
        <v>100</v>
      </c>
      <c r="H16" s="196"/>
      <c r="I16" s="206">
        <f>+G16*H16</f>
        <v>0</v>
      </c>
      <c r="J16" s="201">
        <f>C13</f>
        <v>100</v>
      </c>
      <c r="K16" s="195">
        <f>'Rate Schedule (Part 1) NF'!$E$14</f>
        <v>0</v>
      </c>
      <c r="L16" s="214">
        <f>J16*K16</f>
        <v>0</v>
      </c>
      <c r="M16" s="224">
        <f t="shared" si="0"/>
        <v>0</v>
      </c>
      <c r="N16" s="218" t="e">
        <f t="shared" si="1"/>
        <v>#DIV/0!</v>
      </c>
      <c r="O16" s="225">
        <f>L16/L29</f>
        <v>0</v>
      </c>
      <c r="P16" s="165"/>
    </row>
    <row r="17" spans="2:16" ht="26.25" customHeight="1">
      <c r="B17" s="172"/>
      <c r="C17" s="63"/>
      <c r="D17" s="64"/>
      <c r="E17" s="31"/>
      <c r="F17" s="199" t="s">
        <v>286</v>
      </c>
      <c r="G17" s="201">
        <f>+C13</f>
        <v>100</v>
      </c>
      <c r="H17" s="196">
        <f>+'2010 Existing RatesNF'!$B$20</f>
        <v>-0.0028</v>
      </c>
      <c r="I17" s="206">
        <f>+G17*H17</f>
        <v>-0.27999999999999997</v>
      </c>
      <c r="J17" s="201">
        <f>+C13</f>
        <v>100</v>
      </c>
      <c r="K17" s="195">
        <f>'Rate Schedule (Part 1) NF'!$E$17</f>
        <v>-0.0028</v>
      </c>
      <c r="L17" s="214">
        <f>+J17*K17</f>
        <v>-0.27999999999999997</v>
      </c>
      <c r="M17" s="224">
        <f t="shared" si="0"/>
        <v>0</v>
      </c>
      <c r="N17" s="218">
        <f t="shared" si="1"/>
        <v>0</v>
      </c>
      <c r="O17" s="225">
        <f>L17/L29</f>
        <v>-0.00858599059603188</v>
      </c>
      <c r="P17" s="165"/>
    </row>
    <row r="18" spans="2:16" ht="27.75" customHeight="1">
      <c r="B18" s="172"/>
      <c r="C18" s="31"/>
      <c r="D18" s="31"/>
      <c r="E18" s="31"/>
      <c r="F18" s="199" t="s">
        <v>294</v>
      </c>
      <c r="G18" s="372">
        <f>C13</f>
        <v>100</v>
      </c>
      <c r="H18" s="488"/>
      <c r="I18" s="206">
        <f>+G18*H18</f>
        <v>0</v>
      </c>
      <c r="J18" s="372">
        <f>C13</f>
        <v>100</v>
      </c>
      <c r="K18" s="488">
        <f>'Rate Schedule (Part 1) NF'!E19</f>
        <v>0.0001</v>
      </c>
      <c r="L18" s="214">
        <f>+J18*K18</f>
        <v>0.01</v>
      </c>
      <c r="M18" s="224">
        <f>+L18-I18</f>
        <v>0.01</v>
      </c>
      <c r="N18" s="218" t="e">
        <f t="shared" si="1"/>
        <v>#DIV/0!</v>
      </c>
      <c r="O18" s="225">
        <f>L18/L29</f>
        <v>0.00030664252128685286</v>
      </c>
      <c r="P18" s="165"/>
    </row>
    <row r="19" spans="2:16" ht="26.25" customHeight="1">
      <c r="B19" s="172"/>
      <c r="C19" s="63"/>
      <c r="D19" s="64"/>
      <c r="E19" s="31"/>
      <c r="F19" s="199" t="s">
        <v>316</v>
      </c>
      <c r="G19" s="201">
        <f>C13</f>
        <v>100</v>
      </c>
      <c r="H19" s="196">
        <f>'2010 Existing RatesNF'!B33</f>
        <v>0.0011</v>
      </c>
      <c r="I19" s="206">
        <f>+G19*H19</f>
        <v>0.11</v>
      </c>
      <c r="J19" s="201">
        <f>C13</f>
        <v>100</v>
      </c>
      <c r="K19" s="195">
        <f>'Rate Schedule (Part 1) NF'!E16</f>
        <v>0.0011</v>
      </c>
      <c r="L19" s="214">
        <f>+J19*K19</f>
        <v>0.11</v>
      </c>
      <c r="M19" s="224">
        <f>+L19-I19</f>
        <v>0</v>
      </c>
      <c r="N19" s="218">
        <f>+M19/I19</f>
        <v>0</v>
      </c>
      <c r="O19" s="225">
        <f>L19/L29</f>
        <v>0.0033730677341553814</v>
      </c>
      <c r="P19" s="165"/>
    </row>
    <row r="20" spans="2:16" ht="27.75" customHeight="1" thickBot="1">
      <c r="B20" s="172"/>
      <c r="C20" s="31"/>
      <c r="D20" s="31"/>
      <c r="E20" s="31"/>
      <c r="F20" s="199" t="s">
        <v>317</v>
      </c>
      <c r="G20" s="372">
        <f>C13</f>
        <v>100</v>
      </c>
      <c r="H20" s="488"/>
      <c r="I20" s="206">
        <f>+G20*H20</f>
        <v>0</v>
      </c>
      <c r="J20" s="372">
        <f>C13</f>
        <v>100</v>
      </c>
      <c r="K20" s="488">
        <f>'Rate Schedule (Part 1) NF'!E18</f>
        <v>0.0016</v>
      </c>
      <c r="L20" s="214">
        <f>+J20*K20</f>
        <v>0.16</v>
      </c>
      <c r="M20" s="224">
        <f>+L20-I20</f>
        <v>0.16</v>
      </c>
      <c r="N20" s="218" t="e">
        <f>+M20/I20</f>
        <v>#DIV/0!</v>
      </c>
      <c r="O20" s="225">
        <f>L20/L29</f>
        <v>0.004906280340589646</v>
      </c>
      <c r="P20" s="165"/>
    </row>
    <row r="21" spans="2:16" ht="21.75" customHeight="1" thickBot="1">
      <c r="B21" s="172"/>
      <c r="C21" s="31"/>
      <c r="D21" s="31"/>
      <c r="E21" s="31"/>
      <c r="F21" s="233" t="s">
        <v>247</v>
      </c>
      <c r="G21" s="586"/>
      <c r="H21" s="587"/>
      <c r="I21" s="235">
        <f>SUM(I12:I20)</f>
        <v>18.15</v>
      </c>
      <c r="J21" s="586"/>
      <c r="K21" s="587"/>
      <c r="L21" s="235">
        <f>SUM(L12:L20)</f>
        <v>19.25</v>
      </c>
      <c r="M21" s="237">
        <f>SUM(M12:M20)</f>
        <v>1.0999999999999999</v>
      </c>
      <c r="N21" s="238">
        <f t="shared" si="1"/>
        <v>0.0606060606060606</v>
      </c>
      <c r="O21" s="240">
        <f>L21/L29</f>
        <v>0.5902868534771918</v>
      </c>
      <c r="P21" s="165"/>
    </row>
    <row r="22" spans="2:16" ht="21.75" customHeight="1" thickBot="1">
      <c r="B22" s="172"/>
      <c r="C22" s="31"/>
      <c r="D22" s="31"/>
      <c r="E22" s="31"/>
      <c r="F22" s="199" t="s">
        <v>248</v>
      </c>
      <c r="G22" s="372">
        <f>C13*'Other Electriciy Rates NF'!$M$10</f>
        <v>105.72</v>
      </c>
      <c r="H22" s="373">
        <f>'Other Electriciy Rates NF'!$B$10</f>
        <v>0.009899999999999999</v>
      </c>
      <c r="I22" s="210">
        <f>+G22*H22</f>
        <v>1.046628</v>
      </c>
      <c r="J22" s="372">
        <f>'BILL IMPACTS NF'!C13*'Other Electriciy Rates NF'!$M$24</f>
        <v>105.59902750928698</v>
      </c>
      <c r="K22" s="494">
        <f>'Other Electriciy Rates NF'!$B$24</f>
        <v>0.010132682166659615</v>
      </c>
      <c r="L22" s="210">
        <f>+J22*K22</f>
        <v>1.0700013828599504</v>
      </c>
      <c r="M22" s="374">
        <f>+L22-I22</f>
        <v>0.023373382859950498</v>
      </c>
      <c r="N22" s="222">
        <f aca="true" t="shared" si="2" ref="N22:N29">+M22/I22</f>
        <v>0.02233208251637688</v>
      </c>
      <c r="O22" s="223">
        <f>L22/L29</f>
        <v>0.032810792182059435</v>
      </c>
      <c r="P22" s="165"/>
    </row>
    <row r="23" spans="2:16" ht="21.75" customHeight="1" thickBot="1">
      <c r="B23" s="172"/>
      <c r="C23" s="31"/>
      <c r="D23" s="31"/>
      <c r="E23" s="31"/>
      <c r="F23" s="233" t="s">
        <v>249</v>
      </c>
      <c r="G23" s="586"/>
      <c r="H23" s="587"/>
      <c r="I23" s="235">
        <f>SUM(I21:I22)</f>
        <v>19.196627999999997</v>
      </c>
      <c r="J23" s="586"/>
      <c r="K23" s="587"/>
      <c r="L23" s="235">
        <f>SUM(L21:L22)</f>
        <v>20.32000138285995</v>
      </c>
      <c r="M23" s="237">
        <f>SUM(M21:M22)</f>
        <v>1.1233733828599504</v>
      </c>
      <c r="N23" s="238">
        <f t="shared" si="2"/>
        <v>0.05851930781072335</v>
      </c>
      <c r="O23" s="375">
        <f>L23/L29</f>
        <v>0.6230976456592512</v>
      </c>
      <c r="P23" s="165"/>
    </row>
    <row r="24" spans="2:16" ht="21.75" customHeight="1">
      <c r="B24" s="172"/>
      <c r="C24" s="31"/>
      <c r="D24" s="31"/>
      <c r="E24" s="31"/>
      <c r="F24" s="200" t="s">
        <v>77</v>
      </c>
      <c r="G24" s="202">
        <f>+'Other Electriciy Rates NF'!$M$10*C13</f>
        <v>105.72</v>
      </c>
      <c r="H24" s="203">
        <f>'Other Electriciy Rates NF'!$C$10+'Other Electriciy Rates NF'!$E$10+'Other Electriciy Rates NF'!D10</f>
        <v>0.0138725</v>
      </c>
      <c r="I24" s="204">
        <f>+G24*H24</f>
        <v>1.4666006999999999</v>
      </c>
      <c r="J24" s="202">
        <f>J22</f>
        <v>105.59902750928698</v>
      </c>
      <c r="K24" s="203">
        <f>'Other Electriciy Rates NF'!$C$24+'Other Electriciy Rates NF'!$E$24+'Other Electriciy Rates NF'!D24</f>
        <v>0.0135</v>
      </c>
      <c r="L24" s="229">
        <f>+J24*K24</f>
        <v>1.4255868713753743</v>
      </c>
      <c r="M24" s="221">
        <f>+L24-I24</f>
        <v>-0.04101382862462555</v>
      </c>
      <c r="N24" s="222">
        <f t="shared" si="2"/>
        <v>-0.027965231862105037</v>
      </c>
      <c r="O24" s="301">
        <f>L24/L29</f>
        <v>0.04371455525519812</v>
      </c>
      <c r="P24" s="165"/>
    </row>
    <row r="25" spans="2:16" ht="21.75" customHeight="1">
      <c r="B25" s="172"/>
      <c r="C25" s="31"/>
      <c r="D25" s="31"/>
      <c r="E25" s="31"/>
      <c r="F25" s="200" t="s">
        <v>321</v>
      </c>
      <c r="G25" s="220"/>
      <c r="H25" s="219"/>
      <c r="I25" s="299">
        <v>0.25</v>
      </c>
      <c r="J25" s="220"/>
      <c r="K25" s="219"/>
      <c r="L25" s="300">
        <v>0.25</v>
      </c>
      <c r="M25" s="230">
        <f>+L25-I25</f>
        <v>0</v>
      </c>
      <c r="N25" s="231">
        <f>+M25/I25</f>
        <v>0</v>
      </c>
      <c r="O25" s="225">
        <f>L25/L29</f>
        <v>0.007666063032171322</v>
      </c>
      <c r="P25" s="165"/>
    </row>
    <row r="26" spans="2:16" ht="21.75" customHeight="1" thickBot="1">
      <c r="B26" s="172"/>
      <c r="C26" s="31"/>
      <c r="D26" s="31"/>
      <c r="E26" s="31"/>
      <c r="F26" s="199" t="s">
        <v>78</v>
      </c>
      <c r="G26" s="211">
        <f>+'Other Electriciy Rates NF'!$M$10*C13</f>
        <v>105.72</v>
      </c>
      <c r="H26" s="205">
        <f>'Other Electriciy Rates NF'!$K$10</f>
        <v>0.065</v>
      </c>
      <c r="I26" s="206">
        <f>+G26*H26</f>
        <v>6.8718</v>
      </c>
      <c r="J26" s="211">
        <f>J24</f>
        <v>105.59902750928698</v>
      </c>
      <c r="K26" s="205">
        <f>'Other Electriciy Rates NF'!$K$24</f>
        <v>0.065</v>
      </c>
      <c r="L26" s="226">
        <f>+J26*K26</f>
        <v>6.863936788103654</v>
      </c>
      <c r="M26" s="515">
        <f>+L26-I26</f>
        <v>-0.0078632118963462</v>
      </c>
      <c r="N26" s="516">
        <f t="shared" si="2"/>
        <v>-0.0011442725190410374</v>
      </c>
      <c r="O26" s="241">
        <f>L26/L29</f>
        <v>0.21047748826576873</v>
      </c>
      <c r="P26" s="165"/>
    </row>
    <row r="27" spans="2:16" ht="21.75" customHeight="1" thickBot="1">
      <c r="B27" s="172"/>
      <c r="C27" s="31"/>
      <c r="D27" s="31"/>
      <c r="E27" s="31"/>
      <c r="F27" s="233" t="s">
        <v>195</v>
      </c>
      <c r="G27" s="586"/>
      <c r="H27" s="587"/>
      <c r="I27" s="235">
        <f>SUM(I23:I26)</f>
        <v>27.785028699999998</v>
      </c>
      <c r="J27" s="586"/>
      <c r="K27" s="587"/>
      <c r="L27" s="235">
        <f>SUM(L23:L26)</f>
        <v>28.859525042338976</v>
      </c>
      <c r="M27" s="235">
        <f>SUM(M23:M26)</f>
        <v>1.0744963423389786</v>
      </c>
      <c r="N27" s="238">
        <f t="shared" si="2"/>
        <v>0.038671773707362724</v>
      </c>
      <c r="O27" s="375">
        <f>L27/L29</f>
        <v>0.8849557522123893</v>
      </c>
      <c r="P27" s="303"/>
    </row>
    <row r="28" spans="2:16" ht="21.75" customHeight="1" thickBot="1">
      <c r="B28" s="172"/>
      <c r="C28" s="31"/>
      <c r="D28" s="31"/>
      <c r="E28" s="31"/>
      <c r="F28" s="297" t="s">
        <v>274</v>
      </c>
      <c r="G28" s="298"/>
      <c r="H28" s="302">
        <v>0.13</v>
      </c>
      <c r="I28" s="299">
        <f>I27*H28</f>
        <v>3.612053731</v>
      </c>
      <c r="J28" s="298"/>
      <c r="K28" s="302">
        <v>0.13</v>
      </c>
      <c r="L28" s="300">
        <f>L27*K28</f>
        <v>3.7517382555040673</v>
      </c>
      <c r="M28" s="227">
        <f>+L28-I28</f>
        <v>0.1396845245040672</v>
      </c>
      <c r="N28" s="231">
        <f t="shared" si="2"/>
        <v>0.03867177370736272</v>
      </c>
      <c r="O28" s="241">
        <f>L28/L29</f>
        <v>0.11504424778761062</v>
      </c>
      <c r="P28" s="165"/>
    </row>
    <row r="29" spans="2:16" s="384" customFormat="1" ht="21.75" customHeight="1" thickBot="1">
      <c r="B29" s="376"/>
      <c r="C29" s="377"/>
      <c r="D29" s="377"/>
      <c r="E29" s="378"/>
      <c r="F29" s="379" t="s">
        <v>79</v>
      </c>
      <c r="G29" s="600"/>
      <c r="H29" s="601"/>
      <c r="I29" s="380">
        <f>SUM(I27:I28)</f>
        <v>31.397082430999998</v>
      </c>
      <c r="J29" s="600"/>
      <c r="K29" s="601"/>
      <c r="L29" s="380">
        <f>SUM(L27:L28)</f>
        <v>32.611263297843045</v>
      </c>
      <c r="M29" s="380">
        <f>SUM(M27:M28)</f>
        <v>1.2141808668430458</v>
      </c>
      <c r="N29" s="381">
        <f t="shared" si="2"/>
        <v>0.038671773707362724</v>
      </c>
      <c r="O29" s="382">
        <f>O27+O28</f>
        <v>0.9999999999999999</v>
      </c>
      <c r="P29" s="383"/>
    </row>
    <row r="30" spans="2:16" ht="9.75" customHeight="1" thickBot="1">
      <c r="B30" s="166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167"/>
    </row>
    <row r="31" ht="18" customHeight="1" thickBot="1"/>
    <row r="32" spans="2:16" ht="21.75" customHeight="1">
      <c r="B32" s="174"/>
      <c r="C32" s="603" t="s">
        <v>48</v>
      </c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164"/>
    </row>
    <row r="33" spans="2:16" ht="21.75" customHeight="1" thickBot="1">
      <c r="B33" s="172"/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165"/>
    </row>
    <row r="34" spans="2:16" ht="21.75" customHeight="1" thickBot="1">
      <c r="B34" s="172"/>
      <c r="C34" s="173"/>
      <c r="D34" s="173"/>
      <c r="E34" s="31"/>
      <c r="F34" s="37"/>
      <c r="G34" s="595" t="s">
        <v>198</v>
      </c>
      <c r="H34" s="596"/>
      <c r="I34" s="597"/>
      <c r="J34" s="595" t="s">
        <v>245</v>
      </c>
      <c r="K34" s="596"/>
      <c r="L34" s="597"/>
      <c r="M34" s="595" t="s">
        <v>73</v>
      </c>
      <c r="N34" s="596"/>
      <c r="O34" s="597"/>
      <c r="P34" s="165"/>
    </row>
    <row r="35" spans="2:16" ht="26.25" thickBot="1">
      <c r="B35" s="172"/>
      <c r="C35" s="31"/>
      <c r="D35" s="31"/>
      <c r="E35" s="33"/>
      <c r="F35" s="38"/>
      <c r="G35" s="213" t="s">
        <v>67</v>
      </c>
      <c r="H35" s="189" t="s">
        <v>68</v>
      </c>
      <c r="I35" s="190" t="s">
        <v>69</v>
      </c>
      <c r="J35" s="213" t="s">
        <v>67</v>
      </c>
      <c r="K35" s="189" t="s">
        <v>68</v>
      </c>
      <c r="L35" s="190" t="s">
        <v>69</v>
      </c>
      <c r="M35" s="215" t="s">
        <v>74</v>
      </c>
      <c r="N35" s="216" t="s">
        <v>75</v>
      </c>
      <c r="O35" s="217" t="s">
        <v>76</v>
      </c>
      <c r="P35" s="165"/>
    </row>
    <row r="36" spans="2:16" ht="21.75" customHeight="1" thickBot="1">
      <c r="B36" s="172"/>
      <c r="C36" s="593" t="s">
        <v>70</v>
      </c>
      <c r="D36" s="594"/>
      <c r="E36" s="31"/>
      <c r="F36" s="198" t="s">
        <v>71</v>
      </c>
      <c r="G36" s="207"/>
      <c r="H36" s="208"/>
      <c r="I36" s="209">
        <f>+'2010 Existing RatesNF'!$C$8</f>
        <v>15.96</v>
      </c>
      <c r="J36" s="207"/>
      <c r="K36" s="208"/>
      <c r="L36" s="212">
        <f>'Rate Schedule (Part 1) NF'!$E$11</f>
        <v>16.55</v>
      </c>
      <c r="M36" s="221">
        <f aca="true" t="shared" si="3" ref="M36:M42">+L36-I36</f>
        <v>0.5899999999999999</v>
      </c>
      <c r="N36" s="222">
        <f aca="true" t="shared" si="4" ref="N36:N47">+M36/I36</f>
        <v>0.036967418546365906</v>
      </c>
      <c r="O36" s="223">
        <f>L36/L53</f>
        <v>0.3222530327938796</v>
      </c>
      <c r="P36" s="165"/>
    </row>
    <row r="37" spans="2:16" ht="21.75" customHeight="1" thickBot="1">
      <c r="B37" s="172"/>
      <c r="C37" s="168">
        <v>250</v>
      </c>
      <c r="D37" s="169" t="s">
        <v>16</v>
      </c>
      <c r="E37" s="31"/>
      <c r="F37" s="199" t="s">
        <v>72</v>
      </c>
      <c r="G37" s="201">
        <f>+C37</f>
        <v>250</v>
      </c>
      <c r="H37" s="196">
        <f>'2010 Existing RatesNF'!$B$69</f>
        <v>0.0136</v>
      </c>
      <c r="I37" s="210">
        <f>+G37*H37</f>
        <v>3.4</v>
      </c>
      <c r="J37" s="201">
        <f>+C37</f>
        <v>250</v>
      </c>
      <c r="K37" s="195">
        <f>'Rate Schedule (Part 1) NF'!$E$12</f>
        <v>0.0167</v>
      </c>
      <c r="L37" s="214">
        <f>+J37*K37</f>
        <v>4.175</v>
      </c>
      <c r="M37" s="224">
        <f t="shared" si="3"/>
        <v>0.7749999999999999</v>
      </c>
      <c r="N37" s="218">
        <f t="shared" si="4"/>
        <v>0.2279411764705882</v>
      </c>
      <c r="O37" s="225">
        <f>L37/L53</f>
        <v>0.08129343878637144</v>
      </c>
      <c r="P37" s="165"/>
    </row>
    <row r="38" spans="2:16" ht="21.75" customHeight="1">
      <c r="B38" s="172"/>
      <c r="C38" s="369"/>
      <c r="D38" s="370"/>
      <c r="E38" s="31"/>
      <c r="F38" s="199" t="s">
        <v>246</v>
      </c>
      <c r="G38" s="201">
        <f>G37</f>
        <v>250</v>
      </c>
      <c r="H38" s="196">
        <f>'2010 Existing RatesNF'!$B$46</f>
        <v>0</v>
      </c>
      <c r="I38" s="210">
        <f>+G38*H38</f>
        <v>0</v>
      </c>
      <c r="J38" s="201">
        <f>J37</f>
        <v>250</v>
      </c>
      <c r="K38" s="195">
        <f>'Rate Schedule (Part 1) NF'!$E$13</f>
        <v>0.0003</v>
      </c>
      <c r="L38" s="214">
        <f>+J38*K38</f>
        <v>0.075</v>
      </c>
      <c r="M38" s="224">
        <f t="shared" si="3"/>
        <v>0.075</v>
      </c>
      <c r="N38" s="218" t="e">
        <f t="shared" si="4"/>
        <v>#DIV/0!</v>
      </c>
      <c r="O38" s="225">
        <f>L38/L53</f>
        <v>0.0014603611758030796</v>
      </c>
      <c r="P38" s="165"/>
    </row>
    <row r="39" spans="2:16" ht="21.75" customHeight="1">
      <c r="B39" s="172"/>
      <c r="C39" s="63"/>
      <c r="D39" s="64"/>
      <c r="E39" s="31"/>
      <c r="F39" s="199" t="s">
        <v>170</v>
      </c>
      <c r="G39" s="220"/>
      <c r="H39" s="219"/>
      <c r="I39" s="210">
        <f>'2010 Existing RatesNF'!$B$57</f>
        <v>1</v>
      </c>
      <c r="J39" s="220"/>
      <c r="K39" s="219"/>
      <c r="L39" s="214">
        <f>'Rate Schedule (Part 1) NF'!$E$15</f>
        <v>1</v>
      </c>
      <c r="M39" s="224">
        <f t="shared" si="3"/>
        <v>0</v>
      </c>
      <c r="N39" s="218">
        <f t="shared" si="4"/>
        <v>0</v>
      </c>
      <c r="O39" s="225">
        <f>L39/L53</f>
        <v>0.01947148234404106</v>
      </c>
      <c r="P39" s="165"/>
    </row>
    <row r="40" spans="2:16" ht="21.75" customHeight="1">
      <c r="B40" s="172"/>
      <c r="C40" s="63"/>
      <c r="D40" s="64"/>
      <c r="E40" s="31"/>
      <c r="F40" s="199" t="s">
        <v>162</v>
      </c>
      <c r="G40" s="201">
        <f>C37</f>
        <v>250</v>
      </c>
      <c r="H40" s="196"/>
      <c r="I40" s="206">
        <f>+G40*H40</f>
        <v>0</v>
      </c>
      <c r="J40" s="201">
        <f>C37</f>
        <v>250</v>
      </c>
      <c r="K40" s="195">
        <f>'Rate Schedule (Part 1) NF'!$E$14</f>
        <v>0</v>
      </c>
      <c r="L40" s="214">
        <f>J40*K40</f>
        <v>0</v>
      </c>
      <c r="M40" s="224">
        <f t="shared" si="3"/>
        <v>0</v>
      </c>
      <c r="N40" s="218" t="e">
        <f t="shared" si="4"/>
        <v>#DIV/0!</v>
      </c>
      <c r="O40" s="225">
        <f>L40/L53</f>
        <v>0</v>
      </c>
      <c r="P40" s="165"/>
    </row>
    <row r="41" spans="2:16" ht="26.25" customHeight="1">
      <c r="B41" s="172"/>
      <c r="C41" s="63"/>
      <c r="D41" s="64"/>
      <c r="E41" s="31"/>
      <c r="F41" s="199" t="s">
        <v>286</v>
      </c>
      <c r="G41" s="201">
        <f>+C37</f>
        <v>250</v>
      </c>
      <c r="H41" s="196">
        <f>+'2010 Existing RatesNF'!$B$20</f>
        <v>-0.0028</v>
      </c>
      <c r="I41" s="206">
        <f>+G41*H41</f>
        <v>-0.7</v>
      </c>
      <c r="J41" s="201">
        <f>+C37</f>
        <v>250</v>
      </c>
      <c r="K41" s="195">
        <f>'Rate Schedule (Part 1) NF'!$E$17</f>
        <v>-0.0028</v>
      </c>
      <c r="L41" s="214">
        <f>+J41*K41</f>
        <v>-0.7</v>
      </c>
      <c r="M41" s="224">
        <f t="shared" si="3"/>
        <v>0</v>
      </c>
      <c r="N41" s="218">
        <f t="shared" si="4"/>
        <v>0</v>
      </c>
      <c r="O41" s="225">
        <f>L41/L53</f>
        <v>-0.013630037640828744</v>
      </c>
      <c r="P41" s="165"/>
    </row>
    <row r="42" spans="2:16" ht="27.75" customHeight="1">
      <c r="B42" s="172"/>
      <c r="C42" s="31"/>
      <c r="D42" s="31"/>
      <c r="E42" s="31"/>
      <c r="F42" s="199" t="s">
        <v>294</v>
      </c>
      <c r="G42" s="372">
        <f>C37</f>
        <v>250</v>
      </c>
      <c r="H42" s="488"/>
      <c r="I42" s="206">
        <f>+G42*H42</f>
        <v>0</v>
      </c>
      <c r="J42" s="372">
        <f>C37</f>
        <v>250</v>
      </c>
      <c r="K42" s="488">
        <f>'Rate Schedule (Part 1) NF'!E19</f>
        <v>0.0001</v>
      </c>
      <c r="L42" s="214">
        <f>+J42*K42</f>
        <v>0.025</v>
      </c>
      <c r="M42" s="224">
        <f t="shared" si="3"/>
        <v>0.025</v>
      </c>
      <c r="N42" s="218" t="e">
        <f>+M42/I42</f>
        <v>#DIV/0!</v>
      </c>
      <c r="O42" s="225">
        <f>L42/L53</f>
        <v>0.0004867870586010266</v>
      </c>
      <c r="P42" s="165"/>
    </row>
    <row r="43" spans="2:16" ht="26.25" customHeight="1">
      <c r="B43" s="172"/>
      <c r="C43" s="63"/>
      <c r="D43" s="64"/>
      <c r="E43" s="31"/>
      <c r="F43" s="199" t="s">
        <v>316</v>
      </c>
      <c r="G43" s="201">
        <f>C37</f>
        <v>250</v>
      </c>
      <c r="H43" s="196">
        <f>'2010 Existing RatesNF'!B33</f>
        <v>0.0011</v>
      </c>
      <c r="I43" s="206">
        <f>+G43*H43</f>
        <v>0.275</v>
      </c>
      <c r="J43" s="201">
        <f>C37</f>
        <v>250</v>
      </c>
      <c r="K43" s="195">
        <f>'Rate Schedule (Part 1) NF'!E16</f>
        <v>0.0011</v>
      </c>
      <c r="L43" s="214">
        <f>+J43*K43</f>
        <v>0.275</v>
      </c>
      <c r="M43" s="224">
        <f>+L43-I43</f>
        <v>0</v>
      </c>
      <c r="N43" s="218">
        <f>+M43/I43</f>
        <v>0</v>
      </c>
      <c r="O43" s="225">
        <f>L43/L53</f>
        <v>0.005354657644611293</v>
      </c>
      <c r="P43" s="165"/>
    </row>
    <row r="44" spans="2:16" ht="27.75" customHeight="1" thickBot="1">
      <c r="B44" s="172"/>
      <c r="C44" s="31"/>
      <c r="D44" s="31"/>
      <c r="E44" s="31"/>
      <c r="F44" s="199" t="s">
        <v>317</v>
      </c>
      <c r="G44" s="372">
        <f>C37</f>
        <v>250</v>
      </c>
      <c r="H44" s="488"/>
      <c r="I44" s="206">
        <f>+G44*H44</f>
        <v>0</v>
      </c>
      <c r="J44" s="372">
        <f>C37</f>
        <v>250</v>
      </c>
      <c r="K44" s="488">
        <f>'Rate Schedule (Part 1) NF'!E18</f>
        <v>0.0016</v>
      </c>
      <c r="L44" s="214">
        <f>+J44*K44</f>
        <v>0.4</v>
      </c>
      <c r="M44" s="224">
        <f>+L44-I44</f>
        <v>0.4</v>
      </c>
      <c r="N44" s="218" t="e">
        <f>+M44/I44</f>
        <v>#DIV/0!</v>
      </c>
      <c r="O44" s="225">
        <f>L44/L53</f>
        <v>0.007788592937616426</v>
      </c>
      <c r="P44" s="165"/>
    </row>
    <row r="45" spans="2:16" ht="21.75" customHeight="1" thickBot="1">
      <c r="B45" s="172"/>
      <c r="C45" s="31"/>
      <c r="D45" s="31"/>
      <c r="E45" s="31"/>
      <c r="F45" s="233" t="s">
        <v>247</v>
      </c>
      <c r="G45" s="586"/>
      <c r="H45" s="587"/>
      <c r="I45" s="235">
        <f>SUM(I36:I44)</f>
        <v>19.935</v>
      </c>
      <c r="J45" s="586"/>
      <c r="K45" s="587"/>
      <c r="L45" s="235">
        <f>SUM(L36:L44)</f>
        <v>21.799999999999997</v>
      </c>
      <c r="M45" s="237">
        <f>SUM(M36:M44)</f>
        <v>1.8649999999999998</v>
      </c>
      <c r="N45" s="238">
        <f t="shared" si="4"/>
        <v>0.09355405066466015</v>
      </c>
      <c r="O45" s="240">
        <f>L45/L53</f>
        <v>0.4244783151000951</v>
      </c>
      <c r="P45" s="165"/>
    </row>
    <row r="46" spans="2:16" ht="21.75" customHeight="1" thickBot="1">
      <c r="B46" s="172"/>
      <c r="C46" s="31"/>
      <c r="D46" s="31"/>
      <c r="E46" s="31"/>
      <c r="F46" s="199" t="s">
        <v>248</v>
      </c>
      <c r="G46" s="372">
        <f>C37*'Other Electriciy Rates NF'!$M$10</f>
        <v>264.29999999999995</v>
      </c>
      <c r="H46" s="373">
        <f>'Other Electriciy Rates NF'!$B$10</f>
        <v>0.009899999999999999</v>
      </c>
      <c r="I46" s="210">
        <f>+G46*H46</f>
        <v>2.6165699999999994</v>
      </c>
      <c r="J46" s="372">
        <f>'BILL IMPACTS NF'!C37*'Other Electriciy Rates NF'!$M$24</f>
        <v>263.99756877321744</v>
      </c>
      <c r="K46" s="494">
        <f>'Other Electriciy Rates NF'!$B$24</f>
        <v>0.010132682166659615</v>
      </c>
      <c r="L46" s="210">
        <f>+J46*K46</f>
        <v>2.6750034571498755</v>
      </c>
      <c r="M46" s="374">
        <f>+L46-I46</f>
        <v>0.058433457149876133</v>
      </c>
      <c r="N46" s="222">
        <f t="shared" si="4"/>
        <v>0.02233208251637684</v>
      </c>
      <c r="O46" s="223">
        <f>L46/L53</f>
        <v>0.052086282586142604</v>
      </c>
      <c r="P46" s="165"/>
    </row>
    <row r="47" spans="2:16" ht="21.75" customHeight="1" thickBot="1">
      <c r="B47" s="172"/>
      <c r="C47" s="31"/>
      <c r="D47" s="31"/>
      <c r="E47" s="31"/>
      <c r="F47" s="233" t="s">
        <v>249</v>
      </c>
      <c r="G47" s="586"/>
      <c r="H47" s="587"/>
      <c r="I47" s="235">
        <f>SUM(I45:I46)</f>
        <v>22.551569999999998</v>
      </c>
      <c r="J47" s="586"/>
      <c r="K47" s="587"/>
      <c r="L47" s="235">
        <f>SUM(L45:L46)</f>
        <v>24.475003457149874</v>
      </c>
      <c r="M47" s="237">
        <f>SUM(M45:M46)</f>
        <v>1.923433457149876</v>
      </c>
      <c r="N47" s="238">
        <f t="shared" si="4"/>
        <v>0.08529044572727647</v>
      </c>
      <c r="O47" s="375">
        <f>L47/L53</f>
        <v>0.47656459768623777</v>
      </c>
      <c r="P47" s="165"/>
    </row>
    <row r="48" spans="2:16" ht="21.75" customHeight="1">
      <c r="B48" s="172"/>
      <c r="C48" s="31"/>
      <c r="D48" s="31"/>
      <c r="E48" s="31"/>
      <c r="F48" s="200" t="s">
        <v>77</v>
      </c>
      <c r="G48" s="202">
        <f>+'Other Electriciy Rates NF'!$M$10*C37</f>
        <v>264.29999999999995</v>
      </c>
      <c r="H48" s="203">
        <f>'Other Electriciy Rates NF'!$C$10+'Other Electriciy Rates NF'!$E$10+'Other Electriciy Rates NF'!D10</f>
        <v>0.0138725</v>
      </c>
      <c r="I48" s="204">
        <f>+G48*H48</f>
        <v>3.6665017499999992</v>
      </c>
      <c r="J48" s="202">
        <f>J46</f>
        <v>263.99756877321744</v>
      </c>
      <c r="K48" s="203">
        <f>'Other Electriciy Rates NF'!$C$24+'Other Electriciy Rates NF'!$E$24+'Other Electriciy Rates NF'!D24</f>
        <v>0.0135</v>
      </c>
      <c r="L48" s="229">
        <f>+J48*K48</f>
        <v>3.5639671784384355</v>
      </c>
      <c r="M48" s="221">
        <f>+L48-I48</f>
        <v>-0.10253457156156376</v>
      </c>
      <c r="N48" s="222">
        <f aca="true" t="shared" si="5" ref="N48:N53">+M48/I48</f>
        <v>-0.02796523186210501</v>
      </c>
      <c r="O48" s="301">
        <f>L48/L53</f>
        <v>0.06939572398970584</v>
      </c>
      <c r="P48" s="165"/>
    </row>
    <row r="49" spans="2:16" ht="21.75" customHeight="1">
      <c r="B49" s="172"/>
      <c r="C49" s="31"/>
      <c r="D49" s="31"/>
      <c r="E49" s="31"/>
      <c r="F49" s="200" t="s">
        <v>321</v>
      </c>
      <c r="G49" s="220"/>
      <c r="H49" s="219"/>
      <c r="I49" s="299">
        <v>0.25</v>
      </c>
      <c r="J49" s="220"/>
      <c r="K49" s="219"/>
      <c r="L49" s="300">
        <v>0.25</v>
      </c>
      <c r="M49" s="230">
        <f>+L49-I49</f>
        <v>0</v>
      </c>
      <c r="N49" s="231">
        <f t="shared" si="5"/>
        <v>0</v>
      </c>
      <c r="O49" s="225">
        <f>L49/L53</f>
        <v>0.004867870586010265</v>
      </c>
      <c r="P49" s="165"/>
    </row>
    <row r="50" spans="2:16" ht="21.75" customHeight="1" thickBot="1">
      <c r="B50" s="172"/>
      <c r="C50" s="31"/>
      <c r="D50" s="31"/>
      <c r="E50" s="31"/>
      <c r="F50" s="199" t="s">
        <v>78</v>
      </c>
      <c r="G50" s="211">
        <f>+'Other Electriciy Rates NF'!$M$10*C37</f>
        <v>264.29999999999995</v>
      </c>
      <c r="H50" s="205">
        <f>'Other Electriciy Rates NF'!$K$10</f>
        <v>0.065</v>
      </c>
      <c r="I50" s="206">
        <f>+G50*H50</f>
        <v>17.179499999999997</v>
      </c>
      <c r="J50" s="211">
        <f>J48</f>
        <v>263.99756877321744</v>
      </c>
      <c r="K50" s="205">
        <f>'Other Electriciy Rates NF'!$K$24</f>
        <v>0.065</v>
      </c>
      <c r="L50" s="226">
        <f>+J50*K50</f>
        <v>17.159841970259134</v>
      </c>
      <c r="M50" s="515">
        <f>+L50-I50</f>
        <v>-0.019658029740863725</v>
      </c>
      <c r="N50" s="516">
        <f t="shared" si="5"/>
        <v>-0.0011442725190409341</v>
      </c>
      <c r="O50" s="241">
        <f>L50/L53</f>
        <v>0.3341275599504355</v>
      </c>
      <c r="P50" s="165"/>
    </row>
    <row r="51" spans="2:16" ht="21.75" customHeight="1" thickBot="1">
      <c r="B51" s="172"/>
      <c r="C51" s="31"/>
      <c r="D51" s="31"/>
      <c r="E51" s="31"/>
      <c r="F51" s="233" t="s">
        <v>195</v>
      </c>
      <c r="G51" s="586"/>
      <c r="H51" s="587"/>
      <c r="I51" s="235">
        <f>SUM(I47:I50)</f>
        <v>43.64757175</v>
      </c>
      <c r="J51" s="586"/>
      <c r="K51" s="587"/>
      <c r="L51" s="235">
        <f>SUM(L47:L50)</f>
        <v>45.44881260584744</v>
      </c>
      <c r="M51" s="235">
        <f>SUM(M47:M50)</f>
        <v>1.8012408558474484</v>
      </c>
      <c r="N51" s="238">
        <f t="shared" si="5"/>
        <v>0.04126783652855668</v>
      </c>
      <c r="O51" s="375">
        <f>L51/L53</f>
        <v>0.8849557522123894</v>
      </c>
      <c r="P51" s="303"/>
    </row>
    <row r="52" spans="2:16" ht="21.75" customHeight="1" thickBot="1">
      <c r="B52" s="172"/>
      <c r="C52" s="31"/>
      <c r="D52" s="31"/>
      <c r="E52" s="31"/>
      <c r="F52" s="297" t="str">
        <f>F28</f>
        <v>HST</v>
      </c>
      <c r="G52" s="298"/>
      <c r="H52" s="302">
        <v>0.13</v>
      </c>
      <c r="I52" s="299">
        <f>I51*H52</f>
        <v>5.6741843275</v>
      </c>
      <c r="J52" s="298"/>
      <c r="K52" s="302">
        <v>0.13</v>
      </c>
      <c r="L52" s="300">
        <f>L51*K52</f>
        <v>5.908345638760168</v>
      </c>
      <c r="M52" s="227">
        <f>+L52-I52</f>
        <v>0.23416131126016815</v>
      </c>
      <c r="N52" s="231">
        <f t="shared" si="5"/>
        <v>0.04126783652855665</v>
      </c>
      <c r="O52" s="241">
        <f>L52/L53</f>
        <v>0.11504424778761063</v>
      </c>
      <c r="P52" s="165"/>
    </row>
    <row r="53" spans="2:17" ht="21.75" customHeight="1" thickBot="1">
      <c r="B53" s="376"/>
      <c r="C53" s="377"/>
      <c r="D53" s="377"/>
      <c r="E53" s="378"/>
      <c r="F53" s="379" t="s">
        <v>79</v>
      </c>
      <c r="G53" s="600"/>
      <c r="H53" s="601"/>
      <c r="I53" s="380">
        <f>SUM(I51:I52)</f>
        <v>49.3217560775</v>
      </c>
      <c r="J53" s="600"/>
      <c r="K53" s="601"/>
      <c r="L53" s="380">
        <f>SUM(L51:L52)</f>
        <v>51.35715824460761</v>
      </c>
      <c r="M53" s="380">
        <f>SUM(M51:M52)</f>
        <v>2.0354021671076166</v>
      </c>
      <c r="N53" s="381">
        <f t="shared" si="5"/>
        <v>0.04126783652855667</v>
      </c>
      <c r="O53" s="382">
        <f>O51+O52</f>
        <v>1</v>
      </c>
      <c r="P53" s="383"/>
      <c r="Q53" s="384"/>
    </row>
    <row r="54" spans="2:16" ht="10.5" customHeight="1" thickBot="1">
      <c r="B54" s="166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167"/>
    </row>
    <row r="55" ht="21.75" customHeight="1" thickBot="1"/>
    <row r="56" spans="2:16" ht="22.5" customHeight="1">
      <c r="B56" s="174"/>
      <c r="C56" s="603" t="s">
        <v>48</v>
      </c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164"/>
    </row>
    <row r="57" spans="2:16" ht="18" customHeight="1" thickBot="1">
      <c r="B57" s="172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165"/>
    </row>
    <row r="58" spans="2:16" ht="18" customHeight="1" thickBot="1">
      <c r="B58" s="172"/>
      <c r="C58" s="173"/>
      <c r="D58" s="173"/>
      <c r="E58" s="31"/>
      <c r="F58" s="37"/>
      <c r="G58" s="595" t="s">
        <v>198</v>
      </c>
      <c r="H58" s="596"/>
      <c r="I58" s="597"/>
      <c r="J58" s="595" t="s">
        <v>245</v>
      </c>
      <c r="K58" s="596"/>
      <c r="L58" s="597"/>
      <c r="M58" s="595" t="s">
        <v>73</v>
      </c>
      <c r="N58" s="596"/>
      <c r="O58" s="597"/>
      <c r="P58" s="165"/>
    </row>
    <row r="59" spans="2:16" ht="26.25" thickBot="1">
      <c r="B59" s="172"/>
      <c r="C59" s="31"/>
      <c r="D59" s="31"/>
      <c r="E59" s="33"/>
      <c r="F59" s="38"/>
      <c r="G59" s="213" t="s">
        <v>67</v>
      </c>
      <c r="H59" s="189" t="s">
        <v>68</v>
      </c>
      <c r="I59" s="190" t="s">
        <v>69</v>
      </c>
      <c r="J59" s="213" t="s">
        <v>67</v>
      </c>
      <c r="K59" s="189" t="s">
        <v>68</v>
      </c>
      <c r="L59" s="190" t="s">
        <v>69</v>
      </c>
      <c r="M59" s="215" t="s">
        <v>74</v>
      </c>
      <c r="N59" s="216" t="s">
        <v>75</v>
      </c>
      <c r="O59" s="217" t="s">
        <v>76</v>
      </c>
      <c r="P59" s="165"/>
    </row>
    <row r="60" spans="2:16" ht="18" customHeight="1" thickBot="1">
      <c r="B60" s="172"/>
      <c r="C60" s="593" t="s">
        <v>70</v>
      </c>
      <c r="D60" s="594"/>
      <c r="E60" s="31"/>
      <c r="F60" s="198" t="s">
        <v>71</v>
      </c>
      <c r="G60" s="207"/>
      <c r="H60" s="208"/>
      <c r="I60" s="209">
        <f>+'2010 Existing RatesNF'!$C$8</f>
        <v>15.96</v>
      </c>
      <c r="J60" s="207"/>
      <c r="K60" s="208"/>
      <c r="L60" s="212">
        <f>'Rate Schedule (Part 1) NF'!$E$11</f>
        <v>16.55</v>
      </c>
      <c r="M60" s="221">
        <f aca="true" t="shared" si="6" ref="M60:M66">+L60-I60</f>
        <v>0.5899999999999999</v>
      </c>
      <c r="N60" s="222">
        <f aca="true" t="shared" si="7" ref="N60:N71">+M60/I60</f>
        <v>0.036967418546365906</v>
      </c>
      <c r="O60" s="223">
        <f>L60/L77</f>
        <v>0.20036242841951898</v>
      </c>
      <c r="P60" s="165"/>
    </row>
    <row r="61" spans="2:16" ht="18" customHeight="1" thickBot="1">
      <c r="B61" s="172"/>
      <c r="C61" s="168">
        <v>500</v>
      </c>
      <c r="D61" s="169" t="s">
        <v>16</v>
      </c>
      <c r="E61" s="31"/>
      <c r="F61" s="199" t="s">
        <v>72</v>
      </c>
      <c r="G61" s="201">
        <f>+C61</f>
        <v>500</v>
      </c>
      <c r="H61" s="196">
        <f>'2010 Existing RatesNF'!$B$69</f>
        <v>0.0136</v>
      </c>
      <c r="I61" s="210">
        <f>+G61*H61</f>
        <v>6.8</v>
      </c>
      <c r="J61" s="201">
        <f>+C61</f>
        <v>500</v>
      </c>
      <c r="K61" s="195">
        <f>'Rate Schedule (Part 1) NF'!$E$12</f>
        <v>0.0167</v>
      </c>
      <c r="L61" s="214">
        <f>+J61*K61</f>
        <v>8.35</v>
      </c>
      <c r="M61" s="224">
        <f t="shared" si="6"/>
        <v>1.5499999999999998</v>
      </c>
      <c r="N61" s="218">
        <f t="shared" si="7"/>
        <v>0.2279411764705882</v>
      </c>
      <c r="O61" s="225">
        <f>L61/L77</f>
        <v>0.10108920104549748</v>
      </c>
      <c r="P61" s="165"/>
    </row>
    <row r="62" spans="2:16" ht="18" customHeight="1">
      <c r="B62" s="172"/>
      <c r="C62" s="369"/>
      <c r="D62" s="370"/>
      <c r="E62" s="31"/>
      <c r="F62" s="199" t="s">
        <v>246</v>
      </c>
      <c r="G62" s="201">
        <f>G61</f>
        <v>500</v>
      </c>
      <c r="H62" s="196">
        <f>'2010 Existing RatesNF'!$B$46</f>
        <v>0</v>
      </c>
      <c r="I62" s="210">
        <f>+G62*H62</f>
        <v>0</v>
      </c>
      <c r="J62" s="201">
        <f>J61</f>
        <v>500</v>
      </c>
      <c r="K62" s="195">
        <f>'Rate Schedule (Part 1) NF'!$E$13</f>
        <v>0.0003</v>
      </c>
      <c r="L62" s="214">
        <f>+J62*K62</f>
        <v>0.15</v>
      </c>
      <c r="M62" s="224">
        <f t="shared" si="6"/>
        <v>0.15</v>
      </c>
      <c r="N62" s="218" t="e">
        <f t="shared" si="7"/>
        <v>#DIV/0!</v>
      </c>
      <c r="O62" s="225">
        <f>L62/L77</f>
        <v>0.0018159736714760029</v>
      </c>
      <c r="P62" s="165"/>
    </row>
    <row r="63" spans="2:16" ht="18" customHeight="1">
      <c r="B63" s="172"/>
      <c r="C63" s="63"/>
      <c r="D63" s="64"/>
      <c r="E63" s="31"/>
      <c r="F63" s="199" t="s">
        <v>170</v>
      </c>
      <c r="G63" s="220"/>
      <c r="H63" s="219"/>
      <c r="I63" s="210">
        <f>'2010 Existing RatesNF'!$B$57</f>
        <v>1</v>
      </c>
      <c r="J63" s="220"/>
      <c r="K63" s="219"/>
      <c r="L63" s="214">
        <f>'Rate Schedule (Part 1) NF'!$E$15</f>
        <v>1</v>
      </c>
      <c r="M63" s="224">
        <f t="shared" si="6"/>
        <v>0</v>
      </c>
      <c r="N63" s="218">
        <f t="shared" si="7"/>
        <v>0</v>
      </c>
      <c r="O63" s="225">
        <f>L63/L77</f>
        <v>0.012106491143173352</v>
      </c>
      <c r="P63" s="165"/>
    </row>
    <row r="64" spans="2:16" ht="18" customHeight="1">
      <c r="B64" s="172"/>
      <c r="C64" s="63"/>
      <c r="D64" s="64"/>
      <c r="E64" s="31"/>
      <c r="F64" s="199" t="s">
        <v>162</v>
      </c>
      <c r="G64" s="201">
        <f>C61</f>
        <v>500</v>
      </c>
      <c r="H64" s="196"/>
      <c r="I64" s="206">
        <f>+G64*H64</f>
        <v>0</v>
      </c>
      <c r="J64" s="201">
        <f>C61</f>
        <v>500</v>
      </c>
      <c r="K64" s="195">
        <f>'Rate Schedule (Part 1) NF'!$E$14</f>
        <v>0</v>
      </c>
      <c r="L64" s="214">
        <f>J64*K64</f>
        <v>0</v>
      </c>
      <c r="M64" s="224">
        <f t="shared" si="6"/>
        <v>0</v>
      </c>
      <c r="N64" s="218" t="e">
        <f t="shared" si="7"/>
        <v>#DIV/0!</v>
      </c>
      <c r="O64" s="225">
        <f>L64/L77</f>
        <v>0</v>
      </c>
      <c r="P64" s="165"/>
    </row>
    <row r="65" spans="2:16" ht="26.25" customHeight="1">
      <c r="B65" s="172"/>
      <c r="C65" s="63"/>
      <c r="D65" s="64"/>
      <c r="E65" s="31"/>
      <c r="F65" s="199" t="s">
        <v>286</v>
      </c>
      <c r="G65" s="201">
        <f>+C61</f>
        <v>500</v>
      </c>
      <c r="H65" s="196">
        <f>+'2010 Existing RatesNF'!$B$20</f>
        <v>-0.0028</v>
      </c>
      <c r="I65" s="206">
        <f>+G65*H65</f>
        <v>-1.4</v>
      </c>
      <c r="J65" s="201">
        <f>+C61</f>
        <v>500</v>
      </c>
      <c r="K65" s="195">
        <f>'Rate Schedule (Part 1) NF'!$E$17</f>
        <v>-0.0028</v>
      </c>
      <c r="L65" s="214">
        <f>+J65*K65</f>
        <v>-1.4</v>
      </c>
      <c r="M65" s="224">
        <f t="shared" si="6"/>
        <v>0</v>
      </c>
      <c r="N65" s="218">
        <f t="shared" si="7"/>
        <v>0</v>
      </c>
      <c r="O65" s="225">
        <f>L65/L77</f>
        <v>-0.016949087600442694</v>
      </c>
      <c r="P65" s="165"/>
    </row>
    <row r="66" spans="2:16" ht="27.75" customHeight="1">
      <c r="B66" s="172"/>
      <c r="C66" s="31"/>
      <c r="D66" s="31"/>
      <c r="E66" s="31"/>
      <c r="F66" s="199" t="s">
        <v>294</v>
      </c>
      <c r="G66" s="372">
        <f>C61</f>
        <v>500</v>
      </c>
      <c r="H66" s="488"/>
      <c r="I66" s="206">
        <f>+G66*H66</f>
        <v>0</v>
      </c>
      <c r="J66" s="372">
        <f>C61</f>
        <v>500</v>
      </c>
      <c r="K66" s="488">
        <f>'Rate Schedule (Part 1) NF'!E19</f>
        <v>0.0001</v>
      </c>
      <c r="L66" s="214">
        <f>+J66*K66</f>
        <v>0.05</v>
      </c>
      <c r="M66" s="224">
        <f t="shared" si="6"/>
        <v>0.05</v>
      </c>
      <c r="N66" s="218" t="e">
        <f>+M66/I66</f>
        <v>#DIV/0!</v>
      </c>
      <c r="O66" s="225">
        <f>L66/L77</f>
        <v>0.0006053245571586677</v>
      </c>
      <c r="P66" s="165"/>
    </row>
    <row r="67" spans="2:16" ht="26.25" customHeight="1">
      <c r="B67" s="172"/>
      <c r="C67" s="63"/>
      <c r="D67" s="64"/>
      <c r="E67" s="31"/>
      <c r="F67" s="199" t="s">
        <v>316</v>
      </c>
      <c r="G67" s="201">
        <f>C61</f>
        <v>500</v>
      </c>
      <c r="H67" s="196">
        <f>'2010 Existing RatesNF'!B33</f>
        <v>0.0011</v>
      </c>
      <c r="I67" s="206">
        <f>+G67*H67</f>
        <v>0.55</v>
      </c>
      <c r="J67" s="201">
        <f>C61</f>
        <v>500</v>
      </c>
      <c r="K67" s="195">
        <f>'Rate Schedule (Part 1) NF'!E16</f>
        <v>0.0011</v>
      </c>
      <c r="L67" s="214">
        <f>+J67*K67</f>
        <v>0.55</v>
      </c>
      <c r="M67" s="224">
        <f>+L67-I67</f>
        <v>0</v>
      </c>
      <c r="N67" s="218">
        <f>+M67/I67</f>
        <v>0</v>
      </c>
      <c r="O67" s="225">
        <f>L67/L77</f>
        <v>0.006658570128745344</v>
      </c>
      <c r="P67" s="165"/>
    </row>
    <row r="68" spans="2:16" ht="27.75" customHeight="1" thickBot="1">
      <c r="B68" s="172"/>
      <c r="C68" s="31"/>
      <c r="D68" s="31"/>
      <c r="E68" s="31"/>
      <c r="F68" s="199" t="s">
        <v>317</v>
      </c>
      <c r="G68" s="372">
        <f>C61</f>
        <v>500</v>
      </c>
      <c r="H68" s="488"/>
      <c r="I68" s="206">
        <f>+G68*H68</f>
        <v>0</v>
      </c>
      <c r="J68" s="372">
        <f>C61</f>
        <v>500</v>
      </c>
      <c r="K68" s="488">
        <f>'Rate Schedule (Part 1) NF'!E18</f>
        <v>0.0016</v>
      </c>
      <c r="L68" s="214">
        <f>+J68*K68</f>
        <v>0.8</v>
      </c>
      <c r="M68" s="224">
        <f>+L68-I68</f>
        <v>0.8</v>
      </c>
      <c r="N68" s="218" t="e">
        <f>+M68/I68</f>
        <v>#DIV/0!</v>
      </c>
      <c r="O68" s="225">
        <f>L68/L77</f>
        <v>0.009685192914538683</v>
      </c>
      <c r="P68" s="165"/>
    </row>
    <row r="69" spans="2:16" ht="18" customHeight="1" thickBot="1">
      <c r="B69" s="172"/>
      <c r="C69" s="31"/>
      <c r="D69" s="31"/>
      <c r="E69" s="31"/>
      <c r="F69" s="233" t="s">
        <v>247</v>
      </c>
      <c r="G69" s="586"/>
      <c r="H69" s="587"/>
      <c r="I69" s="235">
        <f>SUM(I60:I68)</f>
        <v>22.910000000000004</v>
      </c>
      <c r="J69" s="586"/>
      <c r="K69" s="587"/>
      <c r="L69" s="235">
        <f>SUM(L60:L68)</f>
        <v>26.05</v>
      </c>
      <c r="M69" s="237">
        <f>SUM(M60:M68)</f>
        <v>3.1399999999999997</v>
      </c>
      <c r="N69" s="238">
        <f t="shared" si="7"/>
        <v>0.13705805325185505</v>
      </c>
      <c r="O69" s="240">
        <f>L69/L77</f>
        <v>0.31537409427966584</v>
      </c>
      <c r="P69" s="165"/>
    </row>
    <row r="70" spans="2:16" ht="18" customHeight="1" thickBot="1">
      <c r="B70" s="172"/>
      <c r="C70" s="31"/>
      <c r="D70" s="31"/>
      <c r="E70" s="31"/>
      <c r="F70" s="199" t="s">
        <v>248</v>
      </c>
      <c r="G70" s="372">
        <f>C61*'Other Electriciy Rates NF'!$M$10</f>
        <v>528.5999999999999</v>
      </c>
      <c r="H70" s="373">
        <f>'Other Electriciy Rates NF'!$B$10</f>
        <v>0.009899999999999999</v>
      </c>
      <c r="I70" s="210">
        <f>+G70*H70</f>
        <v>5.233139999999999</v>
      </c>
      <c r="J70" s="372">
        <f>'BILL IMPACTS NF'!C61*'Other Electriciy Rates NF'!$M$24</f>
        <v>527.9951375464349</v>
      </c>
      <c r="K70" s="494">
        <f>'Other Electriciy Rates NF'!$B$24</f>
        <v>0.010132682166659615</v>
      </c>
      <c r="L70" s="210">
        <f>+J70*K70</f>
        <v>5.350006914299751</v>
      </c>
      <c r="M70" s="374">
        <f>+L70-I70</f>
        <v>0.11686691429975227</v>
      </c>
      <c r="N70" s="222">
        <f t="shared" si="7"/>
        <v>0.02233208251637684</v>
      </c>
      <c r="O70" s="223">
        <f>L70/L77</f>
        <v>0.06476981132388614</v>
      </c>
      <c r="P70" s="165"/>
    </row>
    <row r="71" spans="2:16" ht="18" customHeight="1" thickBot="1">
      <c r="B71" s="172"/>
      <c r="C71" s="31"/>
      <c r="D71" s="31"/>
      <c r="E71" s="31"/>
      <c r="F71" s="233" t="s">
        <v>249</v>
      </c>
      <c r="G71" s="586"/>
      <c r="H71" s="587"/>
      <c r="I71" s="235">
        <f>SUM(I69:I70)</f>
        <v>28.143140000000002</v>
      </c>
      <c r="J71" s="586"/>
      <c r="K71" s="587"/>
      <c r="L71" s="235">
        <f>SUM(L69:L70)</f>
        <v>31.40000691429975</v>
      </c>
      <c r="M71" s="237">
        <f>SUM(M69:M70)</f>
        <v>3.256866914299752</v>
      </c>
      <c r="N71" s="238">
        <f t="shared" si="7"/>
        <v>0.11572507240840048</v>
      </c>
      <c r="O71" s="375">
        <f>L71/L77</f>
        <v>0.380143905603552</v>
      </c>
      <c r="P71" s="165"/>
    </row>
    <row r="72" spans="2:16" ht="18" customHeight="1">
      <c r="B72" s="172"/>
      <c r="C72" s="31"/>
      <c r="D72" s="31"/>
      <c r="E72" s="31"/>
      <c r="F72" s="200" t="s">
        <v>77</v>
      </c>
      <c r="G72" s="202">
        <f>+'Other Electriciy Rates NF'!$M$10*C61</f>
        <v>528.5999999999999</v>
      </c>
      <c r="H72" s="203">
        <f>'Other Electriciy Rates NF'!$C$10+'Other Electriciy Rates NF'!$E$10+'Other Electriciy Rates NF'!D10</f>
        <v>0.0138725</v>
      </c>
      <c r="I72" s="204">
        <f>+G72*H72</f>
        <v>7.3330034999999985</v>
      </c>
      <c r="J72" s="202">
        <f>J70</f>
        <v>527.9951375464349</v>
      </c>
      <c r="K72" s="203">
        <f>'Other Electriciy Rates NF'!$C$24+'Other Electriciy Rates NF'!$E$24+'Other Electriciy Rates NF'!D24</f>
        <v>0.0135</v>
      </c>
      <c r="L72" s="229">
        <f>+J72*K72</f>
        <v>7.127934356876871</v>
      </c>
      <c r="M72" s="221">
        <f>+L72-I72</f>
        <v>-0.20506914312312752</v>
      </c>
      <c r="N72" s="222">
        <f aca="true" t="shared" si="8" ref="N72:N77">+M72/I72</f>
        <v>-0.02796523186210501</v>
      </c>
      <c r="O72" s="301">
        <f>L72/L77</f>
        <v>0.08629427416065089</v>
      </c>
      <c r="P72" s="165"/>
    </row>
    <row r="73" spans="2:16" ht="21.75" customHeight="1">
      <c r="B73" s="172"/>
      <c r="C73" s="31"/>
      <c r="D73" s="31"/>
      <c r="E73" s="31"/>
      <c r="F73" s="200" t="s">
        <v>321</v>
      </c>
      <c r="G73" s="220"/>
      <c r="H73" s="219"/>
      <c r="I73" s="299">
        <v>0.25</v>
      </c>
      <c r="J73" s="220"/>
      <c r="K73" s="219"/>
      <c r="L73" s="300">
        <v>0.25</v>
      </c>
      <c r="M73" s="230">
        <f>+L73-I73</f>
        <v>0</v>
      </c>
      <c r="N73" s="231">
        <f t="shared" si="8"/>
        <v>0</v>
      </c>
      <c r="O73" s="225">
        <f>L73/L77</f>
        <v>0.003026622785793338</v>
      </c>
      <c r="P73" s="165"/>
    </row>
    <row r="74" spans="2:16" ht="18" customHeight="1" thickBot="1">
      <c r="B74" s="172"/>
      <c r="C74" s="31"/>
      <c r="D74" s="31"/>
      <c r="E74" s="31"/>
      <c r="F74" s="199" t="s">
        <v>78</v>
      </c>
      <c r="G74" s="211">
        <f>+'Other Electriciy Rates NF'!$M$10*C61</f>
        <v>528.5999999999999</v>
      </c>
      <c r="H74" s="205">
        <f>'Other Electriciy Rates NF'!$K$10</f>
        <v>0.065</v>
      </c>
      <c r="I74" s="206">
        <f>+G74*H74</f>
        <v>34.358999999999995</v>
      </c>
      <c r="J74" s="211">
        <f>J72</f>
        <v>527.9951375464349</v>
      </c>
      <c r="K74" s="205">
        <f>'Other Electriciy Rates NF'!$K$24</f>
        <v>0.065</v>
      </c>
      <c r="L74" s="226">
        <f>+J74*K74</f>
        <v>34.31968394051827</v>
      </c>
      <c r="M74" s="515">
        <f>+L74-I74</f>
        <v>-0.03931605948172745</v>
      </c>
      <c r="N74" s="516">
        <f t="shared" si="8"/>
        <v>-0.0011442725190409341</v>
      </c>
      <c r="O74" s="241">
        <f>L74/L77</f>
        <v>0.41549094966239314</v>
      </c>
      <c r="P74" s="165"/>
    </row>
    <row r="75" spans="2:16" ht="18" customHeight="1" thickBot="1">
      <c r="B75" s="172"/>
      <c r="C75" s="31"/>
      <c r="D75" s="31"/>
      <c r="E75" s="31"/>
      <c r="F75" s="233" t="s">
        <v>195</v>
      </c>
      <c r="G75" s="586"/>
      <c r="H75" s="587"/>
      <c r="I75" s="235">
        <f>SUM(I71:I74)</f>
        <v>70.08514349999999</v>
      </c>
      <c r="J75" s="586"/>
      <c r="K75" s="587"/>
      <c r="L75" s="235">
        <f>SUM(L71:L74)</f>
        <v>73.09762521169489</v>
      </c>
      <c r="M75" s="235">
        <f>SUM(M71:M74)</f>
        <v>3.012481711694897</v>
      </c>
      <c r="N75" s="238">
        <f t="shared" si="8"/>
        <v>0.042983171058141555</v>
      </c>
      <c r="O75" s="375">
        <f>L75/L77</f>
        <v>0.8849557522123893</v>
      </c>
      <c r="P75" s="303"/>
    </row>
    <row r="76" spans="2:16" ht="18" customHeight="1" thickBot="1">
      <c r="B76" s="172"/>
      <c r="C76" s="31"/>
      <c r="D76" s="31"/>
      <c r="E76" s="31"/>
      <c r="F76" s="297" t="s">
        <v>274</v>
      </c>
      <c r="G76" s="298"/>
      <c r="H76" s="302">
        <v>0.13</v>
      </c>
      <c r="I76" s="299">
        <f>I75*H76</f>
        <v>9.111068654999999</v>
      </c>
      <c r="J76" s="298"/>
      <c r="K76" s="302">
        <v>0.13</v>
      </c>
      <c r="L76" s="300">
        <f>L75*K76</f>
        <v>9.502691277520336</v>
      </c>
      <c r="M76" s="227">
        <f>+L76-I76</f>
        <v>0.3916226225203374</v>
      </c>
      <c r="N76" s="231">
        <f t="shared" si="8"/>
        <v>0.04298317105814164</v>
      </c>
      <c r="O76" s="241">
        <f>L76/L77</f>
        <v>0.11504424778761062</v>
      </c>
      <c r="P76" s="165"/>
    </row>
    <row r="77" spans="2:16" ht="18" customHeight="1" thickBot="1">
      <c r="B77" s="376"/>
      <c r="C77" s="377"/>
      <c r="D77" s="377"/>
      <c r="E77" s="378"/>
      <c r="F77" s="379" t="s">
        <v>79</v>
      </c>
      <c r="G77" s="600"/>
      <c r="H77" s="601"/>
      <c r="I77" s="380">
        <f>SUM(I75:I76)</f>
        <v>79.19621215499998</v>
      </c>
      <c r="J77" s="600"/>
      <c r="K77" s="601"/>
      <c r="L77" s="380">
        <f>SUM(L75:L76)</f>
        <v>82.60031648921523</v>
      </c>
      <c r="M77" s="380">
        <f>SUM(M75:M76)</f>
        <v>3.4041043342152344</v>
      </c>
      <c r="N77" s="381">
        <f t="shared" si="8"/>
        <v>0.04298317105814156</v>
      </c>
      <c r="O77" s="382">
        <f>O75+O76</f>
        <v>0.9999999999999999</v>
      </c>
      <c r="P77" s="383"/>
    </row>
    <row r="78" spans="2:16" ht="18" customHeight="1" thickBot="1">
      <c r="B78" s="166"/>
      <c r="C78" s="602"/>
      <c r="D78" s="602"/>
      <c r="E78" s="60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167"/>
    </row>
    <row r="79" ht="18" customHeight="1" thickBot="1"/>
    <row r="80" spans="2:16" ht="6.75" customHeight="1">
      <c r="B80" s="174"/>
      <c r="C80" s="592"/>
      <c r="D80" s="592"/>
      <c r="E80" s="592"/>
      <c r="F80" s="592"/>
      <c r="G80" s="592"/>
      <c r="H80" s="592"/>
      <c r="I80" s="592"/>
      <c r="J80" s="592"/>
      <c r="K80" s="592"/>
      <c r="L80" s="592"/>
      <c r="M80" s="592"/>
      <c r="N80" s="592"/>
      <c r="O80" s="592"/>
      <c r="P80" s="164"/>
    </row>
    <row r="81" spans="2:16" ht="23.25">
      <c r="B81" s="172"/>
      <c r="C81" s="591" t="s">
        <v>48</v>
      </c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165"/>
    </row>
    <row r="82" spans="2:16" ht="6.75" customHeight="1" thickBot="1">
      <c r="B82" s="172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  <c r="N82" s="590"/>
      <c r="O82" s="590"/>
      <c r="P82" s="165"/>
    </row>
    <row r="83" spans="2:16" ht="21" thickBot="1">
      <c r="B83" s="172"/>
      <c r="C83" s="173"/>
      <c r="D83" s="173"/>
      <c r="E83" s="31"/>
      <c r="F83" s="37"/>
      <c r="G83" s="595" t="str">
        <f>$G$10</f>
        <v>2010 BILL</v>
      </c>
      <c r="H83" s="596"/>
      <c r="I83" s="597"/>
      <c r="J83" s="595" t="str">
        <f>$J$10</f>
        <v>2011 BILL</v>
      </c>
      <c r="K83" s="596"/>
      <c r="L83" s="597"/>
      <c r="M83" s="595" t="s">
        <v>73</v>
      </c>
      <c r="N83" s="596"/>
      <c r="O83" s="597"/>
      <c r="P83" s="165"/>
    </row>
    <row r="84" spans="2:16" ht="26.25" thickBot="1">
      <c r="B84" s="172"/>
      <c r="C84" s="31"/>
      <c r="D84" s="31"/>
      <c r="E84" s="33"/>
      <c r="F84" s="38"/>
      <c r="G84" s="188" t="s">
        <v>67</v>
      </c>
      <c r="H84" s="189" t="s">
        <v>68</v>
      </c>
      <c r="I84" s="190" t="s">
        <v>69</v>
      </c>
      <c r="J84" s="191" t="s">
        <v>67</v>
      </c>
      <c r="K84" s="189" t="s">
        <v>68</v>
      </c>
      <c r="L84" s="190" t="s">
        <v>69</v>
      </c>
      <c r="M84" s="192" t="s">
        <v>80</v>
      </c>
      <c r="N84" s="193" t="s">
        <v>81</v>
      </c>
      <c r="O84" s="194" t="s">
        <v>76</v>
      </c>
      <c r="P84" s="165"/>
    </row>
    <row r="85" spans="2:16" ht="18" customHeight="1" thickBot="1">
      <c r="B85" s="172"/>
      <c r="C85" s="593" t="s">
        <v>70</v>
      </c>
      <c r="D85" s="594"/>
      <c r="E85" s="31"/>
      <c r="F85" s="198" t="s">
        <v>71</v>
      </c>
      <c r="G85" s="207"/>
      <c r="H85" s="208"/>
      <c r="I85" s="209">
        <f>+'2010 Existing RatesNF'!$C$8</f>
        <v>15.96</v>
      </c>
      <c r="J85" s="207"/>
      <c r="K85" s="208"/>
      <c r="L85" s="212">
        <f>'Rate Schedule (Part 1) NF'!$E$11</f>
        <v>16.55</v>
      </c>
      <c r="M85" s="221">
        <f aca="true" t="shared" si="9" ref="M85:M91">+L85-I85</f>
        <v>0.5899999999999999</v>
      </c>
      <c r="N85" s="222">
        <f aca="true" t="shared" si="10" ref="N85:N96">+M85/I85</f>
        <v>0.036967418546365906</v>
      </c>
      <c r="O85" s="223">
        <f>L85/L103</f>
        <v>0.14265643588460947</v>
      </c>
      <c r="P85" s="165"/>
    </row>
    <row r="86" spans="2:16" ht="18" customHeight="1" thickBot="1">
      <c r="B86" s="172"/>
      <c r="C86" s="170">
        <v>750</v>
      </c>
      <c r="D86" s="171" t="s">
        <v>16</v>
      </c>
      <c r="E86" s="31"/>
      <c r="F86" s="199" t="s">
        <v>72</v>
      </c>
      <c r="G86" s="201">
        <f>+C86</f>
        <v>750</v>
      </c>
      <c r="H86" s="196">
        <f>'2010 Existing RatesNF'!$B$69</f>
        <v>0.0136</v>
      </c>
      <c r="I86" s="210">
        <f>+G86*H86</f>
        <v>10.2</v>
      </c>
      <c r="J86" s="201">
        <f>+C86</f>
        <v>750</v>
      </c>
      <c r="K86" s="195">
        <f>'Rate Schedule (Part 1) NF'!$E$12</f>
        <v>0.0167</v>
      </c>
      <c r="L86" s="214">
        <f>+J86*K86</f>
        <v>12.525</v>
      </c>
      <c r="M86" s="224">
        <f t="shared" si="9"/>
        <v>2.325000000000001</v>
      </c>
      <c r="N86" s="218">
        <f t="shared" si="10"/>
        <v>0.22794117647058837</v>
      </c>
      <c r="O86" s="225">
        <f>L86/L103</f>
        <v>0.10796204588850354</v>
      </c>
      <c r="P86" s="165"/>
    </row>
    <row r="87" spans="2:16" ht="18" customHeight="1">
      <c r="B87" s="172"/>
      <c r="C87" s="63"/>
      <c r="D87" s="64"/>
      <c r="E87" s="31"/>
      <c r="F87" s="199" t="s">
        <v>246</v>
      </c>
      <c r="G87" s="201">
        <f>G86</f>
        <v>750</v>
      </c>
      <c r="H87" s="196">
        <f>'2010 Existing RatesNF'!$B$46</f>
        <v>0</v>
      </c>
      <c r="I87" s="210">
        <f>+G87*H87</f>
        <v>0</v>
      </c>
      <c r="J87" s="201">
        <f>J86</f>
        <v>750</v>
      </c>
      <c r="K87" s="195">
        <f>'Rate Schedule (Part 1) NF'!$E$13</f>
        <v>0.0003</v>
      </c>
      <c r="L87" s="214">
        <f>+J87*K87</f>
        <v>0.22499999999999998</v>
      </c>
      <c r="M87" s="224">
        <f t="shared" si="9"/>
        <v>0.22499999999999998</v>
      </c>
      <c r="N87" s="218" t="e">
        <f t="shared" si="10"/>
        <v>#DIV/0!</v>
      </c>
      <c r="O87" s="225">
        <f>L87/L103</f>
        <v>0.0019394379500928779</v>
      </c>
      <c r="P87" s="165"/>
    </row>
    <row r="88" spans="2:16" ht="18" customHeight="1">
      <c r="B88" s="172"/>
      <c r="C88" s="63"/>
      <c r="D88" s="64"/>
      <c r="E88" s="31"/>
      <c r="F88" s="199" t="s">
        <v>170</v>
      </c>
      <c r="G88" s="220"/>
      <c r="H88" s="219"/>
      <c r="I88" s="210">
        <f>'2010 Existing RatesNF'!$B$57</f>
        <v>1</v>
      </c>
      <c r="J88" s="220"/>
      <c r="K88" s="219"/>
      <c r="L88" s="214">
        <f>'Rate Schedule (Part 1) NF'!$E$15</f>
        <v>1</v>
      </c>
      <c r="M88" s="224">
        <f t="shared" si="9"/>
        <v>0</v>
      </c>
      <c r="N88" s="218">
        <f t="shared" si="10"/>
        <v>0</v>
      </c>
      <c r="O88" s="225">
        <f>L88/L103</f>
        <v>0.008619724222635013</v>
      </c>
      <c r="P88" s="165"/>
    </row>
    <row r="89" spans="2:16" ht="18" customHeight="1">
      <c r="B89" s="172"/>
      <c r="C89" s="31"/>
      <c r="D89" s="31"/>
      <c r="E89" s="31"/>
      <c r="F89" s="199" t="s">
        <v>162</v>
      </c>
      <c r="G89" s="201">
        <f>C86</f>
        <v>750</v>
      </c>
      <c r="H89" s="196"/>
      <c r="I89" s="206">
        <f>+G89*H89</f>
        <v>0</v>
      </c>
      <c r="J89" s="201">
        <f>C86</f>
        <v>750</v>
      </c>
      <c r="K89" s="195">
        <f>'Rate Schedule (Part 1) NF'!$E$14</f>
        <v>0</v>
      </c>
      <c r="L89" s="214">
        <f>J89*K89</f>
        <v>0</v>
      </c>
      <c r="M89" s="224">
        <f t="shared" si="9"/>
        <v>0</v>
      </c>
      <c r="N89" s="218" t="e">
        <f t="shared" si="10"/>
        <v>#DIV/0!</v>
      </c>
      <c r="O89" s="225">
        <f>L89/L103</f>
        <v>0</v>
      </c>
      <c r="P89" s="165"/>
    </row>
    <row r="90" spans="2:16" ht="26.25" customHeight="1">
      <c r="B90" s="172"/>
      <c r="C90" s="63"/>
      <c r="D90" s="64"/>
      <c r="E90" s="31"/>
      <c r="F90" s="199" t="s">
        <v>286</v>
      </c>
      <c r="G90" s="201">
        <f>+C86</f>
        <v>750</v>
      </c>
      <c r="H90" s="196">
        <f>+'2010 Existing RatesNF'!$B$20</f>
        <v>-0.0028</v>
      </c>
      <c r="I90" s="206">
        <f>+G90*H90</f>
        <v>-2.1</v>
      </c>
      <c r="J90" s="201">
        <f>+C86</f>
        <v>750</v>
      </c>
      <c r="K90" s="195">
        <f>'Rate Schedule (Part 1) NF'!$E$17</f>
        <v>-0.0028</v>
      </c>
      <c r="L90" s="214">
        <f>+J90*K90</f>
        <v>-2.1</v>
      </c>
      <c r="M90" s="224">
        <f t="shared" si="9"/>
        <v>0</v>
      </c>
      <c r="N90" s="218">
        <f t="shared" si="10"/>
        <v>0</v>
      </c>
      <c r="O90" s="225">
        <f>L90/L103</f>
        <v>-0.018101420867533528</v>
      </c>
      <c r="P90" s="165"/>
    </row>
    <row r="91" spans="2:16" ht="27.75" customHeight="1">
      <c r="B91" s="172"/>
      <c r="C91" s="31"/>
      <c r="D91" s="31"/>
      <c r="E91" s="31"/>
      <c r="F91" s="199" t="s">
        <v>294</v>
      </c>
      <c r="G91" s="372">
        <f>C86</f>
        <v>750</v>
      </c>
      <c r="H91" s="488"/>
      <c r="I91" s="206">
        <f>+G91*H91</f>
        <v>0</v>
      </c>
      <c r="J91" s="372">
        <f>C86</f>
        <v>750</v>
      </c>
      <c r="K91" s="488">
        <f>'Rate Schedule (Part 1) NF'!E19</f>
        <v>0.0001</v>
      </c>
      <c r="L91" s="214">
        <f>+J91*K91</f>
        <v>0.075</v>
      </c>
      <c r="M91" s="224">
        <f t="shared" si="9"/>
        <v>0.075</v>
      </c>
      <c r="N91" s="218" t="e">
        <f>+M91/I91</f>
        <v>#DIV/0!</v>
      </c>
      <c r="O91" s="225">
        <f>L91/L103</f>
        <v>0.000646479316697626</v>
      </c>
      <c r="P91" s="165"/>
    </row>
    <row r="92" spans="2:16" ht="26.25" customHeight="1">
      <c r="B92" s="172"/>
      <c r="C92" s="63"/>
      <c r="D92" s="64"/>
      <c r="E92" s="31"/>
      <c r="F92" s="199" t="s">
        <v>316</v>
      </c>
      <c r="G92" s="201">
        <f>C86</f>
        <v>750</v>
      </c>
      <c r="H92" s="196">
        <f>'2010 Existing RatesNF'!B33</f>
        <v>0.0011</v>
      </c>
      <c r="I92" s="206">
        <f>+G92*H92</f>
        <v>0.8250000000000001</v>
      </c>
      <c r="J92" s="201">
        <f>C86</f>
        <v>750</v>
      </c>
      <c r="K92" s="195">
        <f>'Rate Schedule (Part 1) NF'!E16</f>
        <v>0.0011</v>
      </c>
      <c r="L92" s="214">
        <f>+J92*K92</f>
        <v>0.8250000000000001</v>
      </c>
      <c r="M92" s="224">
        <f>+L92-I92</f>
        <v>0</v>
      </c>
      <c r="N92" s="218">
        <f>+M92/I92</f>
        <v>0</v>
      </c>
      <c r="O92" s="225">
        <f>L92/L103</f>
        <v>0.007111272483673887</v>
      </c>
      <c r="P92" s="165"/>
    </row>
    <row r="93" spans="2:16" ht="27.75" customHeight="1" thickBot="1">
      <c r="B93" s="172"/>
      <c r="C93" s="31"/>
      <c r="D93" s="31"/>
      <c r="E93" s="31"/>
      <c r="F93" s="199" t="s">
        <v>317</v>
      </c>
      <c r="G93" s="372">
        <f>C86</f>
        <v>750</v>
      </c>
      <c r="H93" s="488"/>
      <c r="I93" s="206">
        <f>+G93*H93</f>
        <v>0</v>
      </c>
      <c r="J93" s="372">
        <f>C86</f>
        <v>750</v>
      </c>
      <c r="K93" s="488">
        <f>'Rate Schedule (Part 1) NF'!E18</f>
        <v>0.0016</v>
      </c>
      <c r="L93" s="214">
        <f>+J93*K93</f>
        <v>1.2</v>
      </c>
      <c r="M93" s="224">
        <f>+L93-I93</f>
        <v>1.2</v>
      </c>
      <c r="N93" s="218" t="e">
        <f>+M93/I93</f>
        <v>#DIV/0!</v>
      </c>
      <c r="O93" s="225">
        <f>L93/L103</f>
        <v>0.010343669067162015</v>
      </c>
      <c r="P93" s="165"/>
    </row>
    <row r="94" spans="1:16" ht="18" customHeight="1" thickBot="1">
      <c r="A94" s="165"/>
      <c r="F94" s="233" t="s">
        <v>247</v>
      </c>
      <c r="G94" s="586"/>
      <c r="H94" s="587"/>
      <c r="I94" s="235">
        <f>SUM(I85:I93)</f>
        <v>25.884999999999998</v>
      </c>
      <c r="J94" s="586"/>
      <c r="K94" s="587"/>
      <c r="L94" s="235">
        <f>SUM(L85:L93)</f>
        <v>30.3</v>
      </c>
      <c r="M94" s="237">
        <f>SUM(M85:M93)</f>
        <v>4.415000000000001</v>
      </c>
      <c r="N94" s="238">
        <f t="shared" si="10"/>
        <v>0.17056210160324517</v>
      </c>
      <c r="O94" s="240">
        <f>L94/L103</f>
        <v>0.2611776439458409</v>
      </c>
      <c r="P94" s="385"/>
    </row>
    <row r="95" spans="1:16" ht="18" customHeight="1" thickBot="1">
      <c r="A95" s="165"/>
      <c r="F95" s="199" t="s">
        <v>248</v>
      </c>
      <c r="G95" s="372">
        <f>C86*'Other Electriciy Rates NF'!$M$10</f>
        <v>792.9</v>
      </c>
      <c r="H95" s="373">
        <f>'Other Electriciy Rates NF'!$B$10</f>
        <v>0.009899999999999999</v>
      </c>
      <c r="I95" s="210">
        <f>+G95*H95</f>
        <v>7.849709999999999</v>
      </c>
      <c r="J95" s="372">
        <f>'BILL IMPACTS NF'!C86*'Other Electriciy Rates NF'!$M$24</f>
        <v>791.9927063196524</v>
      </c>
      <c r="K95" s="494">
        <f>'Other Electriciy Rates NF'!$B$24</f>
        <v>0.010132682166659615</v>
      </c>
      <c r="L95" s="210">
        <f>+J95*K95</f>
        <v>8.025010371449628</v>
      </c>
      <c r="M95" s="374">
        <f>+L95-I95</f>
        <v>0.1753003714496293</v>
      </c>
      <c r="N95" s="222">
        <f t="shared" si="10"/>
        <v>0.02233208251637695</v>
      </c>
      <c r="O95" s="223">
        <f>L95/L103</f>
        <v>0.06917337628568157</v>
      </c>
      <c r="P95" s="385"/>
    </row>
    <row r="96" spans="1:16" ht="18" customHeight="1" thickBot="1">
      <c r="A96" s="165"/>
      <c r="F96" s="233" t="s">
        <v>249</v>
      </c>
      <c r="G96" s="586"/>
      <c r="H96" s="587"/>
      <c r="I96" s="235">
        <f>SUM(I94:I95)</f>
        <v>33.73471</v>
      </c>
      <c r="J96" s="586"/>
      <c r="K96" s="587"/>
      <c r="L96" s="235">
        <f>SUM(L94:L95)</f>
        <v>38.32501037144963</v>
      </c>
      <c r="M96" s="237">
        <f>SUM(M94:M95)</f>
        <v>4.59030037144963</v>
      </c>
      <c r="N96" s="238">
        <f t="shared" si="10"/>
        <v>0.13607054489128942</v>
      </c>
      <c r="O96" s="375">
        <f>L96/L103</f>
        <v>0.33035102023152246</v>
      </c>
      <c r="P96" s="385"/>
    </row>
    <row r="97" spans="2:16" ht="18" customHeight="1" thickBot="1">
      <c r="B97" s="172"/>
      <c r="C97" s="31"/>
      <c r="D97" s="31"/>
      <c r="E97" s="31"/>
      <c r="F97" s="200" t="s">
        <v>77</v>
      </c>
      <c r="G97" s="202">
        <f>+'Other Electriciy Rates NF'!$M$10*C86</f>
        <v>792.9</v>
      </c>
      <c r="H97" s="203">
        <f>'Other Electriciy Rates NF'!$C$10+'Other Electriciy Rates NF'!$E$10+'Other Electriciy Rates NF'!D10</f>
        <v>0.0138725</v>
      </c>
      <c r="I97" s="204">
        <f>+G97*H97</f>
        <v>10.999505249999999</v>
      </c>
      <c r="J97" s="202">
        <f>J95</f>
        <v>791.9927063196524</v>
      </c>
      <c r="K97" s="203">
        <f>'Other Electriciy Rates NF'!$C$24+'Other Electriciy Rates NF'!$E$24+'Other Electriciy Rates NF'!D24</f>
        <v>0.0135</v>
      </c>
      <c r="L97" s="229">
        <f>+J97*K97</f>
        <v>10.691901535315306</v>
      </c>
      <c r="M97" s="230">
        <f>+L97-I97</f>
        <v>-0.30760371468469216</v>
      </c>
      <c r="N97" s="231">
        <f aca="true" t="shared" si="11" ref="N97:N103">+M97/I97</f>
        <v>-0.02796523186210509</v>
      </c>
      <c r="O97" s="301">
        <f>L97/L103</f>
        <v>0.09216124264998583</v>
      </c>
      <c r="P97" s="165"/>
    </row>
    <row r="98" spans="2:16" ht="21.75" customHeight="1">
      <c r="B98" s="172"/>
      <c r="C98" s="31"/>
      <c r="D98" s="31"/>
      <c r="E98" s="31"/>
      <c r="F98" s="200" t="s">
        <v>321</v>
      </c>
      <c r="G98" s="220"/>
      <c r="H98" s="219"/>
      <c r="I98" s="512">
        <v>0.25</v>
      </c>
      <c r="J98" s="496"/>
      <c r="K98" s="219"/>
      <c r="L98" s="514">
        <v>0.25</v>
      </c>
      <c r="M98" s="513">
        <f>+L98-I98</f>
        <v>0</v>
      </c>
      <c r="N98" s="231">
        <f t="shared" si="11"/>
        <v>0</v>
      </c>
      <c r="O98" s="301">
        <f>L98/L103</f>
        <v>0.0021549310556587533</v>
      </c>
      <c r="P98" s="165"/>
    </row>
    <row r="99" spans="1:16" ht="18" customHeight="1">
      <c r="A99" s="165"/>
      <c r="B99" s="25"/>
      <c r="C99" s="31"/>
      <c r="D99" s="31"/>
      <c r="E99" s="31"/>
      <c r="F99" s="197" t="s">
        <v>78</v>
      </c>
      <c r="G99" s="202">
        <v>600</v>
      </c>
      <c r="H99" s="203">
        <f>'Other Electriciy Rates NF'!$K$11</f>
        <v>0.065</v>
      </c>
      <c r="I99" s="204">
        <f>+G99*H99</f>
        <v>39</v>
      </c>
      <c r="J99" s="202">
        <v>600</v>
      </c>
      <c r="K99" s="203">
        <f>'Other Electriciy Rates NF'!$K$24</f>
        <v>0.065</v>
      </c>
      <c r="L99" s="229">
        <f>+J99*K99</f>
        <v>39</v>
      </c>
      <c r="M99" s="230">
        <f>+L99-I99</f>
        <v>0</v>
      </c>
      <c r="N99" s="231">
        <f t="shared" si="11"/>
        <v>0</v>
      </c>
      <c r="O99" s="232">
        <f>L99/L103</f>
        <v>0.3361692446827655</v>
      </c>
      <c r="P99" s="385"/>
    </row>
    <row r="100" spans="2:16" ht="18" customHeight="1" thickBot="1">
      <c r="B100" s="172"/>
      <c r="C100" s="31"/>
      <c r="D100" s="31"/>
      <c r="E100" s="31"/>
      <c r="F100" s="197" t="s">
        <v>78</v>
      </c>
      <c r="G100" s="202">
        <f>G97-G99</f>
        <v>192.89999999999998</v>
      </c>
      <c r="H100" s="203">
        <f>'Other Electriciy Rates NF'!$L$10</f>
        <v>0.075</v>
      </c>
      <c r="I100" s="204">
        <f>+G100*H100</f>
        <v>14.467499999999998</v>
      </c>
      <c r="J100" s="202">
        <f>J97-J99</f>
        <v>191.99270631965237</v>
      </c>
      <c r="K100" s="203">
        <f>'Other Electriciy Rates NF'!$L$24</f>
        <v>0.075</v>
      </c>
      <c r="L100" s="229">
        <f>+J100*K100</f>
        <v>14.399452973973927</v>
      </c>
      <c r="M100" s="230">
        <f>+L100-I100</f>
        <v>-0.06804702602607016</v>
      </c>
      <c r="N100" s="231">
        <f t="shared" si="11"/>
        <v>-0.004703440540941432</v>
      </c>
      <c r="O100" s="232">
        <f>L100/L103</f>
        <v>0.12411931359245684</v>
      </c>
      <c r="P100" s="165"/>
    </row>
    <row r="101" spans="2:16" ht="18" customHeight="1" thickBot="1">
      <c r="B101" s="172"/>
      <c r="C101" s="31"/>
      <c r="D101" s="31"/>
      <c r="E101" s="31"/>
      <c r="F101" s="233" t="s">
        <v>195</v>
      </c>
      <c r="G101" s="586"/>
      <c r="H101" s="587"/>
      <c r="I101" s="235">
        <f>SUM(I96:I100)</f>
        <v>98.45171525</v>
      </c>
      <c r="J101" s="586"/>
      <c r="K101" s="587"/>
      <c r="L101" s="235">
        <f>SUM(L96:L100)</f>
        <v>102.66636488073885</v>
      </c>
      <c r="M101" s="235">
        <f>SUM(M96:M100)</f>
        <v>4.214649630738868</v>
      </c>
      <c r="N101" s="238">
        <f t="shared" si="11"/>
        <v>0.042809306267915605</v>
      </c>
      <c r="O101" s="375">
        <f>L101/L103</f>
        <v>0.8849557522123893</v>
      </c>
      <c r="P101" s="165"/>
    </row>
    <row r="102" spans="2:16" ht="18" customHeight="1" thickBot="1">
      <c r="B102" s="172"/>
      <c r="C102" s="31"/>
      <c r="D102" s="31"/>
      <c r="E102" s="31"/>
      <c r="F102" s="297" t="s">
        <v>274</v>
      </c>
      <c r="G102" s="298"/>
      <c r="H102" s="302">
        <v>0.13</v>
      </c>
      <c r="I102" s="299">
        <f>I101*H102</f>
        <v>12.798722982500001</v>
      </c>
      <c r="J102" s="298"/>
      <c r="K102" s="302">
        <v>0.13</v>
      </c>
      <c r="L102" s="300">
        <f>L101*K102</f>
        <v>13.346627434496051</v>
      </c>
      <c r="M102" s="227">
        <f>+L102-I102</f>
        <v>0.5479044519960503</v>
      </c>
      <c r="N102" s="228">
        <f t="shared" si="11"/>
        <v>0.04280930626791541</v>
      </c>
      <c r="O102" s="241">
        <f>L102/L103</f>
        <v>0.11504424778761062</v>
      </c>
      <c r="P102" s="165"/>
    </row>
    <row r="103" spans="2:16" ht="18" customHeight="1" thickBot="1">
      <c r="B103" s="172"/>
      <c r="C103" s="31"/>
      <c r="D103" s="31"/>
      <c r="E103" s="35"/>
      <c r="F103" s="234" t="s">
        <v>79</v>
      </c>
      <c r="G103" s="598"/>
      <c r="H103" s="599"/>
      <c r="I103" s="236">
        <f>SUM(I101:I102)</f>
        <v>111.2504382325</v>
      </c>
      <c r="J103" s="598"/>
      <c r="K103" s="599"/>
      <c r="L103" s="236">
        <f>SUM(L101:L102)</f>
        <v>116.01299231523491</v>
      </c>
      <c r="M103" s="236">
        <f>SUM(M101:M102)</f>
        <v>4.762554082734918</v>
      </c>
      <c r="N103" s="238">
        <f t="shared" si="11"/>
        <v>0.042809306267915584</v>
      </c>
      <c r="O103" s="240">
        <f>SUM(O101:O102)</f>
        <v>0.9999999999999999</v>
      </c>
      <c r="P103" s="165"/>
    </row>
    <row r="104" spans="2:16" ht="6.75" customHeight="1" thickBot="1">
      <c r="B104" s="166"/>
      <c r="C104" s="178"/>
      <c r="D104" s="178"/>
      <c r="E104" s="178"/>
      <c r="F104" s="179"/>
      <c r="G104" s="180"/>
      <c r="H104" s="181"/>
      <c r="I104" s="182"/>
      <c r="J104" s="180"/>
      <c r="K104" s="183"/>
      <c r="L104" s="182"/>
      <c r="M104" s="187"/>
      <c r="N104" s="185"/>
      <c r="O104" s="186"/>
      <c r="P104" s="167"/>
    </row>
    <row r="105" ht="18" customHeight="1" thickBot="1"/>
    <row r="106" spans="2:16" ht="18" customHeight="1">
      <c r="B106" s="174"/>
      <c r="C106" s="592"/>
      <c r="D106" s="592"/>
      <c r="E106" s="592"/>
      <c r="F106" s="592"/>
      <c r="G106" s="592"/>
      <c r="H106" s="592"/>
      <c r="I106" s="592"/>
      <c r="J106" s="592"/>
      <c r="K106" s="592"/>
      <c r="L106" s="592"/>
      <c r="M106" s="592"/>
      <c r="N106" s="592"/>
      <c r="O106" s="592"/>
      <c r="P106" s="164"/>
    </row>
    <row r="107" spans="2:16" ht="23.25">
      <c r="B107" s="172"/>
      <c r="C107" s="591" t="s">
        <v>302</v>
      </c>
      <c r="D107" s="591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165"/>
    </row>
    <row r="108" spans="2:16" ht="18" customHeight="1" thickBot="1">
      <c r="B108" s="172"/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165"/>
    </row>
    <row r="109" spans="2:16" ht="18" customHeight="1" thickBot="1">
      <c r="B109" s="172"/>
      <c r="C109" s="173"/>
      <c r="D109" s="173"/>
      <c r="E109" s="31"/>
      <c r="F109" s="37"/>
      <c r="G109" s="595" t="str">
        <f>$G$10</f>
        <v>2010 BILL</v>
      </c>
      <c r="H109" s="596"/>
      <c r="I109" s="597"/>
      <c r="J109" s="595" t="str">
        <f>$J$10</f>
        <v>2011 BILL</v>
      </c>
      <c r="K109" s="596"/>
      <c r="L109" s="597"/>
      <c r="M109" s="595" t="s">
        <v>73</v>
      </c>
      <c r="N109" s="596"/>
      <c r="O109" s="597"/>
      <c r="P109" s="165"/>
    </row>
    <row r="110" spans="2:16" ht="26.25" thickBot="1">
      <c r="B110" s="172"/>
      <c r="C110" s="31"/>
      <c r="D110" s="31"/>
      <c r="E110" s="33"/>
      <c r="F110" s="38"/>
      <c r="G110" s="188" t="s">
        <v>67</v>
      </c>
      <c r="H110" s="189" t="s">
        <v>68</v>
      </c>
      <c r="I110" s="190" t="s">
        <v>69</v>
      </c>
      <c r="J110" s="191" t="s">
        <v>67</v>
      </c>
      <c r="K110" s="189" t="s">
        <v>68</v>
      </c>
      <c r="L110" s="190" t="s">
        <v>69</v>
      </c>
      <c r="M110" s="192" t="s">
        <v>80</v>
      </c>
      <c r="N110" s="193" t="s">
        <v>81</v>
      </c>
      <c r="O110" s="194" t="s">
        <v>76</v>
      </c>
      <c r="P110" s="165"/>
    </row>
    <row r="111" spans="2:16" ht="18" customHeight="1" thickBot="1">
      <c r="B111" s="172"/>
      <c r="C111" s="593" t="s">
        <v>70</v>
      </c>
      <c r="D111" s="594"/>
      <c r="E111" s="31"/>
      <c r="F111" s="198" t="s">
        <v>71</v>
      </c>
      <c r="G111" s="207"/>
      <c r="H111" s="208"/>
      <c r="I111" s="209">
        <f>+'2010 Existing RatesNF'!$C$8</f>
        <v>15.96</v>
      </c>
      <c r="J111" s="207"/>
      <c r="K111" s="208"/>
      <c r="L111" s="212">
        <f>'Rate Schedule (Part 1) NF'!$E$11</f>
        <v>16.55</v>
      </c>
      <c r="M111" s="221">
        <f aca="true" t="shared" si="12" ref="M111:M117">+L111-I111</f>
        <v>0.5899999999999999</v>
      </c>
      <c r="N111" s="222">
        <f aca="true" t="shared" si="13" ref="N111:N122">+M111/I111</f>
        <v>0.036967418546365906</v>
      </c>
      <c r="O111" s="223">
        <f>L111/L129</f>
        <v>0.13470807909992713</v>
      </c>
      <c r="P111" s="165"/>
    </row>
    <row r="112" spans="2:16" ht="18" customHeight="1" thickBot="1">
      <c r="B112" s="172"/>
      <c r="C112" s="170">
        <v>800</v>
      </c>
      <c r="D112" s="171" t="s">
        <v>16</v>
      </c>
      <c r="E112" s="31"/>
      <c r="F112" s="199" t="s">
        <v>72</v>
      </c>
      <c r="G112" s="201">
        <f>+C112</f>
        <v>800</v>
      </c>
      <c r="H112" s="196">
        <f>'2010 Existing RatesNF'!$B$69</f>
        <v>0.0136</v>
      </c>
      <c r="I112" s="210">
        <f>+G112*H112</f>
        <v>10.879999999999999</v>
      </c>
      <c r="J112" s="201">
        <f>+C112</f>
        <v>800</v>
      </c>
      <c r="K112" s="195">
        <f>'Rate Schedule (Part 1) NF'!$E$12</f>
        <v>0.0167</v>
      </c>
      <c r="L112" s="214">
        <f>+J112*K112</f>
        <v>13.36</v>
      </c>
      <c r="M112" s="224">
        <f t="shared" si="12"/>
        <v>2.4800000000000004</v>
      </c>
      <c r="N112" s="218">
        <f t="shared" si="13"/>
        <v>0.22794117647058829</v>
      </c>
      <c r="O112" s="225">
        <f>L112/L129</f>
        <v>0.10874319859667833</v>
      </c>
      <c r="P112" s="165"/>
    </row>
    <row r="113" spans="2:16" ht="18" customHeight="1">
      <c r="B113" s="172"/>
      <c r="C113" s="63"/>
      <c r="D113" s="64"/>
      <c r="E113" s="31"/>
      <c r="F113" s="199" t="s">
        <v>246</v>
      </c>
      <c r="G113" s="201">
        <f>G112</f>
        <v>800</v>
      </c>
      <c r="H113" s="196">
        <f>'2010 Existing RatesNF'!$B$46</f>
        <v>0</v>
      </c>
      <c r="I113" s="210">
        <f>+G113*H113</f>
        <v>0</v>
      </c>
      <c r="J113" s="201">
        <f>J112</f>
        <v>800</v>
      </c>
      <c r="K113" s="195">
        <f>'Rate Schedule (Part 1) NF'!$E$13</f>
        <v>0.0003</v>
      </c>
      <c r="L113" s="214">
        <f>+J113*K113</f>
        <v>0.24</v>
      </c>
      <c r="M113" s="224">
        <f t="shared" si="12"/>
        <v>0.24</v>
      </c>
      <c r="N113" s="218" t="e">
        <f t="shared" si="13"/>
        <v>#DIV/0!</v>
      </c>
      <c r="O113" s="225">
        <f>L113/L129</f>
        <v>0.0019534706334732635</v>
      </c>
      <c r="P113" s="165"/>
    </row>
    <row r="114" spans="2:16" ht="18" customHeight="1">
      <c r="B114" s="172"/>
      <c r="C114" s="63"/>
      <c r="D114" s="64"/>
      <c r="E114" s="31"/>
      <c r="F114" s="199" t="s">
        <v>170</v>
      </c>
      <c r="G114" s="220"/>
      <c r="H114" s="219"/>
      <c r="I114" s="210">
        <f>'2010 Existing RatesNF'!$B$57</f>
        <v>1</v>
      </c>
      <c r="J114" s="220"/>
      <c r="K114" s="219"/>
      <c r="L114" s="214">
        <f>'Rate Schedule (Part 1) NF'!$E$15</f>
        <v>1</v>
      </c>
      <c r="M114" s="224">
        <f t="shared" si="12"/>
        <v>0</v>
      </c>
      <c r="N114" s="218">
        <f t="shared" si="13"/>
        <v>0</v>
      </c>
      <c r="O114" s="225">
        <f>L114/L129</f>
        <v>0.008139460972805265</v>
      </c>
      <c r="P114" s="165"/>
    </row>
    <row r="115" spans="1:16" ht="18" customHeight="1">
      <c r="A115" s="165"/>
      <c r="B115" s="25"/>
      <c r="C115" s="31"/>
      <c r="D115" s="31"/>
      <c r="E115" s="31"/>
      <c r="F115" s="199" t="s">
        <v>162</v>
      </c>
      <c r="G115" s="201">
        <f>C112</f>
        <v>800</v>
      </c>
      <c r="H115" s="196"/>
      <c r="I115" s="206">
        <f>+G115*H115</f>
        <v>0</v>
      </c>
      <c r="J115" s="201">
        <f>C112</f>
        <v>800</v>
      </c>
      <c r="K115" s="195">
        <f>'Rate Schedule (Part 1) NF'!$E$14</f>
        <v>0</v>
      </c>
      <c r="L115" s="214">
        <f>J115*K115</f>
        <v>0</v>
      </c>
      <c r="M115" s="224">
        <f t="shared" si="12"/>
        <v>0</v>
      </c>
      <c r="N115" s="218" t="e">
        <f t="shared" si="13"/>
        <v>#DIV/0!</v>
      </c>
      <c r="O115" s="225">
        <f>L115/L129</f>
        <v>0</v>
      </c>
      <c r="P115" s="165"/>
    </row>
    <row r="116" spans="2:16" ht="26.25" customHeight="1">
      <c r="B116" s="172"/>
      <c r="C116" s="63"/>
      <c r="D116" s="64"/>
      <c r="E116" s="31"/>
      <c r="F116" s="199" t="s">
        <v>286</v>
      </c>
      <c r="G116" s="201">
        <f>+C112</f>
        <v>800</v>
      </c>
      <c r="H116" s="196">
        <f>+'2010 Existing RatesNF'!$B$20</f>
        <v>-0.0028</v>
      </c>
      <c r="I116" s="206">
        <f>+G116*H116</f>
        <v>-2.2399999999999998</v>
      </c>
      <c r="J116" s="201">
        <f>+C112</f>
        <v>800</v>
      </c>
      <c r="K116" s="195">
        <f>'Rate Schedule (Part 1) NF'!$E$17</f>
        <v>-0.0028</v>
      </c>
      <c r="L116" s="214">
        <f>+J116*K116</f>
        <v>-2.2399999999999998</v>
      </c>
      <c r="M116" s="224">
        <f t="shared" si="12"/>
        <v>0</v>
      </c>
      <c r="N116" s="218">
        <f t="shared" si="13"/>
        <v>0</v>
      </c>
      <c r="O116" s="225">
        <f>L116/L129</f>
        <v>-0.01823239257908379</v>
      </c>
      <c r="P116" s="165"/>
    </row>
    <row r="117" spans="2:16" ht="27.75" customHeight="1">
      <c r="B117" s="172"/>
      <c r="C117" s="31"/>
      <c r="D117" s="31"/>
      <c r="E117" s="31"/>
      <c r="F117" s="199" t="s">
        <v>294</v>
      </c>
      <c r="G117" s="372">
        <f>C112</f>
        <v>800</v>
      </c>
      <c r="H117" s="488"/>
      <c r="I117" s="206">
        <f>+G117*H117</f>
        <v>0</v>
      </c>
      <c r="J117" s="372">
        <f>C112</f>
        <v>800</v>
      </c>
      <c r="K117" s="488">
        <f>'Rate Schedule (Part 1) NF'!E19</f>
        <v>0.0001</v>
      </c>
      <c r="L117" s="214">
        <f>+J117*K117</f>
        <v>0.08</v>
      </c>
      <c r="M117" s="224">
        <f t="shared" si="12"/>
        <v>0.08</v>
      </c>
      <c r="N117" s="218" t="e">
        <f>+M117/I117</f>
        <v>#DIV/0!</v>
      </c>
      <c r="O117" s="225">
        <f>L117/L129</f>
        <v>0.0006511568778244212</v>
      </c>
      <c r="P117" s="165"/>
    </row>
    <row r="118" spans="2:16" ht="26.25" customHeight="1">
      <c r="B118" s="172"/>
      <c r="C118" s="63"/>
      <c r="D118" s="64"/>
      <c r="E118" s="31"/>
      <c r="F118" s="199" t="s">
        <v>316</v>
      </c>
      <c r="G118" s="201">
        <f>C112</f>
        <v>800</v>
      </c>
      <c r="H118" s="196">
        <f>'2010 Existing RatesNF'!B33</f>
        <v>0.0011</v>
      </c>
      <c r="I118" s="206">
        <f>+G118*H118</f>
        <v>0.88</v>
      </c>
      <c r="J118" s="201">
        <f>C112</f>
        <v>800</v>
      </c>
      <c r="K118" s="195">
        <f>'Rate Schedule (Part 1) NF'!E16</f>
        <v>0.0011</v>
      </c>
      <c r="L118" s="214">
        <f>+J118*K118</f>
        <v>0.88</v>
      </c>
      <c r="M118" s="224">
        <f>+L118-I118</f>
        <v>0</v>
      </c>
      <c r="N118" s="218">
        <f>+M118/I118</f>
        <v>0</v>
      </c>
      <c r="O118" s="225">
        <f>L118/L129</f>
        <v>0.007162725656068633</v>
      </c>
      <c r="P118" s="165"/>
    </row>
    <row r="119" spans="2:16" ht="27.75" customHeight="1" thickBot="1">
      <c r="B119" s="172"/>
      <c r="C119" s="31"/>
      <c r="D119" s="31"/>
      <c r="E119" s="31"/>
      <c r="F119" s="199" t="s">
        <v>317</v>
      </c>
      <c r="G119" s="372">
        <f>C112</f>
        <v>800</v>
      </c>
      <c r="H119" s="488"/>
      <c r="I119" s="206">
        <f>+G119*H119</f>
        <v>0</v>
      </c>
      <c r="J119" s="372">
        <f>C112</f>
        <v>800</v>
      </c>
      <c r="K119" s="488">
        <f>'Rate Schedule (Part 1) NF'!E18</f>
        <v>0.0016</v>
      </c>
      <c r="L119" s="214">
        <f>+J119*K119</f>
        <v>1.28</v>
      </c>
      <c r="M119" s="224">
        <f>+L119-I119</f>
        <v>1.28</v>
      </c>
      <c r="N119" s="218" t="e">
        <f>+M119/I119</f>
        <v>#DIV/0!</v>
      </c>
      <c r="O119" s="225">
        <f>L119/L129</f>
        <v>0.010418510045190739</v>
      </c>
      <c r="P119" s="165"/>
    </row>
    <row r="120" spans="1:16" ht="18" customHeight="1" thickBot="1">
      <c r="A120" s="165"/>
      <c r="F120" s="233" t="s">
        <v>247</v>
      </c>
      <c r="G120" s="586"/>
      <c r="H120" s="587"/>
      <c r="I120" s="235">
        <f>SUM(I111:I119)</f>
        <v>26.48</v>
      </c>
      <c r="J120" s="586"/>
      <c r="K120" s="587"/>
      <c r="L120" s="235">
        <f>SUM(L111:L119)</f>
        <v>31.15</v>
      </c>
      <c r="M120" s="237">
        <f>SUM(M111:M119)</f>
        <v>4.670000000000001</v>
      </c>
      <c r="N120" s="238">
        <f t="shared" si="13"/>
        <v>0.17635951661631422</v>
      </c>
      <c r="O120" s="240">
        <f>L120/L129</f>
        <v>0.25354420930288396</v>
      </c>
      <c r="P120" s="385"/>
    </row>
    <row r="121" spans="1:16" ht="18" customHeight="1" thickBot="1">
      <c r="A121" s="165"/>
      <c r="F121" s="199" t="s">
        <v>248</v>
      </c>
      <c r="G121" s="372">
        <f>C112*'Other Electriciy Rates NF'!$M$10</f>
        <v>845.76</v>
      </c>
      <c r="H121" s="373">
        <f>'Other Electriciy Rates NF'!$B$10</f>
        <v>0.009899999999999999</v>
      </c>
      <c r="I121" s="210">
        <f>+G121*H121</f>
        <v>8.373024</v>
      </c>
      <c r="J121" s="372">
        <f>'BILL IMPACTS NF'!C112*'Other Electriciy Rates NF'!$M$24</f>
        <v>844.7922200742959</v>
      </c>
      <c r="K121" s="494">
        <f>'Other Electriciy Rates NF'!$B$24</f>
        <v>0.010132682166659615</v>
      </c>
      <c r="L121" s="210">
        <f>+J121*K121</f>
        <v>8.560011062879603</v>
      </c>
      <c r="M121" s="374">
        <f>+L121-I121</f>
        <v>0.18698706287960398</v>
      </c>
      <c r="N121" s="222">
        <f t="shared" si="13"/>
        <v>0.02233208251637688</v>
      </c>
      <c r="O121" s="223">
        <f>L121/L129</f>
        <v>0.06967387597308984</v>
      </c>
      <c r="P121" s="385"/>
    </row>
    <row r="122" spans="1:16" ht="18" customHeight="1" thickBot="1">
      <c r="A122" s="165"/>
      <c r="F122" s="233" t="s">
        <v>249</v>
      </c>
      <c r="G122" s="586"/>
      <c r="H122" s="587"/>
      <c r="I122" s="235">
        <f>SUM(I120:I121)</f>
        <v>34.853024</v>
      </c>
      <c r="J122" s="586"/>
      <c r="K122" s="587"/>
      <c r="L122" s="235">
        <f>SUM(L120:L121)</f>
        <v>39.7100110628796</v>
      </c>
      <c r="M122" s="237">
        <f>SUM(M120:M121)</f>
        <v>4.856987062879605</v>
      </c>
      <c r="N122" s="238">
        <f t="shared" si="13"/>
        <v>0.13935625967145937</v>
      </c>
      <c r="O122" s="375">
        <f>L122/L129</f>
        <v>0.3232180852759738</v>
      </c>
      <c r="P122" s="385"/>
    </row>
    <row r="123" spans="1:16" ht="18" customHeight="1">
      <c r="A123" s="165"/>
      <c r="F123" s="200" t="s">
        <v>77</v>
      </c>
      <c r="G123" s="202">
        <f>+'Other Electriciy Rates NF'!$M$10*C112</f>
        <v>845.76</v>
      </c>
      <c r="H123" s="203">
        <f>'Other Electriciy Rates NF'!$C$10+'Other Electriciy Rates NF'!$E$10+'Other Electriciy Rates NF'!D10</f>
        <v>0.0138725</v>
      </c>
      <c r="I123" s="204">
        <f>+G123*H123</f>
        <v>11.732805599999999</v>
      </c>
      <c r="J123" s="202">
        <f>J121</f>
        <v>844.7922200742959</v>
      </c>
      <c r="K123" s="203">
        <f>'Other Electriciy Rates NF'!$C$24+'Other Electriciy Rates NF'!$E$24+'Other Electriciy Rates NF'!D24</f>
        <v>0.0135</v>
      </c>
      <c r="L123" s="522">
        <f>+J123*K123</f>
        <v>11.404694971002995</v>
      </c>
      <c r="M123" s="221">
        <f>+L123-I123</f>
        <v>-0.3281106289970044</v>
      </c>
      <c r="N123" s="222">
        <f aca="true" t="shared" si="14" ref="N123:N129">+M123/I123</f>
        <v>-0.027965231862105037</v>
      </c>
      <c r="O123" s="301">
        <f>L123/L129</f>
        <v>0.09282806962322734</v>
      </c>
      <c r="P123" s="165"/>
    </row>
    <row r="124" spans="2:16" ht="21.75" customHeight="1">
      <c r="B124" s="172"/>
      <c r="C124" s="31"/>
      <c r="D124" s="31"/>
      <c r="E124" s="31"/>
      <c r="F124" s="200" t="s">
        <v>321</v>
      </c>
      <c r="G124" s="220"/>
      <c r="H124" s="219"/>
      <c r="I124" s="512">
        <v>0.25</v>
      </c>
      <c r="J124" s="496"/>
      <c r="K124" s="219"/>
      <c r="L124" s="523">
        <v>0.25</v>
      </c>
      <c r="M124" s="230">
        <f>+L124-I124</f>
        <v>0</v>
      </c>
      <c r="N124" s="231">
        <f t="shared" si="14"/>
        <v>0</v>
      </c>
      <c r="O124" s="225">
        <f>L124/L129</f>
        <v>0.002034865243201316</v>
      </c>
      <c r="P124" s="165"/>
    </row>
    <row r="125" spans="1:16" ht="18" customHeight="1">
      <c r="A125" s="165"/>
      <c r="B125" s="25"/>
      <c r="C125" s="31"/>
      <c r="D125" s="31"/>
      <c r="E125" s="31"/>
      <c r="F125" s="197" t="s">
        <v>78</v>
      </c>
      <c r="G125" s="202">
        <v>600</v>
      </c>
      <c r="H125" s="203">
        <f>'Other Electriciy Rates NF'!$K$11</f>
        <v>0.065</v>
      </c>
      <c r="I125" s="204">
        <f>+G125*H125</f>
        <v>39</v>
      </c>
      <c r="J125" s="202">
        <v>600</v>
      </c>
      <c r="K125" s="203">
        <f>'Other Electriciy Rates NF'!$K$24</f>
        <v>0.065</v>
      </c>
      <c r="L125" s="522">
        <f>+J125*K125</f>
        <v>39</v>
      </c>
      <c r="M125" s="230">
        <f>+L125-I125</f>
        <v>0</v>
      </c>
      <c r="N125" s="231">
        <f t="shared" si="14"/>
        <v>0</v>
      </c>
      <c r="O125" s="225">
        <f>L125/L129</f>
        <v>0.3174389779394053</v>
      </c>
      <c r="P125" s="165"/>
    </row>
    <row r="126" spans="2:16" ht="18" customHeight="1" thickBot="1">
      <c r="B126" s="172"/>
      <c r="C126" s="31"/>
      <c r="D126" s="31"/>
      <c r="E126" s="31"/>
      <c r="F126" s="197" t="s">
        <v>78</v>
      </c>
      <c r="G126" s="202">
        <f>G123-G125</f>
        <v>245.76</v>
      </c>
      <c r="H126" s="203">
        <f>'Other Electriciy Rates NF'!$L$10</f>
        <v>0.075</v>
      </c>
      <c r="I126" s="204">
        <f>+G126*H126</f>
        <v>18.432</v>
      </c>
      <c r="J126" s="202">
        <f>J123-J125</f>
        <v>244.79222007429587</v>
      </c>
      <c r="K126" s="203">
        <f>'Other Electriciy Rates NF'!$L$24</f>
        <v>0.075</v>
      </c>
      <c r="L126" s="522">
        <f>+J126*K126</f>
        <v>18.359416505572188</v>
      </c>
      <c r="M126" s="524">
        <f>+L126-I126</f>
        <v>-0.07258349442781054</v>
      </c>
      <c r="N126" s="525">
        <f t="shared" si="14"/>
        <v>-0.003937906598731041</v>
      </c>
      <c r="O126" s="526">
        <f>L126/L129</f>
        <v>0.14943575413058163</v>
      </c>
      <c r="P126" s="165"/>
    </row>
    <row r="127" spans="2:16" ht="18" customHeight="1" thickBot="1">
      <c r="B127" s="172"/>
      <c r="C127" s="31"/>
      <c r="D127" s="31"/>
      <c r="E127" s="31"/>
      <c r="F127" s="233" t="s">
        <v>195</v>
      </c>
      <c r="G127" s="586"/>
      <c r="H127" s="587"/>
      <c r="I127" s="235">
        <f>SUM(I122:I126)</f>
        <v>104.2678296</v>
      </c>
      <c r="J127" s="586"/>
      <c r="K127" s="587"/>
      <c r="L127" s="235">
        <f>SUM(L122:L126)</f>
        <v>108.72412253945478</v>
      </c>
      <c r="M127" s="235">
        <f>SUM(M122:M126)</f>
        <v>4.45629293945479</v>
      </c>
      <c r="N127" s="238">
        <f t="shared" si="14"/>
        <v>0.04273890572528796</v>
      </c>
      <c r="O127" s="375">
        <f>L127/L129</f>
        <v>0.8849557522123894</v>
      </c>
      <c r="P127" s="165"/>
    </row>
    <row r="128" spans="2:19" ht="18" customHeight="1" thickBot="1">
      <c r="B128" s="172"/>
      <c r="C128" s="31"/>
      <c r="D128" s="31"/>
      <c r="E128" s="31"/>
      <c r="F128" s="297" t="s">
        <v>274</v>
      </c>
      <c r="G128" s="298"/>
      <c r="H128" s="302">
        <v>0.13</v>
      </c>
      <c r="I128" s="299">
        <f>I127*H128</f>
        <v>13.554817848</v>
      </c>
      <c r="J128" s="298"/>
      <c r="K128" s="302">
        <v>0.13</v>
      </c>
      <c r="L128" s="300">
        <f>L127*K128</f>
        <v>14.134135930129123</v>
      </c>
      <c r="M128" s="227">
        <f>+L128-I128</f>
        <v>0.579318082129122</v>
      </c>
      <c r="N128" s="228">
        <f t="shared" si="14"/>
        <v>0.04273890572528791</v>
      </c>
      <c r="O128" s="241">
        <f>L128/L129</f>
        <v>0.11504424778761063</v>
      </c>
      <c r="P128" s="165"/>
      <c r="S128">
        <f>108.47+0.25</f>
        <v>108.72</v>
      </c>
    </row>
    <row r="129" spans="2:19" ht="18" customHeight="1" thickBot="1">
      <c r="B129" s="172"/>
      <c r="C129" s="31"/>
      <c r="D129" s="31"/>
      <c r="E129" s="35"/>
      <c r="F129" s="234" t="s">
        <v>79</v>
      </c>
      <c r="G129" s="598"/>
      <c r="H129" s="599"/>
      <c r="I129" s="236">
        <f>SUM(I127:I128)</f>
        <v>117.822647448</v>
      </c>
      <c r="J129" s="598"/>
      <c r="K129" s="599"/>
      <c r="L129" s="236">
        <f>SUM(L127:L128)</f>
        <v>122.8582584695839</v>
      </c>
      <c r="M129" s="236">
        <f>SUM(M127:M128)</f>
        <v>5.035611021583912</v>
      </c>
      <c r="N129" s="238">
        <f t="shared" si="14"/>
        <v>0.04273890572528796</v>
      </c>
      <c r="O129" s="240">
        <f>SUM(O127:O128)</f>
        <v>1</v>
      </c>
      <c r="P129" s="165"/>
      <c r="S129">
        <f>S128*12</f>
        <v>1304.6399999999999</v>
      </c>
    </row>
    <row r="130" spans="2:16" ht="18" customHeight="1" thickBot="1">
      <c r="B130" s="166"/>
      <c r="C130" s="178"/>
      <c r="D130" s="178"/>
      <c r="E130" s="178"/>
      <c r="F130" s="179"/>
      <c r="G130" s="180"/>
      <c r="H130" s="181"/>
      <c r="I130" s="182"/>
      <c r="J130" s="180"/>
      <c r="K130" s="183"/>
      <c r="L130" s="182"/>
      <c r="M130" s="187"/>
      <c r="N130" s="185"/>
      <c r="O130" s="186"/>
      <c r="P130" s="167"/>
    </row>
    <row r="131" ht="18" customHeight="1" thickBot="1"/>
    <row r="132" spans="2:16" ht="18" customHeight="1">
      <c r="B132" s="174"/>
      <c r="C132" s="592"/>
      <c r="D132" s="592"/>
      <c r="E132" s="592"/>
      <c r="F132" s="592"/>
      <c r="G132" s="592"/>
      <c r="H132" s="592"/>
      <c r="I132" s="592"/>
      <c r="J132" s="592"/>
      <c r="K132" s="592"/>
      <c r="L132" s="592"/>
      <c r="M132" s="592"/>
      <c r="N132" s="592"/>
      <c r="O132" s="592"/>
      <c r="P132" s="164"/>
    </row>
    <row r="133" spans="2:16" ht="23.25">
      <c r="B133" s="172"/>
      <c r="C133" s="591" t="s">
        <v>48</v>
      </c>
      <c r="D133" s="591"/>
      <c r="E133" s="591"/>
      <c r="F133" s="591"/>
      <c r="G133" s="591"/>
      <c r="H133" s="591"/>
      <c r="I133" s="591"/>
      <c r="J133" s="591"/>
      <c r="K133" s="591"/>
      <c r="L133" s="591"/>
      <c r="M133" s="591"/>
      <c r="N133" s="591"/>
      <c r="O133" s="591"/>
      <c r="P133" s="165"/>
    </row>
    <row r="134" spans="2:16" ht="18" customHeight="1" thickBot="1">
      <c r="B134" s="172"/>
      <c r="C134" s="590"/>
      <c r="D134" s="590"/>
      <c r="E134" s="590"/>
      <c r="F134" s="590"/>
      <c r="G134" s="590"/>
      <c r="H134" s="590"/>
      <c r="I134" s="590"/>
      <c r="J134" s="590"/>
      <c r="K134" s="590"/>
      <c r="L134" s="590"/>
      <c r="M134" s="590"/>
      <c r="N134" s="590"/>
      <c r="O134" s="590"/>
      <c r="P134" s="165"/>
    </row>
    <row r="135" spans="2:16" ht="18" customHeight="1" thickBot="1">
      <c r="B135" s="172"/>
      <c r="C135" s="173"/>
      <c r="D135" s="173"/>
      <c r="E135" s="31"/>
      <c r="F135" s="37"/>
      <c r="G135" s="595" t="str">
        <f>$G$10</f>
        <v>2010 BILL</v>
      </c>
      <c r="H135" s="596"/>
      <c r="I135" s="597"/>
      <c r="J135" s="595" t="str">
        <f>$J$10</f>
        <v>2011 BILL</v>
      </c>
      <c r="K135" s="596"/>
      <c r="L135" s="597"/>
      <c r="M135" s="595" t="s">
        <v>73</v>
      </c>
      <c r="N135" s="596"/>
      <c r="O135" s="597"/>
      <c r="P135" s="165"/>
    </row>
    <row r="136" spans="2:16" ht="26.25" thickBot="1">
      <c r="B136" s="172"/>
      <c r="C136" s="31"/>
      <c r="D136" s="31"/>
      <c r="E136" s="33"/>
      <c r="F136" s="38"/>
      <c r="G136" s="188" t="s">
        <v>67</v>
      </c>
      <c r="H136" s="189" t="s">
        <v>68</v>
      </c>
      <c r="I136" s="190" t="s">
        <v>69</v>
      </c>
      <c r="J136" s="191" t="s">
        <v>67</v>
      </c>
      <c r="K136" s="189" t="s">
        <v>68</v>
      </c>
      <c r="L136" s="190" t="s">
        <v>69</v>
      </c>
      <c r="M136" s="192" t="s">
        <v>80</v>
      </c>
      <c r="N136" s="193" t="s">
        <v>81</v>
      </c>
      <c r="O136" s="194" t="s">
        <v>76</v>
      </c>
      <c r="P136" s="165"/>
    </row>
    <row r="137" spans="2:16" ht="18" customHeight="1" thickBot="1">
      <c r="B137" s="172"/>
      <c r="C137" s="593" t="s">
        <v>70</v>
      </c>
      <c r="D137" s="594"/>
      <c r="E137" s="31"/>
      <c r="F137" s="198" t="s">
        <v>71</v>
      </c>
      <c r="G137" s="207"/>
      <c r="H137" s="208"/>
      <c r="I137" s="209">
        <f>+'2010 Existing RatesNF'!$C$8</f>
        <v>15.96</v>
      </c>
      <c r="J137" s="207"/>
      <c r="K137" s="208"/>
      <c r="L137" s="212">
        <f>'Rate Schedule (Part 1) NF'!$E$11</f>
        <v>16.55</v>
      </c>
      <c r="M137" s="221">
        <f aca="true" t="shared" si="15" ref="M137:M143">+L137-I137</f>
        <v>0.5899999999999999</v>
      </c>
      <c r="N137" s="222">
        <f aca="true" t="shared" si="16" ref="N137:N148">+M137/I137</f>
        <v>0.036967418546365906</v>
      </c>
      <c r="O137" s="223">
        <f>L137/L155</f>
        <v>0.11015757832201166</v>
      </c>
      <c r="P137" s="165"/>
    </row>
    <row r="138" spans="2:16" ht="18" customHeight="1" thickBot="1">
      <c r="B138" s="172"/>
      <c r="C138" s="170">
        <v>1000</v>
      </c>
      <c r="D138" s="171" t="s">
        <v>16</v>
      </c>
      <c r="E138" s="31"/>
      <c r="F138" s="199" t="s">
        <v>72</v>
      </c>
      <c r="G138" s="201">
        <f>+C138</f>
        <v>1000</v>
      </c>
      <c r="H138" s="196">
        <f>'2010 Existing RatesNF'!$B$69</f>
        <v>0.0136</v>
      </c>
      <c r="I138" s="210">
        <f>+G138*H138</f>
        <v>13.6</v>
      </c>
      <c r="J138" s="201">
        <f>+C138</f>
        <v>1000</v>
      </c>
      <c r="K138" s="195">
        <f>'Rate Schedule (Part 1) NF'!$E$12</f>
        <v>0.0167</v>
      </c>
      <c r="L138" s="214">
        <f>+J138*K138</f>
        <v>16.7</v>
      </c>
      <c r="M138" s="224">
        <f t="shared" si="15"/>
        <v>3.0999999999999996</v>
      </c>
      <c r="N138" s="218">
        <f t="shared" si="16"/>
        <v>0.2279411764705882</v>
      </c>
      <c r="O138" s="225">
        <f>L138/L155</f>
        <v>0.1111559853762897</v>
      </c>
      <c r="P138" s="165"/>
    </row>
    <row r="139" spans="2:16" ht="18" customHeight="1">
      <c r="B139" s="172"/>
      <c r="C139" s="63"/>
      <c r="D139" s="64"/>
      <c r="E139" s="31"/>
      <c r="F139" s="199" t="s">
        <v>246</v>
      </c>
      <c r="G139" s="201">
        <f>G138</f>
        <v>1000</v>
      </c>
      <c r="H139" s="196">
        <f>'2010 Existing RatesNF'!$B$46</f>
        <v>0</v>
      </c>
      <c r="I139" s="210">
        <f>+G139*H139</f>
        <v>0</v>
      </c>
      <c r="J139" s="201">
        <f>J138</f>
        <v>1000</v>
      </c>
      <c r="K139" s="195">
        <f>'Rate Schedule (Part 1) NF'!$E$13</f>
        <v>0.0003</v>
      </c>
      <c r="L139" s="214">
        <f>+J139*K139</f>
        <v>0.3</v>
      </c>
      <c r="M139" s="224">
        <f t="shared" si="15"/>
        <v>0.3</v>
      </c>
      <c r="N139" s="218" t="e">
        <f t="shared" si="16"/>
        <v>#DIV/0!</v>
      </c>
      <c r="O139" s="225">
        <f>L139/L155</f>
        <v>0.0019968141085561024</v>
      </c>
      <c r="P139" s="165"/>
    </row>
    <row r="140" spans="2:16" ht="18" customHeight="1">
      <c r="B140" s="172"/>
      <c r="C140" s="63"/>
      <c r="D140" s="64"/>
      <c r="E140" s="31"/>
      <c r="F140" s="199" t="s">
        <v>170</v>
      </c>
      <c r="G140" s="220"/>
      <c r="H140" s="219"/>
      <c r="I140" s="210">
        <f>'2010 Existing RatesNF'!$B$57</f>
        <v>1</v>
      </c>
      <c r="J140" s="220"/>
      <c r="K140" s="219"/>
      <c r="L140" s="214">
        <f>'Rate Schedule (Part 1) NF'!$E$15</f>
        <v>1</v>
      </c>
      <c r="M140" s="224">
        <f t="shared" si="15"/>
        <v>0</v>
      </c>
      <c r="N140" s="218">
        <f t="shared" si="16"/>
        <v>0</v>
      </c>
      <c r="O140" s="225">
        <f>L140/L155</f>
        <v>0.0066560470285203415</v>
      </c>
      <c r="P140" s="165"/>
    </row>
    <row r="141" spans="1:16" ht="18" customHeight="1">
      <c r="A141" s="165"/>
      <c r="B141" s="25"/>
      <c r="C141" s="31"/>
      <c r="D141" s="31"/>
      <c r="E141" s="31"/>
      <c r="F141" s="199" t="s">
        <v>162</v>
      </c>
      <c r="G141" s="201">
        <f>C138</f>
        <v>1000</v>
      </c>
      <c r="H141" s="196"/>
      <c r="I141" s="206">
        <f>+G141*H141</f>
        <v>0</v>
      </c>
      <c r="J141" s="201">
        <f>C138</f>
        <v>1000</v>
      </c>
      <c r="K141" s="195">
        <f>'Rate Schedule (Part 1) NF'!$E$14</f>
        <v>0</v>
      </c>
      <c r="L141" s="214">
        <f>J141*K141</f>
        <v>0</v>
      </c>
      <c r="M141" s="224">
        <f t="shared" si="15"/>
        <v>0</v>
      </c>
      <c r="N141" s="218" t="e">
        <f t="shared" si="16"/>
        <v>#DIV/0!</v>
      </c>
      <c r="O141" s="225">
        <f>L141/L155</f>
        <v>0</v>
      </c>
      <c r="P141" s="165"/>
    </row>
    <row r="142" spans="2:16" ht="26.25" customHeight="1">
      <c r="B142" s="172"/>
      <c r="C142" s="63"/>
      <c r="D142" s="64"/>
      <c r="E142" s="31"/>
      <c r="F142" s="199" t="s">
        <v>286</v>
      </c>
      <c r="G142" s="201">
        <f>+C138</f>
        <v>1000</v>
      </c>
      <c r="H142" s="196">
        <f>+'2010 Existing RatesNF'!$B$20</f>
        <v>-0.0028</v>
      </c>
      <c r="I142" s="206">
        <f>+G142*H142</f>
        <v>-2.8</v>
      </c>
      <c r="J142" s="201">
        <f>+C138</f>
        <v>1000</v>
      </c>
      <c r="K142" s="195">
        <f>'Rate Schedule (Part 1) NF'!$E$17</f>
        <v>-0.0028</v>
      </c>
      <c r="L142" s="214">
        <f>+J142*K142</f>
        <v>-2.8</v>
      </c>
      <c r="M142" s="224">
        <f t="shared" si="15"/>
        <v>0</v>
      </c>
      <c r="N142" s="218">
        <f t="shared" si="16"/>
        <v>0</v>
      </c>
      <c r="O142" s="225">
        <f>L142/L155</f>
        <v>-0.018636931679856954</v>
      </c>
      <c r="P142" s="165"/>
    </row>
    <row r="143" spans="2:16" ht="27.75" customHeight="1">
      <c r="B143" s="172"/>
      <c r="C143" s="31"/>
      <c r="D143" s="31"/>
      <c r="E143" s="31"/>
      <c r="F143" s="199" t="s">
        <v>294</v>
      </c>
      <c r="G143" s="372">
        <f>C138</f>
        <v>1000</v>
      </c>
      <c r="H143" s="488"/>
      <c r="I143" s="206">
        <f>+G143*H143</f>
        <v>0</v>
      </c>
      <c r="J143" s="372">
        <f>C138</f>
        <v>1000</v>
      </c>
      <c r="K143" s="488">
        <f>'Rate Schedule (Part 1) NF'!E19</f>
        <v>0.0001</v>
      </c>
      <c r="L143" s="214">
        <f>+J143*K143</f>
        <v>0.1</v>
      </c>
      <c r="M143" s="224">
        <f t="shared" si="15"/>
        <v>0.1</v>
      </c>
      <c r="N143" s="218" t="e">
        <f>+M143/I143</f>
        <v>#DIV/0!</v>
      </c>
      <c r="O143" s="225">
        <f>L143/L155</f>
        <v>0.0006656047028520343</v>
      </c>
      <c r="P143" s="165"/>
    </row>
    <row r="144" spans="2:16" ht="26.25" customHeight="1">
      <c r="B144" s="172"/>
      <c r="C144" s="63"/>
      <c r="D144" s="64"/>
      <c r="E144" s="31"/>
      <c r="F144" s="199" t="s">
        <v>316</v>
      </c>
      <c r="G144" s="201">
        <f>C138</f>
        <v>1000</v>
      </c>
      <c r="H144" s="196">
        <f>'2010 Existing RatesNF'!B33</f>
        <v>0.0011</v>
      </c>
      <c r="I144" s="206">
        <f>+G144*H144</f>
        <v>1.1</v>
      </c>
      <c r="J144" s="201">
        <f>C138</f>
        <v>1000</v>
      </c>
      <c r="K144" s="195">
        <f>'Rate Schedule (Part 1) NF'!E16</f>
        <v>0.0011</v>
      </c>
      <c r="L144" s="214">
        <f>+J144*K144</f>
        <v>1.1</v>
      </c>
      <c r="M144" s="224">
        <f>+L144-I144</f>
        <v>0</v>
      </c>
      <c r="N144" s="218">
        <f>+M144/I144</f>
        <v>0</v>
      </c>
      <c r="O144" s="225">
        <f>L144/L155</f>
        <v>0.007321651731372376</v>
      </c>
      <c r="P144" s="165"/>
    </row>
    <row r="145" spans="2:16" ht="27.75" customHeight="1" thickBot="1">
      <c r="B145" s="172"/>
      <c r="C145" s="31"/>
      <c r="D145" s="31"/>
      <c r="E145" s="31"/>
      <c r="F145" s="199" t="s">
        <v>317</v>
      </c>
      <c r="G145" s="372">
        <f>C138</f>
        <v>1000</v>
      </c>
      <c r="H145" s="488"/>
      <c r="I145" s="206">
        <f>+G145*H145</f>
        <v>0</v>
      </c>
      <c r="J145" s="372">
        <f>C138</f>
        <v>1000</v>
      </c>
      <c r="K145" s="488">
        <f>'Rate Schedule (Part 1) NF'!E18</f>
        <v>0.0016</v>
      </c>
      <c r="L145" s="214">
        <f>+J145*K145</f>
        <v>1.6</v>
      </c>
      <c r="M145" s="224">
        <f>+L145-I145</f>
        <v>1.6</v>
      </c>
      <c r="N145" s="218" t="e">
        <f>+M145/I145</f>
        <v>#DIV/0!</v>
      </c>
      <c r="O145" s="225">
        <f>L145/L155</f>
        <v>0.010649675245632548</v>
      </c>
      <c r="P145" s="165"/>
    </row>
    <row r="146" spans="1:16" ht="18" customHeight="1" thickBot="1">
      <c r="A146" s="165"/>
      <c r="F146" s="233" t="s">
        <v>247</v>
      </c>
      <c r="G146" s="586"/>
      <c r="H146" s="587"/>
      <c r="I146" s="235">
        <f>SUM(I137:I145)</f>
        <v>28.860000000000003</v>
      </c>
      <c r="J146" s="586"/>
      <c r="K146" s="587"/>
      <c r="L146" s="235">
        <f>SUM(L137:L145)</f>
        <v>34.55</v>
      </c>
      <c r="M146" s="237">
        <f>SUM(M137:M145)</f>
        <v>5.6899999999999995</v>
      </c>
      <c r="N146" s="238">
        <f t="shared" si="16"/>
        <v>0.19715869715869713</v>
      </c>
      <c r="O146" s="240">
        <f>L146/L155</f>
        <v>0.2299664248353778</v>
      </c>
      <c r="P146" s="385"/>
    </row>
    <row r="147" spans="1:16" ht="18" customHeight="1" thickBot="1">
      <c r="A147" s="165"/>
      <c r="F147" s="199" t="s">
        <v>248</v>
      </c>
      <c r="G147" s="372">
        <f>C138*'Other Electriciy Rates NF'!$M$10</f>
        <v>1057.1999999999998</v>
      </c>
      <c r="H147" s="373">
        <f>'Other Electriciy Rates NF'!$B$10</f>
        <v>0.009899999999999999</v>
      </c>
      <c r="I147" s="210">
        <f>+G147*H147</f>
        <v>10.466279999999998</v>
      </c>
      <c r="J147" s="372">
        <f>'BILL IMPACTS NF'!C138*'Other Electriciy Rates NF'!$M$24</f>
        <v>1055.9902750928698</v>
      </c>
      <c r="K147" s="494">
        <f>'Other Electriciy Rates NF'!$B$24</f>
        <v>0.010132682166659615</v>
      </c>
      <c r="L147" s="210">
        <f>+J147*K147</f>
        <v>10.700013828599502</v>
      </c>
      <c r="M147" s="374">
        <f>+L147-I147</f>
        <v>0.23373382859950453</v>
      </c>
      <c r="N147" s="222">
        <f t="shared" si="16"/>
        <v>0.02233208251637684</v>
      </c>
      <c r="O147" s="223">
        <f>L147/L155</f>
        <v>0.07121979524897629</v>
      </c>
      <c r="P147" s="385"/>
    </row>
    <row r="148" spans="1:16" ht="18" customHeight="1" thickBot="1">
      <c r="A148" s="165"/>
      <c r="F148" s="233" t="s">
        <v>249</v>
      </c>
      <c r="G148" s="586"/>
      <c r="H148" s="587"/>
      <c r="I148" s="235">
        <f>SUM(I146:I147)</f>
        <v>39.32628</v>
      </c>
      <c r="J148" s="586"/>
      <c r="K148" s="587"/>
      <c r="L148" s="235">
        <f>SUM(L146:L147)</f>
        <v>45.2500138285995</v>
      </c>
      <c r="M148" s="237">
        <f>SUM(M146:M147)</f>
        <v>5.923733828599504</v>
      </c>
      <c r="N148" s="238">
        <f t="shared" si="16"/>
        <v>0.15063041377418623</v>
      </c>
      <c r="O148" s="375">
        <f>L148/L155</f>
        <v>0.3011862200843541</v>
      </c>
      <c r="P148" s="385"/>
    </row>
    <row r="149" spans="1:16" ht="18" customHeight="1">
      <c r="A149" s="165"/>
      <c r="F149" s="200" t="s">
        <v>77</v>
      </c>
      <c r="G149" s="202">
        <f>+'Other Electriciy Rates NF'!$M$10*C138</f>
        <v>1057.1999999999998</v>
      </c>
      <c r="H149" s="203">
        <f>'Other Electriciy Rates NF'!$C$10+'Other Electriciy Rates NF'!$E$10+'Other Electriciy Rates NF'!D10</f>
        <v>0.0138725</v>
      </c>
      <c r="I149" s="204">
        <f>+G149*H149</f>
        <v>14.666006999999997</v>
      </c>
      <c r="J149" s="202">
        <f>J147</f>
        <v>1055.9902750928698</v>
      </c>
      <c r="K149" s="203">
        <f>'Other Electriciy Rates NF'!$C$24+'Other Electriciy Rates NF'!$E$24+'Other Electriciy Rates NF'!D24</f>
        <v>0.0135</v>
      </c>
      <c r="L149" s="522">
        <f>+J149*K149</f>
        <v>14.255868713753742</v>
      </c>
      <c r="M149" s="221">
        <f>+L149-I149</f>
        <v>-0.41013828624625503</v>
      </c>
      <c r="N149" s="222">
        <f aca="true" t="shared" si="17" ref="N149:N155">+M149/I149</f>
        <v>-0.02796523186210501</v>
      </c>
      <c r="O149" s="301">
        <f>L149/L155</f>
        <v>0.0948877325911567</v>
      </c>
      <c r="P149" s="165"/>
    </row>
    <row r="150" spans="2:16" ht="21.75" customHeight="1">
      <c r="B150" s="172"/>
      <c r="C150" s="31"/>
      <c r="D150" s="31"/>
      <c r="E150" s="31"/>
      <c r="F150" s="200" t="s">
        <v>321</v>
      </c>
      <c r="G150" s="220"/>
      <c r="H150" s="219"/>
      <c r="I150" s="512">
        <v>0.25</v>
      </c>
      <c r="J150" s="496"/>
      <c r="K150" s="219"/>
      <c r="L150" s="523">
        <v>0.25</v>
      </c>
      <c r="M150" s="230">
        <f>+L150-I150</f>
        <v>0</v>
      </c>
      <c r="N150" s="231">
        <f t="shared" si="17"/>
        <v>0</v>
      </c>
      <c r="O150" s="225">
        <f>L150/L155</f>
        <v>0.0016640117571300854</v>
      </c>
      <c r="P150" s="165"/>
    </row>
    <row r="151" spans="1:16" ht="18" customHeight="1">
      <c r="A151" s="165"/>
      <c r="B151" s="25"/>
      <c r="C151" s="31"/>
      <c r="D151" s="31"/>
      <c r="E151" s="31"/>
      <c r="F151" s="197" t="s">
        <v>78</v>
      </c>
      <c r="G151" s="202">
        <v>600</v>
      </c>
      <c r="H151" s="203">
        <f>'Other Electriciy Rates NF'!$K$11</f>
        <v>0.065</v>
      </c>
      <c r="I151" s="204">
        <f>+G151*H151</f>
        <v>39</v>
      </c>
      <c r="J151" s="202">
        <v>600</v>
      </c>
      <c r="K151" s="203">
        <f>'Other Electriciy Rates NF'!$K$24</f>
        <v>0.065</v>
      </c>
      <c r="L151" s="522">
        <f>+J151*K151</f>
        <v>39</v>
      </c>
      <c r="M151" s="230">
        <f>+L151-I151</f>
        <v>0</v>
      </c>
      <c r="N151" s="231">
        <f t="shared" si="17"/>
        <v>0</v>
      </c>
      <c r="O151" s="232">
        <f>L151/L155</f>
        <v>0.2595858341122933</v>
      </c>
      <c r="P151" s="165"/>
    </row>
    <row r="152" spans="2:16" ht="18" customHeight="1" thickBot="1">
      <c r="B152" s="172"/>
      <c r="C152" s="31"/>
      <c r="D152" s="31"/>
      <c r="E152" s="31"/>
      <c r="F152" s="197" t="s">
        <v>78</v>
      </c>
      <c r="G152" s="202">
        <f>G149-G151</f>
        <v>457.1999999999998</v>
      </c>
      <c r="H152" s="203">
        <f>'Other Electriciy Rates NF'!$L$10</f>
        <v>0.075</v>
      </c>
      <c r="I152" s="204">
        <f>+G152*H152</f>
        <v>34.289999999999985</v>
      </c>
      <c r="J152" s="202">
        <f>J149-J151</f>
        <v>455.99027509286975</v>
      </c>
      <c r="K152" s="203">
        <f>'Other Electriciy Rates NF'!$L$24</f>
        <v>0.075</v>
      </c>
      <c r="L152" s="522">
        <f>+J152*K152</f>
        <v>34.19927063196523</v>
      </c>
      <c r="M152" s="524">
        <f>+L152-I152</f>
        <v>-0.09072936803475784</v>
      </c>
      <c r="N152" s="525">
        <f t="shared" si="17"/>
        <v>-0.002645942491535663</v>
      </c>
      <c r="O152" s="526">
        <f>L152/L155</f>
        <v>0.22763195366745514</v>
      </c>
      <c r="P152" s="165"/>
    </row>
    <row r="153" spans="2:16" ht="18" customHeight="1" thickBot="1">
      <c r="B153" s="172"/>
      <c r="C153" s="31"/>
      <c r="D153" s="31"/>
      <c r="E153" s="31"/>
      <c r="F153" s="233" t="s">
        <v>195</v>
      </c>
      <c r="G153" s="586"/>
      <c r="H153" s="587"/>
      <c r="I153" s="235">
        <f>SUM(I148:I152)</f>
        <v>127.53228699999997</v>
      </c>
      <c r="J153" s="586"/>
      <c r="K153" s="587"/>
      <c r="L153" s="235">
        <f>SUM(L148:L152)</f>
        <v>132.95515317431847</v>
      </c>
      <c r="M153" s="235">
        <f>SUM(M148:M152)</f>
        <v>5.422866174318491</v>
      </c>
      <c r="N153" s="238">
        <f t="shared" si="17"/>
        <v>0.04252151593830112</v>
      </c>
      <c r="O153" s="375">
        <f>L153/L155</f>
        <v>0.8849557522123893</v>
      </c>
      <c r="P153" s="165"/>
    </row>
    <row r="154" spans="2:16" ht="18" customHeight="1" thickBot="1">
      <c r="B154" s="172"/>
      <c r="C154" s="31"/>
      <c r="D154" s="31"/>
      <c r="E154" s="31"/>
      <c r="F154" s="297" t="s">
        <v>274</v>
      </c>
      <c r="G154" s="298"/>
      <c r="H154" s="302">
        <v>0.13</v>
      </c>
      <c r="I154" s="299">
        <f>I153*H154</f>
        <v>16.579197309999998</v>
      </c>
      <c r="J154" s="298"/>
      <c r="K154" s="302">
        <v>0.13</v>
      </c>
      <c r="L154" s="300">
        <f>L153*K154</f>
        <v>17.2841699126614</v>
      </c>
      <c r="M154" s="227">
        <f>+L154-I154</f>
        <v>0.7049726026614032</v>
      </c>
      <c r="N154" s="228">
        <f t="shared" si="17"/>
        <v>0.04252151593830107</v>
      </c>
      <c r="O154" s="241">
        <f>L154/L155</f>
        <v>0.11504424778761062</v>
      </c>
      <c r="P154" s="165"/>
    </row>
    <row r="155" spans="2:16" ht="18" customHeight="1" thickBot="1">
      <c r="B155" s="172"/>
      <c r="C155" s="31"/>
      <c r="D155" s="31"/>
      <c r="E155" s="35"/>
      <c r="F155" s="234" t="s">
        <v>79</v>
      </c>
      <c r="G155" s="598"/>
      <c r="H155" s="599"/>
      <c r="I155" s="236">
        <f>SUM(I153:I154)</f>
        <v>144.11148430999998</v>
      </c>
      <c r="J155" s="598"/>
      <c r="K155" s="599"/>
      <c r="L155" s="236">
        <f>SUM(L153:L154)</f>
        <v>150.23932308697988</v>
      </c>
      <c r="M155" s="236">
        <f>SUM(M153:M154)</f>
        <v>6.127838776979894</v>
      </c>
      <c r="N155" s="238">
        <f t="shared" si="17"/>
        <v>0.042521515938301106</v>
      </c>
      <c r="O155" s="240">
        <f>SUM(O153:O154)</f>
        <v>0.9999999999999999</v>
      </c>
      <c r="P155" s="165"/>
    </row>
    <row r="156" spans="2:16" ht="18" customHeight="1" thickBot="1">
      <c r="B156" s="166"/>
      <c r="C156" s="178"/>
      <c r="D156" s="178"/>
      <c r="E156" s="178"/>
      <c r="F156" s="179"/>
      <c r="G156" s="180"/>
      <c r="H156" s="181"/>
      <c r="I156" s="182"/>
      <c r="J156" s="180"/>
      <c r="K156" s="183"/>
      <c r="L156" s="182"/>
      <c r="M156" s="187"/>
      <c r="N156" s="185"/>
      <c r="O156" s="186"/>
      <c r="P156" s="167"/>
    </row>
    <row r="157" ht="18" customHeight="1" thickBot="1"/>
    <row r="158" spans="2:16" ht="18" customHeight="1">
      <c r="B158" s="174"/>
      <c r="C158" s="592"/>
      <c r="D158" s="592"/>
      <c r="E158" s="592"/>
      <c r="F158" s="592"/>
      <c r="G158" s="592"/>
      <c r="H158" s="592"/>
      <c r="I158" s="592"/>
      <c r="J158" s="592"/>
      <c r="K158" s="592"/>
      <c r="L158" s="592"/>
      <c r="M158" s="592"/>
      <c r="N158" s="592"/>
      <c r="O158" s="592"/>
      <c r="P158" s="164"/>
    </row>
    <row r="159" spans="2:16" ht="23.25">
      <c r="B159" s="172"/>
      <c r="C159" s="591" t="s">
        <v>48</v>
      </c>
      <c r="D159" s="591"/>
      <c r="E159" s="591"/>
      <c r="F159" s="591"/>
      <c r="G159" s="591"/>
      <c r="H159" s="591"/>
      <c r="I159" s="591"/>
      <c r="J159" s="591"/>
      <c r="K159" s="591"/>
      <c r="L159" s="591"/>
      <c r="M159" s="591"/>
      <c r="N159" s="591"/>
      <c r="O159" s="591"/>
      <c r="P159" s="165"/>
    </row>
    <row r="160" spans="2:16" ht="18" customHeight="1" thickBot="1">
      <c r="B160" s="172"/>
      <c r="C160" s="590"/>
      <c r="D160" s="590"/>
      <c r="E160" s="590"/>
      <c r="F160" s="590"/>
      <c r="G160" s="590"/>
      <c r="H160" s="590"/>
      <c r="I160" s="590"/>
      <c r="J160" s="590"/>
      <c r="K160" s="590"/>
      <c r="L160" s="590"/>
      <c r="M160" s="590"/>
      <c r="N160" s="590"/>
      <c r="O160" s="590"/>
      <c r="P160" s="165"/>
    </row>
    <row r="161" spans="2:16" ht="18" customHeight="1" thickBot="1">
      <c r="B161" s="172"/>
      <c r="C161" s="173"/>
      <c r="D161" s="173"/>
      <c r="E161" s="31"/>
      <c r="F161" s="37"/>
      <c r="G161" s="595" t="str">
        <f>$G$10</f>
        <v>2010 BILL</v>
      </c>
      <c r="H161" s="596"/>
      <c r="I161" s="597"/>
      <c r="J161" s="595" t="str">
        <f>$J$10</f>
        <v>2011 BILL</v>
      </c>
      <c r="K161" s="596"/>
      <c r="L161" s="597"/>
      <c r="M161" s="595" t="s">
        <v>73</v>
      </c>
      <c r="N161" s="596"/>
      <c r="O161" s="597"/>
      <c r="P161" s="165"/>
    </row>
    <row r="162" spans="2:16" ht="26.25" thickBot="1">
      <c r="B162" s="172"/>
      <c r="C162" s="31"/>
      <c r="D162" s="31"/>
      <c r="E162" s="33"/>
      <c r="F162" s="38"/>
      <c r="G162" s="188" t="s">
        <v>67</v>
      </c>
      <c r="H162" s="189" t="s">
        <v>68</v>
      </c>
      <c r="I162" s="190" t="s">
        <v>69</v>
      </c>
      <c r="J162" s="191" t="s">
        <v>67</v>
      </c>
      <c r="K162" s="189" t="s">
        <v>68</v>
      </c>
      <c r="L162" s="190" t="s">
        <v>69</v>
      </c>
      <c r="M162" s="192" t="s">
        <v>80</v>
      </c>
      <c r="N162" s="193" t="s">
        <v>81</v>
      </c>
      <c r="O162" s="194" t="s">
        <v>76</v>
      </c>
      <c r="P162" s="165"/>
    </row>
    <row r="163" spans="2:16" ht="18" customHeight="1" thickBot="1">
      <c r="B163" s="172"/>
      <c r="C163" s="593" t="s">
        <v>70</v>
      </c>
      <c r="D163" s="594"/>
      <c r="E163" s="31"/>
      <c r="F163" s="198" t="s">
        <v>71</v>
      </c>
      <c r="G163" s="207"/>
      <c r="H163" s="208"/>
      <c r="I163" s="209">
        <f>+'2010 Existing RatesNF'!$C$8</f>
        <v>15.96</v>
      </c>
      <c r="J163" s="207"/>
      <c r="K163" s="208"/>
      <c r="L163" s="212">
        <f>'Rate Schedule (Part 1) NF'!$E$11</f>
        <v>16.55</v>
      </c>
      <c r="M163" s="221">
        <f aca="true" t="shared" si="18" ref="M163:M169">+L163-I163</f>
        <v>0.5899999999999999</v>
      </c>
      <c r="N163" s="222">
        <f aca="true" t="shared" si="19" ref="N163:N174">+M163/I163</f>
        <v>0.036967418546365906</v>
      </c>
      <c r="O163" s="223">
        <f>L163/L181</f>
        <v>0.07567721344687148</v>
      </c>
      <c r="P163" s="165"/>
    </row>
    <row r="164" spans="2:16" ht="18" customHeight="1" thickBot="1">
      <c r="B164" s="172"/>
      <c r="C164" s="170">
        <v>1500</v>
      </c>
      <c r="D164" s="171" t="s">
        <v>16</v>
      </c>
      <c r="E164" s="31"/>
      <c r="F164" s="199" t="s">
        <v>72</v>
      </c>
      <c r="G164" s="201">
        <f>+C164</f>
        <v>1500</v>
      </c>
      <c r="H164" s="196">
        <f>'2010 Existing RatesNF'!$B$69</f>
        <v>0.0136</v>
      </c>
      <c r="I164" s="210">
        <f>+G164*H164</f>
        <v>20.4</v>
      </c>
      <c r="J164" s="201">
        <f>+C164</f>
        <v>1500</v>
      </c>
      <c r="K164" s="195">
        <f>'Rate Schedule (Part 1) NF'!$E$12</f>
        <v>0.0167</v>
      </c>
      <c r="L164" s="214">
        <f>+J164*K164</f>
        <v>25.05</v>
      </c>
      <c r="M164" s="224">
        <f t="shared" si="18"/>
        <v>4.650000000000002</v>
      </c>
      <c r="N164" s="218">
        <f t="shared" si="19"/>
        <v>0.22794117647058837</v>
      </c>
      <c r="O164" s="225">
        <f>L164/L181</f>
        <v>0.114544664461881</v>
      </c>
      <c r="P164" s="165"/>
    </row>
    <row r="165" spans="2:16" ht="18" customHeight="1">
      <c r="B165" s="172"/>
      <c r="C165" s="63"/>
      <c r="D165" s="64"/>
      <c r="E165" s="31"/>
      <c r="F165" s="199" t="s">
        <v>246</v>
      </c>
      <c r="G165" s="201">
        <f>G164</f>
        <v>1500</v>
      </c>
      <c r="H165" s="196">
        <f>'2010 Existing RatesNF'!$B$46</f>
        <v>0</v>
      </c>
      <c r="I165" s="210">
        <f>+G165*H165</f>
        <v>0</v>
      </c>
      <c r="J165" s="201">
        <f>J164</f>
        <v>1500</v>
      </c>
      <c r="K165" s="195">
        <f>'Rate Schedule (Part 1) NF'!$E$13</f>
        <v>0.0003</v>
      </c>
      <c r="L165" s="214">
        <f>+J165*K165</f>
        <v>0.44999999999999996</v>
      </c>
      <c r="M165" s="224">
        <f t="shared" si="18"/>
        <v>0.44999999999999996</v>
      </c>
      <c r="N165" s="218" t="e">
        <f t="shared" si="19"/>
        <v>#DIV/0!</v>
      </c>
      <c r="O165" s="225">
        <f>L165/L181</f>
        <v>0.0020576885831475626</v>
      </c>
      <c r="P165" s="165"/>
    </row>
    <row r="166" spans="2:16" ht="18" customHeight="1">
      <c r="B166" s="172"/>
      <c r="C166" s="63"/>
      <c r="D166" s="64"/>
      <c r="E166" s="31"/>
      <c r="F166" s="199" t="s">
        <v>170</v>
      </c>
      <c r="G166" s="220"/>
      <c r="H166" s="219"/>
      <c r="I166" s="210">
        <f>'2010 Existing RatesNF'!$B$57</f>
        <v>1</v>
      </c>
      <c r="J166" s="220"/>
      <c r="K166" s="219"/>
      <c r="L166" s="214">
        <f>'Rate Schedule (Part 1) NF'!$E$15</f>
        <v>1</v>
      </c>
      <c r="M166" s="224">
        <f t="shared" si="18"/>
        <v>0</v>
      </c>
      <c r="N166" s="218">
        <f t="shared" si="19"/>
        <v>0</v>
      </c>
      <c r="O166" s="225">
        <f>L166/L181</f>
        <v>0.004572641295883473</v>
      </c>
      <c r="P166" s="165"/>
    </row>
    <row r="167" spans="1:16" ht="18" customHeight="1">
      <c r="A167" s="165"/>
      <c r="B167" s="25"/>
      <c r="C167" s="31"/>
      <c r="D167" s="31"/>
      <c r="E167" s="31"/>
      <c r="F167" s="199" t="s">
        <v>162</v>
      </c>
      <c r="G167" s="201">
        <f>C164</f>
        <v>1500</v>
      </c>
      <c r="H167" s="196"/>
      <c r="I167" s="206">
        <f>+G167*H167</f>
        <v>0</v>
      </c>
      <c r="J167" s="201">
        <f>C164</f>
        <v>1500</v>
      </c>
      <c r="K167" s="195">
        <f>'Rate Schedule (Part 1) NF'!$E$14</f>
        <v>0</v>
      </c>
      <c r="L167" s="214">
        <f>J167*K167</f>
        <v>0</v>
      </c>
      <c r="M167" s="224">
        <f t="shared" si="18"/>
        <v>0</v>
      </c>
      <c r="N167" s="218" t="e">
        <f t="shared" si="19"/>
        <v>#DIV/0!</v>
      </c>
      <c r="O167" s="225">
        <f>L167/L181</f>
        <v>0</v>
      </c>
      <c r="P167" s="165"/>
    </row>
    <row r="168" spans="2:16" ht="26.25" customHeight="1">
      <c r="B168" s="172"/>
      <c r="C168" s="63"/>
      <c r="D168" s="64"/>
      <c r="E168" s="31"/>
      <c r="F168" s="199" t="s">
        <v>286</v>
      </c>
      <c r="G168" s="201">
        <f>+C164</f>
        <v>1500</v>
      </c>
      <c r="H168" s="196">
        <f>+'2010 Existing RatesNF'!$B$20</f>
        <v>-0.0028</v>
      </c>
      <c r="I168" s="206">
        <f>+G168*H168</f>
        <v>-4.2</v>
      </c>
      <c r="J168" s="201">
        <f>+C164</f>
        <v>1500</v>
      </c>
      <c r="K168" s="195">
        <f>'Rate Schedule (Part 1) NF'!$E$17</f>
        <v>-0.0028</v>
      </c>
      <c r="L168" s="214">
        <f>+J168*K168</f>
        <v>-4.2</v>
      </c>
      <c r="M168" s="224">
        <f t="shared" si="18"/>
        <v>0</v>
      </c>
      <c r="N168" s="218">
        <f t="shared" si="19"/>
        <v>0</v>
      </c>
      <c r="O168" s="225">
        <f>L168/L181</f>
        <v>-0.019205093442710586</v>
      </c>
      <c r="P168" s="165"/>
    </row>
    <row r="169" spans="2:16" ht="27.75" customHeight="1">
      <c r="B169" s="172"/>
      <c r="C169" s="31"/>
      <c r="D169" s="31"/>
      <c r="E169" s="31"/>
      <c r="F169" s="199" t="s">
        <v>294</v>
      </c>
      <c r="G169" s="372">
        <f>C164</f>
        <v>1500</v>
      </c>
      <c r="H169" s="488"/>
      <c r="I169" s="206">
        <f>+G169*H169</f>
        <v>0</v>
      </c>
      <c r="J169" s="372">
        <f>C164</f>
        <v>1500</v>
      </c>
      <c r="K169" s="488">
        <f>'Rate Schedule (Part 1) NF'!E19</f>
        <v>0.0001</v>
      </c>
      <c r="L169" s="214">
        <f>+J169*K169</f>
        <v>0.15</v>
      </c>
      <c r="M169" s="224">
        <f t="shared" si="18"/>
        <v>0.15</v>
      </c>
      <c r="N169" s="218" t="e">
        <f>+M169/I169</f>
        <v>#DIV/0!</v>
      </c>
      <c r="O169" s="225">
        <f>L169/L181</f>
        <v>0.0006858961943825209</v>
      </c>
      <c r="P169" s="165"/>
    </row>
    <row r="170" spans="2:16" ht="26.25" customHeight="1">
      <c r="B170" s="172"/>
      <c r="C170" s="63"/>
      <c r="D170" s="64"/>
      <c r="E170" s="31"/>
      <c r="F170" s="199" t="s">
        <v>316</v>
      </c>
      <c r="G170" s="201">
        <f>C164</f>
        <v>1500</v>
      </c>
      <c r="H170" s="196">
        <f>'2010 Existing RatesNF'!B33</f>
        <v>0.0011</v>
      </c>
      <c r="I170" s="206">
        <f>+G170*H170</f>
        <v>1.6500000000000001</v>
      </c>
      <c r="J170" s="201">
        <f>C164</f>
        <v>1500</v>
      </c>
      <c r="K170" s="195">
        <f>'Rate Schedule (Part 1) NF'!E16</f>
        <v>0.0011</v>
      </c>
      <c r="L170" s="214">
        <f>+J170*K170</f>
        <v>1.6500000000000001</v>
      </c>
      <c r="M170" s="224">
        <f>+L170-I170</f>
        <v>0</v>
      </c>
      <c r="N170" s="218">
        <f>+M170/I170</f>
        <v>0</v>
      </c>
      <c r="O170" s="225">
        <f>L170/L181</f>
        <v>0.007544858138207731</v>
      </c>
      <c r="P170" s="165"/>
    </row>
    <row r="171" spans="2:16" ht="27.75" customHeight="1" thickBot="1">
      <c r="B171" s="172"/>
      <c r="C171" s="31"/>
      <c r="D171" s="31"/>
      <c r="E171" s="31"/>
      <c r="F171" s="199" t="s">
        <v>317</v>
      </c>
      <c r="G171" s="372">
        <f>C164</f>
        <v>1500</v>
      </c>
      <c r="H171" s="488"/>
      <c r="I171" s="206">
        <f>+G171*H171</f>
        <v>0</v>
      </c>
      <c r="J171" s="372">
        <f>C164</f>
        <v>1500</v>
      </c>
      <c r="K171" s="488">
        <f>'Rate Schedule (Part 1) NF'!E18</f>
        <v>0.0016</v>
      </c>
      <c r="L171" s="214">
        <f>+J171*K171</f>
        <v>2.4</v>
      </c>
      <c r="M171" s="224">
        <f>+L171-I171</f>
        <v>2.4</v>
      </c>
      <c r="N171" s="218" t="e">
        <f>+M171/I171</f>
        <v>#DIV/0!</v>
      </c>
      <c r="O171" s="225">
        <f>L171/L181</f>
        <v>0.010974339110120334</v>
      </c>
      <c r="P171" s="165"/>
    </row>
    <row r="172" spans="1:16" ht="18" customHeight="1" thickBot="1">
      <c r="A172" s="165"/>
      <c r="F172" s="233" t="s">
        <v>247</v>
      </c>
      <c r="G172" s="586"/>
      <c r="H172" s="587"/>
      <c r="I172" s="235">
        <f>SUM(I163:I171)</f>
        <v>34.809999999999995</v>
      </c>
      <c r="J172" s="586"/>
      <c r="K172" s="587"/>
      <c r="L172" s="235">
        <f>SUM(L163:L171)</f>
        <v>43.05</v>
      </c>
      <c r="M172" s="237">
        <f>SUM(M163:M171)</f>
        <v>8.240000000000002</v>
      </c>
      <c r="N172" s="238">
        <f t="shared" si="19"/>
        <v>0.23671358804941117</v>
      </c>
      <c r="O172" s="240">
        <f>L172/L181</f>
        <v>0.19685220778778348</v>
      </c>
      <c r="P172" s="385"/>
    </row>
    <row r="173" spans="1:16" ht="18" customHeight="1" thickBot="1">
      <c r="A173" s="165"/>
      <c r="F173" s="199" t="s">
        <v>248</v>
      </c>
      <c r="G173" s="372">
        <f>C164*'Other Electriciy Rates NF'!$M$10</f>
        <v>1585.8</v>
      </c>
      <c r="H173" s="373">
        <f>'Other Electriciy Rates NF'!$B$10</f>
        <v>0.009899999999999999</v>
      </c>
      <c r="I173" s="210">
        <f>+G173*H173</f>
        <v>15.699419999999998</v>
      </c>
      <c r="J173" s="372">
        <f>'BILL IMPACTS NF'!C164*'Other Electriciy Rates NF'!$M$24</f>
        <v>1583.9854126393047</v>
      </c>
      <c r="K173" s="494">
        <f>'Other Electriciy Rates NF'!$B$24</f>
        <v>0.010132682166659615</v>
      </c>
      <c r="L173" s="210">
        <f>+J173*K173</f>
        <v>16.050020742899257</v>
      </c>
      <c r="M173" s="374">
        <f>+L173-I173</f>
        <v>0.3506007428992586</v>
      </c>
      <c r="N173" s="222">
        <f t="shared" si="19"/>
        <v>0.02233208251637695</v>
      </c>
      <c r="O173" s="223">
        <f>L173/L181</f>
        <v>0.07339098764876748</v>
      </c>
      <c r="P173" s="385"/>
    </row>
    <row r="174" spans="1:16" ht="18" customHeight="1" thickBot="1">
      <c r="A174" s="165"/>
      <c r="F174" s="233" t="s">
        <v>249</v>
      </c>
      <c r="G174" s="586"/>
      <c r="H174" s="587"/>
      <c r="I174" s="235">
        <f>SUM(I172:I173)</f>
        <v>50.50941999999999</v>
      </c>
      <c r="J174" s="586"/>
      <c r="K174" s="587"/>
      <c r="L174" s="235">
        <f>SUM(L172:L173)</f>
        <v>59.100020742899254</v>
      </c>
      <c r="M174" s="237">
        <f>SUM(M172:M173)</f>
        <v>8.59060074289926</v>
      </c>
      <c r="N174" s="238">
        <f t="shared" si="19"/>
        <v>0.17007918013905649</v>
      </c>
      <c r="O174" s="375">
        <f>L174/L181</f>
        <v>0.27024319543655095</v>
      </c>
      <c r="P174" s="385"/>
    </row>
    <row r="175" spans="1:16" ht="18" customHeight="1">
      <c r="A175" s="165"/>
      <c r="F175" s="200" t="s">
        <v>77</v>
      </c>
      <c r="G175" s="202">
        <f>+'Other Electriciy Rates NF'!$M$10*C164</f>
        <v>1585.8</v>
      </c>
      <c r="H175" s="203">
        <f>'Other Electriciy Rates NF'!$C$10+'Other Electriciy Rates NF'!$E$10+'Other Electriciy Rates NF'!D10</f>
        <v>0.0138725</v>
      </c>
      <c r="I175" s="204">
        <f>+G175*H175</f>
        <v>21.999010499999997</v>
      </c>
      <c r="J175" s="202">
        <f>J173</f>
        <v>1583.9854126393047</v>
      </c>
      <c r="K175" s="203">
        <f>'Other Electriciy Rates NF'!$C$24+'Other Electriciy Rates NF'!$E$24+'Other Electriciy Rates NF'!D24</f>
        <v>0.0135</v>
      </c>
      <c r="L175" s="522">
        <f>+J175*K175</f>
        <v>21.383803070630613</v>
      </c>
      <c r="M175" s="221">
        <f>+L175-I175</f>
        <v>-0.6152074293693843</v>
      </c>
      <c r="N175" s="222">
        <f aca="true" t="shared" si="20" ref="N175:N181">+M175/I175</f>
        <v>-0.02796523186210509</v>
      </c>
      <c r="O175" s="301">
        <f>L175/L181</f>
        <v>0.09778046098380534</v>
      </c>
      <c r="P175" s="165"/>
    </row>
    <row r="176" spans="2:16" ht="21.75" customHeight="1">
      <c r="B176" s="172"/>
      <c r="C176" s="31"/>
      <c r="D176" s="31"/>
      <c r="E176" s="31"/>
      <c r="F176" s="200" t="s">
        <v>321</v>
      </c>
      <c r="G176" s="220"/>
      <c r="H176" s="219"/>
      <c r="I176" s="512">
        <v>0.25</v>
      </c>
      <c r="J176" s="496"/>
      <c r="K176" s="219"/>
      <c r="L176" s="523">
        <v>0.25</v>
      </c>
      <c r="M176" s="230">
        <f>+L176-I176</f>
        <v>0</v>
      </c>
      <c r="N176" s="231">
        <f t="shared" si="20"/>
        <v>0</v>
      </c>
      <c r="O176" s="225">
        <f>L176/L181</f>
        <v>0.0011431603239708682</v>
      </c>
      <c r="P176" s="165"/>
    </row>
    <row r="177" spans="1:16" ht="18" customHeight="1">
      <c r="A177" s="165"/>
      <c r="B177" s="25"/>
      <c r="C177" s="31"/>
      <c r="D177" s="31"/>
      <c r="E177" s="31"/>
      <c r="F177" s="197" t="s">
        <v>78</v>
      </c>
      <c r="G177" s="202">
        <v>600</v>
      </c>
      <c r="H177" s="203">
        <f>'Other Electriciy Rates NF'!$K$11</f>
        <v>0.065</v>
      </c>
      <c r="I177" s="204">
        <f>+G177*H177</f>
        <v>39</v>
      </c>
      <c r="J177" s="202">
        <v>600</v>
      </c>
      <c r="K177" s="203">
        <f>'Other Electriciy Rates NF'!$K$24</f>
        <v>0.065</v>
      </c>
      <c r="L177" s="522">
        <f>+J177*K177</f>
        <v>39</v>
      </c>
      <c r="M177" s="230">
        <f>+L177-I177</f>
        <v>0</v>
      </c>
      <c r="N177" s="231">
        <f t="shared" si="20"/>
        <v>0</v>
      </c>
      <c r="O177" s="232">
        <f>L177/L181</f>
        <v>0.17833301053945544</v>
      </c>
      <c r="P177" s="165"/>
    </row>
    <row r="178" spans="2:16" ht="18" customHeight="1" thickBot="1">
      <c r="B178" s="172"/>
      <c r="C178" s="31"/>
      <c r="D178" s="31"/>
      <c r="E178" s="31"/>
      <c r="F178" s="197" t="s">
        <v>78</v>
      </c>
      <c r="G178" s="202">
        <f>G175-G177</f>
        <v>985.8</v>
      </c>
      <c r="H178" s="203">
        <f>'Other Electriciy Rates NF'!$L$10</f>
        <v>0.075</v>
      </c>
      <c r="I178" s="204">
        <f>+G178*H178</f>
        <v>73.93499999999999</v>
      </c>
      <c r="J178" s="202">
        <f>J175-J177</f>
        <v>983.9854126393047</v>
      </c>
      <c r="K178" s="203">
        <f>'Other Electriciy Rates NF'!$L$24</f>
        <v>0.075</v>
      </c>
      <c r="L178" s="522">
        <f>+J178*K178</f>
        <v>73.79890594794786</v>
      </c>
      <c r="M178" s="524">
        <f>+L178-I178</f>
        <v>-0.13609405205212965</v>
      </c>
      <c r="N178" s="525">
        <f t="shared" si="20"/>
        <v>-0.001840725665140051</v>
      </c>
      <c r="O178" s="526">
        <f>L178/L181</f>
        <v>0.3374559249286068</v>
      </c>
      <c r="P178" s="165"/>
    </row>
    <row r="179" spans="2:16" ht="18" customHeight="1" thickBot="1">
      <c r="B179" s="172"/>
      <c r="C179" s="31"/>
      <c r="D179" s="31"/>
      <c r="E179" s="31"/>
      <c r="F179" s="233" t="s">
        <v>195</v>
      </c>
      <c r="G179" s="586"/>
      <c r="H179" s="587"/>
      <c r="I179" s="235">
        <f>SUM(I174:I178)</f>
        <v>185.69343049999998</v>
      </c>
      <c r="J179" s="586"/>
      <c r="K179" s="587"/>
      <c r="L179" s="235">
        <f>SUM(L174:L178)</f>
        <v>193.53272976147773</v>
      </c>
      <c r="M179" s="235">
        <f>SUM(M174:M178)</f>
        <v>7.839299261477747</v>
      </c>
      <c r="N179" s="238">
        <f t="shared" si="20"/>
        <v>0.042216352190648704</v>
      </c>
      <c r="O179" s="375">
        <f>L179/L181</f>
        <v>0.8849557522123894</v>
      </c>
      <c r="P179" s="165"/>
    </row>
    <row r="180" spans="2:16" ht="18" customHeight="1" thickBot="1">
      <c r="B180" s="172"/>
      <c r="C180" s="31"/>
      <c r="D180" s="31"/>
      <c r="E180" s="31"/>
      <c r="F180" s="297" t="s">
        <v>274</v>
      </c>
      <c r="G180" s="298"/>
      <c r="H180" s="302">
        <v>0.13</v>
      </c>
      <c r="I180" s="299">
        <f>I179*H180</f>
        <v>24.140145965</v>
      </c>
      <c r="J180" s="298"/>
      <c r="K180" s="302">
        <v>0.13</v>
      </c>
      <c r="L180" s="300">
        <f>L179*K180</f>
        <v>25.159254868992104</v>
      </c>
      <c r="M180" s="227">
        <f>+L180-I180</f>
        <v>1.0191089039921053</v>
      </c>
      <c r="N180" s="228">
        <f t="shared" si="20"/>
        <v>0.04221635219064863</v>
      </c>
      <c r="O180" s="241">
        <f>L180/L181</f>
        <v>0.11504424778761062</v>
      </c>
      <c r="P180" s="165"/>
    </row>
    <row r="181" spans="2:16" ht="18" customHeight="1" thickBot="1">
      <c r="B181" s="172"/>
      <c r="C181" s="31"/>
      <c r="D181" s="31"/>
      <c r="E181" s="35"/>
      <c r="F181" s="234" t="s">
        <v>79</v>
      </c>
      <c r="G181" s="598"/>
      <c r="H181" s="599"/>
      <c r="I181" s="236">
        <f>SUM(I179:I180)</f>
        <v>209.83357646499996</v>
      </c>
      <c r="J181" s="598"/>
      <c r="K181" s="599"/>
      <c r="L181" s="236">
        <f>SUM(L179:L180)</f>
        <v>218.69198463046982</v>
      </c>
      <c r="M181" s="236">
        <f>SUM(M179:M180)</f>
        <v>8.858408165469852</v>
      </c>
      <c r="N181" s="238">
        <f t="shared" si="20"/>
        <v>0.0422163521906487</v>
      </c>
      <c r="O181" s="240">
        <f>SUM(O179:O180)</f>
        <v>1</v>
      </c>
      <c r="P181" s="165"/>
    </row>
    <row r="182" spans="2:16" ht="18" customHeight="1" thickBot="1">
      <c r="B182" s="166"/>
      <c r="C182" s="178"/>
      <c r="D182" s="178"/>
      <c r="E182" s="178"/>
      <c r="F182" s="179"/>
      <c r="G182" s="180"/>
      <c r="H182" s="181"/>
      <c r="I182" s="182"/>
      <c r="J182" s="180"/>
      <c r="K182" s="183"/>
      <c r="L182" s="182"/>
      <c r="M182" s="187"/>
      <c r="N182" s="185"/>
      <c r="O182" s="186"/>
      <c r="P182" s="167"/>
    </row>
    <row r="183" spans="2:16" ht="18" customHeight="1" thickBot="1">
      <c r="B183" s="25"/>
      <c r="C183" s="31"/>
      <c r="D183" s="31"/>
      <c r="E183" s="31"/>
      <c r="F183" s="49"/>
      <c r="G183" s="50"/>
      <c r="H183" s="51"/>
      <c r="I183" s="52"/>
      <c r="J183" s="50"/>
      <c r="K183" s="53"/>
      <c r="L183" s="52"/>
      <c r="M183" s="177"/>
      <c r="N183" s="175"/>
      <c r="O183" s="176"/>
      <c r="P183" s="25"/>
    </row>
    <row r="184" spans="2:16" ht="18" customHeight="1">
      <c r="B184" s="174"/>
      <c r="C184" s="592"/>
      <c r="D184" s="592"/>
      <c r="E184" s="592"/>
      <c r="F184" s="592"/>
      <c r="G184" s="592"/>
      <c r="H184" s="592"/>
      <c r="I184" s="592"/>
      <c r="J184" s="592"/>
      <c r="K184" s="592"/>
      <c r="L184" s="592"/>
      <c r="M184" s="592"/>
      <c r="N184" s="592"/>
      <c r="O184" s="592"/>
      <c r="P184" s="164"/>
    </row>
    <row r="185" spans="2:16" ht="23.25">
      <c r="B185" s="172"/>
      <c r="C185" s="591" t="s">
        <v>303</v>
      </c>
      <c r="D185" s="591"/>
      <c r="E185" s="591"/>
      <c r="F185" s="591"/>
      <c r="G185" s="591"/>
      <c r="H185" s="591"/>
      <c r="I185" s="591"/>
      <c r="J185" s="591"/>
      <c r="K185" s="591"/>
      <c r="L185" s="591"/>
      <c r="M185" s="591"/>
      <c r="N185" s="591"/>
      <c r="O185" s="591"/>
      <c r="P185" s="165"/>
    </row>
    <row r="186" spans="2:16" ht="18" customHeight="1" thickBot="1">
      <c r="B186" s="172"/>
      <c r="C186" s="590"/>
      <c r="D186" s="590"/>
      <c r="E186" s="590"/>
      <c r="F186" s="590"/>
      <c r="G186" s="590"/>
      <c r="H186" s="590"/>
      <c r="I186" s="590"/>
      <c r="J186" s="590"/>
      <c r="K186" s="590"/>
      <c r="L186" s="590"/>
      <c r="M186" s="590"/>
      <c r="N186" s="590"/>
      <c r="O186" s="590"/>
      <c r="P186" s="165"/>
    </row>
    <row r="187" spans="2:16" ht="18" customHeight="1" thickBot="1">
      <c r="B187" s="172"/>
      <c r="C187" s="173"/>
      <c r="D187" s="173"/>
      <c r="E187" s="31"/>
      <c r="F187" s="37"/>
      <c r="G187" s="595" t="str">
        <f>$G$10</f>
        <v>2010 BILL</v>
      </c>
      <c r="H187" s="596"/>
      <c r="I187" s="597"/>
      <c r="J187" s="595" t="str">
        <f>$J$10</f>
        <v>2011 BILL</v>
      </c>
      <c r="K187" s="596"/>
      <c r="L187" s="597"/>
      <c r="M187" s="595" t="s">
        <v>73</v>
      </c>
      <c r="N187" s="596"/>
      <c r="O187" s="597"/>
      <c r="P187" s="165"/>
    </row>
    <row r="188" spans="2:16" ht="26.25" thickBot="1">
      <c r="B188" s="172"/>
      <c r="C188" s="31"/>
      <c r="D188" s="31"/>
      <c r="E188" s="33"/>
      <c r="F188" s="38"/>
      <c r="G188" s="188" t="s">
        <v>67</v>
      </c>
      <c r="H188" s="189" t="s">
        <v>68</v>
      </c>
      <c r="I188" s="190" t="s">
        <v>69</v>
      </c>
      <c r="J188" s="191" t="s">
        <v>67</v>
      </c>
      <c r="K188" s="189" t="s">
        <v>68</v>
      </c>
      <c r="L188" s="190" t="s">
        <v>69</v>
      </c>
      <c r="M188" s="192" t="s">
        <v>80</v>
      </c>
      <c r="N188" s="193" t="s">
        <v>81</v>
      </c>
      <c r="O188" s="194" t="s">
        <v>76</v>
      </c>
      <c r="P188" s="165"/>
    </row>
    <row r="189" spans="2:16" ht="18" customHeight="1" thickBot="1">
      <c r="B189" s="172"/>
      <c r="C189" s="593" t="s">
        <v>70</v>
      </c>
      <c r="D189" s="594"/>
      <c r="E189" s="31"/>
      <c r="F189" s="198" t="s">
        <v>71</v>
      </c>
      <c r="G189" s="207"/>
      <c r="H189" s="208"/>
      <c r="I189" s="209">
        <f>'2010 Existing RatesNF'!$C$9</f>
        <v>47.27</v>
      </c>
      <c r="J189" s="207"/>
      <c r="K189" s="208"/>
      <c r="L189" s="212">
        <f>'Rate Schedule (Part 1) NF'!$E$22</f>
        <v>38.45</v>
      </c>
      <c r="M189" s="221">
        <f aca="true" t="shared" si="21" ref="M189:M195">+L189-I189</f>
        <v>-8.82</v>
      </c>
      <c r="N189" s="222">
        <f aca="true" t="shared" si="22" ref="N189:N200">+M189/I189</f>
        <v>-0.1865876877512164</v>
      </c>
      <c r="O189" s="223">
        <f>L189/L207</f>
        <v>0.12767827597598863</v>
      </c>
      <c r="P189" s="165"/>
    </row>
    <row r="190" spans="2:16" ht="18" customHeight="1" thickBot="1">
      <c r="B190" s="172"/>
      <c r="C190" s="170">
        <v>2000</v>
      </c>
      <c r="D190" s="171" t="s">
        <v>16</v>
      </c>
      <c r="E190" s="31"/>
      <c r="F190" s="199" t="s">
        <v>72</v>
      </c>
      <c r="G190" s="201">
        <f>+C190</f>
        <v>2000</v>
      </c>
      <c r="H190" s="196">
        <f>'2010 Existing RatesNF'!$E$9</f>
        <v>0.01</v>
      </c>
      <c r="I190" s="210">
        <f>+G190*H190</f>
        <v>20</v>
      </c>
      <c r="J190" s="201">
        <f>+C190</f>
        <v>2000</v>
      </c>
      <c r="K190" s="195">
        <f>'Rate Schedule (Part 1) NF'!$E$23</f>
        <v>0.0141</v>
      </c>
      <c r="L190" s="214">
        <f>+J190*K190</f>
        <v>28.2</v>
      </c>
      <c r="M190" s="224">
        <f t="shared" si="21"/>
        <v>8.2</v>
      </c>
      <c r="N190" s="218">
        <f t="shared" si="22"/>
        <v>0.41</v>
      </c>
      <c r="O190" s="225">
        <f>L190/L207</f>
        <v>0.09364180448694093</v>
      </c>
      <c r="P190" s="165"/>
    </row>
    <row r="191" spans="2:16" ht="18" customHeight="1">
      <c r="B191" s="172"/>
      <c r="C191" s="63"/>
      <c r="D191" s="64"/>
      <c r="E191" s="31"/>
      <c r="F191" s="199" t="s">
        <v>246</v>
      </c>
      <c r="G191" s="201">
        <f>G190</f>
        <v>2000</v>
      </c>
      <c r="H191" s="196">
        <f>'2010 Existing RatesNF'!$B$47</f>
        <v>0</v>
      </c>
      <c r="I191" s="210">
        <f>+G191*H191</f>
        <v>0</v>
      </c>
      <c r="J191" s="201">
        <f>J190</f>
        <v>2000</v>
      </c>
      <c r="K191" s="195">
        <f>'Rate Schedule (Part 1) NF'!$E$24</f>
        <v>0.0003</v>
      </c>
      <c r="L191" s="214">
        <f>+J191*K191</f>
        <v>0.6</v>
      </c>
      <c r="M191" s="224">
        <f t="shared" si="21"/>
        <v>0.6</v>
      </c>
      <c r="N191" s="218" t="e">
        <f t="shared" si="22"/>
        <v>#DIV/0!</v>
      </c>
      <c r="O191" s="225">
        <f>L191/L207</f>
        <v>0.0019923788188710837</v>
      </c>
      <c r="P191" s="165"/>
    </row>
    <row r="192" spans="2:16" ht="18" customHeight="1">
      <c r="B192" s="172"/>
      <c r="C192" s="63"/>
      <c r="D192" s="64"/>
      <c r="E192" s="31"/>
      <c r="F192" s="199" t="s">
        <v>170</v>
      </c>
      <c r="G192" s="220"/>
      <c r="H192" s="219"/>
      <c r="I192" s="210">
        <f>'2010 Existing RatesNF'!$B$58</f>
        <v>1</v>
      </c>
      <c r="J192" s="220"/>
      <c r="K192" s="219"/>
      <c r="L192" s="214">
        <f>'Rate Schedule (Part 1) NF'!$E$26</f>
        <v>1</v>
      </c>
      <c r="M192" s="224">
        <f t="shared" si="21"/>
        <v>0</v>
      </c>
      <c r="N192" s="218">
        <f t="shared" si="22"/>
        <v>0</v>
      </c>
      <c r="O192" s="225">
        <f>L192/L207</f>
        <v>0.0033206313647851393</v>
      </c>
      <c r="P192" s="165"/>
    </row>
    <row r="193" spans="1:16" ht="18" customHeight="1">
      <c r="A193" s="165"/>
      <c r="B193" s="25"/>
      <c r="C193" s="31"/>
      <c r="D193" s="31"/>
      <c r="E193" s="31"/>
      <c r="F193" s="199" t="s">
        <v>162</v>
      </c>
      <c r="G193" s="201">
        <f>C190</f>
        <v>2000</v>
      </c>
      <c r="H193" s="196"/>
      <c r="I193" s="206">
        <f>+G193*H193</f>
        <v>0</v>
      </c>
      <c r="J193" s="201">
        <f>C190</f>
        <v>2000</v>
      </c>
      <c r="K193" s="195">
        <f>'Rate Schedule (Part 1) NF'!$E$25</f>
        <v>0</v>
      </c>
      <c r="L193" s="214">
        <f>J193*K193</f>
        <v>0</v>
      </c>
      <c r="M193" s="224">
        <f t="shared" si="21"/>
        <v>0</v>
      </c>
      <c r="N193" s="218" t="e">
        <f t="shared" si="22"/>
        <v>#DIV/0!</v>
      </c>
      <c r="O193" s="225">
        <f>L193/L207</f>
        <v>0</v>
      </c>
      <c r="P193" s="165"/>
    </row>
    <row r="194" spans="2:16" ht="26.25" customHeight="1">
      <c r="B194" s="172"/>
      <c r="C194" s="63"/>
      <c r="D194" s="64"/>
      <c r="E194" s="31"/>
      <c r="F194" s="199" t="s">
        <v>286</v>
      </c>
      <c r="G194" s="201">
        <f>+C190</f>
        <v>2000</v>
      </c>
      <c r="H194" s="196">
        <f>'2010 Existing RatesNF'!$B$21</f>
        <v>-0.0027</v>
      </c>
      <c r="I194" s="206">
        <f>+G194*H194</f>
        <v>-5.4</v>
      </c>
      <c r="J194" s="201">
        <f>+C190</f>
        <v>2000</v>
      </c>
      <c r="K194" s="195">
        <f>'Rate Schedule (Part 1) NF'!$E$28</f>
        <v>-0.0027</v>
      </c>
      <c r="L194" s="214">
        <f>+J194*K194</f>
        <v>-5.4</v>
      </c>
      <c r="M194" s="224">
        <f t="shared" si="21"/>
        <v>0</v>
      </c>
      <c r="N194" s="218">
        <f t="shared" si="22"/>
        <v>0</v>
      </c>
      <c r="O194" s="225">
        <f>L194/L207</f>
        <v>-0.017931409369839755</v>
      </c>
      <c r="P194" s="165"/>
    </row>
    <row r="195" spans="2:16" ht="27.75" customHeight="1">
      <c r="B195" s="172"/>
      <c r="C195" s="31"/>
      <c r="D195" s="31"/>
      <c r="E195" s="31"/>
      <c r="F195" s="199" t="s">
        <v>294</v>
      </c>
      <c r="G195" s="372">
        <f>C190</f>
        <v>2000</v>
      </c>
      <c r="H195" s="488"/>
      <c r="I195" s="206">
        <f>+G195*H195</f>
        <v>0</v>
      </c>
      <c r="J195" s="372">
        <f>C190</f>
        <v>2000</v>
      </c>
      <c r="K195" s="488">
        <f>'Rate Schedule (Part 1) NF'!E30</f>
        <v>-0.0013</v>
      </c>
      <c r="L195" s="214">
        <f>+J195*K195</f>
        <v>-2.6</v>
      </c>
      <c r="M195" s="224">
        <f t="shared" si="21"/>
        <v>-2.6</v>
      </c>
      <c r="N195" s="218" t="e">
        <f>+M195/I195</f>
        <v>#DIV/0!</v>
      </c>
      <c r="O195" s="225">
        <f>L195/L207</f>
        <v>-0.008633641548441363</v>
      </c>
      <c r="P195" s="165"/>
    </row>
    <row r="196" spans="2:16" ht="26.25" customHeight="1">
      <c r="B196" s="172"/>
      <c r="C196" s="63"/>
      <c r="D196" s="64"/>
      <c r="E196" s="31"/>
      <c r="F196" s="199" t="s">
        <v>316</v>
      </c>
      <c r="G196" s="201">
        <f>C190</f>
        <v>2000</v>
      </c>
      <c r="H196" s="196">
        <f>'2010 Existing RatesNF'!B34</f>
        <v>0.0011</v>
      </c>
      <c r="I196" s="206">
        <f>+G196*H196</f>
        <v>2.2</v>
      </c>
      <c r="J196" s="201">
        <f>C190</f>
        <v>2000</v>
      </c>
      <c r="K196" s="195">
        <f>'Rate Schedule (Part 1) NF'!E16</f>
        <v>0.0011</v>
      </c>
      <c r="L196" s="214">
        <f>+J196*K196</f>
        <v>2.2</v>
      </c>
      <c r="M196" s="224">
        <f>+L196-I196</f>
        <v>0</v>
      </c>
      <c r="N196" s="218">
        <f>+M196/I196</f>
        <v>0</v>
      </c>
      <c r="O196" s="225">
        <f>L196/L207</f>
        <v>0.007305389002527307</v>
      </c>
      <c r="P196" s="165"/>
    </row>
    <row r="197" spans="2:16" ht="27.75" customHeight="1" thickBot="1">
      <c r="B197" s="172"/>
      <c r="C197" s="31"/>
      <c r="D197" s="31"/>
      <c r="E197" s="31"/>
      <c r="F197" s="199" t="s">
        <v>317</v>
      </c>
      <c r="G197" s="372">
        <f>C190</f>
        <v>2000</v>
      </c>
      <c r="H197" s="488"/>
      <c r="I197" s="206">
        <f>+G197*H197</f>
        <v>0</v>
      </c>
      <c r="J197" s="372">
        <f>C190</f>
        <v>2000</v>
      </c>
      <c r="K197" s="488">
        <f>'Rate Schedule (Part 1) NF'!E29</f>
        <v>0.0019</v>
      </c>
      <c r="L197" s="214">
        <f>+J197*K197</f>
        <v>3.8</v>
      </c>
      <c r="M197" s="224">
        <f>+L197-I197</f>
        <v>3.8</v>
      </c>
      <c r="N197" s="218" t="e">
        <f>+M197/I197</f>
        <v>#DIV/0!</v>
      </c>
      <c r="O197" s="225">
        <f>L197/L207</f>
        <v>0.01261839918618353</v>
      </c>
      <c r="P197" s="165"/>
    </row>
    <row r="198" spans="1:16" ht="18" customHeight="1" thickBot="1">
      <c r="A198" s="165"/>
      <c r="F198" s="233" t="s">
        <v>247</v>
      </c>
      <c r="G198" s="586"/>
      <c r="H198" s="587"/>
      <c r="I198" s="235">
        <f>SUM(I189:I197)</f>
        <v>65.07000000000001</v>
      </c>
      <c r="J198" s="586"/>
      <c r="K198" s="587"/>
      <c r="L198" s="235">
        <f>SUM(L189:L197)</f>
        <v>66.25</v>
      </c>
      <c r="M198" s="237">
        <f>SUM(M189:M197)</f>
        <v>1.1799999999999988</v>
      </c>
      <c r="N198" s="238">
        <f t="shared" si="22"/>
        <v>0.01813431688950359</v>
      </c>
      <c r="O198" s="240">
        <f>L198/L207</f>
        <v>0.2199918279170155</v>
      </c>
      <c r="P198" s="385"/>
    </row>
    <row r="199" spans="1:16" ht="18" customHeight="1" thickBot="1">
      <c r="A199" s="165"/>
      <c r="F199" s="199" t="s">
        <v>248</v>
      </c>
      <c r="G199" s="372">
        <f>C190*'Other Electriciy Rates NF'!$M$11</f>
        <v>2114.3999999999996</v>
      </c>
      <c r="H199" s="373">
        <f>'Other Electriciy Rates NF'!$B$11</f>
        <v>0.0091</v>
      </c>
      <c r="I199" s="210">
        <f>+G199*H199</f>
        <v>19.241039999999998</v>
      </c>
      <c r="J199" s="372">
        <f>'BILL IMPACTS NF'!C190*'Other Electriciy Rates NF'!$M$25</f>
        <v>2111.9805501857395</v>
      </c>
      <c r="K199" s="494">
        <f>'Other Electriciy Rates NF'!$B$25</f>
        <v>0.009039845539860984</v>
      </c>
      <c r="L199" s="210">
        <f>+J199*K199</f>
        <v>19.0919779568697</v>
      </c>
      <c r="M199" s="374">
        <f>+L199-I199</f>
        <v>-0.14906204313029647</v>
      </c>
      <c r="N199" s="222">
        <f t="shared" si="22"/>
        <v>-0.007747088677654456</v>
      </c>
      <c r="O199" s="223">
        <f>L199/L207</f>
        <v>0.06339742081936804</v>
      </c>
      <c r="P199" s="385"/>
    </row>
    <row r="200" spans="1:16" ht="18" customHeight="1" thickBot="1">
      <c r="A200" s="165"/>
      <c r="F200" s="233" t="s">
        <v>249</v>
      </c>
      <c r="G200" s="586"/>
      <c r="H200" s="587"/>
      <c r="I200" s="235">
        <f>SUM(I198:I199)</f>
        <v>84.31104</v>
      </c>
      <c r="J200" s="586"/>
      <c r="K200" s="587"/>
      <c r="L200" s="235">
        <f>SUM(L198:L199)</f>
        <v>85.3419779568697</v>
      </c>
      <c r="M200" s="237">
        <f>SUM(M198:M199)</f>
        <v>1.0309379568697024</v>
      </c>
      <c r="N200" s="238">
        <f t="shared" si="22"/>
        <v>0.012227793143931118</v>
      </c>
      <c r="O200" s="375">
        <f>L200/L207</f>
        <v>0.2833892487363835</v>
      </c>
      <c r="P200" s="385"/>
    </row>
    <row r="201" spans="1:16" ht="18" customHeight="1">
      <c r="A201" s="165"/>
      <c r="F201" s="200" t="s">
        <v>77</v>
      </c>
      <c r="G201" s="202">
        <f>+'Other Electriciy Rates NF'!$M$10*C190</f>
        <v>2114.3999999999996</v>
      </c>
      <c r="H201" s="203">
        <f>'Other Electriciy Rates NF'!$C$11+'Other Electriciy Rates NF'!$E$11+'Other Electriciy Rates NF'!D11</f>
        <v>0.0138725</v>
      </c>
      <c r="I201" s="204">
        <f>+G201*H201</f>
        <v>29.332013999999994</v>
      </c>
      <c r="J201" s="202">
        <f>J199</f>
        <v>2111.9805501857395</v>
      </c>
      <c r="K201" s="203">
        <f>'Other Electriciy Rates NF'!$C$25+'Other Electriciy Rates NF'!$E$25+'Other Electriciy Rates NF'!D25</f>
        <v>0.0135</v>
      </c>
      <c r="L201" s="522">
        <f>+J201*K201</f>
        <v>28.511737427507484</v>
      </c>
      <c r="M201" s="221">
        <f>+L201-I201</f>
        <v>-0.8202765724925101</v>
      </c>
      <c r="N201" s="222">
        <f aca="true" t="shared" si="23" ref="N201:N207">+M201/I201</f>
        <v>-0.02796523186210501</v>
      </c>
      <c r="O201" s="301">
        <f>L201/L207</f>
        <v>0.09467696956629972</v>
      </c>
      <c r="P201" s="165"/>
    </row>
    <row r="202" spans="2:16" ht="21.75" customHeight="1">
      <c r="B202" s="172"/>
      <c r="C202" s="31"/>
      <c r="D202" s="31"/>
      <c r="E202" s="31"/>
      <c r="F202" s="200" t="s">
        <v>321</v>
      </c>
      <c r="G202" s="220"/>
      <c r="H202" s="219"/>
      <c r="I202" s="512">
        <v>0.25</v>
      </c>
      <c r="J202" s="496"/>
      <c r="K202" s="219"/>
      <c r="L202" s="523">
        <v>0.25</v>
      </c>
      <c r="M202" s="230">
        <f>+L202-I202</f>
        <v>0</v>
      </c>
      <c r="N202" s="231">
        <f t="shared" si="23"/>
        <v>0</v>
      </c>
      <c r="O202" s="225">
        <f>L202/L207</f>
        <v>0.0008301578411962848</v>
      </c>
      <c r="P202" s="165"/>
    </row>
    <row r="203" spans="1:16" ht="18" customHeight="1">
      <c r="A203" s="165"/>
      <c r="B203" s="25"/>
      <c r="C203" s="31"/>
      <c r="D203" s="31"/>
      <c r="E203" s="31"/>
      <c r="F203" s="197" t="s">
        <v>78</v>
      </c>
      <c r="G203" s="202">
        <v>600</v>
      </c>
      <c r="H203" s="203">
        <f>'Other Electriciy Rates NF'!$K$11</f>
        <v>0.065</v>
      </c>
      <c r="I203" s="204">
        <f>+G203*H203</f>
        <v>39</v>
      </c>
      <c r="J203" s="202">
        <v>600</v>
      </c>
      <c r="K203" s="203">
        <f>'Other Electriciy Rates NF'!$K$25</f>
        <v>0.065</v>
      </c>
      <c r="L203" s="522">
        <f>+J203*K203</f>
        <v>39</v>
      </c>
      <c r="M203" s="230">
        <f>+L203-I203</f>
        <v>0</v>
      </c>
      <c r="N203" s="231">
        <f t="shared" si="23"/>
        <v>0</v>
      </c>
      <c r="O203" s="232">
        <f>L203/L207</f>
        <v>0.12950462322662043</v>
      </c>
      <c r="P203" s="165"/>
    </row>
    <row r="204" spans="2:16" ht="18" customHeight="1" thickBot="1">
      <c r="B204" s="172"/>
      <c r="C204" s="31"/>
      <c r="D204" s="31"/>
      <c r="E204" s="31"/>
      <c r="F204" s="197" t="s">
        <v>78</v>
      </c>
      <c r="G204" s="202">
        <f>G201-G203</f>
        <v>1514.3999999999996</v>
      </c>
      <c r="H204" s="203">
        <f>'Other Electriciy Rates NF'!$L$11</f>
        <v>0.075</v>
      </c>
      <c r="I204" s="204">
        <f>+G204*H204</f>
        <v>113.57999999999997</v>
      </c>
      <c r="J204" s="202">
        <f>J201-J203</f>
        <v>1511.9805501857395</v>
      </c>
      <c r="K204" s="203">
        <f>'Other Electriciy Rates NF'!$L$25</f>
        <v>0.075</v>
      </c>
      <c r="L204" s="522">
        <f>+J204*K204</f>
        <v>113.39854126393045</v>
      </c>
      <c r="M204" s="524">
        <f>+L204-I204</f>
        <v>-0.18145873606951568</v>
      </c>
      <c r="N204" s="525">
        <f t="shared" si="23"/>
        <v>-0.001597629301545305</v>
      </c>
      <c r="O204" s="526">
        <f>L204/L207</f>
        <v>0.37655475284188933</v>
      </c>
      <c r="P204" s="165"/>
    </row>
    <row r="205" spans="2:16" ht="18" customHeight="1" thickBot="1">
      <c r="B205" s="172"/>
      <c r="C205" s="31"/>
      <c r="D205" s="31"/>
      <c r="E205" s="31"/>
      <c r="F205" s="233" t="s">
        <v>195</v>
      </c>
      <c r="G205" s="586"/>
      <c r="H205" s="587"/>
      <c r="I205" s="235">
        <f>SUM(I200:I204)</f>
        <v>266.473054</v>
      </c>
      <c r="J205" s="586"/>
      <c r="K205" s="587"/>
      <c r="L205" s="235">
        <f>SUM(L200:L204)</f>
        <v>266.50225664830765</v>
      </c>
      <c r="M205" s="386">
        <f>SUM(M200:M204)</f>
        <v>0.029202648307676604</v>
      </c>
      <c r="N205" s="238">
        <f t="shared" si="23"/>
        <v>0.00010958949833507971</v>
      </c>
      <c r="O205" s="375">
        <f>L205/L207</f>
        <v>0.8849557522123893</v>
      </c>
      <c r="P205" s="165"/>
    </row>
    <row r="206" spans="2:16" ht="18" customHeight="1" thickBot="1">
      <c r="B206" s="172"/>
      <c r="C206" s="31"/>
      <c r="D206" s="31"/>
      <c r="E206" s="31"/>
      <c r="F206" s="297" t="s">
        <v>274</v>
      </c>
      <c r="G206" s="298"/>
      <c r="H206" s="302">
        <v>0.13</v>
      </c>
      <c r="I206" s="299">
        <f>I205*H206</f>
        <v>34.64149702</v>
      </c>
      <c r="J206" s="298"/>
      <c r="K206" s="302">
        <v>0.13</v>
      </c>
      <c r="L206" s="300">
        <f>L205*K206</f>
        <v>34.64529336427999</v>
      </c>
      <c r="M206" s="227">
        <f>+L206-I206</f>
        <v>0.003796344279990649</v>
      </c>
      <c r="N206" s="228">
        <f t="shared" si="23"/>
        <v>0.00010958949833486869</v>
      </c>
      <c r="O206" s="241">
        <f>L206/L207</f>
        <v>0.1150442477876106</v>
      </c>
      <c r="P206" s="165"/>
    </row>
    <row r="207" spans="2:16" ht="18" customHeight="1" thickBot="1">
      <c r="B207" s="172"/>
      <c r="C207" s="31"/>
      <c r="D207" s="31"/>
      <c r="E207" s="35"/>
      <c r="F207" s="234" t="s">
        <v>79</v>
      </c>
      <c r="G207" s="598"/>
      <c r="H207" s="599"/>
      <c r="I207" s="236">
        <f>SUM(I205:I206)</f>
        <v>301.11455102</v>
      </c>
      <c r="J207" s="598"/>
      <c r="K207" s="599"/>
      <c r="L207" s="236">
        <f>SUM(L205:L206)</f>
        <v>301.14755001258766</v>
      </c>
      <c r="M207" s="387">
        <f>SUM(M205:M206)</f>
        <v>0.03299899258766725</v>
      </c>
      <c r="N207" s="238">
        <f t="shared" si="23"/>
        <v>0.00010958949833505541</v>
      </c>
      <c r="O207" s="240">
        <f>SUM(O205:O206)</f>
        <v>0.9999999999999999</v>
      </c>
      <c r="P207" s="165"/>
    </row>
    <row r="208" spans="2:16" ht="18" customHeight="1" thickBot="1">
      <c r="B208" s="166"/>
      <c r="C208" s="178"/>
      <c r="D208" s="178"/>
      <c r="E208" s="178"/>
      <c r="F208" s="179"/>
      <c r="G208" s="180"/>
      <c r="H208" s="181"/>
      <c r="I208" s="182"/>
      <c r="J208" s="180"/>
      <c r="K208" s="183"/>
      <c r="L208" s="182"/>
      <c r="M208" s="187"/>
      <c r="N208" s="185"/>
      <c r="O208" s="186"/>
      <c r="P208" s="167"/>
    </row>
    <row r="209" spans="2:16" ht="18" customHeight="1" thickBot="1">
      <c r="B209" s="25"/>
      <c r="C209" s="31"/>
      <c r="D209" s="31"/>
      <c r="E209" s="31"/>
      <c r="F209" s="49"/>
      <c r="G209" s="50"/>
      <c r="H209" s="51"/>
      <c r="I209" s="52"/>
      <c r="J209" s="50"/>
      <c r="K209" s="53"/>
      <c r="L209" s="52"/>
      <c r="M209" s="177"/>
      <c r="N209" s="175"/>
      <c r="O209" s="176"/>
      <c r="P209" s="25"/>
    </row>
    <row r="210" spans="2:16" ht="18" customHeight="1">
      <c r="B210" s="174"/>
      <c r="C210" s="592"/>
      <c r="D210" s="592"/>
      <c r="E210" s="592"/>
      <c r="F210" s="592"/>
      <c r="G210" s="592"/>
      <c r="H210" s="592"/>
      <c r="I210" s="592"/>
      <c r="J210" s="592"/>
      <c r="K210" s="592"/>
      <c r="L210" s="592"/>
      <c r="M210" s="592"/>
      <c r="N210" s="592"/>
      <c r="O210" s="592"/>
      <c r="P210" s="164"/>
    </row>
    <row r="211" spans="2:16" ht="23.25">
      <c r="B211" s="172"/>
      <c r="C211" s="591" t="s">
        <v>137</v>
      </c>
      <c r="D211" s="591"/>
      <c r="E211" s="591"/>
      <c r="F211" s="591"/>
      <c r="G211" s="591"/>
      <c r="H211" s="591"/>
      <c r="I211" s="591"/>
      <c r="J211" s="591"/>
      <c r="K211" s="591"/>
      <c r="L211" s="591"/>
      <c r="M211" s="591"/>
      <c r="N211" s="591"/>
      <c r="O211" s="591"/>
      <c r="P211" s="165"/>
    </row>
    <row r="212" spans="2:16" ht="18" customHeight="1" thickBot="1">
      <c r="B212" s="172"/>
      <c r="C212" s="590"/>
      <c r="D212" s="590"/>
      <c r="E212" s="590"/>
      <c r="F212" s="590"/>
      <c r="G212" s="590"/>
      <c r="H212" s="590"/>
      <c r="I212" s="590"/>
      <c r="J212" s="590"/>
      <c r="K212" s="590"/>
      <c r="L212" s="590"/>
      <c r="M212" s="590"/>
      <c r="N212" s="590"/>
      <c r="O212" s="590"/>
      <c r="P212" s="165"/>
    </row>
    <row r="213" spans="2:16" ht="18" customHeight="1" thickBot="1">
      <c r="B213" s="172"/>
      <c r="C213" s="173"/>
      <c r="D213" s="173"/>
      <c r="E213" s="31"/>
      <c r="F213" s="37"/>
      <c r="G213" s="595" t="str">
        <f>$G$10</f>
        <v>2010 BILL</v>
      </c>
      <c r="H213" s="596"/>
      <c r="I213" s="597"/>
      <c r="J213" s="595" t="str">
        <f>$J$10</f>
        <v>2011 BILL</v>
      </c>
      <c r="K213" s="596"/>
      <c r="L213" s="597"/>
      <c r="M213" s="595" t="s">
        <v>73</v>
      </c>
      <c r="N213" s="596"/>
      <c r="O213" s="597"/>
      <c r="P213" s="165"/>
    </row>
    <row r="214" spans="2:16" ht="26.25" thickBot="1">
      <c r="B214" s="172"/>
      <c r="C214" s="31"/>
      <c r="D214" s="31"/>
      <c r="E214" s="33"/>
      <c r="F214" s="38"/>
      <c r="G214" s="188" t="s">
        <v>67</v>
      </c>
      <c r="H214" s="189" t="s">
        <v>68</v>
      </c>
      <c r="I214" s="190" t="s">
        <v>69</v>
      </c>
      <c r="J214" s="191" t="s">
        <v>67</v>
      </c>
      <c r="K214" s="189" t="s">
        <v>68</v>
      </c>
      <c r="L214" s="190" t="s">
        <v>69</v>
      </c>
      <c r="M214" s="192" t="s">
        <v>80</v>
      </c>
      <c r="N214" s="193" t="s">
        <v>81</v>
      </c>
      <c r="O214" s="194" t="s">
        <v>76</v>
      </c>
      <c r="P214" s="165"/>
    </row>
    <row r="215" spans="2:16" ht="18" customHeight="1" thickBot="1">
      <c r="B215" s="172"/>
      <c r="C215" s="593" t="s">
        <v>70</v>
      </c>
      <c r="D215" s="594"/>
      <c r="E215" s="31"/>
      <c r="F215" s="198" t="s">
        <v>71</v>
      </c>
      <c r="G215" s="207"/>
      <c r="H215" s="208"/>
      <c r="I215" s="209">
        <f>'2010 Existing RatesNF'!$C$9</f>
        <v>47.27</v>
      </c>
      <c r="J215" s="207"/>
      <c r="K215" s="208"/>
      <c r="L215" s="212">
        <f>'Rate Schedule (Part 1) NF'!$E$22</f>
        <v>38.45</v>
      </c>
      <c r="M215" s="221">
        <f aca="true" t="shared" si="24" ref="M215:M221">+L215-I215</f>
        <v>-8.82</v>
      </c>
      <c r="N215" s="222">
        <f aca="true" t="shared" si="25" ref="N215:N226">+M215/I215</f>
        <v>-0.1865876877512164</v>
      </c>
      <c r="O215" s="223">
        <f>L215/L233</f>
        <v>0.06814788924680251</v>
      </c>
      <c r="P215" s="165"/>
    </row>
    <row r="216" spans="2:16" ht="18" customHeight="1" thickBot="1">
      <c r="B216" s="172"/>
      <c r="C216" s="170">
        <v>4000</v>
      </c>
      <c r="D216" s="171" t="s">
        <v>16</v>
      </c>
      <c r="E216" s="31"/>
      <c r="F216" s="199" t="s">
        <v>72</v>
      </c>
      <c r="G216" s="201">
        <f>+C216</f>
        <v>4000</v>
      </c>
      <c r="H216" s="196">
        <f>'2010 Existing RatesNF'!$E$9</f>
        <v>0.01</v>
      </c>
      <c r="I216" s="210">
        <f>+G216*H216</f>
        <v>40</v>
      </c>
      <c r="J216" s="201">
        <f>+C216</f>
        <v>4000</v>
      </c>
      <c r="K216" s="195">
        <f>'Rate Schedule (Part 1) NF'!$E$23</f>
        <v>0.0141</v>
      </c>
      <c r="L216" s="214">
        <f>+J216*K216</f>
        <v>56.4</v>
      </c>
      <c r="M216" s="224">
        <f t="shared" si="24"/>
        <v>16.4</v>
      </c>
      <c r="N216" s="218">
        <f t="shared" si="25"/>
        <v>0.41</v>
      </c>
      <c r="O216" s="225">
        <f>L216/L233</f>
        <v>0.09996205340753346</v>
      </c>
      <c r="P216" s="165"/>
    </row>
    <row r="217" spans="2:16" ht="18" customHeight="1">
      <c r="B217" s="172"/>
      <c r="C217" s="63"/>
      <c r="D217" s="64"/>
      <c r="E217" s="31"/>
      <c r="F217" s="199" t="s">
        <v>246</v>
      </c>
      <c r="G217" s="201">
        <f>G216</f>
        <v>4000</v>
      </c>
      <c r="H217" s="196">
        <f>'2010 Existing RatesNF'!$B$47</f>
        <v>0</v>
      </c>
      <c r="I217" s="210">
        <f>+G217*H217</f>
        <v>0</v>
      </c>
      <c r="J217" s="201">
        <f>J216</f>
        <v>4000</v>
      </c>
      <c r="K217" s="195">
        <f>'Rate Schedule (Part 1) NF'!$E$24</f>
        <v>0.0003</v>
      </c>
      <c r="L217" s="214">
        <f>+J217*K217</f>
        <v>1.2</v>
      </c>
      <c r="M217" s="224">
        <f t="shared" si="24"/>
        <v>1.2</v>
      </c>
      <c r="N217" s="218" t="e">
        <f t="shared" si="25"/>
        <v>#DIV/0!</v>
      </c>
      <c r="O217" s="225">
        <f>L217/L233</f>
        <v>0.002126852200160286</v>
      </c>
      <c r="P217" s="165"/>
    </row>
    <row r="218" spans="2:16" ht="18" customHeight="1">
      <c r="B218" s="172"/>
      <c r="C218" s="63"/>
      <c r="D218" s="64"/>
      <c r="E218" s="31"/>
      <c r="F218" s="199" t="s">
        <v>170</v>
      </c>
      <c r="G218" s="220"/>
      <c r="H218" s="219"/>
      <c r="I218" s="210">
        <f>'2010 Existing RatesNF'!$B$58</f>
        <v>1</v>
      </c>
      <c r="J218" s="220"/>
      <c r="K218" s="219"/>
      <c r="L218" s="214">
        <f>'Rate Schedule (Part 1) NF'!$E$26</f>
        <v>1</v>
      </c>
      <c r="M218" s="224">
        <f t="shared" si="24"/>
        <v>0</v>
      </c>
      <c r="N218" s="218">
        <f t="shared" si="25"/>
        <v>0</v>
      </c>
      <c r="O218" s="225">
        <f>L218/L233</f>
        <v>0.0017723768334669053</v>
      </c>
      <c r="P218" s="165"/>
    </row>
    <row r="219" spans="1:16" ht="18" customHeight="1">
      <c r="A219" s="165"/>
      <c r="B219" s="25"/>
      <c r="C219" s="31"/>
      <c r="D219" s="31"/>
      <c r="E219" s="31"/>
      <c r="F219" s="199" t="s">
        <v>162</v>
      </c>
      <c r="G219" s="201">
        <f>C216</f>
        <v>4000</v>
      </c>
      <c r="H219" s="196"/>
      <c r="I219" s="206">
        <f>+G219*H219</f>
        <v>0</v>
      </c>
      <c r="J219" s="201">
        <f>C216</f>
        <v>4000</v>
      </c>
      <c r="K219" s="195">
        <f>'Rate Schedule (Part 1) NF'!$E$25</f>
        <v>0</v>
      </c>
      <c r="L219" s="214">
        <f>J219*K219</f>
        <v>0</v>
      </c>
      <c r="M219" s="224">
        <f t="shared" si="24"/>
        <v>0</v>
      </c>
      <c r="N219" s="218" t="e">
        <f t="shared" si="25"/>
        <v>#DIV/0!</v>
      </c>
      <c r="O219" s="225">
        <f>L219/L233</f>
        <v>0</v>
      </c>
      <c r="P219" s="165"/>
    </row>
    <row r="220" spans="2:16" ht="26.25" customHeight="1">
      <c r="B220" s="172"/>
      <c r="C220" s="63"/>
      <c r="D220" s="64"/>
      <c r="E220" s="31"/>
      <c r="F220" s="199" t="s">
        <v>286</v>
      </c>
      <c r="G220" s="201">
        <f>+C216</f>
        <v>4000</v>
      </c>
      <c r="H220" s="196">
        <f>'2010 Existing RatesNF'!$B$21</f>
        <v>-0.0027</v>
      </c>
      <c r="I220" s="206">
        <f>+G220*H220</f>
        <v>-10.8</v>
      </c>
      <c r="J220" s="201">
        <f>+C216</f>
        <v>4000</v>
      </c>
      <c r="K220" s="195">
        <f>'Rate Schedule (Part 1) NF'!$E$28</f>
        <v>-0.0027</v>
      </c>
      <c r="L220" s="214">
        <f>+J220*K220</f>
        <v>-10.8</v>
      </c>
      <c r="M220" s="224">
        <f t="shared" si="24"/>
        <v>0</v>
      </c>
      <c r="N220" s="218">
        <f t="shared" si="25"/>
        <v>0</v>
      </c>
      <c r="O220" s="225">
        <f>L220/L233</f>
        <v>-0.01914166980144258</v>
      </c>
      <c r="P220" s="165"/>
    </row>
    <row r="221" spans="2:16" ht="27.75" customHeight="1">
      <c r="B221" s="172"/>
      <c r="C221" s="31"/>
      <c r="D221" s="31"/>
      <c r="E221" s="31"/>
      <c r="F221" s="199" t="s">
        <v>294</v>
      </c>
      <c r="G221" s="372">
        <f>C216</f>
        <v>4000</v>
      </c>
      <c r="H221" s="488"/>
      <c r="I221" s="206">
        <f>+G221*H221</f>
        <v>0</v>
      </c>
      <c r="J221" s="372">
        <f>C216</f>
        <v>4000</v>
      </c>
      <c r="K221" s="488">
        <f>'Rate Schedule (Part 1) NF'!E30</f>
        <v>-0.0013</v>
      </c>
      <c r="L221" s="214">
        <f>+J221*K221</f>
        <v>-5.2</v>
      </c>
      <c r="M221" s="224">
        <f t="shared" si="24"/>
        <v>-5.2</v>
      </c>
      <c r="N221" s="218" t="e">
        <f>+M221/I221</f>
        <v>#DIV/0!</v>
      </c>
      <c r="O221" s="225">
        <f>L221/L233</f>
        <v>-0.009216359534027907</v>
      </c>
      <c r="P221" s="165"/>
    </row>
    <row r="222" spans="2:16" ht="26.25" customHeight="1">
      <c r="B222" s="172"/>
      <c r="C222" s="63"/>
      <c r="D222" s="64"/>
      <c r="E222" s="31"/>
      <c r="F222" s="199" t="s">
        <v>316</v>
      </c>
      <c r="G222" s="201">
        <f>C216</f>
        <v>4000</v>
      </c>
      <c r="H222" s="196">
        <f>'2010 Existing RatesNF'!B34</f>
        <v>0.0011</v>
      </c>
      <c r="I222" s="206">
        <f>+G222*H222</f>
        <v>4.4</v>
      </c>
      <c r="J222" s="201">
        <f>C216</f>
        <v>4000</v>
      </c>
      <c r="K222" s="195">
        <f>'Rate Schedule (Part 1) NF'!E27</f>
        <v>0.0011</v>
      </c>
      <c r="L222" s="214">
        <f>+J222*K222</f>
        <v>4.4</v>
      </c>
      <c r="M222" s="224">
        <f>+L222-I222</f>
        <v>0</v>
      </c>
      <c r="N222" s="218">
        <f>+M222/I222</f>
        <v>0</v>
      </c>
      <c r="O222" s="225">
        <f>L222/L233</f>
        <v>0.007798458067254384</v>
      </c>
      <c r="P222" s="165"/>
    </row>
    <row r="223" spans="2:16" ht="27.75" customHeight="1" thickBot="1">
      <c r="B223" s="172"/>
      <c r="C223" s="31"/>
      <c r="D223" s="31"/>
      <c r="E223" s="31"/>
      <c r="F223" s="199" t="s">
        <v>317</v>
      </c>
      <c r="G223" s="372">
        <f>C216</f>
        <v>4000</v>
      </c>
      <c r="H223" s="488"/>
      <c r="I223" s="206">
        <f>+G223*H223</f>
        <v>0</v>
      </c>
      <c r="J223" s="372">
        <f>C216</f>
        <v>4000</v>
      </c>
      <c r="K223" s="488">
        <f>'Rate Schedule (Part 1) NF'!E29</f>
        <v>0.0019</v>
      </c>
      <c r="L223" s="214">
        <f>+J223*K223</f>
        <v>7.6</v>
      </c>
      <c r="M223" s="224">
        <f>+L223-I223</f>
        <v>7.6</v>
      </c>
      <c r="N223" s="218" t="e">
        <f>+M223/I223</f>
        <v>#DIV/0!</v>
      </c>
      <c r="O223" s="225">
        <f>L223/L233</f>
        <v>0.01347006393434848</v>
      </c>
      <c r="P223" s="165"/>
    </row>
    <row r="224" spans="1:16" ht="18" customHeight="1" thickBot="1">
      <c r="A224" s="165"/>
      <c r="F224" s="233" t="s">
        <v>247</v>
      </c>
      <c r="G224" s="586"/>
      <c r="H224" s="587"/>
      <c r="I224" s="235">
        <f>SUM(I215:I223)</f>
        <v>81.87000000000002</v>
      </c>
      <c r="J224" s="586"/>
      <c r="K224" s="587"/>
      <c r="L224" s="235">
        <f>SUM(L215:L223)</f>
        <v>93.05</v>
      </c>
      <c r="M224" s="237">
        <f>SUM(M215:M223)</f>
        <v>11.179999999999996</v>
      </c>
      <c r="N224" s="238">
        <f t="shared" si="25"/>
        <v>0.13655795773787704</v>
      </c>
      <c r="O224" s="240">
        <f>L224/L233</f>
        <v>0.16491966435409555</v>
      </c>
      <c r="P224" s="385"/>
    </row>
    <row r="225" spans="1:16" ht="18" customHeight="1" thickBot="1">
      <c r="A225" s="165"/>
      <c r="F225" s="199" t="s">
        <v>248</v>
      </c>
      <c r="G225" s="372">
        <f>C216*'Other Electriciy Rates NF'!$M$11</f>
        <v>4228.799999999999</v>
      </c>
      <c r="H225" s="373">
        <f>'Other Electriciy Rates NF'!$B$11</f>
        <v>0.0091</v>
      </c>
      <c r="I225" s="210">
        <f>+G225*H225</f>
        <v>38.482079999999996</v>
      </c>
      <c r="J225" s="372">
        <f>'BILL IMPACTS NF'!C216*'Other Electriciy Rates NF'!$M$25</f>
        <v>4223.961100371479</v>
      </c>
      <c r="K225" s="494">
        <f>'Other Electriciy Rates NF'!$B$25</f>
        <v>0.009039845539860984</v>
      </c>
      <c r="L225" s="210">
        <f>+J225*K225</f>
        <v>38.1839559137394</v>
      </c>
      <c r="M225" s="374">
        <f>+L225-I225</f>
        <v>-0.29812408626059295</v>
      </c>
      <c r="N225" s="222">
        <f t="shared" si="25"/>
        <v>-0.007747088677654456</v>
      </c>
      <c r="O225" s="223">
        <f>L225/L233</f>
        <v>0.06767635887163335</v>
      </c>
      <c r="P225" s="385"/>
    </row>
    <row r="226" spans="1:16" ht="18" customHeight="1" thickBot="1">
      <c r="A226" s="165"/>
      <c r="F226" s="233" t="s">
        <v>249</v>
      </c>
      <c r="G226" s="586"/>
      <c r="H226" s="587"/>
      <c r="I226" s="235">
        <f>SUM(I224:I225)</f>
        <v>120.35208000000002</v>
      </c>
      <c r="J226" s="586"/>
      <c r="K226" s="587"/>
      <c r="L226" s="235">
        <f>SUM(L224:L225)</f>
        <v>131.2339559137394</v>
      </c>
      <c r="M226" s="237">
        <f>SUM(M224:M225)</f>
        <v>10.881875913739403</v>
      </c>
      <c r="N226" s="238">
        <f t="shared" si="25"/>
        <v>0.09041701575693084</v>
      </c>
      <c r="O226" s="375">
        <f>L226/L233</f>
        <v>0.23259602322572892</v>
      </c>
      <c r="P226" s="385"/>
    </row>
    <row r="227" spans="1:16" ht="18" customHeight="1">
      <c r="A227" s="165"/>
      <c r="F227" s="200" t="s">
        <v>77</v>
      </c>
      <c r="G227" s="202">
        <f>+'Other Electriciy Rates NF'!$M$10*C216</f>
        <v>4228.799999999999</v>
      </c>
      <c r="H227" s="203">
        <f>'Other Electriciy Rates NF'!$C$11+'Other Electriciy Rates NF'!$E$11+'Other Electriciy Rates NF'!D11</f>
        <v>0.0138725</v>
      </c>
      <c r="I227" s="204">
        <f>+G227*H227</f>
        <v>58.66402799999999</v>
      </c>
      <c r="J227" s="202">
        <f>J225</f>
        <v>4223.961100371479</v>
      </c>
      <c r="K227" s="203">
        <f>'Other Electriciy Rates NF'!$C$25+'Other Electriciy Rates NF'!$E$25+'Other Electriciy Rates NF'!D25</f>
        <v>0.0135</v>
      </c>
      <c r="L227" s="522">
        <f>+J227*K227</f>
        <v>57.02347485501497</v>
      </c>
      <c r="M227" s="221">
        <f>+L227-I227</f>
        <v>-1.6405531449850201</v>
      </c>
      <c r="N227" s="222">
        <f aca="true" t="shared" si="26" ref="N227:N233">+M227/I227</f>
        <v>-0.02796523186210501</v>
      </c>
      <c r="O227" s="301">
        <f>L227/L233</f>
        <v>0.10106708579681113</v>
      </c>
      <c r="P227" s="165"/>
    </row>
    <row r="228" spans="2:16" ht="21.75" customHeight="1">
      <c r="B228" s="172"/>
      <c r="C228" s="31"/>
      <c r="D228" s="31"/>
      <c r="E228" s="31"/>
      <c r="F228" s="200" t="s">
        <v>321</v>
      </c>
      <c r="G228" s="220"/>
      <c r="H228" s="219"/>
      <c r="I228" s="512">
        <v>0.25</v>
      </c>
      <c r="J228" s="496"/>
      <c r="K228" s="219"/>
      <c r="L228" s="523">
        <v>0.25</v>
      </c>
      <c r="M228" s="230">
        <f>+L228-I228</f>
        <v>0</v>
      </c>
      <c r="N228" s="231">
        <f t="shared" si="26"/>
        <v>0</v>
      </c>
      <c r="O228" s="225">
        <f>L228/L233</f>
        <v>0.0004430942083667263</v>
      </c>
      <c r="P228" s="165"/>
    </row>
    <row r="229" spans="1:16" ht="18" customHeight="1">
      <c r="A229" s="165"/>
      <c r="B229" s="25"/>
      <c r="C229" s="31"/>
      <c r="D229" s="31"/>
      <c r="E229" s="31"/>
      <c r="F229" s="197" t="s">
        <v>78</v>
      </c>
      <c r="G229" s="202">
        <v>600</v>
      </c>
      <c r="H229" s="203">
        <f>'Other Electriciy Rates NF'!$K$11</f>
        <v>0.065</v>
      </c>
      <c r="I229" s="204">
        <f>+G229*H229</f>
        <v>39</v>
      </c>
      <c r="J229" s="202">
        <v>600</v>
      </c>
      <c r="K229" s="203">
        <f>'Other Electriciy Rates NF'!$K$25</f>
        <v>0.065</v>
      </c>
      <c r="L229" s="522">
        <f>+J229*K229</f>
        <v>39</v>
      </c>
      <c r="M229" s="230">
        <f>+L229-I229</f>
        <v>0</v>
      </c>
      <c r="N229" s="231">
        <f t="shared" si="26"/>
        <v>0</v>
      </c>
      <c r="O229" s="232">
        <f>L229/L233</f>
        <v>0.0691226965052093</v>
      </c>
      <c r="P229" s="165"/>
    </row>
    <row r="230" spans="2:16" ht="18" customHeight="1" thickBot="1">
      <c r="B230" s="172"/>
      <c r="C230" s="31"/>
      <c r="D230" s="31"/>
      <c r="E230" s="31"/>
      <c r="F230" s="197" t="s">
        <v>78</v>
      </c>
      <c r="G230" s="202">
        <f>G227-G229</f>
        <v>3628.7999999999993</v>
      </c>
      <c r="H230" s="203">
        <f>'Other Electriciy Rates NF'!$L$11</f>
        <v>0.075</v>
      </c>
      <c r="I230" s="204">
        <f>+G230*H230</f>
        <v>272.1599999999999</v>
      </c>
      <c r="J230" s="202">
        <f>J227-J229</f>
        <v>3623.961100371479</v>
      </c>
      <c r="K230" s="203">
        <f>'Other Electriciy Rates NF'!$L$25</f>
        <v>0.075</v>
      </c>
      <c r="L230" s="522">
        <f>+J230*K230</f>
        <v>271.79708252786094</v>
      </c>
      <c r="M230" s="524">
        <f>+L230-I230</f>
        <v>-0.3629174721389745</v>
      </c>
      <c r="N230" s="525">
        <f t="shared" si="26"/>
        <v>-0.0013334710175594306</v>
      </c>
      <c r="O230" s="526">
        <f>L230/L233</f>
        <v>0.48172685247627334</v>
      </c>
      <c r="P230" s="165"/>
    </row>
    <row r="231" spans="2:16" ht="18" customHeight="1" thickBot="1">
      <c r="B231" s="172"/>
      <c r="C231" s="31"/>
      <c r="D231" s="31"/>
      <c r="E231" s="31"/>
      <c r="F231" s="233" t="s">
        <v>195</v>
      </c>
      <c r="G231" s="586"/>
      <c r="H231" s="587"/>
      <c r="I231" s="235">
        <f>SUM(I226:I230)</f>
        <v>490.4261079999999</v>
      </c>
      <c r="J231" s="586"/>
      <c r="K231" s="587"/>
      <c r="L231" s="235">
        <f>SUM(L226:L230)</f>
        <v>499.3045132966153</v>
      </c>
      <c r="M231" s="386">
        <f>SUM(M226:M230)</f>
        <v>8.878405296615409</v>
      </c>
      <c r="N231" s="238">
        <f t="shared" si="26"/>
        <v>0.018103451573616897</v>
      </c>
      <c r="O231" s="375">
        <f>L231/L233</f>
        <v>0.8849557522123894</v>
      </c>
      <c r="P231" s="165"/>
    </row>
    <row r="232" spans="2:16" ht="18" customHeight="1" thickBot="1">
      <c r="B232" s="172"/>
      <c r="C232" s="31"/>
      <c r="D232" s="31"/>
      <c r="E232" s="31"/>
      <c r="F232" s="297" t="s">
        <v>274</v>
      </c>
      <c r="G232" s="298"/>
      <c r="H232" s="302">
        <v>0.13</v>
      </c>
      <c r="I232" s="299">
        <f>I231*H232</f>
        <v>63.755394039999985</v>
      </c>
      <c r="J232" s="298"/>
      <c r="K232" s="302">
        <v>0.13</v>
      </c>
      <c r="L232" s="300">
        <f>L231*K232</f>
        <v>64.90958672855999</v>
      </c>
      <c r="M232" s="227">
        <f>+L232-I232</f>
        <v>1.154192688560002</v>
      </c>
      <c r="N232" s="228">
        <f t="shared" si="26"/>
        <v>0.01810345157361688</v>
      </c>
      <c r="O232" s="241">
        <f>L232/L233</f>
        <v>0.11504424778761062</v>
      </c>
      <c r="P232" s="165"/>
    </row>
    <row r="233" spans="2:16" ht="18" customHeight="1" thickBot="1">
      <c r="B233" s="172"/>
      <c r="C233" s="31"/>
      <c r="D233" s="31"/>
      <c r="E233" s="35"/>
      <c r="F233" s="234" t="s">
        <v>79</v>
      </c>
      <c r="G233" s="598"/>
      <c r="H233" s="599"/>
      <c r="I233" s="236">
        <f>SUM(I231:I232)</f>
        <v>554.1815020399998</v>
      </c>
      <c r="J233" s="598"/>
      <c r="K233" s="599"/>
      <c r="L233" s="236">
        <f>SUM(L231:L232)</f>
        <v>564.2141000251753</v>
      </c>
      <c r="M233" s="387">
        <f>SUM(M231:M232)</f>
        <v>10.03259798517541</v>
      </c>
      <c r="N233" s="238">
        <f t="shared" si="26"/>
        <v>0.018103451573616897</v>
      </c>
      <c r="O233" s="240">
        <f>SUM(O231:O232)</f>
        <v>1</v>
      </c>
      <c r="P233" s="165"/>
    </row>
    <row r="234" spans="2:16" ht="18" customHeight="1" thickBot="1">
      <c r="B234" s="166"/>
      <c r="C234" s="178"/>
      <c r="D234" s="178"/>
      <c r="E234" s="178"/>
      <c r="F234" s="179"/>
      <c r="G234" s="180"/>
      <c r="H234" s="181"/>
      <c r="I234" s="182"/>
      <c r="J234" s="180"/>
      <c r="K234" s="183"/>
      <c r="L234" s="182"/>
      <c r="M234" s="187"/>
      <c r="N234" s="185"/>
      <c r="O234" s="186"/>
      <c r="P234" s="167"/>
    </row>
    <row r="235" spans="2:16" ht="18" customHeight="1" thickBot="1">
      <c r="B235" s="25"/>
      <c r="C235" s="31"/>
      <c r="D235" s="31"/>
      <c r="E235" s="31"/>
      <c r="F235" s="49"/>
      <c r="G235" s="50"/>
      <c r="H235" s="51"/>
      <c r="I235" s="52"/>
      <c r="J235" s="50"/>
      <c r="K235" s="53"/>
      <c r="L235" s="52"/>
      <c r="M235" s="177"/>
      <c r="N235" s="175"/>
      <c r="O235" s="176"/>
      <c r="P235" s="25"/>
    </row>
    <row r="236" spans="2:16" ht="18" customHeight="1">
      <c r="B236" s="174"/>
      <c r="C236" s="592"/>
      <c r="D236" s="592"/>
      <c r="E236" s="592"/>
      <c r="F236" s="592"/>
      <c r="G236" s="592"/>
      <c r="H236" s="592"/>
      <c r="I236" s="592"/>
      <c r="J236" s="592"/>
      <c r="K236" s="592"/>
      <c r="L236" s="592"/>
      <c r="M236" s="592"/>
      <c r="N236" s="592"/>
      <c r="O236" s="592"/>
      <c r="P236" s="164"/>
    </row>
    <row r="237" spans="2:16" ht="23.25">
      <c r="B237" s="172"/>
      <c r="C237" s="591" t="s">
        <v>137</v>
      </c>
      <c r="D237" s="591"/>
      <c r="E237" s="591"/>
      <c r="F237" s="591"/>
      <c r="G237" s="591"/>
      <c r="H237" s="591"/>
      <c r="I237" s="591"/>
      <c r="J237" s="591"/>
      <c r="K237" s="591"/>
      <c r="L237" s="591"/>
      <c r="M237" s="591"/>
      <c r="N237" s="591"/>
      <c r="O237" s="591"/>
      <c r="P237" s="165"/>
    </row>
    <row r="238" spans="2:16" ht="18" customHeight="1" thickBot="1">
      <c r="B238" s="172"/>
      <c r="C238" s="590"/>
      <c r="D238" s="590"/>
      <c r="E238" s="590"/>
      <c r="F238" s="590"/>
      <c r="G238" s="590"/>
      <c r="H238" s="590"/>
      <c r="I238" s="590"/>
      <c r="J238" s="590"/>
      <c r="K238" s="590"/>
      <c r="L238" s="590"/>
      <c r="M238" s="590"/>
      <c r="N238" s="590"/>
      <c r="O238" s="590"/>
      <c r="P238" s="165"/>
    </row>
    <row r="239" spans="2:16" ht="18" customHeight="1" thickBot="1">
      <c r="B239" s="172"/>
      <c r="C239" s="173"/>
      <c r="D239" s="173"/>
      <c r="E239" s="31"/>
      <c r="F239" s="37"/>
      <c r="G239" s="595" t="str">
        <f>$G$10</f>
        <v>2010 BILL</v>
      </c>
      <c r="H239" s="596"/>
      <c r="I239" s="597"/>
      <c r="J239" s="595" t="str">
        <f>$J$10</f>
        <v>2011 BILL</v>
      </c>
      <c r="K239" s="596"/>
      <c r="L239" s="597"/>
      <c r="M239" s="595" t="s">
        <v>73</v>
      </c>
      <c r="N239" s="596"/>
      <c r="O239" s="597"/>
      <c r="P239" s="165"/>
    </row>
    <row r="240" spans="2:16" ht="26.25" thickBot="1">
      <c r="B240" s="172"/>
      <c r="C240" s="31"/>
      <c r="D240" s="31"/>
      <c r="E240" s="33"/>
      <c r="F240" s="38"/>
      <c r="G240" s="188" t="s">
        <v>67</v>
      </c>
      <c r="H240" s="189" t="s">
        <v>68</v>
      </c>
      <c r="I240" s="190" t="s">
        <v>69</v>
      </c>
      <c r="J240" s="191" t="s">
        <v>67</v>
      </c>
      <c r="K240" s="189" t="s">
        <v>68</v>
      </c>
      <c r="L240" s="190" t="s">
        <v>69</v>
      </c>
      <c r="M240" s="192" t="s">
        <v>80</v>
      </c>
      <c r="N240" s="193" t="s">
        <v>81</v>
      </c>
      <c r="O240" s="194" t="s">
        <v>76</v>
      </c>
      <c r="P240" s="165"/>
    </row>
    <row r="241" spans="2:16" ht="18" customHeight="1" thickBot="1">
      <c r="B241" s="172"/>
      <c r="C241" s="593" t="s">
        <v>70</v>
      </c>
      <c r="D241" s="594"/>
      <c r="E241" s="31"/>
      <c r="F241" s="198" t="s">
        <v>71</v>
      </c>
      <c r="G241" s="207"/>
      <c r="H241" s="208"/>
      <c r="I241" s="209">
        <f>'2010 Existing RatesNF'!$C$9</f>
        <v>47.27</v>
      </c>
      <c r="J241" s="207"/>
      <c r="K241" s="208"/>
      <c r="L241" s="212">
        <f>'Rate Schedule (Part 1) NF'!$E$22</f>
        <v>38.45</v>
      </c>
      <c r="M241" s="221">
        <f aca="true" t="shared" si="27" ref="M241:M247">+L241-I241</f>
        <v>-8.82</v>
      </c>
      <c r="N241" s="222">
        <f aca="true" t="shared" si="28" ref="N241:N252">+M241/I241</f>
        <v>-0.1865876877512164</v>
      </c>
      <c r="O241" s="223">
        <f>L241/L259</f>
        <v>0.028409641913429616</v>
      </c>
      <c r="P241" s="165"/>
    </row>
    <row r="242" spans="2:16" ht="18" customHeight="1" thickBot="1">
      <c r="B242" s="172"/>
      <c r="C242" s="170">
        <v>10000</v>
      </c>
      <c r="D242" s="171" t="s">
        <v>16</v>
      </c>
      <c r="E242" s="31"/>
      <c r="F242" s="199" t="s">
        <v>72</v>
      </c>
      <c r="G242" s="201">
        <f>+C242</f>
        <v>10000</v>
      </c>
      <c r="H242" s="196">
        <f>'2010 Existing RatesNF'!$E$9</f>
        <v>0.01</v>
      </c>
      <c r="I242" s="210">
        <f>+G242*H242</f>
        <v>100</v>
      </c>
      <c r="J242" s="201">
        <f>+C242</f>
        <v>10000</v>
      </c>
      <c r="K242" s="195">
        <f>'Rate Schedule (Part 1) NF'!$E$23</f>
        <v>0.0141</v>
      </c>
      <c r="L242" s="214">
        <f>+J242*K242</f>
        <v>141</v>
      </c>
      <c r="M242" s="224">
        <f t="shared" si="27"/>
        <v>41</v>
      </c>
      <c r="N242" s="218">
        <f t="shared" si="28"/>
        <v>0.41</v>
      </c>
      <c r="O242" s="225">
        <f>L242/L259</f>
        <v>0.1041810015550995</v>
      </c>
      <c r="P242" s="165"/>
    </row>
    <row r="243" spans="2:16" ht="18" customHeight="1">
      <c r="B243" s="172"/>
      <c r="C243" s="63"/>
      <c r="D243" s="64"/>
      <c r="E243" s="31"/>
      <c r="F243" s="199" t="s">
        <v>246</v>
      </c>
      <c r="G243" s="201">
        <f>G242</f>
        <v>10000</v>
      </c>
      <c r="H243" s="196">
        <f>'2010 Existing RatesNF'!$B$47</f>
        <v>0</v>
      </c>
      <c r="I243" s="210">
        <f>+G243*H243</f>
        <v>0</v>
      </c>
      <c r="J243" s="201">
        <f>J242</f>
        <v>10000</v>
      </c>
      <c r="K243" s="195">
        <f>'Rate Schedule (Part 1) NF'!$E$24</f>
        <v>0.0003</v>
      </c>
      <c r="L243" s="214">
        <f>+J243*K243</f>
        <v>2.9999999999999996</v>
      </c>
      <c r="M243" s="224">
        <f t="shared" si="27"/>
        <v>2.9999999999999996</v>
      </c>
      <c r="N243" s="218" t="e">
        <f t="shared" si="28"/>
        <v>#DIV/0!</v>
      </c>
      <c r="O243" s="225">
        <f>L243/L259</f>
        <v>0.0022166170543638187</v>
      </c>
      <c r="P243" s="165"/>
    </row>
    <row r="244" spans="2:16" ht="18" customHeight="1">
      <c r="B244" s="172"/>
      <c r="C244" s="63"/>
      <c r="D244" s="64"/>
      <c r="E244" s="31"/>
      <c r="F244" s="199" t="s">
        <v>170</v>
      </c>
      <c r="G244" s="220"/>
      <c r="H244" s="219"/>
      <c r="I244" s="210">
        <f>'2010 Existing RatesNF'!$B$58</f>
        <v>1</v>
      </c>
      <c r="J244" s="220"/>
      <c r="K244" s="219"/>
      <c r="L244" s="214">
        <f>'Rate Schedule (Part 1) NF'!$E$26</f>
        <v>1</v>
      </c>
      <c r="M244" s="224">
        <f t="shared" si="27"/>
        <v>0</v>
      </c>
      <c r="N244" s="218">
        <f t="shared" si="28"/>
        <v>0</v>
      </c>
      <c r="O244" s="225">
        <f>L244/L259</f>
        <v>0.0007388723514546064</v>
      </c>
      <c r="P244" s="165"/>
    </row>
    <row r="245" spans="1:16" ht="18" customHeight="1">
      <c r="A245" s="165"/>
      <c r="B245" s="25"/>
      <c r="C245" s="31"/>
      <c r="D245" s="31"/>
      <c r="E245" s="31"/>
      <c r="F245" s="199" t="s">
        <v>162</v>
      </c>
      <c r="G245" s="201">
        <f>C242</f>
        <v>10000</v>
      </c>
      <c r="H245" s="196"/>
      <c r="I245" s="206">
        <f>+G245*H245</f>
        <v>0</v>
      </c>
      <c r="J245" s="201">
        <f>C242</f>
        <v>10000</v>
      </c>
      <c r="K245" s="195">
        <f>'Rate Schedule (Part 1) NF'!$E$25</f>
        <v>0</v>
      </c>
      <c r="L245" s="214">
        <f>J245*K245</f>
        <v>0</v>
      </c>
      <c r="M245" s="224">
        <f t="shared" si="27"/>
        <v>0</v>
      </c>
      <c r="N245" s="218" t="e">
        <f t="shared" si="28"/>
        <v>#DIV/0!</v>
      </c>
      <c r="O245" s="225">
        <f>L245/L259</f>
        <v>0</v>
      </c>
      <c r="P245" s="165"/>
    </row>
    <row r="246" spans="2:16" ht="26.25" customHeight="1">
      <c r="B246" s="172"/>
      <c r="C246" s="63"/>
      <c r="D246" s="64"/>
      <c r="E246" s="31"/>
      <c r="F246" s="199" t="s">
        <v>286</v>
      </c>
      <c r="G246" s="201">
        <f>+C242</f>
        <v>10000</v>
      </c>
      <c r="H246" s="196">
        <f>'2010 Existing RatesNF'!$B$21</f>
        <v>-0.0027</v>
      </c>
      <c r="I246" s="206">
        <f>+G246*H246</f>
        <v>-27</v>
      </c>
      <c r="J246" s="201">
        <f>+C242</f>
        <v>10000</v>
      </c>
      <c r="K246" s="195">
        <f>'Rate Schedule (Part 1) NF'!$E$28</f>
        <v>-0.0027</v>
      </c>
      <c r="L246" s="214">
        <f>+J246*K246</f>
        <v>-27</v>
      </c>
      <c r="M246" s="224">
        <f t="shared" si="27"/>
        <v>0</v>
      </c>
      <c r="N246" s="218">
        <f t="shared" si="28"/>
        <v>0</v>
      </c>
      <c r="O246" s="225">
        <f>L246/L259</f>
        <v>-0.019949553489274373</v>
      </c>
      <c r="P246" s="165"/>
    </row>
    <row r="247" spans="2:16" ht="27.75" customHeight="1">
      <c r="B247" s="172"/>
      <c r="C247" s="31"/>
      <c r="D247" s="31"/>
      <c r="E247" s="31"/>
      <c r="F247" s="199" t="s">
        <v>294</v>
      </c>
      <c r="G247" s="372">
        <f>C242</f>
        <v>10000</v>
      </c>
      <c r="H247" s="488"/>
      <c r="I247" s="206">
        <f>+G247*H247</f>
        <v>0</v>
      </c>
      <c r="J247" s="372">
        <f>C242</f>
        <v>10000</v>
      </c>
      <c r="K247" s="488">
        <f>'Rate Schedule (Part 1) NF'!E30</f>
        <v>-0.0013</v>
      </c>
      <c r="L247" s="214">
        <f>+J247*K247</f>
        <v>-13</v>
      </c>
      <c r="M247" s="224">
        <f t="shared" si="27"/>
        <v>-13</v>
      </c>
      <c r="N247" s="218" t="e">
        <f>+M247/I247</f>
        <v>#DIV/0!</v>
      </c>
      <c r="O247" s="225">
        <f>L247/L259</f>
        <v>-0.009605340568909883</v>
      </c>
      <c r="P247" s="165"/>
    </row>
    <row r="248" spans="2:16" ht="26.25" customHeight="1">
      <c r="B248" s="172"/>
      <c r="C248" s="63"/>
      <c r="D248" s="64"/>
      <c r="E248" s="31"/>
      <c r="F248" s="199" t="s">
        <v>316</v>
      </c>
      <c r="G248" s="201">
        <f>C242</f>
        <v>10000</v>
      </c>
      <c r="H248" s="196">
        <f>'2010 Existing RatesNF'!B34</f>
        <v>0.0011</v>
      </c>
      <c r="I248" s="206">
        <f>+G248*H248</f>
        <v>11</v>
      </c>
      <c r="J248" s="201">
        <f>C242</f>
        <v>10000</v>
      </c>
      <c r="K248" s="195">
        <f>'Rate Schedule (Part 1) NF'!E27</f>
        <v>0.0011</v>
      </c>
      <c r="L248" s="214">
        <f>+J248*K248</f>
        <v>11</v>
      </c>
      <c r="M248" s="224">
        <f>+L248-I248</f>
        <v>0</v>
      </c>
      <c r="N248" s="218">
        <f>+M248/I248</f>
        <v>0</v>
      </c>
      <c r="O248" s="225">
        <f>L248/L259</f>
        <v>0.00812759586600067</v>
      </c>
      <c r="P248" s="165"/>
    </row>
    <row r="249" spans="2:16" ht="27.75" customHeight="1" thickBot="1">
      <c r="B249" s="172"/>
      <c r="C249" s="31"/>
      <c r="D249" s="31"/>
      <c r="E249" s="31"/>
      <c r="F249" s="199" t="s">
        <v>317</v>
      </c>
      <c r="G249" s="372">
        <f>C242</f>
        <v>10000</v>
      </c>
      <c r="H249" s="488"/>
      <c r="I249" s="206">
        <f>+G249*H249</f>
        <v>0</v>
      </c>
      <c r="J249" s="372">
        <f>C242</f>
        <v>10000</v>
      </c>
      <c r="K249" s="488">
        <f>'Rate Schedule (Part 1) NF'!E29</f>
        <v>0.0019</v>
      </c>
      <c r="L249" s="214">
        <f>+J249*K249</f>
        <v>19</v>
      </c>
      <c r="M249" s="224">
        <f>+L249-I249</f>
        <v>19</v>
      </c>
      <c r="N249" s="218" t="e">
        <f>+M249/I249</f>
        <v>#DIV/0!</v>
      </c>
      <c r="O249" s="225">
        <f>L249/L259</f>
        <v>0.01403857467763752</v>
      </c>
      <c r="P249" s="165"/>
    </row>
    <row r="250" spans="1:16" ht="18" customHeight="1" thickBot="1">
      <c r="A250" s="165"/>
      <c r="F250" s="233" t="s">
        <v>247</v>
      </c>
      <c r="G250" s="586"/>
      <c r="H250" s="587"/>
      <c r="I250" s="235">
        <f>SUM(I241:I249)</f>
        <v>132.27</v>
      </c>
      <c r="J250" s="586"/>
      <c r="K250" s="587"/>
      <c r="L250" s="235">
        <f>SUM(L241:L249)</f>
        <v>173.45</v>
      </c>
      <c r="M250" s="237">
        <f>SUM(M241:M249)</f>
        <v>41.18</v>
      </c>
      <c r="N250" s="238">
        <f t="shared" si="28"/>
        <v>0.3113328797157329</v>
      </c>
      <c r="O250" s="240">
        <f>L250/L259</f>
        <v>0.12815740935980147</v>
      </c>
      <c r="P250" s="385"/>
    </row>
    <row r="251" spans="1:16" ht="18" customHeight="1" thickBot="1">
      <c r="A251" s="165"/>
      <c r="F251" s="199" t="s">
        <v>248</v>
      </c>
      <c r="G251" s="372">
        <f>C242*'Other Electriciy Rates NF'!$M$11</f>
        <v>10572</v>
      </c>
      <c r="H251" s="373">
        <f>'Other Electriciy Rates NF'!$B$11</f>
        <v>0.0091</v>
      </c>
      <c r="I251" s="210">
        <f>+G251*H251</f>
        <v>96.2052</v>
      </c>
      <c r="J251" s="372">
        <f>'BILL IMPACTS NF'!C242*'Other Electriciy Rates NF'!$M$25</f>
        <v>10559.902750928699</v>
      </c>
      <c r="K251" s="494">
        <f>'Other Electriciy Rates NF'!$B$25</f>
        <v>0.009039845539860984</v>
      </c>
      <c r="L251" s="210">
        <f>+J251*K251</f>
        <v>95.45988978434853</v>
      </c>
      <c r="M251" s="374">
        <f>+L251-I251</f>
        <v>-0.7453102156514717</v>
      </c>
      <c r="N251" s="222">
        <f t="shared" si="28"/>
        <v>-0.007747088677654344</v>
      </c>
      <c r="O251" s="223">
        <f>L251/L259</f>
        <v>0.07053267323455915</v>
      </c>
      <c r="P251" s="385"/>
    </row>
    <row r="252" spans="1:16" ht="18" customHeight="1" thickBot="1">
      <c r="A252" s="165"/>
      <c r="F252" s="233" t="s">
        <v>249</v>
      </c>
      <c r="G252" s="586"/>
      <c r="H252" s="587"/>
      <c r="I252" s="235">
        <f>SUM(I250:I251)</f>
        <v>228.47520000000003</v>
      </c>
      <c r="J252" s="586"/>
      <c r="K252" s="587"/>
      <c r="L252" s="235">
        <f>SUM(L250:L251)</f>
        <v>268.90988978434854</v>
      </c>
      <c r="M252" s="237">
        <f>SUM(M250:M251)</f>
        <v>40.43468978434853</v>
      </c>
      <c r="N252" s="238">
        <f t="shared" si="28"/>
        <v>0.17697627481822326</v>
      </c>
      <c r="O252" s="375">
        <f>L252/L259</f>
        <v>0.19869008259436063</v>
      </c>
      <c r="P252" s="385"/>
    </row>
    <row r="253" spans="1:16" ht="18" customHeight="1">
      <c r="A253" s="165"/>
      <c r="F253" s="200" t="s">
        <v>77</v>
      </c>
      <c r="G253" s="202">
        <f>+'Other Electriciy Rates NF'!$M$10*C242</f>
        <v>10572</v>
      </c>
      <c r="H253" s="203">
        <f>'Other Electriciy Rates NF'!$C$11+'Other Electriciy Rates NF'!$E$11+'Other Electriciy Rates NF'!D11</f>
        <v>0.0138725</v>
      </c>
      <c r="I253" s="204">
        <f>+G253*H253</f>
        <v>146.66007</v>
      </c>
      <c r="J253" s="202">
        <f>J251</f>
        <v>10559.902750928699</v>
      </c>
      <c r="K253" s="203">
        <f>'Other Electriciy Rates NF'!$C$25+'Other Electriciy Rates NF'!$E$25+'Other Electriciy Rates NF'!D25</f>
        <v>0.0135</v>
      </c>
      <c r="L253" s="522">
        <f>+J253*K253</f>
        <v>142.55868713753745</v>
      </c>
      <c r="M253" s="221">
        <f>+L253-I253</f>
        <v>-4.101382862462543</v>
      </c>
      <c r="N253" s="222">
        <f aca="true" t="shared" si="29" ref="N253:N259">+M253/I253</f>
        <v>-0.027965231862104957</v>
      </c>
      <c r="O253" s="301">
        <f>L253/L259</f>
        <v>0.10533267238559384</v>
      </c>
      <c r="P253" s="165"/>
    </row>
    <row r="254" spans="2:16" ht="21.75" customHeight="1">
      <c r="B254" s="172"/>
      <c r="C254" s="31"/>
      <c r="D254" s="31"/>
      <c r="E254" s="31"/>
      <c r="F254" s="200" t="s">
        <v>321</v>
      </c>
      <c r="G254" s="220"/>
      <c r="H254" s="219"/>
      <c r="I254" s="512">
        <v>0.25</v>
      </c>
      <c r="J254" s="496"/>
      <c r="K254" s="219"/>
      <c r="L254" s="523">
        <v>0.25</v>
      </c>
      <c r="M254" s="230">
        <f>+L254-I254</f>
        <v>0</v>
      </c>
      <c r="N254" s="231">
        <f t="shared" si="29"/>
        <v>0</v>
      </c>
      <c r="O254" s="225">
        <f>L254/L259</f>
        <v>0.0001847180878636516</v>
      </c>
      <c r="P254" s="165"/>
    </row>
    <row r="255" spans="1:16" ht="18" customHeight="1">
      <c r="A255" s="165"/>
      <c r="B255" s="25"/>
      <c r="C255" s="31"/>
      <c r="D255" s="31"/>
      <c r="E255" s="31"/>
      <c r="F255" s="197" t="s">
        <v>78</v>
      </c>
      <c r="G255" s="202">
        <v>600</v>
      </c>
      <c r="H255" s="203">
        <f>'Other Electriciy Rates NF'!$K$11</f>
        <v>0.065</v>
      </c>
      <c r="I255" s="204">
        <f>+G255*H255</f>
        <v>39</v>
      </c>
      <c r="J255" s="202">
        <v>600</v>
      </c>
      <c r="K255" s="203">
        <f>'Other Electriciy Rates NF'!$K$25</f>
        <v>0.065</v>
      </c>
      <c r="L255" s="522">
        <f>+J255*K255</f>
        <v>39</v>
      </c>
      <c r="M255" s="230">
        <f>+L255-I255</f>
        <v>0</v>
      </c>
      <c r="N255" s="231">
        <f t="shared" si="29"/>
        <v>0</v>
      </c>
      <c r="O255" s="232">
        <f>L255/L259</f>
        <v>0.028816021706729648</v>
      </c>
      <c r="P255" s="165"/>
    </row>
    <row r="256" spans="2:16" ht="18" customHeight="1" thickBot="1">
      <c r="B256" s="172"/>
      <c r="C256" s="31"/>
      <c r="D256" s="31"/>
      <c r="E256" s="31"/>
      <c r="F256" s="197" t="s">
        <v>78</v>
      </c>
      <c r="G256" s="202">
        <f>G253-G255</f>
        <v>9972</v>
      </c>
      <c r="H256" s="203">
        <f>'Other Electriciy Rates NF'!$L$11</f>
        <v>0.075</v>
      </c>
      <c r="I256" s="204">
        <f>+G256*H256</f>
        <v>747.9</v>
      </c>
      <c r="J256" s="202">
        <f>J253-J255</f>
        <v>9959.902750928699</v>
      </c>
      <c r="K256" s="203">
        <f>'Other Electriciy Rates NF'!$L$25</f>
        <v>0.075</v>
      </c>
      <c r="L256" s="522">
        <f>+J256*K256</f>
        <v>746.9927063196524</v>
      </c>
      <c r="M256" s="524">
        <f>+L256-I256</f>
        <v>-0.9072936803476068</v>
      </c>
      <c r="N256" s="525">
        <f t="shared" si="29"/>
        <v>-0.001213121647743825</v>
      </c>
      <c r="O256" s="526">
        <f>L256/L259</f>
        <v>0.5519322574378418</v>
      </c>
      <c r="P256" s="165"/>
    </row>
    <row r="257" spans="2:16" ht="18" customHeight="1" thickBot="1">
      <c r="B257" s="172"/>
      <c r="C257" s="31"/>
      <c r="D257" s="31"/>
      <c r="E257" s="31"/>
      <c r="F257" s="233" t="s">
        <v>195</v>
      </c>
      <c r="G257" s="586"/>
      <c r="H257" s="587"/>
      <c r="I257" s="235">
        <f>SUM(I252:I256)</f>
        <v>1162.2852699999999</v>
      </c>
      <c r="J257" s="586"/>
      <c r="K257" s="587"/>
      <c r="L257" s="235">
        <f>SUM(L252:L256)</f>
        <v>1197.7112832415382</v>
      </c>
      <c r="M257" s="386">
        <f>SUM(M252:M256)</f>
        <v>35.42601324153838</v>
      </c>
      <c r="N257" s="238">
        <f t="shared" si="29"/>
        <v>0.030479619897048494</v>
      </c>
      <c r="O257" s="375">
        <f>L257/L259</f>
        <v>0.8849557522123894</v>
      </c>
      <c r="P257" s="165"/>
    </row>
    <row r="258" spans="2:16" ht="18" customHeight="1" thickBot="1">
      <c r="B258" s="172"/>
      <c r="C258" s="31"/>
      <c r="D258" s="31"/>
      <c r="E258" s="31"/>
      <c r="F258" s="297" t="s">
        <v>274</v>
      </c>
      <c r="G258" s="298"/>
      <c r="H258" s="302">
        <v>0.13</v>
      </c>
      <c r="I258" s="299">
        <f>I257*H258</f>
        <v>151.0970851</v>
      </c>
      <c r="J258" s="298"/>
      <c r="K258" s="302">
        <v>0.13</v>
      </c>
      <c r="L258" s="300">
        <f>L257*K258</f>
        <v>155.70246682139998</v>
      </c>
      <c r="M258" s="227">
        <f>+L258-I258</f>
        <v>4.6053817213999935</v>
      </c>
      <c r="N258" s="228">
        <f t="shared" si="29"/>
        <v>0.03047961989704852</v>
      </c>
      <c r="O258" s="241">
        <f>L258/L259</f>
        <v>0.11504424778761063</v>
      </c>
      <c r="P258" s="165"/>
    </row>
    <row r="259" spans="2:16" ht="18" customHeight="1" thickBot="1">
      <c r="B259" s="172"/>
      <c r="C259" s="31"/>
      <c r="D259" s="31"/>
      <c r="E259" s="35"/>
      <c r="F259" s="234" t="s">
        <v>79</v>
      </c>
      <c r="G259" s="598"/>
      <c r="H259" s="599"/>
      <c r="I259" s="236">
        <f>SUM(I257:I258)</f>
        <v>1313.3823550999998</v>
      </c>
      <c r="J259" s="598"/>
      <c r="K259" s="599"/>
      <c r="L259" s="236">
        <f>SUM(L257:L258)</f>
        <v>1353.413750062938</v>
      </c>
      <c r="M259" s="387">
        <f>SUM(M257:M258)</f>
        <v>40.03139496293837</v>
      </c>
      <c r="N259" s="238">
        <f t="shared" si="29"/>
        <v>0.030479619897048497</v>
      </c>
      <c r="O259" s="240">
        <f>SUM(O257:O258)</f>
        <v>1</v>
      </c>
      <c r="P259" s="165"/>
    </row>
    <row r="260" spans="2:16" ht="18" customHeight="1" thickBot="1">
      <c r="B260" s="166"/>
      <c r="C260" s="178"/>
      <c r="D260" s="178"/>
      <c r="E260" s="178"/>
      <c r="F260" s="179"/>
      <c r="G260" s="180"/>
      <c r="H260" s="181"/>
      <c r="I260" s="182"/>
      <c r="J260" s="180"/>
      <c r="K260" s="183"/>
      <c r="L260" s="182"/>
      <c r="M260" s="187"/>
      <c r="N260" s="185"/>
      <c r="O260" s="186"/>
      <c r="P260" s="167"/>
    </row>
    <row r="261" spans="2:16" ht="18" customHeight="1" thickBot="1">
      <c r="B261" s="25"/>
      <c r="C261" s="31"/>
      <c r="D261" s="31"/>
      <c r="E261" s="31"/>
      <c r="F261" s="49"/>
      <c r="G261" s="50"/>
      <c r="H261" s="51"/>
      <c r="I261" s="52"/>
      <c r="J261" s="50"/>
      <c r="K261" s="53"/>
      <c r="L261" s="52"/>
      <c r="M261" s="177"/>
      <c r="N261" s="175"/>
      <c r="O261" s="176"/>
      <c r="P261" s="25"/>
    </row>
    <row r="262" spans="2:16" ht="18" customHeight="1">
      <c r="B262" s="174"/>
      <c r="C262" s="592"/>
      <c r="D262" s="592"/>
      <c r="E262" s="592"/>
      <c r="F262" s="592"/>
      <c r="G262" s="592"/>
      <c r="H262" s="592"/>
      <c r="I262" s="592"/>
      <c r="J262" s="592"/>
      <c r="K262" s="592"/>
      <c r="L262" s="592"/>
      <c r="M262" s="592"/>
      <c r="N262" s="592"/>
      <c r="O262" s="592"/>
      <c r="P262" s="164"/>
    </row>
    <row r="263" spans="2:16" ht="23.25">
      <c r="B263" s="172"/>
      <c r="C263" s="591" t="s">
        <v>137</v>
      </c>
      <c r="D263" s="591"/>
      <c r="E263" s="591"/>
      <c r="F263" s="591"/>
      <c r="G263" s="591"/>
      <c r="H263" s="591"/>
      <c r="I263" s="591"/>
      <c r="J263" s="591"/>
      <c r="K263" s="591"/>
      <c r="L263" s="591"/>
      <c r="M263" s="591"/>
      <c r="N263" s="591"/>
      <c r="O263" s="591"/>
      <c r="P263" s="165"/>
    </row>
    <row r="264" spans="2:16" ht="18" customHeight="1" thickBot="1">
      <c r="B264" s="172"/>
      <c r="C264" s="590"/>
      <c r="D264" s="590"/>
      <c r="E264" s="590"/>
      <c r="F264" s="590"/>
      <c r="G264" s="590"/>
      <c r="H264" s="590"/>
      <c r="I264" s="590"/>
      <c r="J264" s="590"/>
      <c r="K264" s="590"/>
      <c r="L264" s="590"/>
      <c r="M264" s="590"/>
      <c r="N264" s="590"/>
      <c r="O264" s="590"/>
      <c r="P264" s="165"/>
    </row>
    <row r="265" spans="2:16" ht="18" customHeight="1" thickBot="1">
      <c r="B265" s="172"/>
      <c r="C265" s="173"/>
      <c r="D265" s="173"/>
      <c r="E265" s="31"/>
      <c r="F265" s="37"/>
      <c r="G265" s="595" t="str">
        <f>$G$10</f>
        <v>2010 BILL</v>
      </c>
      <c r="H265" s="596"/>
      <c r="I265" s="597"/>
      <c r="J265" s="595" t="str">
        <f>$J$10</f>
        <v>2011 BILL</v>
      </c>
      <c r="K265" s="596"/>
      <c r="L265" s="597"/>
      <c r="M265" s="595" t="s">
        <v>73</v>
      </c>
      <c r="N265" s="596"/>
      <c r="O265" s="597"/>
      <c r="P265" s="165"/>
    </row>
    <row r="266" spans="2:16" ht="26.25" thickBot="1">
      <c r="B266" s="172"/>
      <c r="C266" s="31"/>
      <c r="D266" s="31"/>
      <c r="E266" s="33"/>
      <c r="F266" s="38"/>
      <c r="G266" s="188" t="s">
        <v>67</v>
      </c>
      <c r="H266" s="189" t="s">
        <v>68</v>
      </c>
      <c r="I266" s="190" t="s">
        <v>69</v>
      </c>
      <c r="J266" s="191" t="s">
        <v>67</v>
      </c>
      <c r="K266" s="189" t="s">
        <v>68</v>
      </c>
      <c r="L266" s="190" t="s">
        <v>69</v>
      </c>
      <c r="M266" s="192" t="s">
        <v>80</v>
      </c>
      <c r="N266" s="193" t="s">
        <v>81</v>
      </c>
      <c r="O266" s="194" t="s">
        <v>76</v>
      </c>
      <c r="P266" s="165"/>
    </row>
    <row r="267" spans="2:16" ht="18" customHeight="1" thickBot="1">
      <c r="B267" s="172"/>
      <c r="C267" s="593" t="s">
        <v>70</v>
      </c>
      <c r="D267" s="594"/>
      <c r="E267" s="31"/>
      <c r="F267" s="198" t="s">
        <v>71</v>
      </c>
      <c r="G267" s="207"/>
      <c r="H267" s="208"/>
      <c r="I267" s="209">
        <f>'2010 Existing RatesNF'!$C$9</f>
        <v>47.27</v>
      </c>
      <c r="J267" s="207"/>
      <c r="K267" s="208"/>
      <c r="L267" s="212">
        <f>'Rate Schedule (Part 1) NF'!$E$22</f>
        <v>38.45</v>
      </c>
      <c r="M267" s="221">
        <f aca="true" t="shared" si="30" ref="M267:M273">+L267-I267</f>
        <v>-8.82</v>
      </c>
      <c r="N267" s="222">
        <f aca="true" t="shared" si="31" ref="N267:N278">+M267/I267</f>
        <v>-0.1865876877512164</v>
      </c>
      <c r="O267" s="223">
        <f>L267/L285</f>
        <v>0.022856335262730614</v>
      </c>
      <c r="P267" s="165"/>
    </row>
    <row r="268" spans="2:16" ht="18" customHeight="1" thickBot="1">
      <c r="B268" s="172"/>
      <c r="C268" s="170">
        <v>12500</v>
      </c>
      <c r="D268" s="171" t="s">
        <v>16</v>
      </c>
      <c r="E268" s="31"/>
      <c r="F268" s="199" t="s">
        <v>72</v>
      </c>
      <c r="G268" s="201">
        <f>+C268</f>
        <v>12500</v>
      </c>
      <c r="H268" s="196">
        <f>'2010 Existing RatesNF'!$E$9</f>
        <v>0.01</v>
      </c>
      <c r="I268" s="210">
        <f>+G268*H268</f>
        <v>125</v>
      </c>
      <c r="J268" s="201">
        <f>+C268</f>
        <v>12500</v>
      </c>
      <c r="K268" s="195">
        <f>'Rate Schedule (Part 1) NF'!$E$23</f>
        <v>0.0141</v>
      </c>
      <c r="L268" s="214">
        <f>+J268*K268</f>
        <v>176.25</v>
      </c>
      <c r="M268" s="224">
        <f t="shared" si="30"/>
        <v>51.25</v>
      </c>
      <c r="N268" s="218">
        <f t="shared" si="31"/>
        <v>0.41</v>
      </c>
      <c r="O268" s="225">
        <f>L268/L285</f>
        <v>0.10477058751771834</v>
      </c>
      <c r="P268" s="165"/>
    </row>
    <row r="269" spans="2:16" ht="18" customHeight="1">
      <c r="B269" s="172"/>
      <c r="C269" s="63"/>
      <c r="D269" s="64"/>
      <c r="E269" s="31"/>
      <c r="F269" s="199" t="s">
        <v>246</v>
      </c>
      <c r="G269" s="201">
        <f>G268</f>
        <v>12500</v>
      </c>
      <c r="H269" s="196">
        <f>'2010 Existing RatesNF'!$B$47</f>
        <v>0</v>
      </c>
      <c r="I269" s="210">
        <f>+G269*H269</f>
        <v>0</v>
      </c>
      <c r="J269" s="201">
        <f>J268</f>
        <v>12500</v>
      </c>
      <c r="K269" s="195">
        <f>'Rate Schedule (Part 1) NF'!$E$24</f>
        <v>0.0003</v>
      </c>
      <c r="L269" s="214">
        <f>+J269*K269</f>
        <v>3.7499999999999996</v>
      </c>
      <c r="M269" s="224">
        <f t="shared" si="30"/>
        <v>3.7499999999999996</v>
      </c>
      <c r="N269" s="218" t="e">
        <f t="shared" si="31"/>
        <v>#DIV/0!</v>
      </c>
      <c r="O269" s="225">
        <f>L269/L285</f>
        <v>0.0022291614365471985</v>
      </c>
      <c r="P269" s="165"/>
    </row>
    <row r="270" spans="2:16" ht="18" customHeight="1">
      <c r="B270" s="172"/>
      <c r="C270" s="63"/>
      <c r="D270" s="64"/>
      <c r="E270" s="31"/>
      <c r="F270" s="199" t="s">
        <v>170</v>
      </c>
      <c r="G270" s="220"/>
      <c r="H270" s="219"/>
      <c r="I270" s="210">
        <f>'2010 Existing RatesNF'!$B$58</f>
        <v>1</v>
      </c>
      <c r="J270" s="220"/>
      <c r="K270" s="219"/>
      <c r="L270" s="214">
        <f>'Rate Schedule (Part 1) NF'!$E$26</f>
        <v>1</v>
      </c>
      <c r="M270" s="224">
        <f t="shared" si="30"/>
        <v>0</v>
      </c>
      <c r="N270" s="218">
        <f t="shared" si="31"/>
        <v>0</v>
      </c>
      <c r="O270" s="225">
        <f>L270/L285</f>
        <v>0.0005944430497459197</v>
      </c>
      <c r="P270" s="165"/>
    </row>
    <row r="271" spans="1:16" ht="18" customHeight="1">
      <c r="A271" s="165"/>
      <c r="B271" s="25"/>
      <c r="C271" s="31"/>
      <c r="D271" s="31"/>
      <c r="E271" s="31"/>
      <c r="F271" s="199" t="s">
        <v>162</v>
      </c>
      <c r="G271" s="201">
        <f>C268</f>
        <v>12500</v>
      </c>
      <c r="H271" s="196"/>
      <c r="I271" s="206">
        <f>+G271*H271</f>
        <v>0</v>
      </c>
      <c r="J271" s="201">
        <f>C268</f>
        <v>12500</v>
      </c>
      <c r="K271" s="195">
        <f>'Rate Schedule (Part 1) NF'!$E$25</f>
        <v>0</v>
      </c>
      <c r="L271" s="214">
        <f>J271*K271</f>
        <v>0</v>
      </c>
      <c r="M271" s="224">
        <f t="shared" si="30"/>
        <v>0</v>
      </c>
      <c r="N271" s="218" t="e">
        <f t="shared" si="31"/>
        <v>#DIV/0!</v>
      </c>
      <c r="O271" s="225">
        <f>L271/L285</f>
        <v>0</v>
      </c>
      <c r="P271" s="165"/>
    </row>
    <row r="272" spans="2:16" ht="26.25" customHeight="1">
      <c r="B272" s="172"/>
      <c r="C272" s="63"/>
      <c r="D272" s="64"/>
      <c r="E272" s="31"/>
      <c r="F272" s="199" t="s">
        <v>286</v>
      </c>
      <c r="G272" s="201">
        <f>+C268</f>
        <v>12500</v>
      </c>
      <c r="H272" s="196">
        <f>'2010 Existing RatesNF'!$B$21</f>
        <v>-0.0027</v>
      </c>
      <c r="I272" s="206">
        <f>+G272*H272</f>
        <v>-33.75</v>
      </c>
      <c r="J272" s="201">
        <f>+C268</f>
        <v>12500</v>
      </c>
      <c r="K272" s="195">
        <f>'Rate Schedule (Part 1) NF'!$E$28</f>
        <v>-0.0027</v>
      </c>
      <c r="L272" s="214">
        <f>+J272*K272</f>
        <v>-33.75</v>
      </c>
      <c r="M272" s="224">
        <f t="shared" si="30"/>
        <v>0</v>
      </c>
      <c r="N272" s="218">
        <f t="shared" si="31"/>
        <v>0</v>
      </c>
      <c r="O272" s="225">
        <f>L272/L285</f>
        <v>-0.02006245292892479</v>
      </c>
      <c r="P272" s="165"/>
    </row>
    <row r="273" spans="2:16" ht="27.75" customHeight="1">
      <c r="B273" s="172"/>
      <c r="C273" s="31"/>
      <c r="D273" s="31"/>
      <c r="E273" s="31"/>
      <c r="F273" s="199" t="s">
        <v>294</v>
      </c>
      <c r="G273" s="372">
        <f>C268</f>
        <v>12500</v>
      </c>
      <c r="H273" s="488"/>
      <c r="I273" s="206">
        <f>+G273*H273</f>
        <v>0</v>
      </c>
      <c r="J273" s="372">
        <f>C268</f>
        <v>12500</v>
      </c>
      <c r="K273" s="488">
        <f>'Rate Schedule (Part 1) NF'!E30</f>
        <v>-0.0013</v>
      </c>
      <c r="L273" s="214">
        <f>+J273*K273</f>
        <v>-16.25</v>
      </c>
      <c r="M273" s="224">
        <f t="shared" si="30"/>
        <v>-16.25</v>
      </c>
      <c r="N273" s="218" t="e">
        <f>+M273/I273</f>
        <v>#DIV/0!</v>
      </c>
      <c r="O273" s="225">
        <f>L273/L285</f>
        <v>-0.009659699558371196</v>
      </c>
      <c r="P273" s="165"/>
    </row>
    <row r="274" spans="2:16" ht="26.25" customHeight="1">
      <c r="B274" s="172"/>
      <c r="C274" s="63"/>
      <c r="D274" s="64"/>
      <c r="E274" s="31"/>
      <c r="F274" s="199" t="s">
        <v>316</v>
      </c>
      <c r="G274" s="201">
        <f>C268</f>
        <v>12500</v>
      </c>
      <c r="H274" s="196">
        <f>'2010 Existing RatesNF'!B34</f>
        <v>0.0011</v>
      </c>
      <c r="I274" s="206">
        <f>+G274*H274</f>
        <v>13.75</v>
      </c>
      <c r="J274" s="201">
        <f>C268</f>
        <v>12500</v>
      </c>
      <c r="K274" s="195">
        <f>'Rate Schedule (Part 1) NF'!E27</f>
        <v>0.0011</v>
      </c>
      <c r="L274" s="214">
        <f>+J274*K274</f>
        <v>13.75</v>
      </c>
      <c r="M274" s="224">
        <f>+L274-I274</f>
        <v>0</v>
      </c>
      <c r="N274" s="218">
        <f>+M274/I274</f>
        <v>0</v>
      </c>
      <c r="O274" s="225">
        <f>L274/L285</f>
        <v>0.008173591934006396</v>
      </c>
      <c r="P274" s="165"/>
    </row>
    <row r="275" spans="2:16" ht="27.75" customHeight="1" thickBot="1">
      <c r="B275" s="172"/>
      <c r="C275" s="31"/>
      <c r="D275" s="31"/>
      <c r="E275" s="31"/>
      <c r="F275" s="199" t="s">
        <v>317</v>
      </c>
      <c r="G275" s="372">
        <f>C268</f>
        <v>12500</v>
      </c>
      <c r="H275" s="488"/>
      <c r="I275" s="206">
        <f>+G275*H275</f>
        <v>0</v>
      </c>
      <c r="J275" s="372">
        <f>C268</f>
        <v>12500</v>
      </c>
      <c r="K275" s="488">
        <f>'Rate Schedule (Part 1) NF'!E29</f>
        <v>0.0019</v>
      </c>
      <c r="L275" s="214">
        <f>+J275*K275</f>
        <v>23.75</v>
      </c>
      <c r="M275" s="224">
        <f>+L275-I275</f>
        <v>23.75</v>
      </c>
      <c r="N275" s="218" t="e">
        <f>+M275/I275</f>
        <v>#DIV/0!</v>
      </c>
      <c r="O275" s="225">
        <f>L275/L285</f>
        <v>0.014118022431465593</v>
      </c>
      <c r="P275" s="165"/>
    </row>
    <row r="276" spans="1:16" ht="18" customHeight="1" thickBot="1">
      <c r="A276" s="165"/>
      <c r="F276" s="233" t="s">
        <v>247</v>
      </c>
      <c r="G276" s="586"/>
      <c r="H276" s="587"/>
      <c r="I276" s="235">
        <f>SUM(I267:I275)</f>
        <v>153.27</v>
      </c>
      <c r="J276" s="586"/>
      <c r="K276" s="587"/>
      <c r="L276" s="235">
        <f>SUM(L267:L275)</f>
        <v>206.95</v>
      </c>
      <c r="M276" s="237">
        <f>SUM(M267:M275)</f>
        <v>53.68</v>
      </c>
      <c r="N276" s="238">
        <f t="shared" si="31"/>
        <v>0.3502316174071899</v>
      </c>
      <c r="O276" s="240">
        <f>L276/L285</f>
        <v>0.12301998914491807</v>
      </c>
      <c r="P276" s="385"/>
    </row>
    <row r="277" spans="1:16" ht="18" customHeight="1" thickBot="1">
      <c r="A277" s="165"/>
      <c r="F277" s="199" t="s">
        <v>248</v>
      </c>
      <c r="G277" s="372">
        <f>C268*'Other Electriciy Rates NF'!$M$11</f>
        <v>13214.999999999998</v>
      </c>
      <c r="H277" s="373">
        <f>'Other Electriciy Rates NF'!$B$11</f>
        <v>0.0091</v>
      </c>
      <c r="I277" s="210">
        <f>+G277*H277</f>
        <v>120.25649999999999</v>
      </c>
      <c r="J277" s="372">
        <f>'BILL IMPACTS NF'!C268*'Other Electriciy Rates NF'!$M$25</f>
        <v>13199.878438660873</v>
      </c>
      <c r="K277" s="494">
        <f>'Other Electriciy Rates NF'!$B$25</f>
        <v>0.009039845539860984</v>
      </c>
      <c r="L277" s="210">
        <f>+J277*K277</f>
        <v>119.32486223043566</v>
      </c>
      <c r="M277" s="374">
        <f>+L277-I277</f>
        <v>-0.9316377695643325</v>
      </c>
      <c r="N277" s="222">
        <f t="shared" si="31"/>
        <v>-0.007747088677654286</v>
      </c>
      <c r="O277" s="223">
        <f>L277/L285</f>
        <v>0.07093183501477188</v>
      </c>
      <c r="P277" s="385"/>
    </row>
    <row r="278" spans="1:16" ht="18" customHeight="1" thickBot="1">
      <c r="A278" s="165"/>
      <c r="F278" s="233" t="s">
        <v>249</v>
      </c>
      <c r="G278" s="586"/>
      <c r="H278" s="587"/>
      <c r="I278" s="235">
        <f>SUM(I276:I277)</f>
        <v>273.5265</v>
      </c>
      <c r="J278" s="586"/>
      <c r="K278" s="587"/>
      <c r="L278" s="235">
        <f>SUM(L276:L277)</f>
        <v>326.27486223043564</v>
      </c>
      <c r="M278" s="237">
        <f>SUM(M276:M277)</f>
        <v>52.74836223043567</v>
      </c>
      <c r="N278" s="238">
        <f t="shared" si="31"/>
        <v>0.192845527692694</v>
      </c>
      <c r="O278" s="375">
        <f>L278/L285</f>
        <v>0.19395182415968995</v>
      </c>
      <c r="P278" s="385"/>
    </row>
    <row r="279" spans="1:16" ht="18" customHeight="1">
      <c r="A279" s="165"/>
      <c r="F279" s="200" t="s">
        <v>77</v>
      </c>
      <c r="G279" s="202">
        <f>+'Other Electriciy Rates NF'!$M$10*C268</f>
        <v>13214.999999999998</v>
      </c>
      <c r="H279" s="203">
        <f>'Other Electriciy Rates NF'!$C$11+'Other Electriciy Rates NF'!$E$11+'Other Electriciy Rates NF'!D11</f>
        <v>0.0138725</v>
      </c>
      <c r="I279" s="204">
        <f>+G279*H279</f>
        <v>183.32508749999997</v>
      </c>
      <c r="J279" s="202">
        <f>J277</f>
        <v>13199.878438660873</v>
      </c>
      <c r="K279" s="203">
        <f>'Other Electriciy Rates NF'!$C$25+'Other Electriciy Rates NF'!$E$25+'Other Electriciy Rates NF'!D25</f>
        <v>0.0135</v>
      </c>
      <c r="L279" s="522">
        <f>+J279*K279</f>
        <v>178.1983589219218</v>
      </c>
      <c r="M279" s="221">
        <f>+L279-I279</f>
        <v>-5.126728578078172</v>
      </c>
      <c r="N279" s="222">
        <f aca="true" t="shared" si="32" ref="N279:N285">+M279/I279</f>
        <v>-0.027965231862104922</v>
      </c>
      <c r="O279" s="301">
        <f>L279/L285</f>
        <v>0.10592877593726521</v>
      </c>
      <c r="P279" s="165"/>
    </row>
    <row r="280" spans="2:16" ht="21.75" customHeight="1">
      <c r="B280" s="172"/>
      <c r="C280" s="31"/>
      <c r="D280" s="31"/>
      <c r="E280" s="31"/>
      <c r="F280" s="200" t="s">
        <v>321</v>
      </c>
      <c r="G280" s="220"/>
      <c r="H280" s="219"/>
      <c r="I280" s="512">
        <v>0.25</v>
      </c>
      <c r="J280" s="496"/>
      <c r="K280" s="219"/>
      <c r="L280" s="523">
        <v>0.25</v>
      </c>
      <c r="M280" s="230">
        <f>+L280-I280</f>
        <v>0</v>
      </c>
      <c r="N280" s="231">
        <f t="shared" si="32"/>
        <v>0</v>
      </c>
      <c r="O280" s="225">
        <f>L280/L285</f>
        <v>0.00014861076243647992</v>
      </c>
      <c r="P280" s="165"/>
    </row>
    <row r="281" spans="1:16" ht="18" customHeight="1">
      <c r="A281" s="165"/>
      <c r="B281" s="25"/>
      <c r="C281" s="31"/>
      <c r="D281" s="31"/>
      <c r="E281" s="31"/>
      <c r="F281" s="197" t="s">
        <v>78</v>
      </c>
      <c r="G281" s="202">
        <v>600</v>
      </c>
      <c r="H281" s="203">
        <f>'Other Electriciy Rates NF'!$K$11</f>
        <v>0.065</v>
      </c>
      <c r="I281" s="204">
        <f>+G281*H281</f>
        <v>39</v>
      </c>
      <c r="J281" s="202">
        <v>600</v>
      </c>
      <c r="K281" s="203">
        <f>'Other Electriciy Rates NF'!$K$25</f>
        <v>0.065</v>
      </c>
      <c r="L281" s="522">
        <f>+J281*K281</f>
        <v>39</v>
      </c>
      <c r="M281" s="230">
        <f>+L281-I281</f>
        <v>0</v>
      </c>
      <c r="N281" s="231">
        <f t="shared" si="32"/>
        <v>0</v>
      </c>
      <c r="O281" s="232">
        <f>L281/L285</f>
        <v>0.023183278940090868</v>
      </c>
      <c r="P281" s="165"/>
    </row>
    <row r="282" spans="1:16" ht="18" customHeight="1" thickBot="1">
      <c r="A282" s="165"/>
      <c r="B282" s="25"/>
      <c r="C282" s="31"/>
      <c r="D282" s="31"/>
      <c r="E282" s="31"/>
      <c r="F282" s="197" t="s">
        <v>78</v>
      </c>
      <c r="G282" s="202">
        <f>G279-G281</f>
        <v>12614.999999999998</v>
      </c>
      <c r="H282" s="203">
        <f>'Other Electriciy Rates NF'!$L$11</f>
        <v>0.075</v>
      </c>
      <c r="I282" s="204">
        <f>+G282*H282</f>
        <v>946.1249999999998</v>
      </c>
      <c r="J282" s="202">
        <f>J279-J281</f>
        <v>12599.878438660873</v>
      </c>
      <c r="K282" s="203">
        <f>'Other Electriciy Rates NF'!$L$25</f>
        <v>0.075</v>
      </c>
      <c r="L282" s="522">
        <f>+J282*K282</f>
        <v>944.9908828995655</v>
      </c>
      <c r="M282" s="524">
        <f>+L282-I282</f>
        <v>-1.1341171004343096</v>
      </c>
      <c r="N282" s="525">
        <f t="shared" si="32"/>
        <v>-0.0011986968956895863</v>
      </c>
      <c r="O282" s="526">
        <f>L282/L285</f>
        <v>0.561743262412907</v>
      </c>
      <c r="P282" s="165"/>
    </row>
    <row r="283" spans="2:16" ht="18" customHeight="1" thickBot="1">
      <c r="B283" s="172"/>
      <c r="C283" s="31"/>
      <c r="D283" s="31"/>
      <c r="E283" s="31"/>
      <c r="F283" s="233" t="s">
        <v>195</v>
      </c>
      <c r="G283" s="586"/>
      <c r="H283" s="587"/>
      <c r="I283" s="235">
        <f>SUM(I278:I282)</f>
        <v>1442.2265874999998</v>
      </c>
      <c r="J283" s="586"/>
      <c r="K283" s="587"/>
      <c r="L283" s="235">
        <f>SUM(L278:L282)</f>
        <v>1488.7141040519227</v>
      </c>
      <c r="M283" s="386">
        <f>SUM(M278:M282)</f>
        <v>46.487516551923186</v>
      </c>
      <c r="N283" s="238">
        <f t="shared" si="32"/>
        <v>0.032233157365727176</v>
      </c>
      <c r="O283" s="375">
        <f>L283/L285</f>
        <v>0.8849557522123893</v>
      </c>
      <c r="P283" s="165"/>
    </row>
    <row r="284" spans="2:16" ht="18" customHeight="1" thickBot="1">
      <c r="B284" s="172"/>
      <c r="C284" s="31"/>
      <c r="D284" s="31"/>
      <c r="E284" s="31"/>
      <c r="F284" s="297" t="s">
        <v>274</v>
      </c>
      <c r="G284" s="298"/>
      <c r="H284" s="302">
        <v>0.13</v>
      </c>
      <c r="I284" s="299">
        <f>I283*H284</f>
        <v>187.48945637499997</v>
      </c>
      <c r="J284" s="298"/>
      <c r="K284" s="302">
        <v>0.13</v>
      </c>
      <c r="L284" s="300">
        <f>L283*K284</f>
        <v>193.53283352674995</v>
      </c>
      <c r="M284" s="227">
        <f>+L284-I284</f>
        <v>6.043377151749979</v>
      </c>
      <c r="N284" s="228">
        <f t="shared" si="32"/>
        <v>0.03223315736572699</v>
      </c>
      <c r="O284" s="241">
        <f>L284/L285</f>
        <v>0.11504424778761062</v>
      </c>
      <c r="P284" s="165"/>
    </row>
    <row r="285" spans="2:16" ht="18" customHeight="1" thickBot="1">
      <c r="B285" s="172"/>
      <c r="C285" s="31"/>
      <c r="D285" s="31"/>
      <c r="E285" s="35"/>
      <c r="F285" s="234" t="s">
        <v>79</v>
      </c>
      <c r="G285" s="598"/>
      <c r="H285" s="599"/>
      <c r="I285" s="236">
        <f>SUM(I283:I284)</f>
        <v>1629.7160438749997</v>
      </c>
      <c r="J285" s="598"/>
      <c r="K285" s="599"/>
      <c r="L285" s="236">
        <f>SUM(L283:L284)</f>
        <v>1682.2469375786727</v>
      </c>
      <c r="M285" s="387">
        <f>SUM(M283:M284)</f>
        <v>52.530893703673165</v>
      </c>
      <c r="N285" s="238">
        <f t="shared" si="32"/>
        <v>0.032233157365727155</v>
      </c>
      <c r="O285" s="240">
        <f>SUM(O283:O284)</f>
        <v>0.9999999999999999</v>
      </c>
      <c r="P285" s="165"/>
    </row>
    <row r="286" spans="2:16" ht="18" customHeight="1" thickBot="1">
      <c r="B286" s="166"/>
      <c r="C286" s="178"/>
      <c r="D286" s="178"/>
      <c r="E286" s="178"/>
      <c r="F286" s="179"/>
      <c r="G286" s="180"/>
      <c r="H286" s="181"/>
      <c r="I286" s="182"/>
      <c r="J286" s="180"/>
      <c r="K286" s="183"/>
      <c r="L286" s="182"/>
      <c r="M286" s="187"/>
      <c r="N286" s="185"/>
      <c r="O286" s="186"/>
      <c r="P286" s="167"/>
    </row>
    <row r="287" ht="18" customHeight="1" thickBot="1"/>
    <row r="288" spans="2:16" ht="18" customHeight="1">
      <c r="B288" s="174"/>
      <c r="C288" s="592"/>
      <c r="D288" s="592"/>
      <c r="E288" s="592"/>
      <c r="F288" s="592"/>
      <c r="G288" s="592"/>
      <c r="H288" s="592"/>
      <c r="I288" s="592"/>
      <c r="J288" s="592"/>
      <c r="K288" s="592"/>
      <c r="L288" s="592"/>
      <c r="M288" s="592"/>
      <c r="N288" s="592"/>
      <c r="O288" s="592"/>
      <c r="P288" s="164"/>
    </row>
    <row r="289" spans="2:16" ht="23.25">
      <c r="B289" s="172"/>
      <c r="C289" s="591" t="s">
        <v>137</v>
      </c>
      <c r="D289" s="591"/>
      <c r="E289" s="591"/>
      <c r="F289" s="591"/>
      <c r="G289" s="591"/>
      <c r="H289" s="591"/>
      <c r="I289" s="591"/>
      <c r="J289" s="591"/>
      <c r="K289" s="591"/>
      <c r="L289" s="591"/>
      <c r="M289" s="591"/>
      <c r="N289" s="591"/>
      <c r="O289" s="591"/>
      <c r="P289" s="165"/>
    </row>
    <row r="290" spans="2:16" ht="18" customHeight="1" thickBot="1">
      <c r="B290" s="172"/>
      <c r="C290" s="590"/>
      <c r="D290" s="590"/>
      <c r="E290" s="590"/>
      <c r="F290" s="590"/>
      <c r="G290" s="590"/>
      <c r="H290" s="590"/>
      <c r="I290" s="590"/>
      <c r="J290" s="590"/>
      <c r="K290" s="590"/>
      <c r="L290" s="590"/>
      <c r="M290" s="590"/>
      <c r="N290" s="590"/>
      <c r="O290" s="590"/>
      <c r="P290" s="165"/>
    </row>
    <row r="291" spans="2:16" ht="18" customHeight="1" thickBot="1">
      <c r="B291" s="172"/>
      <c r="C291" s="173"/>
      <c r="D291" s="173"/>
      <c r="E291" s="31"/>
      <c r="F291" s="37"/>
      <c r="G291" s="595" t="str">
        <f>$G$10</f>
        <v>2010 BILL</v>
      </c>
      <c r="H291" s="596"/>
      <c r="I291" s="597"/>
      <c r="J291" s="595" t="str">
        <f>$J$10</f>
        <v>2011 BILL</v>
      </c>
      <c r="K291" s="596"/>
      <c r="L291" s="597"/>
      <c r="M291" s="595" t="s">
        <v>73</v>
      </c>
      <c r="N291" s="596"/>
      <c r="O291" s="597"/>
      <c r="P291" s="165"/>
    </row>
    <row r="292" spans="2:16" ht="26.25" thickBot="1">
      <c r="B292" s="172"/>
      <c r="C292" s="31"/>
      <c r="D292" s="31"/>
      <c r="E292" s="33"/>
      <c r="F292" s="38"/>
      <c r="G292" s="188" t="s">
        <v>67</v>
      </c>
      <c r="H292" s="189" t="s">
        <v>68</v>
      </c>
      <c r="I292" s="190" t="s">
        <v>69</v>
      </c>
      <c r="J292" s="191" t="s">
        <v>67</v>
      </c>
      <c r="K292" s="189" t="s">
        <v>68</v>
      </c>
      <c r="L292" s="190" t="s">
        <v>69</v>
      </c>
      <c r="M292" s="192" t="s">
        <v>80</v>
      </c>
      <c r="N292" s="193" t="s">
        <v>81</v>
      </c>
      <c r="O292" s="194" t="s">
        <v>76</v>
      </c>
      <c r="P292" s="165"/>
    </row>
    <row r="293" spans="2:16" ht="18" customHeight="1" thickBot="1">
      <c r="B293" s="172"/>
      <c r="C293" s="593" t="s">
        <v>70</v>
      </c>
      <c r="D293" s="594"/>
      <c r="E293" s="31"/>
      <c r="F293" s="198" t="s">
        <v>71</v>
      </c>
      <c r="G293" s="207"/>
      <c r="H293" s="208"/>
      <c r="I293" s="209">
        <f>'2010 Existing RatesNF'!$C$9</f>
        <v>47.27</v>
      </c>
      <c r="J293" s="207"/>
      <c r="K293" s="208"/>
      <c r="L293" s="212">
        <f>'Rate Schedule (Part 1) NF'!$E$22</f>
        <v>38.45</v>
      </c>
      <c r="M293" s="221">
        <f aca="true" t="shared" si="33" ref="M293:M299">+L293-I293</f>
        <v>-8.82</v>
      </c>
      <c r="N293" s="222">
        <f aca="true" t="shared" si="34" ref="N293:N304">+M293/I293</f>
        <v>-0.1865876877512164</v>
      </c>
      <c r="O293" s="223">
        <f>L293/L311</f>
        <v>0.019119079105908335</v>
      </c>
      <c r="P293" s="165"/>
    </row>
    <row r="294" spans="2:16" ht="18" customHeight="1" thickBot="1">
      <c r="B294" s="172"/>
      <c r="C294" s="170">
        <v>15000</v>
      </c>
      <c r="D294" s="171" t="s">
        <v>16</v>
      </c>
      <c r="E294" s="31"/>
      <c r="F294" s="199" t="s">
        <v>72</v>
      </c>
      <c r="G294" s="201">
        <f>+C294</f>
        <v>15000</v>
      </c>
      <c r="H294" s="196">
        <f>'2010 Existing RatesNF'!$E$9</f>
        <v>0.01</v>
      </c>
      <c r="I294" s="210">
        <f>+G294*H294</f>
        <v>150</v>
      </c>
      <c r="J294" s="201">
        <f>+C294</f>
        <v>15000</v>
      </c>
      <c r="K294" s="195">
        <f>'Rate Schedule (Part 1) NF'!$E$23</f>
        <v>0.0141</v>
      </c>
      <c r="L294" s="214">
        <f>+J294*K294</f>
        <v>211.5</v>
      </c>
      <c r="M294" s="224">
        <f t="shared" si="33"/>
        <v>61.5</v>
      </c>
      <c r="N294" s="218">
        <f t="shared" si="34"/>
        <v>0.41</v>
      </c>
      <c r="O294" s="225">
        <f>L294/L311</f>
        <v>0.1051673662132539</v>
      </c>
      <c r="P294" s="165"/>
    </row>
    <row r="295" spans="2:16" ht="18" customHeight="1">
      <c r="B295" s="172"/>
      <c r="C295" s="63"/>
      <c r="D295" s="64"/>
      <c r="E295" s="31"/>
      <c r="F295" s="199" t="s">
        <v>246</v>
      </c>
      <c r="G295" s="201">
        <f>G294</f>
        <v>15000</v>
      </c>
      <c r="H295" s="196">
        <f>'2010 Existing RatesNF'!$B$47</f>
        <v>0</v>
      </c>
      <c r="I295" s="210">
        <f>+G295*H295</f>
        <v>0</v>
      </c>
      <c r="J295" s="201">
        <f>J294</f>
        <v>15000</v>
      </c>
      <c r="K295" s="195">
        <f>'Rate Schedule (Part 1) NF'!$E$24</f>
        <v>0.0003</v>
      </c>
      <c r="L295" s="214">
        <f>+J295*K295</f>
        <v>4.5</v>
      </c>
      <c r="M295" s="224">
        <f t="shared" si="33"/>
        <v>4.5</v>
      </c>
      <c r="N295" s="218" t="e">
        <f t="shared" si="34"/>
        <v>#DIV/0!</v>
      </c>
      <c r="O295" s="225">
        <f>L295/L311</f>
        <v>0.0022376035364522107</v>
      </c>
      <c r="P295" s="165"/>
    </row>
    <row r="296" spans="1:16" ht="18" customHeight="1">
      <c r="A296" s="165"/>
      <c r="B296" s="25"/>
      <c r="C296" s="63"/>
      <c r="D296" s="64"/>
      <c r="E296" s="31"/>
      <c r="F296" s="199" t="s">
        <v>170</v>
      </c>
      <c r="G296" s="220"/>
      <c r="H296" s="219"/>
      <c r="I296" s="210">
        <f>'2010 Existing RatesNF'!$B$58</f>
        <v>1</v>
      </c>
      <c r="J296" s="220"/>
      <c r="K296" s="219"/>
      <c r="L296" s="214">
        <f>'Rate Schedule (Part 1) NF'!$E$26</f>
        <v>1</v>
      </c>
      <c r="M296" s="224">
        <f t="shared" si="33"/>
        <v>0</v>
      </c>
      <c r="N296" s="218">
        <f t="shared" si="34"/>
        <v>0</v>
      </c>
      <c r="O296" s="225">
        <f>L296/L311</f>
        <v>0.0004972452303227135</v>
      </c>
      <c r="P296" s="165"/>
    </row>
    <row r="297" spans="1:16" ht="18" customHeight="1">
      <c r="A297" s="165"/>
      <c r="B297" s="25"/>
      <c r="C297" s="31"/>
      <c r="D297" s="31"/>
      <c r="E297" s="31"/>
      <c r="F297" s="199" t="s">
        <v>162</v>
      </c>
      <c r="G297" s="201">
        <f>C294</f>
        <v>15000</v>
      </c>
      <c r="H297" s="196"/>
      <c r="I297" s="206">
        <f>+G297*H297</f>
        <v>0</v>
      </c>
      <c r="J297" s="201">
        <f>C294</f>
        <v>15000</v>
      </c>
      <c r="K297" s="195">
        <f>'Rate Schedule (Part 1) NF'!$E$25</f>
        <v>0</v>
      </c>
      <c r="L297" s="214">
        <f>J297*K297</f>
        <v>0</v>
      </c>
      <c r="M297" s="224">
        <f t="shared" si="33"/>
        <v>0</v>
      </c>
      <c r="N297" s="218" t="e">
        <f t="shared" si="34"/>
        <v>#DIV/0!</v>
      </c>
      <c r="O297" s="225">
        <f>L297/L311</f>
        <v>0</v>
      </c>
      <c r="P297" s="165"/>
    </row>
    <row r="298" spans="2:16" ht="26.25" customHeight="1">
      <c r="B298" s="172"/>
      <c r="C298" s="63"/>
      <c r="D298" s="64"/>
      <c r="E298" s="31"/>
      <c r="F298" s="199" t="s">
        <v>286</v>
      </c>
      <c r="G298" s="201">
        <f>+C294</f>
        <v>15000</v>
      </c>
      <c r="H298" s="196">
        <f>'2010 Existing RatesNF'!$B$21</f>
        <v>-0.0027</v>
      </c>
      <c r="I298" s="206">
        <f>+G298*H298</f>
        <v>-40.5</v>
      </c>
      <c r="J298" s="201">
        <f>+C294</f>
        <v>15000</v>
      </c>
      <c r="K298" s="195">
        <f>'Rate Schedule (Part 1) NF'!$E$28</f>
        <v>-0.0027</v>
      </c>
      <c r="L298" s="214">
        <f>+J298*K298</f>
        <v>-40.5</v>
      </c>
      <c r="M298" s="224">
        <f t="shared" si="33"/>
        <v>0</v>
      </c>
      <c r="N298" s="218">
        <f t="shared" si="34"/>
        <v>0</v>
      </c>
      <c r="O298" s="225">
        <f>L298/L311</f>
        <v>-0.020138431828069896</v>
      </c>
      <c r="P298" s="165"/>
    </row>
    <row r="299" spans="2:16" ht="27.75" customHeight="1">
      <c r="B299" s="172"/>
      <c r="C299" s="31"/>
      <c r="D299" s="31"/>
      <c r="E299" s="31"/>
      <c r="F299" s="199" t="s">
        <v>294</v>
      </c>
      <c r="G299" s="372">
        <f>C294</f>
        <v>15000</v>
      </c>
      <c r="H299" s="488"/>
      <c r="I299" s="206">
        <f>+G299*H299</f>
        <v>0</v>
      </c>
      <c r="J299" s="372">
        <f>C294</f>
        <v>15000</v>
      </c>
      <c r="K299" s="488">
        <f>'Rate Schedule (Part 1) NF'!E30</f>
        <v>-0.0013</v>
      </c>
      <c r="L299" s="214">
        <f>+J299*K299</f>
        <v>-19.5</v>
      </c>
      <c r="M299" s="224">
        <f t="shared" si="33"/>
        <v>-19.5</v>
      </c>
      <c r="N299" s="218" t="e">
        <f>+M299/I299</f>
        <v>#DIV/0!</v>
      </c>
      <c r="O299" s="225">
        <f>L299/L311</f>
        <v>-0.009696281991292913</v>
      </c>
      <c r="P299" s="165"/>
    </row>
    <row r="300" spans="2:16" ht="26.25" customHeight="1">
      <c r="B300" s="172"/>
      <c r="C300" s="63"/>
      <c r="D300" s="64"/>
      <c r="E300" s="31"/>
      <c r="F300" s="199" t="s">
        <v>316</v>
      </c>
      <c r="G300" s="201">
        <f>C294</f>
        <v>15000</v>
      </c>
      <c r="H300" s="196">
        <f>'2010 Existing RatesNF'!B34</f>
        <v>0.0011</v>
      </c>
      <c r="I300" s="206">
        <f>+G300*H300</f>
        <v>16.5</v>
      </c>
      <c r="J300" s="201">
        <f>C294</f>
        <v>15000</v>
      </c>
      <c r="K300" s="195">
        <f>'Rate Schedule (Part 1) NF'!E27</f>
        <v>0.0011</v>
      </c>
      <c r="L300" s="214">
        <f>+J300*K300</f>
        <v>16.5</v>
      </c>
      <c r="M300" s="224">
        <f>+L300-I300</f>
        <v>0</v>
      </c>
      <c r="N300" s="218">
        <f>+M300/I300</f>
        <v>0</v>
      </c>
      <c r="O300" s="225">
        <f>L300/L311</f>
        <v>0.008204546300324772</v>
      </c>
      <c r="P300" s="165"/>
    </row>
    <row r="301" spans="2:16" ht="27.75" customHeight="1" thickBot="1">
      <c r="B301" s="172"/>
      <c r="C301" s="31"/>
      <c r="D301" s="31"/>
      <c r="E301" s="31"/>
      <c r="F301" s="199" t="s">
        <v>317</v>
      </c>
      <c r="G301" s="372">
        <f>C294</f>
        <v>15000</v>
      </c>
      <c r="H301" s="488"/>
      <c r="I301" s="206">
        <f>+G301*H301</f>
        <v>0</v>
      </c>
      <c r="J301" s="372">
        <f>C294</f>
        <v>15000</v>
      </c>
      <c r="K301" s="488">
        <f>'Rate Schedule (Part 1) NF'!E29</f>
        <v>0.0019</v>
      </c>
      <c r="L301" s="214">
        <f>+J301*K301</f>
        <v>28.5</v>
      </c>
      <c r="M301" s="224">
        <f>+L301-I301</f>
        <v>28.5</v>
      </c>
      <c r="N301" s="218" t="e">
        <f>+M301/I301</f>
        <v>#DIV/0!</v>
      </c>
      <c r="O301" s="225">
        <f>L301/L311</f>
        <v>0.014171489064197334</v>
      </c>
      <c r="P301" s="165"/>
    </row>
    <row r="302" spans="1:16" ht="18" customHeight="1" thickBot="1">
      <c r="A302" s="165"/>
      <c r="F302" s="233" t="s">
        <v>247</v>
      </c>
      <c r="G302" s="586"/>
      <c r="H302" s="587"/>
      <c r="I302" s="235">
        <f>SUM(I293:I301)</f>
        <v>174.27</v>
      </c>
      <c r="J302" s="586"/>
      <c r="K302" s="587"/>
      <c r="L302" s="235">
        <f>SUM(L293:L301)</f>
        <v>240.45</v>
      </c>
      <c r="M302" s="237">
        <f>SUM(M293:M301)</f>
        <v>66.18</v>
      </c>
      <c r="N302" s="238">
        <f t="shared" si="34"/>
        <v>0.379755551730074</v>
      </c>
      <c r="O302" s="240">
        <f>L302/L311</f>
        <v>0.11956261563109645</v>
      </c>
      <c r="P302" s="385"/>
    </row>
    <row r="303" spans="1:16" ht="18" customHeight="1" thickBot="1">
      <c r="A303" s="165"/>
      <c r="F303" s="199" t="s">
        <v>248</v>
      </c>
      <c r="G303" s="372">
        <f>C294*'Other Electriciy Rates NF'!$M$11</f>
        <v>15857.999999999998</v>
      </c>
      <c r="H303" s="373">
        <f>'Other Electriciy Rates NF'!$B$11</f>
        <v>0.0091</v>
      </c>
      <c r="I303" s="210">
        <f>+G303*H303</f>
        <v>144.3078</v>
      </c>
      <c r="J303" s="372">
        <f>'BILL IMPACTS NF'!C294*'Other Electriciy Rates NF'!$M$25</f>
        <v>15839.854126393047</v>
      </c>
      <c r="K303" s="494">
        <f>'Other Electriciy Rates NF'!$B$25</f>
        <v>0.009039845539860984</v>
      </c>
      <c r="L303" s="210">
        <f>+J303*K303</f>
        <v>143.1898346765228</v>
      </c>
      <c r="M303" s="374">
        <f>+L303-I303</f>
        <v>-1.1179653234771934</v>
      </c>
      <c r="N303" s="222">
        <f t="shared" si="34"/>
        <v>-0.007747088677654246</v>
      </c>
      <c r="O303" s="223">
        <f>L303/L311</f>
        <v>0.07120046232359883</v>
      </c>
      <c r="P303" s="385"/>
    </row>
    <row r="304" spans="1:16" ht="18" customHeight="1" thickBot="1">
      <c r="A304" s="165"/>
      <c r="F304" s="233" t="s">
        <v>249</v>
      </c>
      <c r="G304" s="586"/>
      <c r="H304" s="587"/>
      <c r="I304" s="235">
        <f>SUM(I302:I303)</f>
        <v>318.5778</v>
      </c>
      <c r="J304" s="586"/>
      <c r="K304" s="587"/>
      <c r="L304" s="235">
        <f>SUM(L302:L303)</f>
        <v>383.6398346765228</v>
      </c>
      <c r="M304" s="237">
        <f>SUM(M302:M303)</f>
        <v>65.06203467652281</v>
      </c>
      <c r="N304" s="238">
        <f t="shared" si="34"/>
        <v>0.20422651759326232</v>
      </c>
      <c r="O304" s="375">
        <f>L304/L311</f>
        <v>0.1907630779546953</v>
      </c>
      <c r="P304" s="385"/>
    </row>
    <row r="305" spans="1:16" ht="18" customHeight="1">
      <c r="A305" s="165"/>
      <c r="F305" s="200" t="s">
        <v>77</v>
      </c>
      <c r="G305" s="202">
        <f>+'Other Electriciy Rates NF'!$M$10*C294</f>
        <v>15857.999999999998</v>
      </c>
      <c r="H305" s="203">
        <f>'Other Electriciy Rates NF'!$C$11+'Other Electriciy Rates NF'!$E$11+'Other Electriciy Rates NF'!D11</f>
        <v>0.0138725</v>
      </c>
      <c r="I305" s="204">
        <f>+G305*H305</f>
        <v>219.99010499999997</v>
      </c>
      <c r="J305" s="202">
        <f>J303</f>
        <v>15839.854126393047</v>
      </c>
      <c r="K305" s="203">
        <f>'Other Electriciy Rates NF'!$C$25+'Other Electriciy Rates NF'!$E$25+'Other Electriciy Rates NF'!D25</f>
        <v>0.0135</v>
      </c>
      <c r="L305" s="522">
        <f>+J305*K305</f>
        <v>213.83803070630614</v>
      </c>
      <c r="M305" s="221">
        <f>+L305-I305</f>
        <v>-6.152074293693829</v>
      </c>
      <c r="N305" s="222">
        <f aca="true" t="shared" si="35" ref="N305:N311">+M305/I305</f>
        <v>-0.027965231862105023</v>
      </c>
      <c r="O305" s="301">
        <f>L305/L311</f>
        <v>0.10632994083031268</v>
      </c>
      <c r="P305" s="165"/>
    </row>
    <row r="306" spans="2:16" ht="21.75" customHeight="1">
      <c r="B306" s="172"/>
      <c r="C306" s="31"/>
      <c r="D306" s="31"/>
      <c r="E306" s="31"/>
      <c r="F306" s="200" t="s">
        <v>321</v>
      </c>
      <c r="G306" s="220"/>
      <c r="H306" s="219"/>
      <c r="I306" s="512">
        <v>0.25</v>
      </c>
      <c r="J306" s="496"/>
      <c r="K306" s="219"/>
      <c r="L306" s="523">
        <v>0.25</v>
      </c>
      <c r="M306" s="230">
        <f>+L306-I306</f>
        <v>0</v>
      </c>
      <c r="N306" s="231">
        <f t="shared" si="35"/>
        <v>0</v>
      </c>
      <c r="O306" s="225">
        <f>L306/L311</f>
        <v>0.00012431130758067837</v>
      </c>
      <c r="P306" s="165"/>
    </row>
    <row r="307" spans="1:16" ht="18" customHeight="1">
      <c r="A307" s="165"/>
      <c r="B307" s="25"/>
      <c r="C307" s="31"/>
      <c r="D307" s="31"/>
      <c r="E307" s="31"/>
      <c r="F307" s="197" t="s">
        <v>78</v>
      </c>
      <c r="G307" s="202">
        <v>600</v>
      </c>
      <c r="H307" s="203">
        <f>'Other Electriciy Rates NF'!$K$11</f>
        <v>0.065</v>
      </c>
      <c r="I307" s="204">
        <f>+G307*H307</f>
        <v>39</v>
      </c>
      <c r="J307" s="202">
        <v>600</v>
      </c>
      <c r="K307" s="203">
        <f>'Other Electriciy Rates NF'!$K$25</f>
        <v>0.065</v>
      </c>
      <c r="L307" s="522">
        <f>+J307*K307</f>
        <v>39</v>
      </c>
      <c r="M307" s="230">
        <f>+L307-I307</f>
        <v>0</v>
      </c>
      <c r="N307" s="231">
        <f t="shared" si="35"/>
        <v>0</v>
      </c>
      <c r="O307" s="232">
        <f>L307/L311</f>
        <v>0.019392563982585827</v>
      </c>
      <c r="P307" s="165"/>
    </row>
    <row r="308" spans="2:16" ht="18" customHeight="1" thickBot="1">
      <c r="B308" s="172"/>
      <c r="C308" s="31"/>
      <c r="D308" s="31"/>
      <c r="E308" s="31"/>
      <c r="F308" s="197" t="s">
        <v>78</v>
      </c>
      <c r="G308" s="202">
        <f>G305-G307</f>
        <v>15257.999999999998</v>
      </c>
      <c r="H308" s="203">
        <f>'Other Electriciy Rates NF'!$L$11</f>
        <v>0.075</v>
      </c>
      <c r="I308" s="204">
        <f>+G308*H308</f>
        <v>1144.35</v>
      </c>
      <c r="J308" s="202">
        <f>J305-J307</f>
        <v>15239.854126393047</v>
      </c>
      <c r="K308" s="203">
        <f>'Other Electriciy Rates NF'!$L$25</f>
        <v>0.075</v>
      </c>
      <c r="L308" s="522">
        <f>+J308*K308</f>
        <v>1142.9890594794786</v>
      </c>
      <c r="M308" s="524">
        <f>+L308-I308</f>
        <v>-1.3609405205213534</v>
      </c>
      <c r="N308" s="525">
        <f t="shared" si="35"/>
        <v>-0.0011892694722081124</v>
      </c>
      <c r="O308" s="526">
        <f>L308/L311</f>
        <v>0.5683458581372149</v>
      </c>
      <c r="P308" s="165"/>
    </row>
    <row r="309" spans="2:16" ht="18" customHeight="1" thickBot="1">
      <c r="B309" s="172"/>
      <c r="C309" s="31"/>
      <c r="D309" s="31"/>
      <c r="E309" s="31"/>
      <c r="F309" s="233" t="s">
        <v>195</v>
      </c>
      <c r="G309" s="586"/>
      <c r="H309" s="587"/>
      <c r="I309" s="235">
        <f>SUM(I304:I308)</f>
        <v>1722.1679049999998</v>
      </c>
      <c r="J309" s="586"/>
      <c r="K309" s="587"/>
      <c r="L309" s="235">
        <f>SUM(L304:L308)</f>
        <v>1779.7169248623075</v>
      </c>
      <c r="M309" s="386">
        <f>SUM(M304:M308)</f>
        <v>57.54901986230763</v>
      </c>
      <c r="N309" s="238">
        <f t="shared" si="35"/>
        <v>0.0334166138477117</v>
      </c>
      <c r="O309" s="375">
        <f>L309/L311</f>
        <v>0.8849557522123894</v>
      </c>
      <c r="P309" s="165"/>
    </row>
    <row r="310" spans="2:16" ht="18" customHeight="1" thickBot="1">
      <c r="B310" s="172"/>
      <c r="C310" s="31"/>
      <c r="D310" s="31"/>
      <c r="E310" s="31"/>
      <c r="F310" s="297" t="s">
        <v>274</v>
      </c>
      <c r="G310" s="298"/>
      <c r="H310" s="302">
        <v>0.13</v>
      </c>
      <c r="I310" s="299">
        <f>I309*H310</f>
        <v>223.88182765</v>
      </c>
      <c r="J310" s="298"/>
      <c r="K310" s="302">
        <v>0.13</v>
      </c>
      <c r="L310" s="300">
        <f>L309*K310</f>
        <v>231.36320023209998</v>
      </c>
      <c r="M310" s="227">
        <f>+L310-I310</f>
        <v>7.4813725820999935</v>
      </c>
      <c r="N310" s="228">
        <f t="shared" si="35"/>
        <v>0.0334166138477117</v>
      </c>
      <c r="O310" s="241">
        <f>L310/L311</f>
        <v>0.11504424778761063</v>
      </c>
      <c r="P310" s="165"/>
    </row>
    <row r="311" spans="2:16" ht="18" customHeight="1" thickBot="1">
      <c r="B311" s="172"/>
      <c r="C311" s="31"/>
      <c r="D311" s="31"/>
      <c r="E311" s="35"/>
      <c r="F311" s="234" t="s">
        <v>79</v>
      </c>
      <c r="G311" s="598"/>
      <c r="H311" s="599"/>
      <c r="I311" s="236">
        <f>SUM(I309:I310)</f>
        <v>1946.04973265</v>
      </c>
      <c r="J311" s="598"/>
      <c r="K311" s="599"/>
      <c r="L311" s="236">
        <f>SUM(L309:L310)</f>
        <v>2011.0801250944073</v>
      </c>
      <c r="M311" s="387">
        <f>SUM(M309:M310)</f>
        <v>65.03039244440762</v>
      </c>
      <c r="N311" s="238">
        <f t="shared" si="35"/>
        <v>0.03341661384771169</v>
      </c>
      <c r="O311" s="240">
        <f>SUM(O309:O310)</f>
        <v>1</v>
      </c>
      <c r="P311" s="165"/>
    </row>
    <row r="312" spans="2:16" ht="18" customHeight="1" thickBot="1">
      <c r="B312" s="166"/>
      <c r="C312" s="178"/>
      <c r="D312" s="178"/>
      <c r="E312" s="178"/>
      <c r="F312" s="179"/>
      <c r="G312" s="180"/>
      <c r="H312" s="181"/>
      <c r="I312" s="182"/>
      <c r="J312" s="180"/>
      <c r="K312" s="183"/>
      <c r="L312" s="182"/>
      <c r="M312" s="187"/>
      <c r="N312" s="185"/>
      <c r="O312" s="186"/>
      <c r="P312" s="167"/>
    </row>
    <row r="313" ht="18" customHeight="1"/>
    <row r="314" ht="6.75" customHeight="1"/>
    <row r="315" ht="6.75" customHeight="1" thickBot="1"/>
    <row r="316" spans="2:16" ht="17.25" customHeight="1">
      <c r="B316" s="174"/>
      <c r="C316" s="592"/>
      <c r="D316" s="592"/>
      <c r="E316" s="592"/>
      <c r="F316" s="592"/>
      <c r="G316" s="592"/>
      <c r="H316" s="592"/>
      <c r="I316" s="592"/>
      <c r="J316" s="592"/>
      <c r="K316" s="592"/>
      <c r="L316" s="592"/>
      <c r="M316" s="592"/>
      <c r="N316" s="592"/>
      <c r="O316" s="592"/>
      <c r="P316" s="164"/>
    </row>
    <row r="317" spans="2:16" ht="23.25">
      <c r="B317" s="172"/>
      <c r="C317" s="591" t="s">
        <v>91</v>
      </c>
      <c r="D317" s="591"/>
      <c r="E317" s="591"/>
      <c r="F317" s="591"/>
      <c r="G317" s="591"/>
      <c r="H317" s="591"/>
      <c r="I317" s="591"/>
      <c r="J317" s="591"/>
      <c r="K317" s="591"/>
      <c r="L317" s="591"/>
      <c r="M317" s="591"/>
      <c r="N317" s="591"/>
      <c r="O317" s="591"/>
      <c r="P317" s="165"/>
    </row>
    <row r="318" spans="2:16" ht="17.25" customHeight="1" thickBot="1">
      <c r="B318" s="172"/>
      <c r="C318" s="590"/>
      <c r="D318" s="590"/>
      <c r="E318" s="590"/>
      <c r="F318" s="590"/>
      <c r="G318" s="590"/>
      <c r="H318" s="590"/>
      <c r="I318" s="590"/>
      <c r="J318" s="590"/>
      <c r="K318" s="590"/>
      <c r="L318" s="590"/>
      <c r="M318" s="590"/>
      <c r="N318" s="590"/>
      <c r="O318" s="590"/>
      <c r="P318" s="165"/>
    </row>
    <row r="319" spans="2:16" ht="21.75" customHeight="1" thickBot="1">
      <c r="B319" s="172"/>
      <c r="C319" s="173"/>
      <c r="D319" s="173"/>
      <c r="E319" s="31"/>
      <c r="F319" s="32"/>
      <c r="G319" s="595" t="str">
        <f>$G$10</f>
        <v>2010 BILL</v>
      </c>
      <c r="H319" s="596"/>
      <c r="I319" s="597"/>
      <c r="J319" s="595" t="str">
        <f>$J$10</f>
        <v>2011 BILL</v>
      </c>
      <c r="K319" s="596"/>
      <c r="L319" s="597"/>
      <c r="M319" s="595" t="s">
        <v>73</v>
      </c>
      <c r="N319" s="596"/>
      <c r="O319" s="597"/>
      <c r="P319" s="165"/>
    </row>
    <row r="320" spans="2:16" ht="24" customHeight="1" thickBot="1">
      <c r="B320" s="172"/>
      <c r="C320" s="31"/>
      <c r="D320" s="31"/>
      <c r="E320" s="33"/>
      <c r="F320" s="34"/>
      <c r="G320" s="391" t="s">
        <v>67</v>
      </c>
      <c r="H320" s="392" t="s">
        <v>68</v>
      </c>
      <c r="I320" s="393" t="s">
        <v>69</v>
      </c>
      <c r="J320" s="394" t="s">
        <v>67</v>
      </c>
      <c r="K320" s="392" t="s">
        <v>68</v>
      </c>
      <c r="L320" s="393" t="s">
        <v>69</v>
      </c>
      <c r="M320" s="192" t="s">
        <v>74</v>
      </c>
      <c r="N320" s="193" t="s">
        <v>75</v>
      </c>
      <c r="O320" s="194" t="s">
        <v>76</v>
      </c>
      <c r="P320" s="165"/>
    </row>
    <row r="321" spans="2:17" ht="17.25" customHeight="1" thickBot="1">
      <c r="B321" s="172"/>
      <c r="C321" s="593" t="s">
        <v>70</v>
      </c>
      <c r="D321" s="594"/>
      <c r="E321" s="31"/>
      <c r="F321" s="397" t="s">
        <v>71</v>
      </c>
      <c r="G321" s="395"/>
      <c r="H321" s="389"/>
      <c r="I321" s="204">
        <f>+'2010 Existing RatesNF'!$C$10</f>
        <v>280.14</v>
      </c>
      <c r="J321" s="202"/>
      <c r="K321" s="390"/>
      <c r="L321" s="229">
        <f>+'Distribution Rate Schedule'!$C$33</f>
        <v>222.81</v>
      </c>
      <c r="M321" s="230">
        <f aca="true" t="shared" si="36" ref="M321:M327">+L321-I321</f>
        <v>-57.329999999999984</v>
      </c>
      <c r="N321" s="231">
        <f aca="true" t="shared" si="37" ref="N321:N332">+M321/I321</f>
        <v>-0.204647676161919</v>
      </c>
      <c r="O321" s="225">
        <f>L321/L338</f>
        <v>0.06007975811321523</v>
      </c>
      <c r="P321" s="385"/>
      <c r="Q321" s="25"/>
    </row>
    <row r="322" spans="2:16" ht="17.25" customHeight="1" thickBot="1">
      <c r="B322" s="172"/>
      <c r="C322" s="170">
        <v>30000</v>
      </c>
      <c r="D322" s="171" t="s">
        <v>16</v>
      </c>
      <c r="E322" s="31"/>
      <c r="F322" s="398" t="s">
        <v>82</v>
      </c>
      <c r="G322" s="396">
        <f>+C323</f>
        <v>100</v>
      </c>
      <c r="H322" s="196">
        <f>'2010 Existing RatesNF'!$D$71</f>
        <v>3.0124</v>
      </c>
      <c r="I322" s="210">
        <f>+G322*H322</f>
        <v>301.24</v>
      </c>
      <c r="J322" s="201">
        <f>G322</f>
        <v>100</v>
      </c>
      <c r="K322" s="195">
        <f>'Rate Schedule (Part 1) NF'!$E$34</f>
        <v>4.0311</v>
      </c>
      <c r="L322" s="214">
        <f>+J322*K322</f>
        <v>403.11</v>
      </c>
      <c r="M322" s="230">
        <f t="shared" si="36"/>
        <v>101.87</v>
      </c>
      <c r="N322" s="231">
        <f t="shared" si="37"/>
        <v>0.33816890187226134</v>
      </c>
      <c r="O322" s="225">
        <f>L322/L338</f>
        <v>0.10869687757738968</v>
      </c>
      <c r="P322" s="165"/>
    </row>
    <row r="323" spans="2:16" ht="17.25" customHeight="1" thickBot="1">
      <c r="B323" s="172"/>
      <c r="C323" s="170">
        <v>100</v>
      </c>
      <c r="D323" s="171" t="s">
        <v>17</v>
      </c>
      <c r="E323" s="31"/>
      <c r="F323" s="398" t="s">
        <v>250</v>
      </c>
      <c r="G323" s="333">
        <f>G322</f>
        <v>100</v>
      </c>
      <c r="H323" s="399">
        <f>'2010 Existing RatesNF'!$D$48</f>
        <v>0</v>
      </c>
      <c r="J323" s="201">
        <f>+C323</f>
        <v>100</v>
      </c>
      <c r="K323" s="195">
        <f>'Rate Schedule (Part 1) NF'!$E$35</f>
        <v>0.1042</v>
      </c>
      <c r="L323" s="214">
        <f>+J323*K323</f>
        <v>10.42</v>
      </c>
      <c r="M323" s="230">
        <f t="shared" si="36"/>
        <v>10.42</v>
      </c>
      <c r="N323" s="231" t="e">
        <f t="shared" si="37"/>
        <v>#DIV/0!</v>
      </c>
      <c r="O323" s="225">
        <f>L323/L338</f>
        <v>0.0028097081797931094</v>
      </c>
      <c r="P323" s="165"/>
    </row>
    <row r="324" spans="2:16" ht="17.25" customHeight="1">
      <c r="B324" s="172"/>
      <c r="C324" s="369"/>
      <c r="D324" s="388"/>
      <c r="E324" s="31"/>
      <c r="F324" s="199" t="s">
        <v>170</v>
      </c>
      <c r="G324" s="220"/>
      <c r="H324" s="219"/>
      <c r="I324" s="210">
        <f>'2010 Existing RatesNF'!$B$58</f>
        <v>1</v>
      </c>
      <c r="J324" s="220"/>
      <c r="K324" s="219"/>
      <c r="L324" s="210">
        <f>'2010 Existing RatesNF'!$B$58</f>
        <v>1</v>
      </c>
      <c r="M324" s="230">
        <f t="shared" si="36"/>
        <v>0</v>
      </c>
      <c r="N324" s="231">
        <f t="shared" si="37"/>
        <v>0</v>
      </c>
      <c r="O324" s="225">
        <f>L324/L338</f>
        <v>0.0002696456986365748</v>
      </c>
      <c r="P324" s="165"/>
    </row>
    <row r="325" spans="2:16" ht="17.25" customHeight="1">
      <c r="B325" s="172"/>
      <c r="C325" s="63"/>
      <c r="D325" s="64"/>
      <c r="E325" s="31"/>
      <c r="F325" s="199" t="s">
        <v>251</v>
      </c>
      <c r="G325" s="201">
        <f>G323</f>
        <v>100</v>
      </c>
      <c r="H325" s="196"/>
      <c r="I325" s="210">
        <f>+G325*H325</f>
        <v>0</v>
      </c>
      <c r="J325" s="201">
        <f>G325</f>
        <v>100</v>
      </c>
      <c r="K325" s="195">
        <f>'Rate Schedule (Part 1) NF'!$E$36</f>
        <v>0</v>
      </c>
      <c r="L325" s="214">
        <f>+J325*K325</f>
        <v>0</v>
      </c>
      <c r="M325" s="230">
        <f t="shared" si="36"/>
        <v>0</v>
      </c>
      <c r="N325" s="231" t="e">
        <f t="shared" si="37"/>
        <v>#DIV/0!</v>
      </c>
      <c r="O325" s="225">
        <f>L325/L338</f>
        <v>0</v>
      </c>
      <c r="P325" s="165"/>
    </row>
    <row r="326" spans="2:16" ht="32.25" customHeight="1">
      <c r="B326" s="172"/>
      <c r="C326" s="31"/>
      <c r="D326" s="31"/>
      <c r="E326" s="31"/>
      <c r="F326" s="199" t="s">
        <v>295</v>
      </c>
      <c r="G326" s="201">
        <f>+C323</f>
        <v>100</v>
      </c>
      <c r="H326" s="196">
        <f>'2010 Existing RatesNF'!$D$22</f>
        <v>-1.16</v>
      </c>
      <c r="I326" s="210">
        <f>+G326*H326</f>
        <v>-115.99999999999999</v>
      </c>
      <c r="J326" s="201">
        <f>+C323</f>
        <v>100</v>
      </c>
      <c r="K326" s="195">
        <f>'Rate Schedule (Part 1) NF'!$E$39</f>
        <v>-1.16</v>
      </c>
      <c r="L326" s="214">
        <f>+J326*K326</f>
        <v>-115.99999999999999</v>
      </c>
      <c r="M326" s="230">
        <f t="shared" si="36"/>
        <v>0</v>
      </c>
      <c r="N326" s="231">
        <f t="shared" si="37"/>
        <v>0</v>
      </c>
      <c r="O326" s="225">
        <f>L326/L338</f>
        <v>-0.03127890104184267</v>
      </c>
      <c r="P326" s="165"/>
    </row>
    <row r="327" spans="2:16" ht="27.75" customHeight="1">
      <c r="B327" s="172"/>
      <c r="C327" s="31"/>
      <c r="D327" s="31"/>
      <c r="E327" s="31"/>
      <c r="F327" s="199" t="s">
        <v>296</v>
      </c>
      <c r="G327" s="372">
        <f>C323</f>
        <v>100</v>
      </c>
      <c r="H327" s="488"/>
      <c r="I327" s="206">
        <f>+G327*H327</f>
        <v>0</v>
      </c>
      <c r="J327" s="372">
        <f>C323</f>
        <v>100</v>
      </c>
      <c r="K327" s="488">
        <f>'Rate Schedule (Part 1) NF'!E41</f>
        <v>-0.6119</v>
      </c>
      <c r="L327" s="214">
        <f>+J327*K327</f>
        <v>-61.19</v>
      </c>
      <c r="M327" s="224">
        <f t="shared" si="36"/>
        <v>-61.19</v>
      </c>
      <c r="N327" s="218" t="e">
        <f>+M327/I327</f>
        <v>#DIV/0!</v>
      </c>
      <c r="O327" s="225">
        <f>L327/L338</f>
        <v>-0.016499620299572013</v>
      </c>
      <c r="P327" s="165"/>
    </row>
    <row r="328" spans="2:16" ht="32.25" customHeight="1">
      <c r="B328" s="172"/>
      <c r="C328" s="31"/>
      <c r="D328" s="31"/>
      <c r="E328" s="31"/>
      <c r="F328" s="199" t="s">
        <v>318</v>
      </c>
      <c r="G328" s="201">
        <f>C323</f>
        <v>100</v>
      </c>
      <c r="H328" s="196">
        <f>'2010 Existing RatesNF'!D35</f>
        <v>0.4244</v>
      </c>
      <c r="I328" s="206">
        <f>+G328*H328</f>
        <v>42.44</v>
      </c>
      <c r="J328" s="201">
        <f>C323</f>
        <v>100</v>
      </c>
      <c r="K328" s="195">
        <f>'Rate Schedule (Part 1) NF'!E38</f>
        <v>0.4244</v>
      </c>
      <c r="L328" s="214">
        <f>+J328*K328</f>
        <v>42.44</v>
      </c>
      <c r="M328" s="224">
        <f>+L328-I328</f>
        <v>0</v>
      </c>
      <c r="N328" s="218">
        <f>+M328/I328</f>
        <v>0</v>
      </c>
      <c r="O328" s="225">
        <f>L328/L338</f>
        <v>0.011443763450136233</v>
      </c>
      <c r="P328" s="165"/>
    </row>
    <row r="329" spans="2:16" ht="27.75" customHeight="1" thickBot="1">
      <c r="B329" s="172"/>
      <c r="C329" s="31"/>
      <c r="D329" s="31"/>
      <c r="E329" s="31"/>
      <c r="F329" s="199" t="s">
        <v>319</v>
      </c>
      <c r="G329" s="372">
        <f>C323</f>
        <v>100</v>
      </c>
      <c r="H329" s="488"/>
      <c r="I329" s="206">
        <f>+G329*H329</f>
        <v>0</v>
      </c>
      <c r="J329" s="372">
        <f>C323</f>
        <v>100</v>
      </c>
      <c r="K329" s="488">
        <f>'Rate Schedule (Part 1) NF'!E40</f>
        <v>0.6442</v>
      </c>
      <c r="L329" s="214">
        <f>+J329*K329</f>
        <v>64.42</v>
      </c>
      <c r="M329" s="224">
        <f>+L329-I329</f>
        <v>64.42</v>
      </c>
      <c r="N329" s="218" t="e">
        <f>+M329/I329</f>
        <v>#DIV/0!</v>
      </c>
      <c r="O329" s="225">
        <f>L329/L338</f>
        <v>0.01737057590616815</v>
      </c>
      <c r="P329" s="165"/>
    </row>
    <row r="330" spans="2:16" ht="17.25" customHeight="1" thickBot="1">
      <c r="B330" s="172"/>
      <c r="C330" s="31"/>
      <c r="D330" s="31"/>
      <c r="E330" s="31"/>
      <c r="F330" s="233" t="s">
        <v>247</v>
      </c>
      <c r="G330" s="586"/>
      <c r="H330" s="587"/>
      <c r="I330" s="235">
        <f>SUM(I321:I329)</f>
        <v>508.82</v>
      </c>
      <c r="J330" s="586"/>
      <c r="K330" s="587"/>
      <c r="L330" s="235">
        <f>SUM(L321:L329)</f>
        <v>567.01</v>
      </c>
      <c r="M330" s="237">
        <f>SUM(M321:M329)</f>
        <v>58.190000000000026</v>
      </c>
      <c r="N330" s="238">
        <f t="shared" si="37"/>
        <v>0.11436264297787042</v>
      </c>
      <c r="O330" s="240">
        <f>SUM(O321:O329)</f>
        <v>0.15289180758392432</v>
      </c>
      <c r="P330" s="165"/>
    </row>
    <row r="331" spans="2:16" ht="17.25" customHeight="1" thickBot="1">
      <c r="B331" s="172"/>
      <c r="C331" s="31"/>
      <c r="D331" s="31"/>
      <c r="E331" s="31"/>
      <c r="F331" s="199" t="s">
        <v>252</v>
      </c>
      <c r="G331" s="372">
        <f>C323</f>
        <v>100</v>
      </c>
      <c r="H331" s="373">
        <f>'Other Electriciy Rates NF'!$G$12</f>
        <v>3.625</v>
      </c>
      <c r="I331" s="210">
        <f>+G331*H331</f>
        <v>362.5</v>
      </c>
      <c r="J331" s="372">
        <f>C323</f>
        <v>100</v>
      </c>
      <c r="K331" s="494">
        <f>'Other Electriciy Rates NF'!$G$26</f>
        <v>3.6656054700065805</v>
      </c>
      <c r="L331" s="210">
        <f>+J331*K331</f>
        <v>366.56054700065806</v>
      </c>
      <c r="M331" s="374">
        <f>+L331-I331</f>
        <v>4.060547000658062</v>
      </c>
      <c r="N331" s="222">
        <f t="shared" si="37"/>
        <v>0.011201508967332584</v>
      </c>
      <c r="O331" s="225">
        <f>L331/L338</f>
        <v>0.09884147478859745</v>
      </c>
      <c r="P331" s="165"/>
    </row>
    <row r="332" spans="2:16" ht="17.25" customHeight="1" thickBot="1">
      <c r="B332" s="172"/>
      <c r="C332" s="31"/>
      <c r="D332" s="31"/>
      <c r="E332" s="31"/>
      <c r="F332" s="233" t="s">
        <v>249</v>
      </c>
      <c r="G332" s="586"/>
      <c r="H332" s="587"/>
      <c r="I332" s="235">
        <f>SUM(I330:I331)</f>
        <v>871.3199999999999</v>
      </c>
      <c r="J332" s="586"/>
      <c r="K332" s="587"/>
      <c r="L332" s="235">
        <f>SUM(L330:L331)</f>
        <v>933.570547000658</v>
      </c>
      <c r="M332" s="237">
        <f>SUM(M330:M331)</f>
        <v>62.25054700065809</v>
      </c>
      <c r="N332" s="238">
        <f t="shared" si="37"/>
        <v>0.07144395514926559</v>
      </c>
      <c r="O332" s="375">
        <f>L332/L338</f>
        <v>0.25173328237252174</v>
      </c>
      <c r="P332" s="165"/>
    </row>
    <row r="333" spans="2:16" ht="17.25" customHeight="1">
      <c r="B333" s="172"/>
      <c r="C333" s="31"/>
      <c r="D333" s="31"/>
      <c r="E333" s="31"/>
      <c r="F333" s="197" t="s">
        <v>77</v>
      </c>
      <c r="G333" s="202">
        <f>C322*'Other Electriciy Rates NF'!$M$12</f>
        <v>31715.999999999996</v>
      </c>
      <c r="H333" s="203">
        <f>'Other Electriciy Rates NF'!$C$12+'Other Electriciy Rates NF'!$E$12+'Other Electriciy Rates NF'!D12</f>
        <v>0.0138725</v>
      </c>
      <c r="I333" s="204">
        <f>+G333*H333</f>
        <v>439.98020999999994</v>
      </c>
      <c r="J333" s="202">
        <f>C322*'Other Electriciy Rates NF'!$M$26</f>
        <v>31679.708252786095</v>
      </c>
      <c r="K333" s="203">
        <f>'Other Electriciy Rates NF'!$C$26+'Other Electriciy Rates NF'!$E$26+'Other Electriciy Rates NF'!D26</f>
        <v>0.0135</v>
      </c>
      <c r="L333" s="229">
        <f>+J333*K333</f>
        <v>427.6760614126123</v>
      </c>
      <c r="M333" s="221">
        <f>+L333-I333</f>
        <v>-12.304148587387658</v>
      </c>
      <c r="N333" s="222">
        <f aca="true" t="shared" si="38" ref="N333:N338">+M333/I333</f>
        <v>-0.027965231862105023</v>
      </c>
      <c r="O333" s="301">
        <f>L333/L338</f>
        <v>0.1153210103697425</v>
      </c>
      <c r="P333" s="165"/>
    </row>
    <row r="334" spans="2:16" ht="21.75" customHeight="1">
      <c r="B334" s="172"/>
      <c r="C334" s="31"/>
      <c r="D334" s="31"/>
      <c r="E334" s="31"/>
      <c r="F334" s="200" t="s">
        <v>321</v>
      </c>
      <c r="G334" s="220"/>
      <c r="H334" s="219"/>
      <c r="I334" s="512">
        <v>0.25</v>
      </c>
      <c r="J334" s="496"/>
      <c r="K334" s="219"/>
      <c r="L334" s="514">
        <v>0.25</v>
      </c>
      <c r="M334" s="230">
        <f>+L334-I334</f>
        <v>0</v>
      </c>
      <c r="N334" s="231">
        <f t="shared" si="38"/>
        <v>0</v>
      </c>
      <c r="O334" s="225">
        <f>L334/L338</f>
        <v>6.74114246591437E-05</v>
      </c>
      <c r="P334" s="165"/>
    </row>
    <row r="335" spans="2:16" ht="17.25" customHeight="1" thickBot="1">
      <c r="B335" s="172"/>
      <c r="C335" s="31"/>
      <c r="D335" s="31"/>
      <c r="E335" s="31"/>
      <c r="F335" s="197" t="s">
        <v>78</v>
      </c>
      <c r="G335" s="202">
        <f>G333</f>
        <v>31715.999999999996</v>
      </c>
      <c r="H335" s="203">
        <f>+'Other Electriciy Rates NF'!$K$12</f>
        <v>0.06062</v>
      </c>
      <c r="I335" s="204">
        <f>+G335*H335</f>
        <v>1922.6239199999998</v>
      </c>
      <c r="J335" s="202">
        <f>J333</f>
        <v>31679.708252786095</v>
      </c>
      <c r="K335" s="203">
        <f>'Other Electriciy Rates NF'!$K$26</f>
        <v>0.06062</v>
      </c>
      <c r="L335" s="229">
        <f>+J335*K335</f>
        <v>1920.423914283893</v>
      </c>
      <c r="M335" s="515">
        <f>+L335-I335</f>
        <v>-2.200005716106716</v>
      </c>
      <c r="N335" s="516">
        <f t="shared" si="38"/>
        <v>-0.0011442725190409138</v>
      </c>
      <c r="O335" s="241">
        <f>L335/L338</f>
        <v>0.517834048045466</v>
      </c>
      <c r="P335" s="165"/>
    </row>
    <row r="336" spans="2:16" ht="17.25" customHeight="1" thickBot="1">
      <c r="B336" s="172"/>
      <c r="C336" s="31"/>
      <c r="D336" s="31"/>
      <c r="E336" s="31"/>
      <c r="F336" s="233" t="s">
        <v>195</v>
      </c>
      <c r="G336" s="586"/>
      <c r="H336" s="587"/>
      <c r="I336" s="235">
        <f>SUM(I332:I335)</f>
        <v>3234.1741299999994</v>
      </c>
      <c r="J336" s="586"/>
      <c r="K336" s="587"/>
      <c r="L336" s="235">
        <f>SUM(L332:L335)</f>
        <v>3281.9205226971635</v>
      </c>
      <c r="M336" s="235">
        <f>SUM(M332:M335)</f>
        <v>47.746392697163714</v>
      </c>
      <c r="N336" s="238">
        <f t="shared" si="38"/>
        <v>0.014763086580364095</v>
      </c>
      <c r="O336" s="375">
        <f>L336/L338</f>
        <v>0.8849557522123894</v>
      </c>
      <c r="P336" s="165"/>
    </row>
    <row r="337" spans="2:16" ht="17.25" customHeight="1" thickBot="1">
      <c r="B337" s="172"/>
      <c r="C337" s="31"/>
      <c r="D337" s="31"/>
      <c r="E337" s="31"/>
      <c r="F337" s="297" t="s">
        <v>274</v>
      </c>
      <c r="G337" s="298"/>
      <c r="H337" s="302">
        <v>0.13</v>
      </c>
      <c r="I337" s="299">
        <f>I336*H337</f>
        <v>420.4426368999999</v>
      </c>
      <c r="J337" s="298"/>
      <c r="K337" s="302">
        <v>0.13</v>
      </c>
      <c r="L337" s="300">
        <f>L336*K337</f>
        <v>426.6496679506313</v>
      </c>
      <c r="M337" s="227">
        <f>+L337-I337</f>
        <v>6.207031050631372</v>
      </c>
      <c r="N337" s="228">
        <f t="shared" si="38"/>
        <v>0.014763086580364307</v>
      </c>
      <c r="O337" s="241">
        <f>L337/L338</f>
        <v>0.11504424778761063</v>
      </c>
      <c r="P337" s="165"/>
    </row>
    <row r="338" spans="2:16" ht="17.25" customHeight="1" thickBot="1">
      <c r="B338" s="172"/>
      <c r="C338" s="31"/>
      <c r="D338" s="31"/>
      <c r="E338" s="35"/>
      <c r="F338" s="239" t="s">
        <v>79</v>
      </c>
      <c r="G338" s="586"/>
      <c r="H338" s="587"/>
      <c r="I338" s="235">
        <f>SUM(I336:I337)</f>
        <v>3654.616766899999</v>
      </c>
      <c r="J338" s="586"/>
      <c r="K338" s="587"/>
      <c r="L338" s="235">
        <f>SUM(L336:L337)</f>
        <v>3708.570190647795</v>
      </c>
      <c r="M338" s="235">
        <f>SUM(M336:M337)</f>
        <v>53.953423747795085</v>
      </c>
      <c r="N338" s="238">
        <f t="shared" si="38"/>
        <v>0.01476308658036412</v>
      </c>
      <c r="O338" s="240">
        <f>O336+O337</f>
        <v>1</v>
      </c>
      <c r="P338" s="165"/>
    </row>
    <row r="339" spans="2:16" ht="17.25" customHeight="1" thickBot="1">
      <c r="B339" s="166"/>
      <c r="C339" s="178"/>
      <c r="D339" s="178"/>
      <c r="E339" s="178"/>
      <c r="F339" s="179"/>
      <c r="G339" s="180"/>
      <c r="H339" s="181"/>
      <c r="I339" s="182"/>
      <c r="J339" s="180"/>
      <c r="K339" s="183"/>
      <c r="L339" s="182"/>
      <c r="M339" s="184"/>
      <c r="N339" s="185"/>
      <c r="O339" s="186"/>
      <c r="P339" s="167"/>
    </row>
    <row r="340" spans="2:16" ht="17.25" customHeight="1" thickBot="1">
      <c r="B340" s="25"/>
      <c r="C340" s="31"/>
      <c r="D340" s="31"/>
      <c r="E340" s="31"/>
      <c r="F340" s="49"/>
      <c r="G340" s="50"/>
      <c r="H340" s="51"/>
      <c r="I340" s="52"/>
      <c r="J340" s="50"/>
      <c r="K340" s="53"/>
      <c r="L340" s="52"/>
      <c r="M340" s="54"/>
      <c r="N340" s="175"/>
      <c r="O340" s="176"/>
      <c r="P340" s="25"/>
    </row>
    <row r="341" spans="2:16" ht="17.25" customHeight="1">
      <c r="B341" s="174"/>
      <c r="C341" s="592"/>
      <c r="D341" s="592"/>
      <c r="E341" s="592"/>
      <c r="F341" s="592"/>
      <c r="G341" s="592"/>
      <c r="H341" s="592"/>
      <c r="I341" s="592"/>
      <c r="J341" s="592"/>
      <c r="K341" s="592"/>
      <c r="L341" s="592"/>
      <c r="M341" s="592"/>
      <c r="N341" s="592"/>
      <c r="O341" s="592"/>
      <c r="P341" s="164"/>
    </row>
    <row r="342" spans="2:16" ht="23.25">
      <c r="B342" s="172"/>
      <c r="C342" s="591" t="s">
        <v>304</v>
      </c>
      <c r="D342" s="591"/>
      <c r="E342" s="591"/>
      <c r="F342" s="591"/>
      <c r="G342" s="591"/>
      <c r="H342" s="591"/>
      <c r="I342" s="591"/>
      <c r="J342" s="591"/>
      <c r="K342" s="591"/>
      <c r="L342" s="591"/>
      <c r="M342" s="591"/>
      <c r="N342" s="591"/>
      <c r="O342" s="591"/>
      <c r="P342" s="165"/>
    </row>
    <row r="343" spans="2:17" ht="17.25" customHeight="1" thickBot="1">
      <c r="B343" s="172"/>
      <c r="C343" s="590"/>
      <c r="D343" s="590"/>
      <c r="E343" s="590"/>
      <c r="F343" s="590"/>
      <c r="G343" s="590"/>
      <c r="H343" s="590"/>
      <c r="I343" s="590"/>
      <c r="J343" s="590"/>
      <c r="K343" s="590"/>
      <c r="L343" s="590"/>
      <c r="M343" s="590"/>
      <c r="N343" s="590"/>
      <c r="O343" s="590"/>
      <c r="P343" s="165"/>
      <c r="Q343" s="25"/>
    </row>
    <row r="344" spans="2:17" ht="17.25" customHeight="1" thickBot="1">
      <c r="B344" s="172"/>
      <c r="C344" s="173"/>
      <c r="D344" s="173"/>
      <c r="E344" s="31"/>
      <c r="F344" s="32"/>
      <c r="G344" s="595" t="str">
        <f>$G$10</f>
        <v>2010 BILL</v>
      </c>
      <c r="H344" s="596"/>
      <c r="I344" s="597"/>
      <c r="J344" s="595" t="str">
        <f>$J$10</f>
        <v>2011 BILL</v>
      </c>
      <c r="K344" s="596"/>
      <c r="L344" s="597"/>
      <c r="M344" s="595" t="s">
        <v>73</v>
      </c>
      <c r="N344" s="596"/>
      <c r="O344" s="597"/>
      <c r="P344" s="165"/>
      <c r="Q344" s="25"/>
    </row>
    <row r="345" spans="2:17" ht="26.25" thickBot="1">
      <c r="B345" s="172"/>
      <c r="C345" s="31"/>
      <c r="D345" s="31"/>
      <c r="E345" s="33"/>
      <c r="F345" s="34"/>
      <c r="G345" s="391" t="s">
        <v>67</v>
      </c>
      <c r="H345" s="392" t="s">
        <v>68</v>
      </c>
      <c r="I345" s="393" t="s">
        <v>69</v>
      </c>
      <c r="J345" s="394" t="s">
        <v>67</v>
      </c>
      <c r="K345" s="392" t="s">
        <v>68</v>
      </c>
      <c r="L345" s="393" t="s">
        <v>69</v>
      </c>
      <c r="M345" s="192" t="s">
        <v>74</v>
      </c>
      <c r="N345" s="193" t="s">
        <v>75</v>
      </c>
      <c r="O345" s="194" t="s">
        <v>76</v>
      </c>
      <c r="P345" s="165"/>
      <c r="Q345" s="25"/>
    </row>
    <row r="346" spans="2:17" ht="17.25" customHeight="1" thickBot="1">
      <c r="B346" s="172"/>
      <c r="C346" s="593" t="s">
        <v>70</v>
      </c>
      <c r="D346" s="594"/>
      <c r="E346" s="31"/>
      <c r="F346" s="397" t="s">
        <v>71</v>
      </c>
      <c r="G346" s="395"/>
      <c r="H346" s="389"/>
      <c r="I346" s="204">
        <f>+'2010 Existing RatesNF'!$C$10</f>
        <v>280.14</v>
      </c>
      <c r="J346" s="202"/>
      <c r="K346" s="390"/>
      <c r="L346" s="229">
        <f>+'Distribution Rate Schedule'!$C$33</f>
        <v>222.81</v>
      </c>
      <c r="M346" s="230">
        <f aca="true" t="shared" si="39" ref="M346:M352">+L346-I346</f>
        <v>-57.329999999999984</v>
      </c>
      <c r="N346" s="231">
        <f aca="true" t="shared" si="40" ref="N346:N363">+M346/I346</f>
        <v>-0.204647676161919</v>
      </c>
      <c r="O346" s="225">
        <f>L346/L363</f>
        <v>0.029924364353584355</v>
      </c>
      <c r="P346" s="165"/>
      <c r="Q346" s="25"/>
    </row>
    <row r="347" spans="2:17" ht="17.25" customHeight="1" thickBot="1">
      <c r="B347" s="172"/>
      <c r="C347" s="170">
        <v>65000</v>
      </c>
      <c r="D347" s="171" t="s">
        <v>16</v>
      </c>
      <c r="E347" s="31"/>
      <c r="F347" s="398" t="s">
        <v>82</v>
      </c>
      <c r="G347" s="396">
        <f>+C348</f>
        <v>180</v>
      </c>
      <c r="H347" s="196">
        <f>'2010 Existing RatesNF'!$D$71</f>
        <v>3.0124</v>
      </c>
      <c r="I347" s="210">
        <f>+G347*H347</f>
        <v>542.232</v>
      </c>
      <c r="J347" s="201">
        <f>G347</f>
        <v>180</v>
      </c>
      <c r="K347" s="195">
        <f>'Rate Schedule (Part 1) NF'!$E$34</f>
        <v>4.0311</v>
      </c>
      <c r="L347" s="214">
        <f>+J347*K347</f>
        <v>725.5980000000001</v>
      </c>
      <c r="M347" s="230">
        <f t="shared" si="39"/>
        <v>183.3660000000001</v>
      </c>
      <c r="N347" s="231">
        <f t="shared" si="40"/>
        <v>0.3381689018722615</v>
      </c>
      <c r="O347" s="225">
        <f>L347/L363</f>
        <v>0.09745100725385801</v>
      </c>
      <c r="P347" s="165"/>
      <c r="Q347" s="25"/>
    </row>
    <row r="348" spans="2:16" ht="17.25" customHeight="1" thickBot="1">
      <c r="B348" s="172"/>
      <c r="C348" s="170">
        <v>180</v>
      </c>
      <c r="D348" s="171" t="s">
        <v>17</v>
      </c>
      <c r="E348" s="31"/>
      <c r="F348" s="398" t="s">
        <v>250</v>
      </c>
      <c r="G348" s="333">
        <f>G347</f>
        <v>180</v>
      </c>
      <c r="H348" s="399">
        <f>'2010 Existing RatesNF'!$D$48</f>
        <v>0</v>
      </c>
      <c r="J348" s="201">
        <f>+C348</f>
        <v>180</v>
      </c>
      <c r="K348" s="195">
        <f>'Rate Schedule (Part 1) NF'!$E$35</f>
        <v>0.1042</v>
      </c>
      <c r="L348" s="214">
        <f>+J348*K348</f>
        <v>18.756</v>
      </c>
      <c r="M348" s="230">
        <f t="shared" si="39"/>
        <v>18.756</v>
      </c>
      <c r="N348" s="231" t="e">
        <f t="shared" si="40"/>
        <v>#DIV/0!</v>
      </c>
      <c r="O348" s="225">
        <f>L348/L363</f>
        <v>0.0025190134097025636</v>
      </c>
      <c r="P348" s="165"/>
    </row>
    <row r="349" spans="2:16" ht="17.25" customHeight="1">
      <c r="B349" s="172"/>
      <c r="C349" s="369"/>
      <c r="D349" s="388"/>
      <c r="E349" s="31"/>
      <c r="F349" s="199" t="s">
        <v>170</v>
      </c>
      <c r="G349" s="220"/>
      <c r="H349" s="219"/>
      <c r="I349" s="210">
        <f>'2010 Existing RatesNF'!$B$58</f>
        <v>1</v>
      </c>
      <c r="J349" s="220"/>
      <c r="K349" s="219"/>
      <c r="L349" s="210">
        <f>'2010 Existing RatesNF'!$B$58</f>
        <v>1</v>
      </c>
      <c r="M349" s="230">
        <f t="shared" si="39"/>
        <v>0</v>
      </c>
      <c r="N349" s="231">
        <f t="shared" si="40"/>
        <v>0</v>
      </c>
      <c r="O349" s="225">
        <f>L349/L363</f>
        <v>0.00013430440444138215</v>
      </c>
      <c r="P349" s="165"/>
    </row>
    <row r="350" spans="2:16" ht="17.25" customHeight="1">
      <c r="B350" s="172"/>
      <c r="C350" s="63"/>
      <c r="D350" s="64"/>
      <c r="E350" s="31"/>
      <c r="F350" s="199" t="s">
        <v>251</v>
      </c>
      <c r="G350" s="201">
        <f>G348</f>
        <v>180</v>
      </c>
      <c r="H350" s="196"/>
      <c r="I350" s="210">
        <f>+G350*H350</f>
        <v>0</v>
      </c>
      <c r="J350" s="201">
        <f>G350</f>
        <v>180</v>
      </c>
      <c r="K350" s="195">
        <f>'Rate Schedule (Part 1) NF'!$E$36</f>
        <v>0</v>
      </c>
      <c r="L350" s="214">
        <f>+J350*K350</f>
        <v>0</v>
      </c>
      <c r="M350" s="230">
        <f t="shared" si="39"/>
        <v>0</v>
      </c>
      <c r="N350" s="231" t="e">
        <f t="shared" si="40"/>
        <v>#DIV/0!</v>
      </c>
      <c r="O350" s="225">
        <f>L350/L363</f>
        <v>0</v>
      </c>
      <c r="P350" s="165"/>
    </row>
    <row r="351" spans="2:16" ht="26.25" customHeight="1">
      <c r="B351" s="172"/>
      <c r="C351" s="31"/>
      <c r="D351" s="31"/>
      <c r="E351" s="31"/>
      <c r="F351" s="199" t="s">
        <v>295</v>
      </c>
      <c r="G351" s="201">
        <f>+C348</f>
        <v>180</v>
      </c>
      <c r="H351" s="196">
        <f>'2010 Existing RatesNF'!$D$22</f>
        <v>-1.16</v>
      </c>
      <c r="I351" s="210">
        <f>+G351*H351</f>
        <v>-208.79999999999998</v>
      </c>
      <c r="J351" s="201">
        <f>+C348</f>
        <v>180</v>
      </c>
      <c r="K351" s="195">
        <f>'Rate Schedule (Part 1) NF'!$E$39</f>
        <v>-1.16</v>
      </c>
      <c r="L351" s="214">
        <f>+J351*K351</f>
        <v>-208.79999999999998</v>
      </c>
      <c r="M351" s="230">
        <f t="shared" si="39"/>
        <v>0</v>
      </c>
      <c r="N351" s="231">
        <f t="shared" si="40"/>
        <v>0</v>
      </c>
      <c r="O351" s="225">
        <f>L351/L363</f>
        <v>-0.02804275964736059</v>
      </c>
      <c r="P351" s="165"/>
    </row>
    <row r="352" spans="2:16" ht="27.75" customHeight="1">
      <c r="B352" s="172"/>
      <c r="C352" s="31"/>
      <c r="D352" s="31"/>
      <c r="E352" s="31"/>
      <c r="F352" s="199" t="s">
        <v>296</v>
      </c>
      <c r="G352" s="372">
        <f>C348</f>
        <v>180</v>
      </c>
      <c r="H352" s="488"/>
      <c r="I352" s="206">
        <f>+G352*H352</f>
        <v>0</v>
      </c>
      <c r="J352" s="372">
        <f>C348</f>
        <v>180</v>
      </c>
      <c r="K352" s="488">
        <f>'Rate Schedule (Part 1) NF'!E41</f>
        <v>-0.6119</v>
      </c>
      <c r="L352" s="214">
        <f>+J352*K352</f>
        <v>-110.142</v>
      </c>
      <c r="M352" s="224">
        <f t="shared" si="39"/>
        <v>-110.142</v>
      </c>
      <c r="N352" s="218" t="e">
        <f>+M352/I352</f>
        <v>#DIV/0!</v>
      </c>
      <c r="O352" s="225">
        <f>L352/L363</f>
        <v>-0.01479255571398271</v>
      </c>
      <c r="P352" s="165"/>
    </row>
    <row r="353" spans="2:16" ht="26.25" customHeight="1">
      <c r="B353" s="172"/>
      <c r="C353" s="31"/>
      <c r="D353" s="31"/>
      <c r="E353" s="31"/>
      <c r="F353" s="199" t="s">
        <v>318</v>
      </c>
      <c r="G353" s="201">
        <f>C348</f>
        <v>180</v>
      </c>
      <c r="H353" s="196">
        <f>'2010 Existing RatesNF'!D35</f>
        <v>0.4244</v>
      </c>
      <c r="I353" s="206">
        <f>+G353*H353</f>
        <v>76.392</v>
      </c>
      <c r="J353" s="201">
        <f>C348</f>
        <v>180</v>
      </c>
      <c r="K353" s="195">
        <f>'Rate Schedule (Part 1) NF'!E38</f>
        <v>0.4244</v>
      </c>
      <c r="L353" s="214">
        <f>+J353*K353</f>
        <v>76.392</v>
      </c>
      <c r="M353" s="224">
        <f>+L353-I353</f>
        <v>0</v>
      </c>
      <c r="N353" s="218">
        <f>+M353/I353</f>
        <v>0</v>
      </c>
      <c r="O353" s="225">
        <f>L353/L363</f>
        <v>0.010259782064086063</v>
      </c>
      <c r="P353" s="165"/>
    </row>
    <row r="354" spans="2:16" ht="27.75" customHeight="1" thickBot="1">
      <c r="B354" s="172"/>
      <c r="C354" s="31"/>
      <c r="D354" s="31"/>
      <c r="E354" s="31"/>
      <c r="F354" s="199" t="s">
        <v>319</v>
      </c>
      <c r="G354" s="372">
        <f>C348</f>
        <v>180</v>
      </c>
      <c r="H354" s="488"/>
      <c r="I354" s="206">
        <f>+G354*H354</f>
        <v>0</v>
      </c>
      <c r="J354" s="372">
        <f>C348</f>
        <v>180</v>
      </c>
      <c r="K354" s="488">
        <f>'Rate Schedule (Part 1) NF'!E40</f>
        <v>0.6442</v>
      </c>
      <c r="L354" s="214">
        <f>+J354*K354</f>
        <v>115.956</v>
      </c>
      <c r="M354" s="224">
        <f>+L354-I354</f>
        <v>115.956</v>
      </c>
      <c r="N354" s="218" t="e">
        <f>+M354/I354</f>
        <v>#DIV/0!</v>
      </c>
      <c r="O354" s="225">
        <f>L354/L363</f>
        <v>0.015573401521404908</v>
      </c>
      <c r="P354" s="165"/>
    </row>
    <row r="355" spans="2:16" ht="17.25" customHeight="1" thickBot="1">
      <c r="B355" s="172"/>
      <c r="C355" s="31"/>
      <c r="D355" s="31"/>
      <c r="E355" s="31"/>
      <c r="F355" s="233" t="s">
        <v>247</v>
      </c>
      <c r="G355" s="586"/>
      <c r="H355" s="587"/>
      <c r="I355" s="235">
        <f>SUM(I346:I354)</f>
        <v>690.9639999999999</v>
      </c>
      <c r="J355" s="586"/>
      <c r="K355" s="587"/>
      <c r="L355" s="235">
        <f>SUM(L346:L354)</f>
        <v>841.5700000000003</v>
      </c>
      <c r="M355" s="237">
        <f>SUM(M346:M354)</f>
        <v>150.6060000000001</v>
      </c>
      <c r="N355" s="238">
        <f t="shared" si="40"/>
        <v>0.21796504593582317</v>
      </c>
      <c r="O355" s="240">
        <f>SUM(O346:O354)</f>
        <v>0.11302655764573398</v>
      </c>
      <c r="P355" s="165"/>
    </row>
    <row r="356" spans="2:16" ht="17.25" customHeight="1" thickBot="1">
      <c r="B356" s="172"/>
      <c r="C356" s="31"/>
      <c r="D356" s="31"/>
      <c r="E356" s="31"/>
      <c r="F356" s="199" t="s">
        <v>252</v>
      </c>
      <c r="G356" s="372">
        <f>C348</f>
        <v>180</v>
      </c>
      <c r="H356" s="373">
        <f>'Other Electriciy Rates NF'!$G$12</f>
        <v>3.625</v>
      </c>
      <c r="I356" s="210">
        <f>+G356*H356</f>
        <v>652.5</v>
      </c>
      <c r="J356" s="372">
        <f>C348</f>
        <v>180</v>
      </c>
      <c r="K356" s="494">
        <f>'Other Electriciy Rates NF'!$G$26</f>
        <v>3.6656054700065805</v>
      </c>
      <c r="L356" s="210">
        <f>+J356*K356</f>
        <v>659.8089846011845</v>
      </c>
      <c r="M356" s="374">
        <f>+L356-I356</f>
        <v>7.308984601184534</v>
      </c>
      <c r="N356" s="222">
        <f t="shared" si="40"/>
        <v>0.01120150896733262</v>
      </c>
      <c r="O356" s="225">
        <f>L356/L363</f>
        <v>0.08861525272193517</v>
      </c>
      <c r="P356" s="165"/>
    </row>
    <row r="357" spans="2:16" ht="17.25" customHeight="1" thickBot="1">
      <c r="B357" s="172"/>
      <c r="C357" s="31"/>
      <c r="D357" s="31"/>
      <c r="E357" s="31"/>
      <c r="F357" s="233" t="s">
        <v>249</v>
      </c>
      <c r="G357" s="586"/>
      <c r="H357" s="587"/>
      <c r="I357" s="235">
        <f>SUM(I355:I356)</f>
        <v>1343.464</v>
      </c>
      <c r="J357" s="586"/>
      <c r="K357" s="587"/>
      <c r="L357" s="235">
        <f>SUM(L355:L356)</f>
        <v>1501.3789846011848</v>
      </c>
      <c r="M357" s="237">
        <f>SUM(M355:M356)</f>
        <v>157.91498460118464</v>
      </c>
      <c r="N357" s="238">
        <f t="shared" si="40"/>
        <v>0.1175431456303888</v>
      </c>
      <c r="O357" s="375">
        <f>L357/L363</f>
        <v>0.20164181036766918</v>
      </c>
      <c r="P357" s="165"/>
    </row>
    <row r="358" spans="2:16" ht="17.25" customHeight="1">
      <c r="B358" s="172"/>
      <c r="C358" s="31"/>
      <c r="D358" s="31"/>
      <c r="E358" s="31"/>
      <c r="F358" s="197" t="s">
        <v>77</v>
      </c>
      <c r="G358" s="202">
        <f>C347*'Other Electriciy Rates NF'!$M$12</f>
        <v>68718</v>
      </c>
      <c r="H358" s="203">
        <f>'Other Electriciy Rates NF'!$C$12+'Other Electriciy Rates NF'!$E$12+'Other Electriciy Rates NF'!D12</f>
        <v>0.0138725</v>
      </c>
      <c r="I358" s="204">
        <f>+G358*H358</f>
        <v>953.290455</v>
      </c>
      <c r="J358" s="202">
        <f>C347*'Other Electriciy Rates NF'!$M$26</f>
        <v>68639.36788103654</v>
      </c>
      <c r="K358" s="203">
        <f>'Other Electriciy Rates NF'!$C$26+'Other Electriciy Rates NF'!$E$26+'Other Electriciy Rates NF'!D26</f>
        <v>0.0135</v>
      </c>
      <c r="L358" s="229">
        <f>+J358*K358</f>
        <v>926.6314663939933</v>
      </c>
      <c r="M358" s="221">
        <f>+L358-I358</f>
        <v>-26.658988606006687</v>
      </c>
      <c r="N358" s="222">
        <f t="shared" si="40"/>
        <v>-0.02796523186210512</v>
      </c>
      <c r="O358" s="301">
        <f>L358/L363</f>
        <v>0.12445068723068987</v>
      </c>
      <c r="P358" s="165"/>
    </row>
    <row r="359" spans="2:16" ht="21.75" customHeight="1">
      <c r="B359" s="172"/>
      <c r="C359" s="31"/>
      <c r="D359" s="31"/>
      <c r="E359" s="31"/>
      <c r="F359" s="200" t="s">
        <v>321</v>
      </c>
      <c r="G359" s="220"/>
      <c r="H359" s="219"/>
      <c r="I359" s="512">
        <v>0.25</v>
      </c>
      <c r="J359" s="496"/>
      <c r="K359" s="219"/>
      <c r="L359" s="514">
        <v>0.25</v>
      </c>
      <c r="M359" s="230">
        <f>+L359-I359</f>
        <v>0</v>
      </c>
      <c r="N359" s="231">
        <f t="shared" si="40"/>
        <v>0</v>
      </c>
      <c r="O359" s="225">
        <f>L359/L363</f>
        <v>3.357610111034554E-05</v>
      </c>
      <c r="P359" s="165"/>
    </row>
    <row r="360" spans="2:16" ht="17.25" customHeight="1" thickBot="1">
      <c r="B360" s="172"/>
      <c r="C360" s="31"/>
      <c r="D360" s="31"/>
      <c r="E360" s="31"/>
      <c r="F360" s="197" t="s">
        <v>78</v>
      </c>
      <c r="G360" s="202">
        <f>G358</f>
        <v>68718</v>
      </c>
      <c r="H360" s="203">
        <f>+'Other Electriciy Rates NF'!$K$12</f>
        <v>0.06062</v>
      </c>
      <c r="I360" s="204">
        <f>+G360*H360</f>
        <v>4165.68516</v>
      </c>
      <c r="J360" s="202">
        <f>J358</f>
        <v>68639.36788103654</v>
      </c>
      <c r="K360" s="203">
        <f>'Other Electriciy Rates NF'!$K$26</f>
        <v>0.06062</v>
      </c>
      <c r="L360" s="229">
        <f>+J360*K360</f>
        <v>4160.918480948435</v>
      </c>
      <c r="M360" s="515">
        <f>+L360-I360</f>
        <v>-4.766679051565006</v>
      </c>
      <c r="N360" s="516">
        <f t="shared" si="40"/>
        <v>-0.0011442725190410228</v>
      </c>
      <c r="O360" s="241">
        <f>L360/L363</f>
        <v>0.55882967851292</v>
      </c>
      <c r="P360" s="165"/>
    </row>
    <row r="361" spans="2:16" ht="17.25" customHeight="1" thickBot="1">
      <c r="B361" s="172"/>
      <c r="C361" s="31"/>
      <c r="D361" s="31"/>
      <c r="E361" s="31"/>
      <c r="F361" s="233" t="s">
        <v>195</v>
      </c>
      <c r="G361" s="586"/>
      <c r="H361" s="587"/>
      <c r="I361" s="235">
        <f>SUM(I357:I360)</f>
        <v>6462.689614999999</v>
      </c>
      <c r="J361" s="586"/>
      <c r="K361" s="587"/>
      <c r="L361" s="235">
        <f>SUM(L357:L360)</f>
        <v>6589.178931943613</v>
      </c>
      <c r="M361" s="235">
        <f>SUM(M357:M360)</f>
        <v>126.48931694361295</v>
      </c>
      <c r="N361" s="238">
        <f t="shared" si="40"/>
        <v>0.019572240735502653</v>
      </c>
      <c r="O361" s="375">
        <f>L361/L363</f>
        <v>0.8849557522123894</v>
      </c>
      <c r="P361" s="165"/>
    </row>
    <row r="362" spans="2:16" ht="17.25" customHeight="1" thickBot="1">
      <c r="B362" s="172"/>
      <c r="C362" s="31"/>
      <c r="D362" s="31"/>
      <c r="E362" s="31"/>
      <c r="F362" s="297" t="s">
        <v>274</v>
      </c>
      <c r="G362" s="298"/>
      <c r="H362" s="302">
        <v>0.13</v>
      </c>
      <c r="I362" s="299">
        <f>I361*H362</f>
        <v>840.1496499499999</v>
      </c>
      <c r="J362" s="298"/>
      <c r="K362" s="302">
        <v>0.13</v>
      </c>
      <c r="L362" s="300">
        <f>L361*K362</f>
        <v>856.5932611526697</v>
      </c>
      <c r="M362" s="227">
        <f>+L362-I362</f>
        <v>16.443611202669786</v>
      </c>
      <c r="N362" s="228">
        <f t="shared" si="40"/>
        <v>0.019572240735502774</v>
      </c>
      <c r="O362" s="241">
        <f>L362/L363</f>
        <v>0.11504424778761062</v>
      </c>
      <c r="P362" s="165"/>
    </row>
    <row r="363" spans="2:16" ht="17.25" customHeight="1" thickBot="1">
      <c r="B363" s="172"/>
      <c r="C363" s="31"/>
      <c r="D363" s="31"/>
      <c r="E363" s="35"/>
      <c r="F363" s="239" t="s">
        <v>79</v>
      </c>
      <c r="G363" s="586"/>
      <c r="H363" s="587"/>
      <c r="I363" s="235">
        <f>SUM(I361:I362)</f>
        <v>7302.839264949999</v>
      </c>
      <c r="J363" s="586"/>
      <c r="K363" s="587"/>
      <c r="L363" s="235">
        <f>SUM(L361:L362)</f>
        <v>7445.7721930962825</v>
      </c>
      <c r="M363" s="235">
        <f>SUM(M361:M362)</f>
        <v>142.93292814628273</v>
      </c>
      <c r="N363" s="238">
        <f t="shared" si="40"/>
        <v>0.019572240735502667</v>
      </c>
      <c r="O363" s="240">
        <f>O361+O362</f>
        <v>1</v>
      </c>
      <c r="P363" s="165"/>
    </row>
    <row r="364" spans="2:16" ht="17.25" customHeight="1" thickBot="1">
      <c r="B364" s="166"/>
      <c r="C364" s="178"/>
      <c r="D364" s="178"/>
      <c r="E364" s="178"/>
      <c r="F364" s="179"/>
      <c r="G364" s="180"/>
      <c r="H364" s="181"/>
      <c r="I364" s="182"/>
      <c r="J364" s="180"/>
      <c r="K364" s="183"/>
      <c r="L364" s="182"/>
      <c r="M364" s="184"/>
      <c r="N364" s="185"/>
      <c r="O364" s="186"/>
      <c r="P364" s="167"/>
    </row>
    <row r="365" spans="2:16" ht="17.25" customHeight="1" thickBot="1">
      <c r="B365" s="25"/>
      <c r="C365" s="31"/>
      <c r="D365" s="31"/>
      <c r="E365" s="31"/>
      <c r="F365" s="49"/>
      <c r="G365" s="50"/>
      <c r="H365" s="51"/>
      <c r="I365" s="52"/>
      <c r="J365" s="50"/>
      <c r="K365" s="53"/>
      <c r="L365" s="52"/>
      <c r="M365" s="54"/>
      <c r="N365" s="175"/>
      <c r="O365" s="176"/>
      <c r="P365" s="25"/>
    </row>
    <row r="366" spans="2:16" ht="17.25" customHeight="1">
      <c r="B366" s="174"/>
      <c r="C366" s="592"/>
      <c r="D366" s="592"/>
      <c r="E366" s="592"/>
      <c r="F366" s="592"/>
      <c r="G366" s="592"/>
      <c r="H366" s="592"/>
      <c r="I366" s="592"/>
      <c r="J366" s="592"/>
      <c r="K366" s="592"/>
      <c r="L366" s="592"/>
      <c r="M366" s="592"/>
      <c r="N366" s="592"/>
      <c r="O366" s="592"/>
      <c r="P366" s="164"/>
    </row>
    <row r="367" spans="2:16" ht="23.25">
      <c r="B367" s="172"/>
      <c r="C367" s="591" t="s">
        <v>91</v>
      </c>
      <c r="D367" s="591"/>
      <c r="E367" s="591"/>
      <c r="F367" s="591"/>
      <c r="G367" s="591"/>
      <c r="H367" s="591"/>
      <c r="I367" s="591"/>
      <c r="J367" s="591"/>
      <c r="K367" s="591"/>
      <c r="L367" s="591"/>
      <c r="M367" s="591"/>
      <c r="N367" s="591"/>
      <c r="O367" s="591"/>
      <c r="P367" s="165"/>
    </row>
    <row r="368" spans="2:17" ht="17.25" customHeight="1" thickBot="1">
      <c r="B368" s="172"/>
      <c r="C368" s="590"/>
      <c r="D368" s="590"/>
      <c r="E368" s="590"/>
      <c r="F368" s="590"/>
      <c r="G368" s="590"/>
      <c r="H368" s="590"/>
      <c r="I368" s="590"/>
      <c r="J368" s="590"/>
      <c r="K368" s="590"/>
      <c r="L368" s="590"/>
      <c r="M368" s="590"/>
      <c r="N368" s="590"/>
      <c r="O368" s="590"/>
      <c r="P368" s="165"/>
      <c r="Q368" s="25"/>
    </row>
    <row r="369" spans="2:17" ht="17.25" customHeight="1" thickBot="1">
      <c r="B369" s="172"/>
      <c r="C369" s="173"/>
      <c r="D369" s="173"/>
      <c r="E369" s="31"/>
      <c r="F369" s="32"/>
      <c r="G369" s="595" t="str">
        <f>$G$10</f>
        <v>2010 BILL</v>
      </c>
      <c r="H369" s="596"/>
      <c r="I369" s="597"/>
      <c r="J369" s="595" t="str">
        <f>$J$10</f>
        <v>2011 BILL</v>
      </c>
      <c r="K369" s="596"/>
      <c r="L369" s="597"/>
      <c r="M369" s="595" t="s">
        <v>73</v>
      </c>
      <c r="N369" s="596"/>
      <c r="O369" s="597"/>
      <c r="P369" s="165"/>
      <c r="Q369" s="25"/>
    </row>
    <row r="370" spans="2:17" ht="26.25" thickBot="1">
      <c r="B370" s="172"/>
      <c r="C370" s="31"/>
      <c r="D370" s="31"/>
      <c r="E370" s="33"/>
      <c r="F370" s="34"/>
      <c r="G370" s="391" t="s">
        <v>67</v>
      </c>
      <c r="H370" s="392" t="s">
        <v>68</v>
      </c>
      <c r="I370" s="393" t="s">
        <v>69</v>
      </c>
      <c r="J370" s="394" t="s">
        <v>67</v>
      </c>
      <c r="K370" s="392" t="s">
        <v>68</v>
      </c>
      <c r="L370" s="393" t="s">
        <v>69</v>
      </c>
      <c r="M370" s="192" t="s">
        <v>74</v>
      </c>
      <c r="N370" s="193" t="s">
        <v>75</v>
      </c>
      <c r="O370" s="194" t="s">
        <v>76</v>
      </c>
      <c r="P370" s="165"/>
      <c r="Q370" s="25"/>
    </row>
    <row r="371" spans="2:17" ht="17.25" customHeight="1" thickBot="1">
      <c r="B371" s="172"/>
      <c r="C371" s="593" t="s">
        <v>70</v>
      </c>
      <c r="D371" s="594"/>
      <c r="E371" s="31"/>
      <c r="F371" s="397" t="s">
        <v>71</v>
      </c>
      <c r="G371" s="395"/>
      <c r="H371" s="389"/>
      <c r="I371" s="204">
        <f>+'2010 Existing RatesNF'!$C$10</f>
        <v>280.14</v>
      </c>
      <c r="J371" s="202"/>
      <c r="K371" s="390"/>
      <c r="L371" s="229">
        <f>+'Distribution Rate Schedule'!$C$33</f>
        <v>222.81</v>
      </c>
      <c r="M371" s="230">
        <f aca="true" t="shared" si="41" ref="M371:M377">+L371-I371</f>
        <v>-57.329999999999984</v>
      </c>
      <c r="N371" s="231">
        <f aca="true" t="shared" si="42" ref="N371:N388">+M371/I371</f>
        <v>-0.204647676161919</v>
      </c>
      <c r="O371" s="225">
        <f>L371/L388</f>
        <v>0.010149708446730235</v>
      </c>
      <c r="P371" s="165"/>
      <c r="Q371" s="25"/>
    </row>
    <row r="372" spans="2:17" ht="17.25" customHeight="1" thickBot="1">
      <c r="B372" s="172"/>
      <c r="C372" s="170">
        <v>200000</v>
      </c>
      <c r="D372" s="171" t="s">
        <v>16</v>
      </c>
      <c r="E372" s="31"/>
      <c r="F372" s="398" t="s">
        <v>82</v>
      </c>
      <c r="G372" s="396">
        <f>+C373</f>
        <v>500</v>
      </c>
      <c r="H372" s="196">
        <f>'2010 Existing RatesNF'!$D$71</f>
        <v>3.0124</v>
      </c>
      <c r="I372" s="210">
        <f>+G372*H372</f>
        <v>1506.2</v>
      </c>
      <c r="J372" s="201">
        <f>G372</f>
        <v>500</v>
      </c>
      <c r="K372" s="195">
        <f>'Rate Schedule (Part 1) NF'!$E$34</f>
        <v>4.0311</v>
      </c>
      <c r="L372" s="214">
        <f>+J372*K372</f>
        <v>2015.5500000000002</v>
      </c>
      <c r="M372" s="230">
        <f t="shared" si="41"/>
        <v>509.35000000000014</v>
      </c>
      <c r="N372" s="231">
        <f t="shared" si="42"/>
        <v>0.3381689018722614</v>
      </c>
      <c r="O372" s="225">
        <f>L372/L388</f>
        <v>0.09181475185048753</v>
      </c>
      <c r="P372" s="165"/>
      <c r="Q372" s="25"/>
    </row>
    <row r="373" spans="2:16" ht="17.25" customHeight="1" thickBot="1">
      <c r="B373" s="172"/>
      <c r="C373" s="170">
        <v>500</v>
      </c>
      <c r="D373" s="171" t="s">
        <v>17</v>
      </c>
      <c r="E373" s="31"/>
      <c r="F373" s="398" t="s">
        <v>250</v>
      </c>
      <c r="G373" s="333">
        <f>G372</f>
        <v>500</v>
      </c>
      <c r="H373" s="399">
        <f>'2010 Existing RatesNF'!$D$48</f>
        <v>0</v>
      </c>
      <c r="J373" s="201">
        <f>+C373</f>
        <v>500</v>
      </c>
      <c r="K373" s="195">
        <f>'Rate Schedule (Part 1) NF'!$E$35</f>
        <v>0.1042</v>
      </c>
      <c r="L373" s="214">
        <f>+J373*K373</f>
        <v>52.1</v>
      </c>
      <c r="M373" s="230">
        <f t="shared" si="41"/>
        <v>52.1</v>
      </c>
      <c r="N373" s="231" t="e">
        <f t="shared" si="42"/>
        <v>#DIV/0!</v>
      </c>
      <c r="O373" s="225">
        <f>L373/L388</f>
        <v>0.0023733217094145023</v>
      </c>
      <c r="P373" s="165"/>
    </row>
    <row r="374" spans="2:16" ht="17.25" customHeight="1">
      <c r="B374" s="172"/>
      <c r="C374" s="369"/>
      <c r="D374" s="388"/>
      <c r="E374" s="31"/>
      <c r="F374" s="199" t="s">
        <v>170</v>
      </c>
      <c r="G374" s="220"/>
      <c r="H374" s="219"/>
      <c r="I374" s="210">
        <f>'2010 Existing RatesNF'!$B$58</f>
        <v>1</v>
      </c>
      <c r="J374" s="220"/>
      <c r="K374" s="219"/>
      <c r="L374" s="210">
        <f>'2010 Existing RatesNF'!$B$58</f>
        <v>1</v>
      </c>
      <c r="M374" s="230">
        <f t="shared" si="41"/>
        <v>0</v>
      </c>
      <c r="N374" s="231">
        <f t="shared" si="42"/>
        <v>0</v>
      </c>
      <c r="O374" s="225">
        <f>L374/L388</f>
        <v>4.555319979682346E-05</v>
      </c>
      <c r="P374" s="165"/>
    </row>
    <row r="375" spans="2:16" ht="17.25" customHeight="1">
      <c r="B375" s="172"/>
      <c r="C375" s="63"/>
      <c r="D375" s="64"/>
      <c r="E375" s="31"/>
      <c r="F375" s="199" t="s">
        <v>251</v>
      </c>
      <c r="G375" s="201">
        <f>G373</f>
        <v>500</v>
      </c>
      <c r="H375" s="196"/>
      <c r="I375" s="210">
        <f>+G375*H375</f>
        <v>0</v>
      </c>
      <c r="J375" s="201">
        <f>G375</f>
        <v>500</v>
      </c>
      <c r="K375" s="195">
        <f>'Rate Schedule (Part 1) NF'!$E$36</f>
        <v>0</v>
      </c>
      <c r="L375" s="214">
        <f>+J375*K375</f>
        <v>0</v>
      </c>
      <c r="M375" s="230">
        <f t="shared" si="41"/>
        <v>0</v>
      </c>
      <c r="N375" s="231" t="e">
        <f t="shared" si="42"/>
        <v>#DIV/0!</v>
      </c>
      <c r="O375" s="225">
        <f>L375/L388</f>
        <v>0</v>
      </c>
      <c r="P375" s="165"/>
    </row>
    <row r="376" spans="2:16" ht="27" customHeight="1">
      <c r="B376" s="172"/>
      <c r="C376" s="31"/>
      <c r="D376" s="31"/>
      <c r="E376" s="31"/>
      <c r="F376" s="199" t="s">
        <v>295</v>
      </c>
      <c r="G376" s="201">
        <f>+C373</f>
        <v>500</v>
      </c>
      <c r="H376" s="196">
        <f>'2010 Existing RatesNF'!$D$22</f>
        <v>-1.16</v>
      </c>
      <c r="I376" s="210">
        <f>+G376*H376</f>
        <v>-580</v>
      </c>
      <c r="J376" s="201">
        <f>+C373</f>
        <v>500</v>
      </c>
      <c r="K376" s="195">
        <f>'Rate Schedule (Part 1) NF'!$E$39</f>
        <v>-1.16</v>
      </c>
      <c r="L376" s="214">
        <f>+J376*K376</f>
        <v>-580</v>
      </c>
      <c r="M376" s="230">
        <f t="shared" si="41"/>
        <v>0</v>
      </c>
      <c r="N376" s="231">
        <f t="shared" si="42"/>
        <v>0</v>
      </c>
      <c r="O376" s="225">
        <f>L376/L388</f>
        <v>-0.026420855882157604</v>
      </c>
      <c r="P376" s="165"/>
    </row>
    <row r="377" spans="2:16" ht="27.75" customHeight="1">
      <c r="B377" s="172"/>
      <c r="C377" s="31"/>
      <c r="D377" s="31"/>
      <c r="E377" s="31"/>
      <c r="F377" s="199" t="s">
        <v>296</v>
      </c>
      <c r="G377" s="372">
        <f>C373</f>
        <v>500</v>
      </c>
      <c r="H377" s="488"/>
      <c r="I377" s="206">
        <f>+G377*H377</f>
        <v>0</v>
      </c>
      <c r="J377" s="372">
        <f>C373</f>
        <v>500</v>
      </c>
      <c r="K377" s="488">
        <f>'Rate Schedule (Part 1) NF'!E41</f>
        <v>-0.6119</v>
      </c>
      <c r="L377" s="214">
        <f>+J377*K377</f>
        <v>-305.95</v>
      </c>
      <c r="M377" s="224">
        <f t="shared" si="41"/>
        <v>-305.95</v>
      </c>
      <c r="N377" s="218" t="e">
        <f>+M377/I377</f>
        <v>#DIV/0!</v>
      </c>
      <c r="O377" s="225">
        <f>L377/L388</f>
        <v>-0.013937001477838136</v>
      </c>
      <c r="P377" s="165"/>
    </row>
    <row r="378" spans="2:16" ht="27" customHeight="1">
      <c r="B378" s="172"/>
      <c r="C378" s="31"/>
      <c r="D378" s="31"/>
      <c r="E378" s="31"/>
      <c r="F378" s="199" t="s">
        <v>318</v>
      </c>
      <c r="G378" s="201">
        <f>C373</f>
        <v>500</v>
      </c>
      <c r="H378" s="196">
        <f>'2010 Existing RatesNF'!D35</f>
        <v>0.4244</v>
      </c>
      <c r="I378" s="206">
        <f>+G378*H378</f>
        <v>212.2</v>
      </c>
      <c r="J378" s="201">
        <f>C373</f>
        <v>500</v>
      </c>
      <c r="K378" s="195">
        <f>'Rate Schedule (Part 1) NF'!E38</f>
        <v>0.4244</v>
      </c>
      <c r="L378" s="214">
        <f>+J378*K378</f>
        <v>212.2</v>
      </c>
      <c r="M378" s="224">
        <f>+L378-I378</f>
        <v>0</v>
      </c>
      <c r="N378" s="218">
        <f>+M378/I378</f>
        <v>0</v>
      </c>
      <c r="O378" s="225">
        <f>L378/L388</f>
        <v>0.009666388996885936</v>
      </c>
      <c r="P378" s="165"/>
    </row>
    <row r="379" spans="2:16" ht="27.75" customHeight="1" thickBot="1">
      <c r="B379" s="172"/>
      <c r="C379" s="31"/>
      <c r="D379" s="31"/>
      <c r="E379" s="31"/>
      <c r="F379" s="199" t="s">
        <v>319</v>
      </c>
      <c r="G379" s="372">
        <f>C373</f>
        <v>500</v>
      </c>
      <c r="H379" s="488"/>
      <c r="I379" s="206">
        <f>+G379*H379</f>
        <v>0</v>
      </c>
      <c r="J379" s="372">
        <f>C373</f>
        <v>500</v>
      </c>
      <c r="K379" s="488">
        <f>'Rate Schedule (Part 1) NF'!E40</f>
        <v>0.6442</v>
      </c>
      <c r="L379" s="214">
        <f>+J379*K379</f>
        <v>322.1</v>
      </c>
      <c r="M379" s="224">
        <f>+L379-I379</f>
        <v>322.1</v>
      </c>
      <c r="N379" s="218" t="e">
        <f>+M379/I379</f>
        <v>#DIV/0!</v>
      </c>
      <c r="O379" s="225">
        <f>L379/L388</f>
        <v>0.014672685654556835</v>
      </c>
      <c r="P379" s="165"/>
    </row>
    <row r="380" spans="2:16" ht="17.25" customHeight="1" thickBot="1">
      <c r="B380" s="172"/>
      <c r="C380" s="31"/>
      <c r="D380" s="31"/>
      <c r="E380" s="31"/>
      <c r="F380" s="233" t="s">
        <v>247</v>
      </c>
      <c r="G380" s="586"/>
      <c r="H380" s="587"/>
      <c r="I380" s="235">
        <f>SUM(I371:I379)</f>
        <v>1419.5400000000002</v>
      </c>
      <c r="J380" s="586"/>
      <c r="K380" s="587"/>
      <c r="L380" s="235">
        <f>SUM(L371:L379)</f>
        <v>1939.81</v>
      </c>
      <c r="M380" s="237">
        <f>SUM(M371:M379)</f>
        <v>520.2700000000002</v>
      </c>
      <c r="N380" s="238">
        <f t="shared" si="42"/>
        <v>0.3665060512560408</v>
      </c>
      <c r="O380" s="240">
        <f>SUM(O371:O379)</f>
        <v>0.0883645524978761</v>
      </c>
      <c r="P380" s="165"/>
    </row>
    <row r="381" spans="2:16" ht="17.25" customHeight="1" thickBot="1">
      <c r="B381" s="172"/>
      <c r="C381" s="31"/>
      <c r="D381" s="31"/>
      <c r="E381" s="31"/>
      <c r="F381" s="199" t="s">
        <v>252</v>
      </c>
      <c r="G381" s="372">
        <f>C373</f>
        <v>500</v>
      </c>
      <c r="H381" s="373">
        <f>'Other Electriciy Rates NF'!$G$12</f>
        <v>3.625</v>
      </c>
      <c r="I381" s="210">
        <f>+G381*H381</f>
        <v>1812.5</v>
      </c>
      <c r="J381" s="372">
        <f>C373</f>
        <v>500</v>
      </c>
      <c r="K381" s="494">
        <f>'Other Electriciy Rates NF'!$G$26</f>
        <v>3.6656054700065805</v>
      </c>
      <c r="L381" s="210">
        <f>+J381*K381</f>
        <v>1832.8027350032903</v>
      </c>
      <c r="M381" s="374">
        <f>+L381-I381</f>
        <v>20.30273500329031</v>
      </c>
      <c r="N381" s="222">
        <f t="shared" si="42"/>
        <v>0.011201508967332584</v>
      </c>
      <c r="O381" s="225">
        <f>L381/L388</f>
        <v>0.08349002917576935</v>
      </c>
      <c r="P381" s="165"/>
    </row>
    <row r="382" spans="2:16" ht="17.25" customHeight="1" thickBot="1">
      <c r="B382" s="172"/>
      <c r="C382" s="31"/>
      <c r="D382" s="31"/>
      <c r="E382" s="31"/>
      <c r="F382" s="233" t="s">
        <v>249</v>
      </c>
      <c r="G382" s="586"/>
      <c r="H382" s="587"/>
      <c r="I382" s="235">
        <f>SUM(I380:I381)</f>
        <v>3232.04</v>
      </c>
      <c r="J382" s="586"/>
      <c r="K382" s="587"/>
      <c r="L382" s="235">
        <f>SUM(L380:L381)</f>
        <v>3772.6127350032903</v>
      </c>
      <c r="M382" s="237">
        <f>SUM(M380:M381)</f>
        <v>540.5727350032905</v>
      </c>
      <c r="N382" s="238">
        <f t="shared" si="42"/>
        <v>0.16725434555367213</v>
      </c>
      <c r="O382" s="375">
        <f>L382/L388</f>
        <v>0.17185458167364545</v>
      </c>
      <c r="P382" s="165"/>
    </row>
    <row r="383" spans="2:16" ht="17.25" customHeight="1">
      <c r="B383" s="172"/>
      <c r="C383" s="31"/>
      <c r="D383" s="31"/>
      <c r="E383" s="31"/>
      <c r="F383" s="197" t="s">
        <v>77</v>
      </c>
      <c r="G383" s="202">
        <f>C372*'Other Electriciy Rates NF'!$M$12</f>
        <v>211439.99999999997</v>
      </c>
      <c r="H383" s="203">
        <f>'Other Electriciy Rates NF'!$C$12+'Other Electriciy Rates NF'!$E$12+'Other Electriciy Rates NF'!D12</f>
        <v>0.0138725</v>
      </c>
      <c r="I383" s="204">
        <f>+G383*H383</f>
        <v>2933.2013999999995</v>
      </c>
      <c r="J383" s="202">
        <f>C372*'Other Electriciy Rates NF'!$M$26</f>
        <v>211198.05501857397</v>
      </c>
      <c r="K383" s="203">
        <f>'Other Electriciy Rates NF'!$C$26+'Other Electriciy Rates NF'!$E$26+'Other Electriciy Rates NF'!D26</f>
        <v>0.0135</v>
      </c>
      <c r="L383" s="229">
        <f>+J383*K383</f>
        <v>2851.1737427507487</v>
      </c>
      <c r="M383" s="221">
        <f>+L383-I383</f>
        <v>-82.02765724925075</v>
      </c>
      <c r="N383" s="222">
        <f t="shared" si="42"/>
        <v>-0.027965231862104922</v>
      </c>
      <c r="O383" s="301">
        <f>L383/L388</f>
        <v>0.12988008715898178</v>
      </c>
      <c r="P383" s="165"/>
    </row>
    <row r="384" spans="2:16" ht="21.75" customHeight="1">
      <c r="B384" s="172"/>
      <c r="C384" s="31"/>
      <c r="D384" s="31"/>
      <c r="E384" s="31"/>
      <c r="F384" s="200" t="s">
        <v>321</v>
      </c>
      <c r="G384" s="220"/>
      <c r="H384" s="219"/>
      <c r="I384" s="512">
        <v>0.25</v>
      </c>
      <c r="J384" s="496"/>
      <c r="K384" s="219"/>
      <c r="L384" s="514">
        <v>0.25</v>
      </c>
      <c r="M384" s="230">
        <f>+L384-I384</f>
        <v>0</v>
      </c>
      <c r="N384" s="231">
        <f t="shared" si="42"/>
        <v>0</v>
      </c>
      <c r="O384" s="225">
        <f>L384/L388</f>
        <v>1.1388299949205864E-05</v>
      </c>
      <c r="P384" s="165"/>
    </row>
    <row r="385" spans="2:16" ht="17.25" customHeight="1" thickBot="1">
      <c r="B385" s="172"/>
      <c r="C385" s="31"/>
      <c r="D385" s="31"/>
      <c r="E385" s="31"/>
      <c r="F385" s="197" t="s">
        <v>78</v>
      </c>
      <c r="G385" s="202">
        <f>G383</f>
        <v>211439.99999999997</v>
      </c>
      <c r="H385" s="203">
        <f>+'Other Electriciy Rates NF'!$K$12</f>
        <v>0.06062</v>
      </c>
      <c r="I385" s="204">
        <f>+G385*H385</f>
        <v>12817.492799999998</v>
      </c>
      <c r="J385" s="202">
        <f>J383</f>
        <v>211198.05501857397</v>
      </c>
      <c r="K385" s="203">
        <f>'Other Electriciy Rates NF'!$K$26</f>
        <v>0.06062</v>
      </c>
      <c r="L385" s="229">
        <f>+J385*K385</f>
        <v>12802.826095225953</v>
      </c>
      <c r="M385" s="515">
        <f>+L385-I385</f>
        <v>-14.666704774044774</v>
      </c>
      <c r="N385" s="516">
        <f t="shared" si="42"/>
        <v>-0.0011442725190409138</v>
      </c>
      <c r="O385" s="241">
        <f>L385/L388</f>
        <v>0.5832096950798129</v>
      </c>
      <c r="P385" s="165"/>
    </row>
    <row r="386" spans="2:16" ht="17.25" customHeight="1" thickBot="1">
      <c r="B386" s="172"/>
      <c r="C386" s="31"/>
      <c r="D386" s="31"/>
      <c r="E386" s="31"/>
      <c r="F386" s="233" t="s">
        <v>195</v>
      </c>
      <c r="G386" s="586"/>
      <c r="H386" s="587"/>
      <c r="I386" s="235">
        <f>SUM(I382:I385)</f>
        <v>18982.9842</v>
      </c>
      <c r="J386" s="586"/>
      <c r="K386" s="587"/>
      <c r="L386" s="235">
        <f>SUM(L382:L385)</f>
        <v>19426.862572979993</v>
      </c>
      <c r="M386" s="235">
        <f>SUM(M382:M385)</f>
        <v>443.878372979995</v>
      </c>
      <c r="N386" s="238">
        <f t="shared" si="42"/>
        <v>0.02338296067169434</v>
      </c>
      <c r="O386" s="375">
        <f>L386/L388</f>
        <v>0.8849557522123894</v>
      </c>
      <c r="P386" s="165"/>
    </row>
    <row r="387" spans="2:16" ht="17.25" customHeight="1" thickBot="1">
      <c r="B387" s="172"/>
      <c r="C387" s="31"/>
      <c r="D387" s="31"/>
      <c r="E387" s="31"/>
      <c r="F387" s="297" t="s">
        <v>274</v>
      </c>
      <c r="G387" s="298"/>
      <c r="H387" s="302">
        <v>0.13</v>
      </c>
      <c r="I387" s="299">
        <f>I386*H387</f>
        <v>2467.787946</v>
      </c>
      <c r="J387" s="298"/>
      <c r="K387" s="302">
        <v>0.13</v>
      </c>
      <c r="L387" s="300">
        <f>L386*K387</f>
        <v>2525.492134487399</v>
      </c>
      <c r="M387" s="227">
        <f>+L387-I387</f>
        <v>57.70418848739928</v>
      </c>
      <c r="N387" s="228">
        <f t="shared" si="42"/>
        <v>0.02338296067169431</v>
      </c>
      <c r="O387" s="241">
        <f>L387/L388</f>
        <v>0.11504424778761063</v>
      </c>
      <c r="P387" s="165"/>
    </row>
    <row r="388" spans="2:16" ht="17.25" customHeight="1" thickBot="1">
      <c r="B388" s="172"/>
      <c r="C388" s="31"/>
      <c r="D388" s="31"/>
      <c r="E388" s="35"/>
      <c r="F388" s="239" t="s">
        <v>79</v>
      </c>
      <c r="G388" s="586"/>
      <c r="H388" s="587"/>
      <c r="I388" s="235">
        <f>SUM(I386:I387)</f>
        <v>21450.772146</v>
      </c>
      <c r="J388" s="586"/>
      <c r="K388" s="587"/>
      <c r="L388" s="235">
        <f>SUM(L386:L387)</f>
        <v>21952.35470746739</v>
      </c>
      <c r="M388" s="235">
        <f>SUM(M386:M387)</f>
        <v>501.58256146739427</v>
      </c>
      <c r="N388" s="238">
        <f t="shared" si="42"/>
        <v>0.023382960671694333</v>
      </c>
      <c r="O388" s="240">
        <f>O386+O387</f>
        <v>1</v>
      </c>
      <c r="P388" s="165"/>
    </row>
    <row r="389" spans="2:16" ht="17.25" customHeight="1" thickBot="1">
      <c r="B389" s="166"/>
      <c r="C389" s="178"/>
      <c r="D389" s="178"/>
      <c r="E389" s="178"/>
      <c r="F389" s="179"/>
      <c r="G389" s="180"/>
      <c r="H389" s="181"/>
      <c r="I389" s="182"/>
      <c r="J389" s="180"/>
      <c r="K389" s="183"/>
      <c r="L389" s="182"/>
      <c r="M389" s="184"/>
      <c r="N389" s="185"/>
      <c r="O389" s="186"/>
      <c r="P389" s="167"/>
    </row>
    <row r="390" spans="2:16" ht="17.25" customHeight="1" thickBot="1">
      <c r="B390" s="25"/>
      <c r="C390" s="31"/>
      <c r="D390" s="31"/>
      <c r="E390" s="31"/>
      <c r="F390" s="49"/>
      <c r="G390" s="50"/>
      <c r="H390" s="51"/>
      <c r="I390" s="52"/>
      <c r="J390" s="50"/>
      <c r="K390" s="53"/>
      <c r="L390" s="52"/>
      <c r="M390" s="54"/>
      <c r="N390" s="175"/>
      <c r="O390" s="176"/>
      <c r="P390" s="25"/>
    </row>
    <row r="391" spans="2:16" ht="17.25" customHeight="1">
      <c r="B391" s="174"/>
      <c r="C391" s="592"/>
      <c r="D391" s="592"/>
      <c r="E391" s="592"/>
      <c r="F391" s="592"/>
      <c r="G391" s="592"/>
      <c r="H391" s="592"/>
      <c r="I391" s="592"/>
      <c r="J391" s="592"/>
      <c r="K391" s="592"/>
      <c r="L391" s="592"/>
      <c r="M391" s="592"/>
      <c r="N391" s="592"/>
      <c r="O391" s="592"/>
      <c r="P391" s="164"/>
    </row>
    <row r="392" spans="2:16" ht="23.25">
      <c r="B392" s="172"/>
      <c r="C392" s="591" t="s">
        <v>91</v>
      </c>
      <c r="D392" s="591"/>
      <c r="E392" s="591"/>
      <c r="F392" s="591"/>
      <c r="G392" s="591"/>
      <c r="H392" s="591"/>
      <c r="I392" s="591"/>
      <c r="J392" s="591"/>
      <c r="K392" s="591"/>
      <c r="L392" s="591"/>
      <c r="M392" s="591"/>
      <c r="N392" s="591"/>
      <c r="O392" s="591"/>
      <c r="P392" s="165"/>
    </row>
    <row r="393" spans="2:17" ht="17.25" customHeight="1" thickBot="1">
      <c r="B393" s="172"/>
      <c r="C393" s="590"/>
      <c r="D393" s="590"/>
      <c r="E393" s="590"/>
      <c r="F393" s="590"/>
      <c r="G393" s="590"/>
      <c r="H393" s="590"/>
      <c r="I393" s="590"/>
      <c r="J393" s="590"/>
      <c r="K393" s="590"/>
      <c r="L393" s="590"/>
      <c r="M393" s="590"/>
      <c r="N393" s="590"/>
      <c r="O393" s="590"/>
      <c r="P393" s="165"/>
      <c r="Q393" s="25"/>
    </row>
    <row r="394" spans="2:17" ht="17.25" customHeight="1" thickBot="1">
      <c r="B394" s="172"/>
      <c r="C394" s="173"/>
      <c r="D394" s="173"/>
      <c r="E394" s="31"/>
      <c r="F394" s="32"/>
      <c r="G394" s="595" t="str">
        <f>$G$10</f>
        <v>2010 BILL</v>
      </c>
      <c r="H394" s="596"/>
      <c r="I394" s="597"/>
      <c r="J394" s="595" t="str">
        <f>$J$10</f>
        <v>2011 BILL</v>
      </c>
      <c r="K394" s="596"/>
      <c r="L394" s="597"/>
      <c r="M394" s="595" t="s">
        <v>73</v>
      </c>
      <c r="N394" s="596"/>
      <c r="O394" s="597"/>
      <c r="P394" s="165"/>
      <c r="Q394" s="25"/>
    </row>
    <row r="395" spans="2:17" ht="26.25" thickBot="1">
      <c r="B395" s="172"/>
      <c r="C395" s="31"/>
      <c r="D395" s="31"/>
      <c r="E395" s="33"/>
      <c r="F395" s="34"/>
      <c r="G395" s="391" t="s">
        <v>67</v>
      </c>
      <c r="H395" s="392" t="s">
        <v>68</v>
      </c>
      <c r="I395" s="393" t="s">
        <v>69</v>
      </c>
      <c r="J395" s="394" t="s">
        <v>67</v>
      </c>
      <c r="K395" s="392" t="s">
        <v>68</v>
      </c>
      <c r="L395" s="393" t="s">
        <v>69</v>
      </c>
      <c r="M395" s="192" t="s">
        <v>74</v>
      </c>
      <c r="N395" s="193" t="s">
        <v>75</v>
      </c>
      <c r="O395" s="194" t="s">
        <v>76</v>
      </c>
      <c r="P395" s="165"/>
      <c r="Q395" s="25"/>
    </row>
    <row r="396" spans="2:17" ht="17.25" customHeight="1" thickBot="1">
      <c r="B396" s="172"/>
      <c r="C396" s="593" t="s">
        <v>70</v>
      </c>
      <c r="D396" s="594"/>
      <c r="E396" s="31"/>
      <c r="F396" s="397" t="s">
        <v>71</v>
      </c>
      <c r="G396" s="395"/>
      <c r="H396" s="389"/>
      <c r="I396" s="204">
        <f>+'2010 Existing RatesNF'!$C$10</f>
        <v>280.14</v>
      </c>
      <c r="J396" s="202"/>
      <c r="K396" s="390"/>
      <c r="L396" s="229">
        <f>+'Distribution Rate Schedule'!$C$33</f>
        <v>222.81</v>
      </c>
      <c r="M396" s="230">
        <f aca="true" t="shared" si="43" ref="M396:M402">+L396-I396</f>
        <v>-57.329999999999984</v>
      </c>
      <c r="N396" s="231">
        <f aca="true" t="shared" si="44" ref="N396:N413">+M396/I396</f>
        <v>-0.204647676161919</v>
      </c>
      <c r="O396" s="225">
        <f>L396/L413</f>
        <v>0.002559567720126814</v>
      </c>
      <c r="P396" s="165"/>
      <c r="Q396" s="25"/>
    </row>
    <row r="397" spans="2:17" ht="17.25" customHeight="1" thickBot="1">
      <c r="B397" s="172"/>
      <c r="C397" s="170">
        <v>800000</v>
      </c>
      <c r="D397" s="171" t="s">
        <v>16</v>
      </c>
      <c r="E397" s="31"/>
      <c r="F397" s="398" t="s">
        <v>82</v>
      </c>
      <c r="G397" s="396">
        <f>+C398</f>
        <v>2000</v>
      </c>
      <c r="H397" s="196">
        <f>'2010 Existing RatesNF'!$D$71</f>
        <v>3.0124</v>
      </c>
      <c r="I397" s="210">
        <f>+G397*H397</f>
        <v>6024.8</v>
      </c>
      <c r="J397" s="201">
        <f>G397</f>
        <v>2000</v>
      </c>
      <c r="K397" s="195">
        <f>'Rate Schedule (Part 1) NF'!$E$34</f>
        <v>4.0311</v>
      </c>
      <c r="L397" s="214">
        <f>+J397*K397</f>
        <v>8062.200000000001</v>
      </c>
      <c r="M397" s="230">
        <f t="shared" si="43"/>
        <v>2037.4000000000005</v>
      </c>
      <c r="N397" s="231">
        <f t="shared" si="44"/>
        <v>0.3381689018722614</v>
      </c>
      <c r="O397" s="225">
        <f>L397/L413</f>
        <v>0.09261589189536557</v>
      </c>
      <c r="P397" s="165"/>
      <c r="Q397" s="25"/>
    </row>
    <row r="398" spans="2:16" ht="17.25" customHeight="1" thickBot="1">
      <c r="B398" s="172"/>
      <c r="C398" s="170">
        <v>2000</v>
      </c>
      <c r="D398" s="171" t="s">
        <v>17</v>
      </c>
      <c r="E398" s="31"/>
      <c r="F398" s="398" t="s">
        <v>250</v>
      </c>
      <c r="G398" s="333">
        <f>G397</f>
        <v>2000</v>
      </c>
      <c r="H398" s="399">
        <f>'2010 Existing RatesNF'!$D$48</f>
        <v>0</v>
      </c>
      <c r="J398" s="201">
        <f>+C398</f>
        <v>2000</v>
      </c>
      <c r="K398" s="195">
        <f>'Rate Schedule (Part 1) NF'!$E$35</f>
        <v>0.1042</v>
      </c>
      <c r="L398" s="214">
        <f>+J398*K398</f>
        <v>208.4</v>
      </c>
      <c r="M398" s="230">
        <f t="shared" si="43"/>
        <v>208.4</v>
      </c>
      <c r="N398" s="231" t="e">
        <f t="shared" si="44"/>
        <v>#DIV/0!</v>
      </c>
      <c r="O398" s="225">
        <f>L398/L413</f>
        <v>0.0023940303975334503</v>
      </c>
      <c r="P398" s="165"/>
    </row>
    <row r="399" spans="2:16" ht="17.25" customHeight="1">
      <c r="B399" s="172"/>
      <c r="C399" s="369"/>
      <c r="D399" s="388"/>
      <c r="E399" s="31"/>
      <c r="F399" s="199" t="s">
        <v>170</v>
      </c>
      <c r="G399" s="220"/>
      <c r="H399" s="219"/>
      <c r="I399" s="210">
        <f>'2010 Existing RatesNF'!$B$58</f>
        <v>1</v>
      </c>
      <c r="J399" s="220"/>
      <c r="K399" s="219"/>
      <c r="L399" s="210">
        <f>'2010 Existing RatesNF'!$B$58</f>
        <v>1</v>
      </c>
      <c r="M399" s="230">
        <f t="shared" si="43"/>
        <v>0</v>
      </c>
      <c r="N399" s="231">
        <f t="shared" si="44"/>
        <v>0</v>
      </c>
      <c r="O399" s="225">
        <f>L399/L413</f>
        <v>1.1487669853807343E-05</v>
      </c>
      <c r="P399" s="165"/>
    </row>
    <row r="400" spans="2:16" ht="17.25" customHeight="1">
      <c r="B400" s="172"/>
      <c r="C400" s="63"/>
      <c r="D400" s="64"/>
      <c r="E400" s="31"/>
      <c r="F400" s="199" t="s">
        <v>251</v>
      </c>
      <c r="G400" s="201">
        <f>G398</f>
        <v>2000</v>
      </c>
      <c r="H400" s="196"/>
      <c r="I400" s="210">
        <f>+G400*H400</f>
        <v>0</v>
      </c>
      <c r="J400" s="201">
        <f>G400</f>
        <v>2000</v>
      </c>
      <c r="K400" s="195">
        <f>'Rate Schedule (Part 1) NF'!$E$36</f>
        <v>0</v>
      </c>
      <c r="L400" s="214">
        <f>+J400*K400</f>
        <v>0</v>
      </c>
      <c r="M400" s="230">
        <f t="shared" si="43"/>
        <v>0</v>
      </c>
      <c r="N400" s="231" t="e">
        <f t="shared" si="44"/>
        <v>#DIV/0!</v>
      </c>
      <c r="O400" s="225">
        <f>L400/L413</f>
        <v>0</v>
      </c>
      <c r="P400" s="165"/>
    </row>
    <row r="401" spans="2:16" ht="30.75" customHeight="1">
      <c r="B401" s="172"/>
      <c r="C401" s="31"/>
      <c r="D401" s="31"/>
      <c r="E401" s="31"/>
      <c r="F401" s="199" t="s">
        <v>295</v>
      </c>
      <c r="G401" s="201">
        <f>+C398</f>
        <v>2000</v>
      </c>
      <c r="H401" s="196">
        <f>'2010 Existing RatesNF'!$D$22</f>
        <v>-1.16</v>
      </c>
      <c r="I401" s="210">
        <f>+G401*H401</f>
        <v>-2320</v>
      </c>
      <c r="J401" s="201">
        <f>+C398</f>
        <v>2000</v>
      </c>
      <c r="K401" s="195">
        <f>'Rate Schedule (Part 1) NF'!$E$39</f>
        <v>-1.16</v>
      </c>
      <c r="L401" s="214">
        <f>+J401*K401</f>
        <v>-2320</v>
      </c>
      <c r="M401" s="230">
        <f t="shared" si="43"/>
        <v>0</v>
      </c>
      <c r="N401" s="231">
        <f t="shared" si="44"/>
        <v>0</v>
      </c>
      <c r="O401" s="225">
        <f>L401/L413</f>
        <v>-0.026651394060833035</v>
      </c>
      <c r="P401" s="165"/>
    </row>
    <row r="402" spans="2:16" ht="27.75" customHeight="1">
      <c r="B402" s="172"/>
      <c r="C402" s="31"/>
      <c r="D402" s="31"/>
      <c r="E402" s="31"/>
      <c r="F402" s="199" t="s">
        <v>296</v>
      </c>
      <c r="G402" s="372">
        <f>C398</f>
        <v>2000</v>
      </c>
      <c r="H402" s="488"/>
      <c r="I402" s="206">
        <f>+G402*H402</f>
        <v>0</v>
      </c>
      <c r="J402" s="372">
        <f>C398</f>
        <v>2000</v>
      </c>
      <c r="K402" s="488">
        <f>'Rate Schedule (Part 1) NF'!E41</f>
        <v>-0.6119</v>
      </c>
      <c r="L402" s="214">
        <f>+J402*K402</f>
        <v>-1223.8</v>
      </c>
      <c r="M402" s="224">
        <f t="shared" si="43"/>
        <v>-1223.8</v>
      </c>
      <c r="N402" s="218" t="e">
        <f>+M402/I402</f>
        <v>#DIV/0!</v>
      </c>
      <c r="O402" s="225">
        <f>L402/L413</f>
        <v>-0.014058610367089424</v>
      </c>
      <c r="P402" s="165"/>
    </row>
    <row r="403" spans="2:16" ht="30.75" customHeight="1">
      <c r="B403" s="172"/>
      <c r="C403" s="31"/>
      <c r="D403" s="31"/>
      <c r="E403" s="31"/>
      <c r="F403" s="199" t="s">
        <v>318</v>
      </c>
      <c r="G403" s="201">
        <f>C398</f>
        <v>2000</v>
      </c>
      <c r="H403" s="196">
        <f>'2010 Existing RatesNF'!D35</f>
        <v>0.4244</v>
      </c>
      <c r="I403" s="206">
        <f>+G403*H403</f>
        <v>848.8</v>
      </c>
      <c r="J403" s="201">
        <f>C398</f>
        <v>2000</v>
      </c>
      <c r="K403" s="195">
        <f>'Rate Schedule (Part 1) NF'!E38</f>
        <v>0.4244</v>
      </c>
      <c r="L403" s="214">
        <f>+J403*K403</f>
        <v>848.8</v>
      </c>
      <c r="M403" s="224">
        <f>+L403-I403</f>
        <v>0</v>
      </c>
      <c r="N403" s="218">
        <f>+M403/I403</f>
        <v>0</v>
      </c>
      <c r="O403" s="225">
        <f>L403/L413</f>
        <v>0.009750734171911671</v>
      </c>
      <c r="P403" s="165"/>
    </row>
    <row r="404" spans="2:16" ht="27.75" customHeight="1" thickBot="1">
      <c r="B404" s="172"/>
      <c r="C404" s="31"/>
      <c r="D404" s="31"/>
      <c r="E404" s="31"/>
      <c r="F404" s="199" t="s">
        <v>319</v>
      </c>
      <c r="G404" s="372">
        <f>C398</f>
        <v>2000</v>
      </c>
      <c r="H404" s="488"/>
      <c r="I404" s="206">
        <f>+G404*H404</f>
        <v>0</v>
      </c>
      <c r="J404" s="372">
        <f>C398</f>
        <v>2000</v>
      </c>
      <c r="K404" s="488">
        <f>'Rate Schedule (Part 1) NF'!E40</f>
        <v>0.6442</v>
      </c>
      <c r="L404" s="214">
        <f>+J404*K404</f>
        <v>1288.4</v>
      </c>
      <c r="M404" s="224">
        <f>+L404-I404</f>
        <v>1288.4</v>
      </c>
      <c r="N404" s="218" t="e">
        <f>+M404/I404</f>
        <v>#DIV/0!</v>
      </c>
      <c r="O404" s="225">
        <f>L404/L413</f>
        <v>0.014800713839645381</v>
      </c>
      <c r="P404" s="165"/>
    </row>
    <row r="405" spans="2:16" ht="17.25" customHeight="1" thickBot="1">
      <c r="B405" s="172"/>
      <c r="C405" s="31"/>
      <c r="D405" s="31"/>
      <c r="E405" s="31"/>
      <c r="F405" s="233" t="s">
        <v>247</v>
      </c>
      <c r="G405" s="586"/>
      <c r="H405" s="587"/>
      <c r="I405" s="235">
        <f>SUM(I396:I404)</f>
        <v>4834.740000000001</v>
      </c>
      <c r="J405" s="586"/>
      <c r="K405" s="587"/>
      <c r="L405" s="235">
        <f>SUM(L396:L404)</f>
        <v>7087.8099999999995</v>
      </c>
      <c r="M405" s="237">
        <f>SUM(M396:M404)</f>
        <v>2253.0700000000006</v>
      </c>
      <c r="N405" s="238">
        <f t="shared" si="44"/>
        <v>0.4660167868385891</v>
      </c>
      <c r="O405" s="240">
        <f>SUM(O396:O404)</f>
        <v>0.08142242126651422</v>
      </c>
      <c r="P405" s="165"/>
    </row>
    <row r="406" spans="2:16" ht="17.25" customHeight="1" thickBot="1">
      <c r="B406" s="172"/>
      <c r="C406" s="31"/>
      <c r="D406" s="31"/>
      <c r="E406" s="31"/>
      <c r="F406" s="199" t="s">
        <v>252</v>
      </c>
      <c r="G406" s="372">
        <f>C398</f>
        <v>2000</v>
      </c>
      <c r="H406" s="373">
        <f>'Other Electriciy Rates NF'!$G$12</f>
        <v>3.625</v>
      </c>
      <c r="I406" s="210">
        <f>+G406*H406</f>
        <v>7250</v>
      </c>
      <c r="J406" s="372">
        <f>C398</f>
        <v>2000</v>
      </c>
      <c r="K406" s="494">
        <f>'Other Electriciy Rates NF'!$G$26</f>
        <v>3.6656054700065805</v>
      </c>
      <c r="L406" s="210">
        <f>+J406*K406</f>
        <v>7331.210940013161</v>
      </c>
      <c r="M406" s="374">
        <f>+L406-I406</f>
        <v>81.21094001316123</v>
      </c>
      <c r="N406" s="222">
        <f t="shared" si="44"/>
        <v>0.011201508967332584</v>
      </c>
      <c r="O406" s="225">
        <f>L406/L413</f>
        <v>0.08421853090749178</v>
      </c>
      <c r="P406" s="165"/>
    </row>
    <row r="407" spans="2:16" ht="17.25" customHeight="1" thickBot="1">
      <c r="B407" s="172"/>
      <c r="C407" s="31"/>
      <c r="D407" s="31"/>
      <c r="E407" s="31"/>
      <c r="F407" s="233" t="s">
        <v>249</v>
      </c>
      <c r="G407" s="586"/>
      <c r="H407" s="587"/>
      <c r="I407" s="235">
        <f>SUM(I405:I406)</f>
        <v>12084.740000000002</v>
      </c>
      <c r="J407" s="586"/>
      <c r="K407" s="587"/>
      <c r="L407" s="235">
        <f>SUM(L405:L406)</f>
        <v>14419.02094001316</v>
      </c>
      <c r="M407" s="237">
        <f>SUM(M405:M406)</f>
        <v>2334.280940013162</v>
      </c>
      <c r="N407" s="238">
        <f t="shared" si="44"/>
        <v>0.19315938448102</v>
      </c>
      <c r="O407" s="375">
        <f>L407/L413</f>
        <v>0.16564095217400598</v>
      </c>
      <c r="P407" s="165"/>
    </row>
    <row r="408" spans="2:16" ht="17.25" customHeight="1">
      <c r="B408" s="172"/>
      <c r="C408" s="31"/>
      <c r="D408" s="31"/>
      <c r="E408" s="31"/>
      <c r="F408" s="197" t="s">
        <v>77</v>
      </c>
      <c r="G408" s="202">
        <f>C397*'Other Electriciy Rates NF'!$M$12</f>
        <v>845759.9999999999</v>
      </c>
      <c r="H408" s="203">
        <f>'Other Electriciy Rates NF'!$C$12+'Other Electriciy Rates NF'!$E$12+'Other Electriciy Rates NF'!D12</f>
        <v>0.0138725</v>
      </c>
      <c r="I408" s="204">
        <f>+G408*H408</f>
        <v>11732.805599999998</v>
      </c>
      <c r="J408" s="202">
        <f>C397*'Other Electriciy Rates NF'!$M$26</f>
        <v>844792.2200742959</v>
      </c>
      <c r="K408" s="203">
        <f>'Other Electriciy Rates NF'!$C$26+'Other Electriciy Rates NF'!$E$26+'Other Electriciy Rates NF'!D26</f>
        <v>0.0135</v>
      </c>
      <c r="L408" s="229">
        <f>+J408*K408</f>
        <v>11404.694971002995</v>
      </c>
      <c r="M408" s="221">
        <f>+L408-I408</f>
        <v>-328.110628997003</v>
      </c>
      <c r="N408" s="222">
        <f t="shared" si="44"/>
        <v>-0.027965231862104922</v>
      </c>
      <c r="O408" s="301">
        <f>L408/L413</f>
        <v>0.1310133706102593</v>
      </c>
      <c r="P408" s="165"/>
    </row>
    <row r="409" spans="2:16" ht="21.75" customHeight="1">
      <c r="B409" s="172"/>
      <c r="C409" s="31"/>
      <c r="D409" s="31"/>
      <c r="E409" s="31"/>
      <c r="F409" s="200" t="s">
        <v>321</v>
      </c>
      <c r="G409" s="220"/>
      <c r="H409" s="219"/>
      <c r="I409" s="512">
        <v>0.25</v>
      </c>
      <c r="J409" s="496"/>
      <c r="K409" s="219"/>
      <c r="L409" s="514">
        <v>0.25</v>
      </c>
      <c r="M409" s="230">
        <f>+L409-I409</f>
        <v>0</v>
      </c>
      <c r="N409" s="231">
        <f t="shared" si="44"/>
        <v>0</v>
      </c>
      <c r="O409" s="225">
        <f>L409/L413</f>
        <v>2.8719174634518357E-06</v>
      </c>
      <c r="P409" s="165"/>
    </row>
    <row r="410" spans="2:16" ht="17.25" customHeight="1" thickBot="1">
      <c r="B410" s="172"/>
      <c r="C410" s="31"/>
      <c r="D410" s="31"/>
      <c r="E410" s="31"/>
      <c r="F410" s="197" t="s">
        <v>78</v>
      </c>
      <c r="G410" s="202">
        <f>G408</f>
        <v>845759.9999999999</v>
      </c>
      <c r="H410" s="203">
        <f>+'Other Electriciy Rates NF'!$K$12</f>
        <v>0.06062</v>
      </c>
      <c r="I410" s="204">
        <f>+G410*H410</f>
        <v>51269.97119999999</v>
      </c>
      <c r="J410" s="202">
        <f>J408</f>
        <v>844792.2200742959</v>
      </c>
      <c r="K410" s="203">
        <f>'Other Electriciy Rates NF'!$K$26</f>
        <v>0.06062</v>
      </c>
      <c r="L410" s="229">
        <f>+J410*K410</f>
        <v>51211.30438090381</v>
      </c>
      <c r="M410" s="515">
        <f>+L410-I410</f>
        <v>-58.6668190961791</v>
      </c>
      <c r="N410" s="516">
        <f t="shared" si="44"/>
        <v>-0.0011442725190409138</v>
      </c>
      <c r="O410" s="241">
        <f>L410/L413</f>
        <v>0.5882985575106606</v>
      </c>
      <c r="P410" s="165"/>
    </row>
    <row r="411" spans="2:16" ht="17.25" customHeight="1" thickBot="1">
      <c r="B411" s="172"/>
      <c r="C411" s="31"/>
      <c r="D411" s="31"/>
      <c r="E411" s="31"/>
      <c r="F411" s="233" t="s">
        <v>195</v>
      </c>
      <c r="G411" s="586"/>
      <c r="H411" s="587"/>
      <c r="I411" s="235">
        <f>SUM(I407:I410)</f>
        <v>75087.76679999998</v>
      </c>
      <c r="J411" s="586"/>
      <c r="K411" s="587"/>
      <c r="L411" s="235">
        <f>SUM(L407:L410)</f>
        <v>77035.27029191997</v>
      </c>
      <c r="M411" s="235">
        <f>SUM(M407:M410)</f>
        <v>1947.5034919199798</v>
      </c>
      <c r="N411" s="238">
        <f t="shared" si="44"/>
        <v>0.025936361872463894</v>
      </c>
      <c r="O411" s="375">
        <f>L411/L413</f>
        <v>0.8849557522123893</v>
      </c>
      <c r="P411" s="165"/>
    </row>
    <row r="412" spans="2:16" ht="17.25" customHeight="1" thickBot="1">
      <c r="B412" s="172"/>
      <c r="C412" s="31"/>
      <c r="D412" s="31"/>
      <c r="E412" s="31"/>
      <c r="F412" s="297" t="s">
        <v>274</v>
      </c>
      <c r="G412" s="298"/>
      <c r="H412" s="302">
        <v>0.13</v>
      </c>
      <c r="I412" s="299">
        <f>I411*H412</f>
        <v>9761.409683999998</v>
      </c>
      <c r="J412" s="298"/>
      <c r="K412" s="302">
        <v>0.13</v>
      </c>
      <c r="L412" s="300">
        <f>L411*K412</f>
        <v>10014.585137949596</v>
      </c>
      <c r="M412" s="227">
        <f>+L412-I412</f>
        <v>253.1754539495978</v>
      </c>
      <c r="N412" s="228">
        <f t="shared" si="44"/>
        <v>0.025936361872463936</v>
      </c>
      <c r="O412" s="241">
        <f>L412/L413</f>
        <v>0.11504424778761062</v>
      </c>
      <c r="P412" s="165"/>
    </row>
    <row r="413" spans="2:16" ht="17.25" customHeight="1" thickBot="1">
      <c r="B413" s="172"/>
      <c r="C413" s="31"/>
      <c r="D413" s="31"/>
      <c r="E413" s="35"/>
      <c r="F413" s="239" t="s">
        <v>79</v>
      </c>
      <c r="G413" s="586"/>
      <c r="H413" s="587"/>
      <c r="I413" s="235">
        <f>SUM(I411:I412)</f>
        <v>84849.17648399998</v>
      </c>
      <c r="J413" s="586"/>
      <c r="K413" s="587"/>
      <c r="L413" s="235">
        <f>SUM(L411:L412)</f>
        <v>87049.85542986957</v>
      </c>
      <c r="M413" s="235">
        <f>SUM(M411:M412)</f>
        <v>2200.6789458695775</v>
      </c>
      <c r="N413" s="238">
        <f t="shared" si="44"/>
        <v>0.025936361872463898</v>
      </c>
      <c r="O413" s="240">
        <f>O411+O412</f>
        <v>0.9999999999999999</v>
      </c>
      <c r="P413" s="165"/>
    </row>
    <row r="414" spans="2:16" ht="17.25" customHeight="1" thickBot="1">
      <c r="B414" s="166"/>
      <c r="C414" s="178"/>
      <c r="D414" s="178"/>
      <c r="E414" s="178"/>
      <c r="F414" s="179"/>
      <c r="G414" s="180"/>
      <c r="H414" s="181"/>
      <c r="I414" s="182"/>
      <c r="J414" s="180"/>
      <c r="K414" s="183"/>
      <c r="L414" s="182"/>
      <c r="M414" s="184"/>
      <c r="N414" s="185"/>
      <c r="O414" s="186"/>
      <c r="P414" s="167"/>
    </row>
    <row r="415" spans="2:16" ht="17.25" customHeight="1" thickBot="1">
      <c r="B415" s="25"/>
      <c r="C415" s="31"/>
      <c r="D415" s="31"/>
      <c r="E415" s="31"/>
      <c r="F415" s="49"/>
      <c r="G415" s="50"/>
      <c r="H415" s="51"/>
      <c r="I415" s="52"/>
      <c r="J415" s="50"/>
      <c r="K415" s="53"/>
      <c r="L415" s="52"/>
      <c r="M415" s="54"/>
      <c r="N415" s="175"/>
      <c r="O415" s="176"/>
      <c r="P415" s="25"/>
    </row>
    <row r="416" spans="2:16" ht="17.25" customHeight="1">
      <c r="B416" s="174"/>
      <c r="C416" s="592"/>
      <c r="D416" s="592"/>
      <c r="E416" s="592"/>
      <c r="F416" s="592"/>
      <c r="G416" s="592"/>
      <c r="H416" s="592"/>
      <c r="I416" s="592"/>
      <c r="J416" s="592"/>
      <c r="K416" s="592"/>
      <c r="L416" s="592"/>
      <c r="M416" s="592"/>
      <c r="N416" s="592"/>
      <c r="O416" s="592"/>
      <c r="P416" s="164"/>
    </row>
    <row r="417" spans="2:16" ht="23.25">
      <c r="B417" s="172"/>
      <c r="C417" s="591" t="s">
        <v>91</v>
      </c>
      <c r="D417" s="591"/>
      <c r="E417" s="591"/>
      <c r="F417" s="591"/>
      <c r="G417" s="591"/>
      <c r="H417" s="591"/>
      <c r="I417" s="591"/>
      <c r="J417" s="591"/>
      <c r="K417" s="591"/>
      <c r="L417" s="591"/>
      <c r="M417" s="591"/>
      <c r="N417" s="591"/>
      <c r="O417" s="591"/>
      <c r="P417" s="165"/>
    </row>
    <row r="418" spans="2:17" ht="17.25" customHeight="1" thickBot="1">
      <c r="B418" s="172"/>
      <c r="C418" s="590"/>
      <c r="D418" s="590"/>
      <c r="E418" s="590"/>
      <c r="F418" s="590"/>
      <c r="G418" s="590"/>
      <c r="H418" s="590"/>
      <c r="I418" s="590"/>
      <c r="J418" s="590"/>
      <c r="K418" s="590"/>
      <c r="L418" s="590"/>
      <c r="M418" s="590"/>
      <c r="N418" s="590"/>
      <c r="O418" s="590"/>
      <c r="P418" s="165"/>
      <c r="Q418" s="25"/>
    </row>
    <row r="419" spans="2:17" ht="17.25" customHeight="1" thickBot="1">
      <c r="B419" s="172"/>
      <c r="C419" s="173"/>
      <c r="D419" s="173"/>
      <c r="E419" s="31"/>
      <c r="F419" s="32"/>
      <c r="G419" s="595" t="str">
        <f>$G$10</f>
        <v>2010 BILL</v>
      </c>
      <c r="H419" s="596"/>
      <c r="I419" s="597"/>
      <c r="J419" s="595" t="str">
        <f>$J$10</f>
        <v>2011 BILL</v>
      </c>
      <c r="K419" s="596"/>
      <c r="L419" s="597"/>
      <c r="M419" s="595" t="s">
        <v>73</v>
      </c>
      <c r="N419" s="596"/>
      <c r="O419" s="597"/>
      <c r="P419" s="165"/>
      <c r="Q419" s="25"/>
    </row>
    <row r="420" spans="2:17" ht="26.25" thickBot="1">
      <c r="B420" s="172"/>
      <c r="C420" s="31"/>
      <c r="D420" s="31"/>
      <c r="E420" s="33"/>
      <c r="F420" s="34"/>
      <c r="G420" s="391" t="s">
        <v>67</v>
      </c>
      <c r="H420" s="392" t="s">
        <v>68</v>
      </c>
      <c r="I420" s="393" t="s">
        <v>69</v>
      </c>
      <c r="J420" s="394" t="s">
        <v>67</v>
      </c>
      <c r="K420" s="392" t="s">
        <v>68</v>
      </c>
      <c r="L420" s="393" t="s">
        <v>69</v>
      </c>
      <c r="M420" s="192" t="s">
        <v>74</v>
      </c>
      <c r="N420" s="193" t="s">
        <v>75</v>
      </c>
      <c r="O420" s="194" t="s">
        <v>76</v>
      </c>
      <c r="P420" s="165"/>
      <c r="Q420" s="25"/>
    </row>
    <row r="421" spans="2:17" ht="17.25" customHeight="1" thickBot="1">
      <c r="B421" s="172"/>
      <c r="C421" s="593" t="s">
        <v>70</v>
      </c>
      <c r="D421" s="594"/>
      <c r="E421" s="31"/>
      <c r="F421" s="397" t="s">
        <v>71</v>
      </c>
      <c r="G421" s="395"/>
      <c r="H421" s="389"/>
      <c r="I421" s="204">
        <f>+'2010 Existing RatesNF'!$C$10</f>
        <v>280.14</v>
      </c>
      <c r="J421" s="202"/>
      <c r="K421" s="390"/>
      <c r="L421" s="229">
        <f>+'Distribution Rate Schedule'!$C$33</f>
        <v>222.81</v>
      </c>
      <c r="M421" s="230">
        <f aca="true" t="shared" si="45" ref="M421:M427">+L421-I421</f>
        <v>-57.329999999999984</v>
      </c>
      <c r="N421" s="231">
        <f aca="true" t="shared" si="46" ref="N421:N438">+M421/I421</f>
        <v>-0.204647676161919</v>
      </c>
      <c r="O421" s="225">
        <f>L421/L438</f>
        <v>0.0012816477205209074</v>
      </c>
      <c r="P421" s="165"/>
      <c r="Q421" s="25"/>
    </row>
    <row r="422" spans="2:17" ht="17.25" customHeight="1" thickBot="1">
      <c r="B422" s="172"/>
      <c r="C422" s="170">
        <v>1600000</v>
      </c>
      <c r="D422" s="171" t="s">
        <v>16</v>
      </c>
      <c r="E422" s="31"/>
      <c r="F422" s="398" t="s">
        <v>82</v>
      </c>
      <c r="G422" s="396">
        <f>+C423</f>
        <v>4000</v>
      </c>
      <c r="H422" s="196">
        <f>'2010 Existing RatesNF'!$D$71</f>
        <v>3.0124</v>
      </c>
      <c r="I422" s="210">
        <f>+G422*H422</f>
        <v>12049.6</v>
      </c>
      <c r="J422" s="201">
        <f>G422</f>
        <v>4000</v>
      </c>
      <c r="K422" s="195">
        <f>'Rate Schedule (Part 1) NF'!$E$34</f>
        <v>4.0311</v>
      </c>
      <c r="L422" s="214">
        <f>+J422*K422</f>
        <v>16124.400000000001</v>
      </c>
      <c r="M422" s="230">
        <f t="shared" si="45"/>
        <v>4074.800000000001</v>
      </c>
      <c r="N422" s="231">
        <f t="shared" si="46"/>
        <v>0.3381689018722614</v>
      </c>
      <c r="O422" s="225">
        <f>L422/L438</f>
        <v>0.09275077646769589</v>
      </c>
      <c r="P422" s="165"/>
      <c r="Q422" s="25"/>
    </row>
    <row r="423" spans="2:16" ht="17.25" customHeight="1" thickBot="1">
      <c r="B423" s="172"/>
      <c r="C423" s="170">
        <v>4000</v>
      </c>
      <c r="D423" s="171" t="s">
        <v>17</v>
      </c>
      <c r="E423" s="31"/>
      <c r="F423" s="398" t="s">
        <v>250</v>
      </c>
      <c r="G423" s="333">
        <f>G422</f>
        <v>4000</v>
      </c>
      <c r="H423" s="399">
        <f>'2010 Existing RatesNF'!$D$48</f>
        <v>0</v>
      </c>
      <c r="J423" s="201">
        <f>+C423</f>
        <v>4000</v>
      </c>
      <c r="K423" s="195">
        <f>'Rate Schedule (Part 1) NF'!$E$35</f>
        <v>0.1042</v>
      </c>
      <c r="L423" s="214">
        <f>+J423*K423</f>
        <v>416.8</v>
      </c>
      <c r="M423" s="230">
        <f t="shared" si="45"/>
        <v>416.8</v>
      </c>
      <c r="N423" s="231" t="e">
        <f t="shared" si="46"/>
        <v>#DIV/0!</v>
      </c>
      <c r="O423" s="225">
        <f>L423/L438</f>
        <v>0.0023975170320592173</v>
      </c>
      <c r="P423" s="165"/>
    </row>
    <row r="424" spans="2:16" ht="17.25" customHeight="1">
      <c r="B424" s="172"/>
      <c r="C424" s="369"/>
      <c r="D424" s="388"/>
      <c r="E424" s="31"/>
      <c r="F424" s="199" t="s">
        <v>170</v>
      </c>
      <c r="G424" s="220"/>
      <c r="H424" s="219"/>
      <c r="I424" s="210">
        <f>'2010 Existing RatesNF'!$B$58</f>
        <v>1</v>
      </c>
      <c r="J424" s="220"/>
      <c r="K424" s="219"/>
      <c r="L424" s="210">
        <f>'2010 Existing RatesNF'!$B$58</f>
        <v>1</v>
      </c>
      <c r="M424" s="230">
        <f t="shared" si="45"/>
        <v>0</v>
      </c>
      <c r="N424" s="231">
        <f t="shared" si="46"/>
        <v>0</v>
      </c>
      <c r="O424" s="225">
        <f>L424/L438</f>
        <v>5.752200172886798E-06</v>
      </c>
      <c r="P424" s="165"/>
    </row>
    <row r="425" spans="2:16" ht="17.25" customHeight="1">
      <c r="B425" s="172"/>
      <c r="C425" s="63"/>
      <c r="D425" s="64"/>
      <c r="E425" s="31"/>
      <c r="F425" s="199" t="s">
        <v>251</v>
      </c>
      <c r="G425" s="201">
        <f>G423</f>
        <v>4000</v>
      </c>
      <c r="H425" s="196"/>
      <c r="I425" s="210">
        <f>+G425*H425</f>
        <v>0</v>
      </c>
      <c r="J425" s="201">
        <f>G425</f>
        <v>4000</v>
      </c>
      <c r="K425" s="195">
        <f>'Rate Schedule (Part 1) NF'!$E$36</f>
        <v>0</v>
      </c>
      <c r="L425" s="214">
        <f>+J425*K425</f>
        <v>0</v>
      </c>
      <c r="M425" s="230">
        <f t="shared" si="45"/>
        <v>0</v>
      </c>
      <c r="N425" s="231" t="e">
        <f t="shared" si="46"/>
        <v>#DIV/0!</v>
      </c>
      <c r="O425" s="225">
        <f>L425/L438</f>
        <v>0</v>
      </c>
      <c r="P425" s="165"/>
    </row>
    <row r="426" spans="2:16" ht="29.25" customHeight="1">
      <c r="B426" s="172"/>
      <c r="C426" s="31"/>
      <c r="D426" s="31"/>
      <c r="E426" s="31"/>
      <c r="F426" s="199" t="s">
        <v>295</v>
      </c>
      <c r="G426" s="201">
        <f>+C423</f>
        <v>4000</v>
      </c>
      <c r="H426" s="196">
        <f>'2010 Existing RatesNF'!$D$22</f>
        <v>-1.16</v>
      </c>
      <c r="I426" s="210">
        <f>+G426*H426</f>
        <v>-4640</v>
      </c>
      <c r="J426" s="201">
        <f>+C423</f>
        <v>4000</v>
      </c>
      <c r="K426" s="195">
        <f>'Rate Schedule (Part 1) NF'!$E$39</f>
        <v>-1.16</v>
      </c>
      <c r="L426" s="214">
        <f>+J426*K426</f>
        <v>-4640</v>
      </c>
      <c r="M426" s="230">
        <f t="shared" si="45"/>
        <v>0</v>
      </c>
      <c r="N426" s="231">
        <f t="shared" si="46"/>
        <v>0</v>
      </c>
      <c r="O426" s="225">
        <f>L426/L438</f>
        <v>-0.02669020880219474</v>
      </c>
      <c r="P426" s="165"/>
    </row>
    <row r="427" spans="2:16" ht="27.75" customHeight="1">
      <c r="B427" s="172"/>
      <c r="C427" s="31"/>
      <c r="D427" s="31"/>
      <c r="E427" s="31"/>
      <c r="F427" s="199" t="s">
        <v>296</v>
      </c>
      <c r="G427" s="372">
        <f>C423</f>
        <v>4000</v>
      </c>
      <c r="H427" s="488"/>
      <c r="I427" s="206">
        <f>+G427*H427</f>
        <v>0</v>
      </c>
      <c r="J427" s="372">
        <f>C423</f>
        <v>4000</v>
      </c>
      <c r="K427" s="488">
        <f>'Rate Schedule (Part 1) NF'!E41</f>
        <v>-0.6119</v>
      </c>
      <c r="L427" s="214">
        <f>+J427*K427</f>
        <v>-2447.6</v>
      </c>
      <c r="M427" s="224">
        <f t="shared" si="45"/>
        <v>-2447.6</v>
      </c>
      <c r="N427" s="218" t="e">
        <f>+M427/I427</f>
        <v>#DIV/0!</v>
      </c>
      <c r="O427" s="225">
        <f>L427/L438</f>
        <v>-0.014079085143157725</v>
      </c>
      <c r="P427" s="165"/>
    </row>
    <row r="428" spans="2:16" ht="29.25" customHeight="1">
      <c r="B428" s="172"/>
      <c r="C428" s="31"/>
      <c r="D428" s="31"/>
      <c r="E428" s="31"/>
      <c r="F428" s="199" t="s">
        <v>318</v>
      </c>
      <c r="G428" s="201">
        <f>C423</f>
        <v>4000</v>
      </c>
      <c r="H428" s="196">
        <f>'2010 Existing RatesNF'!D35</f>
        <v>0.4244</v>
      </c>
      <c r="I428" s="206">
        <f>+G428*H428</f>
        <v>1697.6</v>
      </c>
      <c r="J428" s="201">
        <f>C423</f>
        <v>4000</v>
      </c>
      <c r="K428" s="195">
        <f>'Rate Schedule (Part 1) NF'!E38</f>
        <v>0.4244</v>
      </c>
      <c r="L428" s="214">
        <f>+J428*K428</f>
        <v>1697.6</v>
      </c>
      <c r="M428" s="224">
        <f>+L428-I428</f>
        <v>0</v>
      </c>
      <c r="N428" s="218">
        <f>+M428/I428</f>
        <v>0</v>
      </c>
      <c r="O428" s="225">
        <f>L428/L438</f>
        <v>0.009764935013492628</v>
      </c>
      <c r="P428" s="165"/>
    </row>
    <row r="429" spans="2:16" ht="27.75" customHeight="1" thickBot="1">
      <c r="B429" s="172"/>
      <c r="C429" s="31"/>
      <c r="D429" s="31"/>
      <c r="E429" s="31"/>
      <c r="F429" s="199" t="s">
        <v>319</v>
      </c>
      <c r="G429" s="372">
        <f>C423</f>
        <v>4000</v>
      </c>
      <c r="H429" s="488"/>
      <c r="I429" s="206">
        <f>+G429*H429</f>
        <v>0</v>
      </c>
      <c r="J429" s="372">
        <f>C423</f>
        <v>4000</v>
      </c>
      <c r="K429" s="488">
        <f>'Rate Schedule (Part 1) NF'!E40</f>
        <v>0.6442</v>
      </c>
      <c r="L429" s="214">
        <f>+J429*K429</f>
        <v>2576.8</v>
      </c>
      <c r="M429" s="224">
        <f>+L429-I429</f>
        <v>2576.8</v>
      </c>
      <c r="N429" s="218" t="e">
        <f>+M429/I429</f>
        <v>#DIV/0!</v>
      </c>
      <c r="O429" s="225">
        <f>L429/L438</f>
        <v>0.014822269405494701</v>
      </c>
      <c r="P429" s="165"/>
    </row>
    <row r="430" spans="2:16" ht="17.25" customHeight="1" thickBot="1">
      <c r="B430" s="172"/>
      <c r="C430" s="31"/>
      <c r="D430" s="31"/>
      <c r="E430" s="31"/>
      <c r="F430" s="233" t="s">
        <v>247</v>
      </c>
      <c r="G430" s="586"/>
      <c r="H430" s="587"/>
      <c r="I430" s="235">
        <f>SUM(I421:I429)</f>
        <v>9388.34</v>
      </c>
      <c r="J430" s="586"/>
      <c r="K430" s="587"/>
      <c r="L430" s="235">
        <f>SUM(L421:L429)</f>
        <v>13951.810000000001</v>
      </c>
      <c r="M430" s="237">
        <f>SUM(M421:M429)</f>
        <v>4563.470000000001</v>
      </c>
      <c r="N430" s="238">
        <f t="shared" si="46"/>
        <v>0.4860784760671217</v>
      </c>
      <c r="O430" s="240">
        <f>SUM(O421:O429)</f>
        <v>0.08025360389408377</v>
      </c>
      <c r="P430" s="165"/>
    </row>
    <row r="431" spans="2:16" ht="17.25" customHeight="1" thickBot="1">
      <c r="B431" s="172"/>
      <c r="C431" s="31"/>
      <c r="D431" s="31"/>
      <c r="E431" s="31"/>
      <c r="F431" s="199" t="s">
        <v>252</v>
      </c>
      <c r="G431" s="372">
        <f>C423</f>
        <v>4000</v>
      </c>
      <c r="H431" s="373">
        <f>'Other Electriciy Rates NF'!$G$12</f>
        <v>3.625</v>
      </c>
      <c r="I431" s="210">
        <f>+G431*H431</f>
        <v>14500</v>
      </c>
      <c r="J431" s="372">
        <f>C423</f>
        <v>4000</v>
      </c>
      <c r="K431" s="494">
        <f>'Other Electriciy Rates NF'!$G$26</f>
        <v>3.6656054700065805</v>
      </c>
      <c r="L431" s="210">
        <f>+J431*K431</f>
        <v>14662.421880026322</v>
      </c>
      <c r="M431" s="374">
        <f>+L431-I431</f>
        <v>162.42188002632247</v>
      </c>
      <c r="N431" s="222">
        <f t="shared" si="46"/>
        <v>0.011201508967332584</v>
      </c>
      <c r="O431" s="225">
        <f>L431/L438</f>
        <v>0.08434118567322657</v>
      </c>
      <c r="P431" s="165"/>
    </row>
    <row r="432" spans="2:16" ht="17.25" customHeight="1" thickBot="1">
      <c r="B432" s="172"/>
      <c r="C432" s="31"/>
      <c r="D432" s="31"/>
      <c r="E432" s="31"/>
      <c r="F432" s="233" t="s">
        <v>249</v>
      </c>
      <c r="G432" s="586"/>
      <c r="H432" s="587"/>
      <c r="I432" s="235">
        <f>SUM(I430:I431)</f>
        <v>23888.34</v>
      </c>
      <c r="J432" s="586"/>
      <c r="K432" s="587"/>
      <c r="L432" s="235">
        <f>SUM(L430:L431)</f>
        <v>28614.231880026324</v>
      </c>
      <c r="M432" s="237">
        <f>SUM(M430:M431)</f>
        <v>4725.891880026324</v>
      </c>
      <c r="N432" s="238">
        <f t="shared" si="46"/>
        <v>0.19783257773567872</v>
      </c>
      <c r="O432" s="375">
        <f>L432/L438</f>
        <v>0.16459478956731033</v>
      </c>
      <c r="P432" s="165"/>
    </row>
    <row r="433" spans="2:16" ht="17.25" customHeight="1">
      <c r="B433" s="172"/>
      <c r="C433" s="31"/>
      <c r="D433" s="31"/>
      <c r="E433" s="31"/>
      <c r="F433" s="197" t="s">
        <v>77</v>
      </c>
      <c r="G433" s="202">
        <f>C422*'Other Electriciy Rates NF'!$M$12</f>
        <v>1691519.9999999998</v>
      </c>
      <c r="H433" s="203">
        <f>'Other Electriciy Rates NF'!$C$12+'Other Electriciy Rates NF'!$E$12+'Other Electriciy Rates NF'!D12</f>
        <v>0.0138725</v>
      </c>
      <c r="I433" s="204">
        <f>+G433*H433</f>
        <v>23465.611199999996</v>
      </c>
      <c r="J433" s="202">
        <f>C422*'Other Electriciy Rates NF'!$M$26</f>
        <v>1689584.4401485918</v>
      </c>
      <c r="K433" s="203">
        <f>'Other Electriciy Rates NF'!$C$26+'Other Electriciy Rates NF'!$E$26+'Other Electriciy Rates NF'!D26</f>
        <v>0.0135</v>
      </c>
      <c r="L433" s="229">
        <f>+J433*K433</f>
        <v>22809.38994200599</v>
      </c>
      <c r="M433" s="221">
        <f>+L433-I433</f>
        <v>-656.221257994006</v>
      </c>
      <c r="N433" s="222">
        <f t="shared" si="46"/>
        <v>-0.027965231862104922</v>
      </c>
      <c r="O433" s="301">
        <f>L433/L438</f>
        <v>0.13120417676784923</v>
      </c>
      <c r="P433" s="165"/>
    </row>
    <row r="434" spans="2:16" ht="21.75" customHeight="1">
      <c r="B434" s="172"/>
      <c r="C434" s="31"/>
      <c r="D434" s="31"/>
      <c r="E434" s="31"/>
      <c r="F434" s="200" t="s">
        <v>321</v>
      </c>
      <c r="G434" s="220"/>
      <c r="H434" s="219"/>
      <c r="I434" s="512">
        <v>0.25</v>
      </c>
      <c r="J434" s="496"/>
      <c r="K434" s="219"/>
      <c r="L434" s="514">
        <v>0.25</v>
      </c>
      <c r="M434" s="230">
        <f>+L434-I434</f>
        <v>0</v>
      </c>
      <c r="N434" s="231">
        <f t="shared" si="46"/>
        <v>0</v>
      </c>
      <c r="O434" s="225">
        <f>L434/L438</f>
        <v>1.4380500432216994E-06</v>
      </c>
      <c r="P434" s="165"/>
    </row>
    <row r="435" spans="2:16" ht="17.25" customHeight="1" thickBot="1">
      <c r="B435" s="172"/>
      <c r="C435" s="31"/>
      <c r="D435" s="31"/>
      <c r="E435" s="31"/>
      <c r="F435" s="197" t="s">
        <v>78</v>
      </c>
      <c r="G435" s="202">
        <f>G433</f>
        <v>1691519.9999999998</v>
      </c>
      <c r="H435" s="203">
        <f>+'Other Electriciy Rates NF'!$K$12</f>
        <v>0.06062</v>
      </c>
      <c r="I435" s="204">
        <f>+G435*H435</f>
        <v>102539.94239999999</v>
      </c>
      <c r="J435" s="202">
        <f>J433</f>
        <v>1689584.4401485918</v>
      </c>
      <c r="K435" s="203">
        <f>'Other Electriciy Rates NF'!$K$26</f>
        <v>0.06062</v>
      </c>
      <c r="L435" s="229">
        <f>+J435*K435</f>
        <v>102422.60876180763</v>
      </c>
      <c r="M435" s="515">
        <f>+L435-I435</f>
        <v>-117.3336381923582</v>
      </c>
      <c r="N435" s="516">
        <f t="shared" si="46"/>
        <v>-0.0011442725190409138</v>
      </c>
      <c r="O435" s="241">
        <f>L435/L438</f>
        <v>0.5891553478271867</v>
      </c>
      <c r="P435" s="165"/>
    </row>
    <row r="436" spans="2:16" ht="17.25" customHeight="1" thickBot="1">
      <c r="B436" s="172"/>
      <c r="C436" s="31"/>
      <c r="D436" s="31"/>
      <c r="E436" s="31"/>
      <c r="F436" s="233" t="s">
        <v>195</v>
      </c>
      <c r="G436" s="586"/>
      <c r="H436" s="587"/>
      <c r="I436" s="235">
        <f>SUM(I432:I435)</f>
        <v>149894.14359999998</v>
      </c>
      <c r="J436" s="586"/>
      <c r="K436" s="587"/>
      <c r="L436" s="235">
        <f>SUM(L432:L435)</f>
        <v>153846.48058383993</v>
      </c>
      <c r="M436" s="235">
        <f>SUM(M432:M435)</f>
        <v>3952.3369838399594</v>
      </c>
      <c r="N436" s="238">
        <f t="shared" si="46"/>
        <v>0.026367521031288376</v>
      </c>
      <c r="O436" s="375">
        <f>L436/L438</f>
        <v>0.8849557522123894</v>
      </c>
      <c r="P436" s="165"/>
    </row>
    <row r="437" spans="2:16" ht="17.25" customHeight="1" thickBot="1">
      <c r="B437" s="172"/>
      <c r="C437" s="31"/>
      <c r="D437" s="31"/>
      <c r="E437" s="31"/>
      <c r="F437" s="297" t="s">
        <v>274</v>
      </c>
      <c r="G437" s="298"/>
      <c r="H437" s="302">
        <v>0.13</v>
      </c>
      <c r="I437" s="299">
        <f>I436*H437</f>
        <v>19486.238667999998</v>
      </c>
      <c r="J437" s="298"/>
      <c r="K437" s="302">
        <v>0.13</v>
      </c>
      <c r="L437" s="300">
        <f>L436*K437</f>
        <v>20000.04247589919</v>
      </c>
      <c r="M437" s="227">
        <f>+L437-I437</f>
        <v>513.8038078991922</v>
      </c>
      <c r="N437" s="228">
        <f t="shared" si="46"/>
        <v>0.026367521031288244</v>
      </c>
      <c r="O437" s="241">
        <f>L437/L438</f>
        <v>0.11504424778761062</v>
      </c>
      <c r="P437" s="165"/>
    </row>
    <row r="438" spans="2:16" ht="17.25" customHeight="1" thickBot="1">
      <c r="B438" s="172"/>
      <c r="C438" s="31"/>
      <c r="D438" s="31"/>
      <c r="E438" s="35"/>
      <c r="F438" s="239" t="s">
        <v>79</v>
      </c>
      <c r="G438" s="586"/>
      <c r="H438" s="587"/>
      <c r="I438" s="235">
        <f>SUM(I436:I437)</f>
        <v>169380.382268</v>
      </c>
      <c r="J438" s="586"/>
      <c r="K438" s="587"/>
      <c r="L438" s="235">
        <f>SUM(L436:L437)</f>
        <v>173846.52305973912</v>
      </c>
      <c r="M438" s="235">
        <f>SUM(M436:M437)</f>
        <v>4466.140791739152</v>
      </c>
      <c r="N438" s="238">
        <f t="shared" si="46"/>
        <v>0.02636752103128836</v>
      </c>
      <c r="O438" s="240">
        <f>O436+O437</f>
        <v>1</v>
      </c>
      <c r="P438" s="165"/>
    </row>
    <row r="439" spans="2:16" ht="17.25" customHeight="1" thickBot="1">
      <c r="B439" s="166"/>
      <c r="C439" s="178"/>
      <c r="D439" s="178"/>
      <c r="E439" s="178"/>
      <c r="F439" s="179"/>
      <c r="G439" s="180"/>
      <c r="H439" s="181"/>
      <c r="I439" s="182"/>
      <c r="J439" s="180"/>
      <c r="K439" s="183"/>
      <c r="L439" s="182"/>
      <c r="M439" s="184"/>
      <c r="N439" s="185"/>
      <c r="O439" s="186"/>
      <c r="P439" s="167"/>
    </row>
    <row r="440" spans="2:16" ht="18" customHeight="1" thickBot="1">
      <c r="B440" s="25"/>
      <c r="C440" s="31"/>
      <c r="D440" s="31"/>
      <c r="E440" s="31"/>
      <c r="F440" s="49"/>
      <c r="G440" s="50"/>
      <c r="H440" s="51"/>
      <c r="I440" s="52"/>
      <c r="J440" s="50"/>
      <c r="K440" s="53"/>
      <c r="L440" s="52"/>
      <c r="M440" s="54"/>
      <c r="N440" s="175"/>
      <c r="O440" s="176"/>
      <c r="P440" s="25"/>
    </row>
    <row r="441" spans="2:16" ht="17.25" customHeight="1">
      <c r="B441" s="174"/>
      <c r="C441" s="592"/>
      <c r="D441" s="592"/>
      <c r="E441" s="592"/>
      <c r="F441" s="592"/>
      <c r="G441" s="592"/>
      <c r="H441" s="592"/>
      <c r="I441" s="592"/>
      <c r="J441" s="592"/>
      <c r="K441" s="592"/>
      <c r="L441" s="592"/>
      <c r="M441" s="592"/>
      <c r="N441" s="592"/>
      <c r="O441" s="592"/>
      <c r="P441" s="164"/>
    </row>
    <row r="442" spans="2:16" ht="23.25">
      <c r="B442" s="172"/>
      <c r="C442" s="591" t="s">
        <v>91</v>
      </c>
      <c r="D442" s="591"/>
      <c r="E442" s="591"/>
      <c r="F442" s="591"/>
      <c r="G442" s="591"/>
      <c r="H442" s="591"/>
      <c r="I442" s="591"/>
      <c r="J442" s="591"/>
      <c r="K442" s="591"/>
      <c r="L442" s="591"/>
      <c r="M442" s="591"/>
      <c r="N442" s="591"/>
      <c r="O442" s="591"/>
      <c r="P442" s="165"/>
    </row>
    <row r="443" spans="2:17" ht="17.25" customHeight="1" thickBot="1">
      <c r="B443" s="172"/>
      <c r="C443" s="590"/>
      <c r="D443" s="590"/>
      <c r="E443" s="590"/>
      <c r="F443" s="590"/>
      <c r="G443" s="590"/>
      <c r="H443" s="590"/>
      <c r="I443" s="590"/>
      <c r="J443" s="590"/>
      <c r="K443" s="590"/>
      <c r="L443" s="590"/>
      <c r="M443" s="590"/>
      <c r="N443" s="590"/>
      <c r="O443" s="590"/>
      <c r="P443" s="165"/>
      <c r="Q443" s="25"/>
    </row>
    <row r="444" spans="2:17" ht="17.25" customHeight="1" thickBot="1">
      <c r="B444" s="172"/>
      <c r="C444" s="173"/>
      <c r="D444" s="173"/>
      <c r="E444" s="31"/>
      <c r="F444" s="32"/>
      <c r="G444" s="595" t="str">
        <f>$G$10</f>
        <v>2010 BILL</v>
      </c>
      <c r="H444" s="596"/>
      <c r="I444" s="597"/>
      <c r="J444" s="595" t="str">
        <f>$J$10</f>
        <v>2011 BILL</v>
      </c>
      <c r="K444" s="596"/>
      <c r="L444" s="597"/>
      <c r="M444" s="595" t="s">
        <v>73</v>
      </c>
      <c r="N444" s="596"/>
      <c r="O444" s="597"/>
      <c r="P444" s="165"/>
      <c r="Q444" s="25"/>
    </row>
    <row r="445" spans="2:17" ht="26.25" thickBot="1">
      <c r="B445" s="172"/>
      <c r="C445" s="31"/>
      <c r="D445" s="31"/>
      <c r="E445" s="33"/>
      <c r="F445" s="34"/>
      <c r="G445" s="391" t="s">
        <v>67</v>
      </c>
      <c r="H445" s="392" t="s">
        <v>68</v>
      </c>
      <c r="I445" s="393" t="s">
        <v>69</v>
      </c>
      <c r="J445" s="394" t="s">
        <v>67</v>
      </c>
      <c r="K445" s="392" t="s">
        <v>68</v>
      </c>
      <c r="L445" s="393" t="s">
        <v>69</v>
      </c>
      <c r="M445" s="192" t="s">
        <v>74</v>
      </c>
      <c r="N445" s="193" t="s">
        <v>75</v>
      </c>
      <c r="O445" s="194" t="s">
        <v>76</v>
      </c>
      <c r="P445" s="165"/>
      <c r="Q445" s="25"/>
    </row>
    <row r="446" spans="2:17" ht="17.25" customHeight="1" thickBot="1">
      <c r="B446" s="172"/>
      <c r="C446" s="593" t="s">
        <v>70</v>
      </c>
      <c r="D446" s="594"/>
      <c r="E446" s="31"/>
      <c r="F446" s="397" t="s">
        <v>71</v>
      </c>
      <c r="G446" s="395"/>
      <c r="H446" s="389"/>
      <c r="I446" s="204">
        <f>+'2010 Existing RatesNF'!$C$10</f>
        <v>280.14</v>
      </c>
      <c r="J446" s="202"/>
      <c r="K446" s="390"/>
      <c r="L446" s="229">
        <f>+'Distribution Rate Schedule'!$C$33</f>
        <v>222.81</v>
      </c>
      <c r="M446" s="230">
        <f aca="true" t="shared" si="47" ref="M446:M452">+L446-I446</f>
        <v>-57.329999999999984</v>
      </c>
      <c r="N446" s="231">
        <f aca="true" t="shared" si="48" ref="N446:N463">+M446/I446</f>
        <v>-0.204647676161919</v>
      </c>
      <c r="O446" s="225">
        <f>L446/L463</f>
        <v>0.0008709264618026759</v>
      </c>
      <c r="P446" s="165"/>
      <c r="Q446" s="25"/>
    </row>
    <row r="447" spans="2:17" ht="17.25" customHeight="1" thickBot="1">
      <c r="B447" s="172"/>
      <c r="C447" s="170">
        <v>2400000</v>
      </c>
      <c r="D447" s="171" t="s">
        <v>16</v>
      </c>
      <c r="E447" s="31"/>
      <c r="F447" s="398" t="s">
        <v>82</v>
      </c>
      <c r="G447" s="396">
        <f>+C448</f>
        <v>5400</v>
      </c>
      <c r="H447" s="196">
        <f>'2010 Existing RatesNF'!$D$71</f>
        <v>3.0124</v>
      </c>
      <c r="I447" s="210">
        <f>+G447*H447</f>
        <v>16266.96</v>
      </c>
      <c r="J447" s="201">
        <f>G447</f>
        <v>5400</v>
      </c>
      <c r="K447" s="195">
        <f>'Rate Schedule (Part 1) NF'!$E$34</f>
        <v>4.0311</v>
      </c>
      <c r="L447" s="214">
        <f>+J447*K447</f>
        <v>21767.940000000002</v>
      </c>
      <c r="M447" s="230">
        <f t="shared" si="47"/>
        <v>5500.980000000003</v>
      </c>
      <c r="N447" s="231">
        <f t="shared" si="48"/>
        <v>0.33816890187226156</v>
      </c>
      <c r="O447" s="225">
        <f>L447/L463</f>
        <v>0.08508718174647881</v>
      </c>
      <c r="P447" s="165"/>
      <c r="Q447" s="25"/>
    </row>
    <row r="448" spans="2:16" ht="17.25" customHeight="1" thickBot="1">
      <c r="B448" s="172"/>
      <c r="C448" s="170">
        <v>5400</v>
      </c>
      <c r="D448" s="171" t="s">
        <v>17</v>
      </c>
      <c r="E448" s="31"/>
      <c r="F448" s="398" t="s">
        <v>250</v>
      </c>
      <c r="G448" s="333">
        <f>G447</f>
        <v>5400</v>
      </c>
      <c r="H448" s="399">
        <f>'2010 Existing RatesNF'!$D$48</f>
        <v>0</v>
      </c>
      <c r="J448" s="201">
        <f>+C448</f>
        <v>5400</v>
      </c>
      <c r="K448" s="195">
        <f>'Rate Schedule (Part 1) NF'!$E$35</f>
        <v>0.1042</v>
      </c>
      <c r="L448" s="214">
        <f>+J448*K448</f>
        <v>562.68</v>
      </c>
      <c r="M448" s="230">
        <f t="shared" si="47"/>
        <v>562.68</v>
      </c>
      <c r="N448" s="231" t="e">
        <f t="shared" si="48"/>
        <v>#DIV/0!</v>
      </c>
      <c r="O448" s="225">
        <f>L448/L463</f>
        <v>0.0021994205894130857</v>
      </c>
      <c r="P448" s="165"/>
    </row>
    <row r="449" spans="2:16" ht="17.25" customHeight="1">
      <c r="B449" s="172"/>
      <c r="C449" s="369"/>
      <c r="D449" s="388"/>
      <c r="E449" s="31"/>
      <c r="F449" s="199" t="s">
        <v>170</v>
      </c>
      <c r="G449" s="220"/>
      <c r="H449" s="219"/>
      <c r="I449" s="210">
        <f>'2010 Existing RatesNF'!$B$58</f>
        <v>1</v>
      </c>
      <c r="J449" s="220"/>
      <c r="K449" s="219"/>
      <c r="L449" s="210">
        <f>'2010 Existing RatesNF'!$B$58</f>
        <v>1</v>
      </c>
      <c r="M449" s="230">
        <f t="shared" si="47"/>
        <v>0</v>
      </c>
      <c r="N449" s="231">
        <f t="shared" si="48"/>
        <v>0</v>
      </c>
      <c r="O449" s="225">
        <f>L449/L463</f>
        <v>3.90883022217439E-06</v>
      </c>
      <c r="P449" s="165"/>
    </row>
    <row r="450" spans="2:16" ht="17.25" customHeight="1">
      <c r="B450" s="172"/>
      <c r="C450" s="63"/>
      <c r="D450" s="64"/>
      <c r="E450" s="31"/>
      <c r="F450" s="199" t="s">
        <v>251</v>
      </c>
      <c r="G450" s="201">
        <f>G448</f>
        <v>5400</v>
      </c>
      <c r="H450" s="196"/>
      <c r="I450" s="210">
        <f>+G450*H450</f>
        <v>0</v>
      </c>
      <c r="J450" s="201">
        <f>G450</f>
        <v>5400</v>
      </c>
      <c r="K450" s="195">
        <f>'Rate Schedule (Part 1) NF'!$E$36</f>
        <v>0</v>
      </c>
      <c r="L450" s="214">
        <f>+J450*K450</f>
        <v>0</v>
      </c>
      <c r="M450" s="230">
        <f t="shared" si="47"/>
        <v>0</v>
      </c>
      <c r="N450" s="231" t="e">
        <f t="shared" si="48"/>
        <v>#DIV/0!</v>
      </c>
      <c r="O450" s="225">
        <f>L450/L463</f>
        <v>0</v>
      </c>
      <c r="P450" s="165"/>
    </row>
    <row r="451" spans="2:16" ht="29.25" customHeight="1">
      <c r="B451" s="172"/>
      <c r="C451" s="31"/>
      <c r="D451" s="31"/>
      <c r="E451" s="31"/>
      <c r="F451" s="199" t="s">
        <v>295</v>
      </c>
      <c r="G451" s="201">
        <f>+C448</f>
        <v>5400</v>
      </c>
      <c r="H451" s="196">
        <f>'2010 Existing RatesNF'!$D$22</f>
        <v>-1.16</v>
      </c>
      <c r="I451" s="210">
        <f>+G451*H451</f>
        <v>-6264</v>
      </c>
      <c r="J451" s="201">
        <f>+C448</f>
        <v>5400</v>
      </c>
      <c r="K451" s="195">
        <f>'Rate Schedule (Part 1) NF'!$E$39</f>
        <v>-1.16</v>
      </c>
      <c r="L451" s="214">
        <f>+J451*K451</f>
        <v>-6264</v>
      </c>
      <c r="M451" s="230">
        <f t="shared" si="47"/>
        <v>0</v>
      </c>
      <c r="N451" s="231">
        <f t="shared" si="48"/>
        <v>0</v>
      </c>
      <c r="O451" s="225">
        <f>L451/L463</f>
        <v>-0.02448491251170038</v>
      </c>
      <c r="P451" s="165"/>
    </row>
    <row r="452" spans="2:16" ht="27.75" customHeight="1">
      <c r="B452" s="172"/>
      <c r="C452" s="31"/>
      <c r="D452" s="31"/>
      <c r="E452" s="31"/>
      <c r="F452" s="199" t="s">
        <v>296</v>
      </c>
      <c r="G452" s="372">
        <f>C448</f>
        <v>5400</v>
      </c>
      <c r="H452" s="488"/>
      <c r="I452" s="206">
        <f>+G452*H452</f>
        <v>0</v>
      </c>
      <c r="J452" s="372">
        <f>C448</f>
        <v>5400</v>
      </c>
      <c r="K452" s="488">
        <f>'Rate Schedule (Part 1) NF'!E41</f>
        <v>-0.6119</v>
      </c>
      <c r="L452" s="214">
        <f>+J452*K452</f>
        <v>-3304.26</v>
      </c>
      <c r="M452" s="224">
        <f t="shared" si="47"/>
        <v>-3304.26</v>
      </c>
      <c r="N452" s="218" t="e">
        <f>+M452/I452</f>
        <v>#DIV/0!</v>
      </c>
      <c r="O452" s="225">
        <f>L452/L463</f>
        <v>-0.012915791349921952</v>
      </c>
      <c r="P452" s="165"/>
    </row>
    <row r="453" spans="2:16" ht="29.25" customHeight="1">
      <c r="B453" s="172"/>
      <c r="C453" s="31"/>
      <c r="D453" s="31"/>
      <c r="E453" s="31"/>
      <c r="F453" s="199" t="s">
        <v>318</v>
      </c>
      <c r="G453" s="201">
        <f>C448</f>
        <v>5400</v>
      </c>
      <c r="H453" s="196">
        <f>'2010 Existing RatesNF'!D35</f>
        <v>0.4244</v>
      </c>
      <c r="I453" s="206">
        <f>+G453*H453</f>
        <v>2291.76</v>
      </c>
      <c r="J453" s="201">
        <f>C448</f>
        <v>5400</v>
      </c>
      <c r="K453" s="195">
        <f>'Rate Schedule (Part 1) NF'!E38</f>
        <v>0.4244</v>
      </c>
      <c r="L453" s="214">
        <f>+J453*K453</f>
        <v>2291.76</v>
      </c>
      <c r="M453" s="224">
        <f>+L453-I453</f>
        <v>0</v>
      </c>
      <c r="N453" s="218">
        <f>+M453/I453</f>
        <v>0</v>
      </c>
      <c r="O453" s="225">
        <f>L453/L463</f>
        <v>0.008958100749970381</v>
      </c>
      <c r="P453" s="165"/>
    </row>
    <row r="454" spans="2:16" ht="27.75" customHeight="1" thickBot="1">
      <c r="B454" s="172"/>
      <c r="C454" s="31"/>
      <c r="D454" s="31"/>
      <c r="E454" s="31"/>
      <c r="F454" s="199" t="s">
        <v>319</v>
      </c>
      <c r="G454" s="372">
        <f>C448</f>
        <v>5400</v>
      </c>
      <c r="H454" s="488"/>
      <c r="I454" s="206">
        <f>+G454*H454</f>
        <v>0</v>
      </c>
      <c r="J454" s="372">
        <f>C448</f>
        <v>5400</v>
      </c>
      <c r="K454" s="488">
        <f>'Rate Schedule (Part 1) NF'!E40</f>
        <v>0.6442</v>
      </c>
      <c r="L454" s="214">
        <f>+J454*K454</f>
        <v>3478.68</v>
      </c>
      <c r="M454" s="224">
        <f>+L454-I454</f>
        <v>3478.68</v>
      </c>
      <c r="N454" s="218" t="e">
        <f>+M454/I454</f>
        <v>#DIV/0!</v>
      </c>
      <c r="O454" s="225">
        <f>L454/L463</f>
        <v>0.013597569517273608</v>
      </c>
      <c r="P454" s="165"/>
    </row>
    <row r="455" spans="2:16" ht="17.25" customHeight="1" thickBot="1">
      <c r="B455" s="172"/>
      <c r="C455" s="31"/>
      <c r="D455" s="31"/>
      <c r="E455" s="31"/>
      <c r="F455" s="233" t="s">
        <v>247</v>
      </c>
      <c r="G455" s="586"/>
      <c r="H455" s="587"/>
      <c r="I455" s="235">
        <f>SUM(I446:I454)</f>
        <v>12575.859999999999</v>
      </c>
      <c r="J455" s="586"/>
      <c r="K455" s="587"/>
      <c r="L455" s="235">
        <f>SUM(L446:L454)</f>
        <v>18756.610000000004</v>
      </c>
      <c r="M455" s="237">
        <f>SUM(M446:M454)</f>
        <v>6180.750000000004</v>
      </c>
      <c r="N455" s="238">
        <f t="shared" si="48"/>
        <v>0.4914773224256635</v>
      </c>
      <c r="O455" s="240">
        <f>SUM(O446:O454)</f>
        <v>0.0733164040335384</v>
      </c>
      <c r="P455" s="165"/>
    </row>
    <row r="456" spans="2:16" ht="17.25" customHeight="1" thickBot="1">
      <c r="B456" s="172"/>
      <c r="C456" s="31"/>
      <c r="D456" s="31"/>
      <c r="E456" s="31"/>
      <c r="F456" s="199" t="s">
        <v>252</v>
      </c>
      <c r="G456" s="372">
        <f>C448</f>
        <v>5400</v>
      </c>
      <c r="H456" s="373">
        <f>'Other Electriciy Rates NF'!$G$12</f>
        <v>3.625</v>
      </c>
      <c r="I456" s="210">
        <f>+G456*H456</f>
        <v>19575</v>
      </c>
      <c r="J456" s="372">
        <f>C448</f>
        <v>5400</v>
      </c>
      <c r="K456" s="494">
        <f>'Other Electriciy Rates NF'!$G$26</f>
        <v>3.6656054700065805</v>
      </c>
      <c r="L456" s="210">
        <f>+J456*K456</f>
        <v>19794.269538035536</v>
      </c>
      <c r="M456" s="374">
        <f>+L456-I456</f>
        <v>219.26953803553624</v>
      </c>
      <c r="N456" s="222">
        <f t="shared" si="48"/>
        <v>0.011201508967332631</v>
      </c>
      <c r="O456" s="225">
        <f>L456/L463</f>
        <v>0.07737243899613921</v>
      </c>
      <c r="P456" s="165"/>
    </row>
    <row r="457" spans="2:16" ht="17.25" customHeight="1" thickBot="1">
      <c r="B457" s="172"/>
      <c r="C457" s="31"/>
      <c r="D457" s="31"/>
      <c r="E457" s="31"/>
      <c r="F457" s="233" t="s">
        <v>249</v>
      </c>
      <c r="G457" s="586"/>
      <c r="H457" s="587"/>
      <c r="I457" s="235">
        <f>SUM(I455:I456)</f>
        <v>32150.86</v>
      </c>
      <c r="J457" s="586"/>
      <c r="K457" s="587"/>
      <c r="L457" s="235">
        <f>SUM(L455:L456)</f>
        <v>38550.879538035544</v>
      </c>
      <c r="M457" s="237">
        <f>SUM(M455:M456)</f>
        <v>6400.01953803554</v>
      </c>
      <c r="N457" s="238">
        <f t="shared" si="48"/>
        <v>0.19906215690763918</v>
      </c>
      <c r="O457" s="375">
        <f>L457/L463</f>
        <v>0.15068884302967764</v>
      </c>
      <c r="P457" s="165"/>
    </row>
    <row r="458" spans="2:16" ht="17.25" customHeight="1">
      <c r="B458" s="172"/>
      <c r="C458" s="31"/>
      <c r="D458" s="31"/>
      <c r="E458" s="31"/>
      <c r="F458" s="197" t="s">
        <v>77</v>
      </c>
      <c r="G458" s="202">
        <f>C447*'Other Electriciy Rates NF'!$M$12</f>
        <v>2537280</v>
      </c>
      <c r="H458" s="203">
        <f>'Other Electriciy Rates NF'!$C$12+'Other Electriciy Rates NF'!$E$12+'Other Electriciy Rates NF'!D12</f>
        <v>0.0138725</v>
      </c>
      <c r="I458" s="204">
        <f>+G458*H458</f>
        <v>35198.4168</v>
      </c>
      <c r="J458" s="202">
        <f>C447*'Other Electriciy Rates NF'!$M$26</f>
        <v>2534376.6602228875</v>
      </c>
      <c r="K458" s="203">
        <f>'Other Electriciy Rates NF'!$C$26+'Other Electriciy Rates NF'!$E$26+'Other Electriciy Rates NF'!D26</f>
        <v>0.0135</v>
      </c>
      <c r="L458" s="229">
        <f>+J458*K458</f>
        <v>34214.084913008985</v>
      </c>
      <c r="M458" s="221">
        <f>+L458-I458</f>
        <v>-984.3318869910145</v>
      </c>
      <c r="N458" s="222">
        <f t="shared" si="48"/>
        <v>-0.027965231862105075</v>
      </c>
      <c r="O458" s="301">
        <f>L458/L463</f>
        <v>0.13373704913201037</v>
      </c>
      <c r="P458" s="165"/>
    </row>
    <row r="459" spans="2:16" ht="21.75" customHeight="1">
      <c r="B459" s="172"/>
      <c r="C459" s="31"/>
      <c r="D459" s="31"/>
      <c r="E459" s="31"/>
      <c r="F459" s="200" t="s">
        <v>321</v>
      </c>
      <c r="G459" s="220"/>
      <c r="H459" s="219"/>
      <c r="I459" s="512">
        <v>0.25</v>
      </c>
      <c r="J459" s="496"/>
      <c r="K459" s="219"/>
      <c r="L459" s="514">
        <v>0.25</v>
      </c>
      <c r="M459" s="230">
        <f>+L459-I459</f>
        <v>0</v>
      </c>
      <c r="N459" s="231">
        <f t="shared" si="48"/>
        <v>0</v>
      </c>
      <c r="O459" s="225">
        <f>L459/L463</f>
        <v>9.772075555435975E-07</v>
      </c>
      <c r="P459" s="165"/>
    </row>
    <row r="460" spans="2:16" ht="17.25" customHeight="1" thickBot="1">
      <c r="B460" s="172"/>
      <c r="C460" s="31"/>
      <c r="D460" s="31"/>
      <c r="E460" s="31"/>
      <c r="F460" s="197" t="s">
        <v>78</v>
      </c>
      <c r="G460" s="202">
        <f>G458</f>
        <v>2537280</v>
      </c>
      <c r="H460" s="203">
        <f>+'Other Electriciy Rates NF'!$K$12</f>
        <v>0.06062</v>
      </c>
      <c r="I460" s="204">
        <f>+G460*H460</f>
        <v>153809.9136</v>
      </c>
      <c r="J460" s="202">
        <f>J458</f>
        <v>2534376.6602228875</v>
      </c>
      <c r="K460" s="203">
        <f>'Other Electriciy Rates NF'!$K$26</f>
        <v>0.06062</v>
      </c>
      <c r="L460" s="229">
        <f>+J460*K460</f>
        <v>153633.91314271145</v>
      </c>
      <c r="M460" s="515">
        <f>+L460-I460</f>
        <v>-176.00045728855184</v>
      </c>
      <c r="N460" s="516">
        <f t="shared" si="48"/>
        <v>-0.0011442725190410083</v>
      </c>
      <c r="O460" s="241">
        <f>L460/L463</f>
        <v>0.6005288828431458</v>
      </c>
      <c r="P460" s="165"/>
    </row>
    <row r="461" spans="2:16" ht="17.25" customHeight="1" thickBot="1">
      <c r="B461" s="172"/>
      <c r="C461" s="31"/>
      <c r="D461" s="31"/>
      <c r="E461" s="31"/>
      <c r="F461" s="233" t="s">
        <v>195</v>
      </c>
      <c r="G461" s="586"/>
      <c r="H461" s="587"/>
      <c r="I461" s="235">
        <f>SUM(I457:I460)</f>
        <v>221159.4404</v>
      </c>
      <c r="J461" s="586"/>
      <c r="K461" s="587"/>
      <c r="L461" s="235">
        <f>SUM(L457:L460)</f>
        <v>226399.12759375598</v>
      </c>
      <c r="M461" s="235">
        <f>SUM(M457:M460)</f>
        <v>5239.687193755974</v>
      </c>
      <c r="N461" s="238">
        <f t="shared" si="48"/>
        <v>0.023691899311551946</v>
      </c>
      <c r="O461" s="375">
        <f>L461/L463</f>
        <v>0.8849557522123893</v>
      </c>
      <c r="P461" s="165"/>
    </row>
    <row r="462" spans="2:16" ht="17.25" customHeight="1" thickBot="1">
      <c r="B462" s="172"/>
      <c r="C462" s="31"/>
      <c r="D462" s="31"/>
      <c r="E462" s="31"/>
      <c r="F462" s="297" t="s">
        <v>274</v>
      </c>
      <c r="G462" s="298"/>
      <c r="H462" s="302">
        <v>0.13</v>
      </c>
      <c r="I462" s="299">
        <f>I461*H462</f>
        <v>28750.727252</v>
      </c>
      <c r="J462" s="298"/>
      <c r="K462" s="302">
        <v>0.13</v>
      </c>
      <c r="L462" s="300">
        <f>L461*K462</f>
        <v>29431.886587188277</v>
      </c>
      <c r="M462" s="227">
        <f>+L462-I462</f>
        <v>681.1593351882766</v>
      </c>
      <c r="N462" s="228">
        <f t="shared" si="48"/>
        <v>0.023691899311551946</v>
      </c>
      <c r="O462" s="241">
        <f>L462/L463</f>
        <v>0.11504424778761062</v>
      </c>
      <c r="P462" s="165"/>
    </row>
    <row r="463" spans="2:16" ht="17.25" customHeight="1" thickBot="1">
      <c r="B463" s="172"/>
      <c r="C463" s="31"/>
      <c r="D463" s="31"/>
      <c r="E463" s="35"/>
      <c r="F463" s="239" t="s">
        <v>79</v>
      </c>
      <c r="G463" s="586"/>
      <c r="H463" s="587"/>
      <c r="I463" s="235">
        <f>SUM(I461:I462)</f>
        <v>249910.167652</v>
      </c>
      <c r="J463" s="586"/>
      <c r="K463" s="587"/>
      <c r="L463" s="235">
        <f>SUM(L461:L462)</f>
        <v>255831.01418094427</v>
      </c>
      <c r="M463" s="235">
        <f>SUM(M461:M462)</f>
        <v>5920.84652894425</v>
      </c>
      <c r="N463" s="238">
        <f t="shared" si="48"/>
        <v>0.023691899311551946</v>
      </c>
      <c r="O463" s="240">
        <f>O461+O462</f>
        <v>0.9999999999999999</v>
      </c>
      <c r="P463" s="165"/>
    </row>
    <row r="464" spans="2:16" ht="17.25" customHeight="1" thickBot="1">
      <c r="B464" s="166"/>
      <c r="C464" s="178"/>
      <c r="D464" s="178"/>
      <c r="E464" s="178"/>
      <c r="F464" s="179"/>
      <c r="G464" s="180"/>
      <c r="H464" s="181"/>
      <c r="I464" s="182"/>
      <c r="J464" s="180"/>
      <c r="K464" s="183"/>
      <c r="L464" s="182"/>
      <c r="M464" s="184"/>
      <c r="N464" s="185"/>
      <c r="O464" s="186"/>
      <c r="P464" s="167"/>
    </row>
    <row r="465" spans="2:16" ht="17.25" customHeight="1">
      <c r="B465" s="25"/>
      <c r="C465" s="31"/>
      <c r="D465" s="31"/>
      <c r="E465" s="31"/>
      <c r="F465" s="49"/>
      <c r="G465" s="50"/>
      <c r="H465" s="51"/>
      <c r="I465" s="52"/>
      <c r="J465" s="50"/>
      <c r="K465" s="53"/>
      <c r="L465" s="52"/>
      <c r="M465" s="54"/>
      <c r="N465" s="175"/>
      <c r="O465" s="176"/>
      <c r="P465" s="25"/>
    </row>
    <row r="466" spans="3:15" s="25" customFormat="1" ht="17.25" customHeight="1" thickBot="1">
      <c r="C466" s="31"/>
      <c r="D466" s="31"/>
      <c r="E466" s="31"/>
      <c r="F466" s="49"/>
      <c r="G466" s="50"/>
      <c r="H466" s="51"/>
      <c r="I466" s="52"/>
      <c r="J466" s="50"/>
      <c r="K466" s="53"/>
      <c r="L466" s="52"/>
      <c r="M466" s="54"/>
      <c r="N466" s="175"/>
      <c r="O466" s="176"/>
    </row>
    <row r="467" spans="2:16" ht="17.25" customHeight="1">
      <c r="B467" s="174"/>
      <c r="C467" s="592"/>
      <c r="D467" s="592"/>
      <c r="E467" s="592"/>
      <c r="F467" s="592"/>
      <c r="G467" s="592"/>
      <c r="H467" s="592"/>
      <c r="I467" s="592"/>
      <c r="J467" s="592"/>
      <c r="K467" s="592"/>
      <c r="L467" s="592"/>
      <c r="M467" s="592"/>
      <c r="N467" s="592"/>
      <c r="O467" s="592"/>
      <c r="P467" s="164"/>
    </row>
    <row r="468" spans="2:16" ht="23.25">
      <c r="B468" s="172"/>
      <c r="C468" s="591" t="s">
        <v>84</v>
      </c>
      <c r="D468" s="591"/>
      <c r="E468" s="591"/>
      <c r="F468" s="591"/>
      <c r="G468" s="591"/>
      <c r="H468" s="591"/>
      <c r="I468" s="591"/>
      <c r="J468" s="591"/>
      <c r="K468" s="591"/>
      <c r="L468" s="591"/>
      <c r="M468" s="591"/>
      <c r="N468" s="591"/>
      <c r="O468" s="591"/>
      <c r="P468" s="165"/>
    </row>
    <row r="469" spans="2:17" ht="17.25" customHeight="1" thickBot="1">
      <c r="B469" s="172"/>
      <c r="C469" s="590"/>
      <c r="D469" s="590"/>
      <c r="E469" s="590"/>
      <c r="F469" s="590"/>
      <c r="G469" s="590"/>
      <c r="H469" s="590"/>
      <c r="I469" s="590"/>
      <c r="J469" s="590"/>
      <c r="K469" s="590"/>
      <c r="L469" s="590"/>
      <c r="M469" s="590"/>
      <c r="N469" s="590"/>
      <c r="O469" s="590"/>
      <c r="P469" s="165"/>
      <c r="Q469" s="25"/>
    </row>
    <row r="470" spans="2:17" ht="17.25" customHeight="1" thickBot="1">
      <c r="B470" s="172"/>
      <c r="C470" s="173"/>
      <c r="D470" s="173"/>
      <c r="E470" s="31"/>
      <c r="F470" s="32"/>
      <c r="G470" s="595" t="str">
        <f>$G$10</f>
        <v>2010 BILL</v>
      </c>
      <c r="H470" s="596"/>
      <c r="I470" s="597"/>
      <c r="J470" s="595" t="str">
        <f>$J$10</f>
        <v>2011 BILL</v>
      </c>
      <c r="K470" s="596"/>
      <c r="L470" s="597"/>
      <c r="M470" s="595" t="s">
        <v>73</v>
      </c>
      <c r="N470" s="596"/>
      <c r="O470" s="597"/>
      <c r="P470" s="165"/>
      <c r="Q470" s="25"/>
    </row>
    <row r="471" spans="2:17" ht="26.25" thickBot="1">
      <c r="B471" s="172"/>
      <c r="C471" s="31"/>
      <c r="D471" s="31"/>
      <c r="E471" s="33"/>
      <c r="F471" s="34"/>
      <c r="G471" s="391" t="s">
        <v>67</v>
      </c>
      <c r="H471" s="392" t="s">
        <v>68</v>
      </c>
      <c r="I471" s="393" t="s">
        <v>69</v>
      </c>
      <c r="J471" s="394" t="s">
        <v>67</v>
      </c>
      <c r="K471" s="392" t="s">
        <v>68</v>
      </c>
      <c r="L471" s="393" t="s">
        <v>69</v>
      </c>
      <c r="M471" s="192" t="s">
        <v>74</v>
      </c>
      <c r="N471" s="193" t="s">
        <v>75</v>
      </c>
      <c r="O471" s="194" t="s">
        <v>76</v>
      </c>
      <c r="P471" s="165"/>
      <c r="Q471" s="25"/>
    </row>
    <row r="472" spans="2:17" ht="17.25" customHeight="1" thickBot="1">
      <c r="B472" s="172"/>
      <c r="C472" s="593" t="s">
        <v>139</v>
      </c>
      <c r="D472" s="594"/>
      <c r="E472" s="31"/>
      <c r="F472" s="397" t="s">
        <v>71</v>
      </c>
      <c r="G472" s="395">
        <f>C473</f>
        <v>9666.99038872132</v>
      </c>
      <c r="H472" s="389">
        <f>'2010 Existing RatesNF'!$B$13</f>
        <v>0.32</v>
      </c>
      <c r="I472" s="210">
        <f>+G472*H472</f>
        <v>3093.4369243908227</v>
      </c>
      <c r="J472" s="395">
        <f>G472</f>
        <v>9666.99038872132</v>
      </c>
      <c r="K472" s="389">
        <f>'Rate Schedule (Part 1) NF'!$E$55</f>
        <v>0.8005</v>
      </c>
      <c r="L472" s="210">
        <f aca="true" t="shared" si="49" ref="L472:L479">+J472*K472</f>
        <v>7738.425806171417</v>
      </c>
      <c r="M472" s="230">
        <f aca="true" t="shared" si="50" ref="M472:M477">+L472-I472</f>
        <v>4644.988881780595</v>
      </c>
      <c r="N472" s="231">
        <f aca="true" t="shared" si="51" ref="N472:N488">+M472/I472</f>
        <v>1.5015625000000001</v>
      </c>
      <c r="O472" s="225">
        <f>L472/L488</f>
        <v>0.13059345774490733</v>
      </c>
      <c r="P472" s="165"/>
      <c r="Q472" s="25"/>
    </row>
    <row r="473" spans="2:17" ht="17.25" customHeight="1" thickBot="1">
      <c r="B473" s="172"/>
      <c r="C473" s="170">
        <f>'Forecast Data For 2011'!I20</f>
        <v>9666.99038872132</v>
      </c>
      <c r="D473" s="171" t="s">
        <v>138</v>
      </c>
      <c r="E473" s="31"/>
      <c r="F473" s="398" t="s">
        <v>82</v>
      </c>
      <c r="G473" s="396">
        <f>C475</f>
        <v>1296.2732723384504</v>
      </c>
      <c r="H473" s="196">
        <f>'2010 Existing RatesNF'!$D$74</f>
        <v>1.6919</v>
      </c>
      <c r="I473" s="210">
        <f>+G473*H473</f>
        <v>2193.1647494694244</v>
      </c>
      <c r="J473" s="201">
        <f>G473</f>
        <v>1296.2732723384504</v>
      </c>
      <c r="K473" s="195">
        <f>'Rate Schedule (Part 1) NF'!$E$56</f>
        <v>3.1398</v>
      </c>
      <c r="L473" s="210">
        <f t="shared" si="49"/>
        <v>4070.0388204882665</v>
      </c>
      <c r="M473" s="230">
        <f t="shared" si="50"/>
        <v>1876.8740710188422</v>
      </c>
      <c r="N473" s="231">
        <f t="shared" si="51"/>
        <v>0.855783438737514</v>
      </c>
      <c r="O473" s="225">
        <f>L473/L488</f>
        <v>0.06868586144480157</v>
      </c>
      <c r="P473" s="165"/>
      <c r="Q473" s="25"/>
    </row>
    <row r="474" spans="2:16" ht="17.25" customHeight="1" thickBot="1">
      <c r="B474" s="172"/>
      <c r="C474" s="170">
        <f>'Forecast Data For 2011'!I22/12</f>
        <v>479439.8564562165</v>
      </c>
      <c r="D474" s="171" t="s">
        <v>16</v>
      </c>
      <c r="E474" s="31"/>
      <c r="F474" s="398" t="s">
        <v>250</v>
      </c>
      <c r="G474" s="333">
        <f>G473</f>
        <v>1296.2732723384504</v>
      </c>
      <c r="H474" s="399">
        <f>'2010 Existing RatesNF'!$D$51</f>
        <v>0</v>
      </c>
      <c r="J474" s="201">
        <f>G474</f>
        <v>1296.2732723384504</v>
      </c>
      <c r="K474" s="195">
        <f>'Rate Schedule (Part 1) NF'!$E$57</f>
        <v>0.0801</v>
      </c>
      <c r="L474" s="210">
        <f t="shared" si="49"/>
        <v>103.83148911430989</v>
      </c>
      <c r="M474" s="230">
        <f t="shared" si="50"/>
        <v>103.83148911430989</v>
      </c>
      <c r="N474" s="231" t="e">
        <f t="shared" si="51"/>
        <v>#DIV/0!</v>
      </c>
      <c r="O474" s="225">
        <f>L474/L488</f>
        <v>0.0017522573099333098</v>
      </c>
      <c r="P474" s="165"/>
    </row>
    <row r="475" spans="2:16" ht="17.25" customHeight="1" thickBot="1">
      <c r="B475" s="172"/>
      <c r="C475" s="170">
        <f>'Forecast Data For 2011'!I21/12</f>
        <v>1296.2732723384504</v>
      </c>
      <c r="D475" s="171" t="s">
        <v>17</v>
      </c>
      <c r="E475" s="31"/>
      <c r="F475" s="199" t="s">
        <v>251</v>
      </c>
      <c r="G475" s="201">
        <f>G474</f>
        <v>1296.2732723384504</v>
      </c>
      <c r="H475" s="196"/>
      <c r="I475" s="210">
        <f>+G475*H475</f>
        <v>0</v>
      </c>
      <c r="J475" s="201">
        <f>G475</f>
        <v>1296.2732723384504</v>
      </c>
      <c r="K475" s="195">
        <f>'Rate Schedule (Part 1) NF'!$E$58</f>
        <v>0</v>
      </c>
      <c r="L475" s="214">
        <f t="shared" si="49"/>
        <v>0</v>
      </c>
      <c r="M475" s="230">
        <f t="shared" si="50"/>
        <v>0</v>
      </c>
      <c r="N475" s="231" t="e">
        <f t="shared" si="51"/>
        <v>#DIV/0!</v>
      </c>
      <c r="O475" s="225">
        <f>L475/L488</f>
        <v>0</v>
      </c>
      <c r="P475" s="165"/>
    </row>
    <row r="476" spans="2:16" ht="30.75" customHeight="1">
      <c r="B476" s="172"/>
      <c r="C476" s="63"/>
      <c r="D476" s="64"/>
      <c r="E476" s="31"/>
      <c r="F476" s="199" t="s">
        <v>295</v>
      </c>
      <c r="G476" s="201">
        <f>G475</f>
        <v>1296.2732723384504</v>
      </c>
      <c r="H476" s="196">
        <f>'2010 Existing RatesNF'!$D$25</f>
        <v>-0.5038</v>
      </c>
      <c r="I476" s="210">
        <f>+G476*H476</f>
        <v>-653.0624746041113</v>
      </c>
      <c r="J476" s="201">
        <f>J475</f>
        <v>1296.2732723384504</v>
      </c>
      <c r="K476" s="195">
        <f>'Rate Schedule (Part 1) NF'!$E$60</f>
        <v>-0.5038</v>
      </c>
      <c r="L476" s="214">
        <f t="shared" si="49"/>
        <v>-653.0624746041113</v>
      </c>
      <c r="M476" s="230">
        <f t="shared" si="50"/>
        <v>0</v>
      </c>
      <c r="N476" s="231">
        <f t="shared" si="51"/>
        <v>0</v>
      </c>
      <c r="O476" s="225">
        <f>L476/L488</f>
        <v>-0.01102106407920601</v>
      </c>
      <c r="P476" s="165"/>
    </row>
    <row r="477" spans="2:16" ht="27.75" customHeight="1">
      <c r="B477" s="172"/>
      <c r="C477" s="31"/>
      <c r="D477" s="31"/>
      <c r="E477" s="31"/>
      <c r="F477" s="199" t="s">
        <v>296</v>
      </c>
      <c r="G477" s="372">
        <f>C475</f>
        <v>1296.2732723384504</v>
      </c>
      <c r="H477" s="488"/>
      <c r="I477" s="206">
        <f>+G477*H477</f>
        <v>0</v>
      </c>
      <c r="J477" s="372">
        <f>C475</f>
        <v>1296.2732723384504</v>
      </c>
      <c r="K477" s="488">
        <f>'Rate Schedule (Part 1) NF'!E62</f>
        <v>-0.6329</v>
      </c>
      <c r="L477" s="214">
        <f t="shared" si="49"/>
        <v>-820.4113540630053</v>
      </c>
      <c r="M477" s="224">
        <f t="shared" si="50"/>
        <v>-820.4113540630053</v>
      </c>
      <c r="N477" s="218" t="e">
        <f>+M477/I477</f>
        <v>#DIV/0!</v>
      </c>
      <c r="O477" s="225">
        <f>L477/L488</f>
        <v>-0.01384523909434197</v>
      </c>
      <c r="P477" s="165"/>
    </row>
    <row r="478" spans="2:16" ht="30.75" customHeight="1">
      <c r="B478" s="172"/>
      <c r="C478" s="63"/>
      <c r="D478" s="64"/>
      <c r="E478" s="31"/>
      <c r="F478" s="199" t="s">
        <v>318</v>
      </c>
      <c r="G478" s="201">
        <f>C475</f>
        <v>1296.2732723384504</v>
      </c>
      <c r="H478" s="196">
        <f>'2010 Existing RatesNF'!D38</f>
        <v>0</v>
      </c>
      <c r="I478" s="206">
        <f>+G478*H478</f>
        <v>0</v>
      </c>
      <c r="J478" s="201">
        <f>C475</f>
        <v>1296.2732723384504</v>
      </c>
      <c r="K478" s="195">
        <f>'Rate Schedule (Part 1) NF'!E59</f>
        <v>0</v>
      </c>
      <c r="L478" s="214">
        <f t="shared" si="49"/>
        <v>0</v>
      </c>
      <c r="M478" s="224">
        <f>+L478-I478</f>
        <v>0</v>
      </c>
      <c r="N478" s="218" t="e">
        <f>+M478/I478</f>
        <v>#DIV/0!</v>
      </c>
      <c r="O478" s="225">
        <f>L478/L488</f>
        <v>0</v>
      </c>
      <c r="P478" s="165"/>
    </row>
    <row r="479" spans="2:16" ht="27.75" customHeight="1" thickBot="1">
      <c r="B479" s="172"/>
      <c r="C479" s="31"/>
      <c r="D479" s="31"/>
      <c r="E479" s="31"/>
      <c r="F479" s="199" t="s">
        <v>319</v>
      </c>
      <c r="G479" s="372">
        <f>C475</f>
        <v>1296.2732723384504</v>
      </c>
      <c r="H479" s="488"/>
      <c r="I479" s="206">
        <f>+G479*H479</f>
        <v>0</v>
      </c>
      <c r="J479" s="372">
        <f>C475</f>
        <v>1296.2732723384504</v>
      </c>
      <c r="K479" s="488">
        <f>'Rate Schedule (Part 1) NF'!E61</f>
        <v>0.6613</v>
      </c>
      <c r="L479" s="214">
        <f t="shared" si="49"/>
        <v>857.2255149974172</v>
      </c>
      <c r="M479" s="224">
        <f>+L479-I479</f>
        <v>857.2255149974172</v>
      </c>
      <c r="N479" s="218" t="e">
        <f>+M479/I479</f>
        <v>#DIV/0!</v>
      </c>
      <c r="O479" s="225">
        <f>L479/L488</f>
        <v>0.01446651384592881</v>
      </c>
      <c r="P479" s="165"/>
    </row>
    <row r="480" spans="2:16" ht="17.25" customHeight="1" thickBot="1">
      <c r="B480" s="172"/>
      <c r="C480" s="31"/>
      <c r="D480" s="31"/>
      <c r="E480" s="31"/>
      <c r="F480" s="233" t="s">
        <v>247</v>
      </c>
      <c r="G480" s="586"/>
      <c r="H480" s="587"/>
      <c r="I480" s="235">
        <f>SUM(I472:I479)</f>
        <v>4633.539199256135</v>
      </c>
      <c r="J480" s="586"/>
      <c r="K480" s="587"/>
      <c r="L480" s="235">
        <f>SUM(L472:L479)</f>
        <v>11296.04780210429</v>
      </c>
      <c r="M480" s="237">
        <f>SUM(M472:M479)</f>
        <v>6662.508602848159</v>
      </c>
      <c r="N480" s="238">
        <f t="shared" si="51"/>
        <v>1.4378876095227062</v>
      </c>
      <c r="O480" s="240">
        <f>SUM(O472:O479)</f>
        <v>0.19063178717202306</v>
      </c>
      <c r="P480" s="165"/>
    </row>
    <row r="481" spans="2:16" ht="17.25" customHeight="1" thickBot="1">
      <c r="B481" s="172"/>
      <c r="C481" s="31"/>
      <c r="D481" s="31"/>
      <c r="E481" s="31"/>
      <c r="F481" s="199" t="s">
        <v>252</v>
      </c>
      <c r="G481" s="372">
        <f>G476</f>
        <v>1296.2732723384504</v>
      </c>
      <c r="H481" s="373">
        <f>'Other Electriciy Rates NF'!$G$15</f>
        <v>2.7645999999999997</v>
      </c>
      <c r="I481" s="210">
        <f>+G481*H481</f>
        <v>3583.6770887068797</v>
      </c>
      <c r="J481" s="372">
        <f>G481</f>
        <v>1296.2732723384504</v>
      </c>
      <c r="K481" s="494">
        <f>'Other Electriciy Rates NF'!$G$29</f>
        <v>2.790111290450164</v>
      </c>
      <c r="L481" s="210">
        <f>+J481*K481</f>
        <v>3616.7466926602906</v>
      </c>
      <c r="M481" s="374">
        <f>+L481-I481</f>
        <v>33.06960395341093</v>
      </c>
      <c r="N481" s="222">
        <f t="shared" si="51"/>
        <v>0.009227841441859272</v>
      </c>
      <c r="O481" s="225">
        <f>L481/L488</f>
        <v>0.06103611615753757</v>
      </c>
      <c r="P481" s="165"/>
    </row>
    <row r="482" spans="2:16" ht="17.25" customHeight="1" thickBot="1">
      <c r="B482" s="172"/>
      <c r="C482" s="31"/>
      <c r="D482" s="31"/>
      <c r="E482" s="31"/>
      <c r="F482" s="233" t="s">
        <v>249</v>
      </c>
      <c r="G482" s="586"/>
      <c r="H482" s="587"/>
      <c r="I482" s="235">
        <f>SUM(I480:I481)</f>
        <v>8217.216287963016</v>
      </c>
      <c r="J482" s="586"/>
      <c r="K482" s="587"/>
      <c r="L482" s="235">
        <f>SUM(L480:L481)</f>
        <v>14912.794494764581</v>
      </c>
      <c r="M482" s="237">
        <f>SUM(M480:M481)</f>
        <v>6695.578206801571</v>
      </c>
      <c r="N482" s="238">
        <f t="shared" si="51"/>
        <v>0.8148231678664202</v>
      </c>
      <c r="O482" s="375">
        <f>L482/L488</f>
        <v>0.2516679033295605</v>
      </c>
      <c r="P482" s="165"/>
    </row>
    <row r="483" spans="2:16" ht="17.25" customHeight="1">
      <c r="B483" s="172"/>
      <c r="C483" s="31"/>
      <c r="D483" s="31"/>
      <c r="E483" s="31"/>
      <c r="F483" s="197" t="s">
        <v>77</v>
      </c>
      <c r="G483" s="202">
        <f>C474*'Other Electriciy Rates NF'!$M$15</f>
        <v>506863.81624551205</v>
      </c>
      <c r="H483" s="203">
        <f>'Other Electriciy Rates NF'!$C$15+'Other Electriciy Rates NF'!$E$15+'Other Electriciy Rates NF'!D15</f>
        <v>0.0138725</v>
      </c>
      <c r="I483" s="204">
        <f>+G483*H483</f>
        <v>7031.468290865865</v>
      </c>
      <c r="J483" s="202">
        <f>C474*'Other Electriciy Rates NF'!$M$29</f>
        <v>506283.82590968604</v>
      </c>
      <c r="K483" s="203">
        <f>'Other Electriciy Rates NF'!$C$29+'Other Electriciy Rates NF'!$E$29+'Other Electriciy Rates NF'!D29</f>
        <v>0.0135</v>
      </c>
      <c r="L483" s="229">
        <f>+J483*K483</f>
        <v>6834.831649780762</v>
      </c>
      <c r="M483" s="221">
        <f>+L483-I483</f>
        <v>-196.6366410851033</v>
      </c>
      <c r="N483" s="222">
        <f t="shared" si="51"/>
        <v>-0.02796523186210503</v>
      </c>
      <c r="O483" s="301">
        <f>L483/L488</f>
        <v>0.11534442800205702</v>
      </c>
      <c r="P483" s="165"/>
    </row>
    <row r="484" spans="2:16" ht="21.75" customHeight="1">
      <c r="B484" s="172"/>
      <c r="C484" s="31"/>
      <c r="D484" s="31"/>
      <c r="E484" s="31"/>
      <c r="F484" s="200" t="s">
        <v>321</v>
      </c>
      <c r="G484" s="220"/>
      <c r="H484" s="219"/>
      <c r="I484" s="512">
        <v>0.25</v>
      </c>
      <c r="J484" s="496"/>
      <c r="K484" s="219"/>
      <c r="L484" s="514">
        <v>0.25</v>
      </c>
      <c r="M484" s="230">
        <f>+L484-I484</f>
        <v>0</v>
      </c>
      <c r="N484" s="231">
        <f t="shared" si="51"/>
        <v>0</v>
      </c>
      <c r="O484" s="225">
        <f>L484/L488</f>
        <v>4.218993016666214E-06</v>
      </c>
      <c r="P484" s="165"/>
    </row>
    <row r="485" spans="2:16" ht="17.25" customHeight="1" thickBot="1">
      <c r="B485" s="172"/>
      <c r="C485" s="31"/>
      <c r="D485" s="31"/>
      <c r="E485" s="31"/>
      <c r="F485" s="197" t="s">
        <v>78</v>
      </c>
      <c r="G485" s="202">
        <f>G483</f>
        <v>506863.81624551205</v>
      </c>
      <c r="H485" s="203">
        <f>'Other Electriciy Rates NF'!$K$15</f>
        <v>0.06062</v>
      </c>
      <c r="I485" s="204">
        <f>+G485*H485</f>
        <v>30726.08454080294</v>
      </c>
      <c r="J485" s="202">
        <f>J483</f>
        <v>506283.82590968604</v>
      </c>
      <c r="K485" s="203">
        <f>'Other Electriciy Rates NF'!$K$29</f>
        <v>0.06062</v>
      </c>
      <c r="L485" s="229">
        <f>+J485*K485</f>
        <v>30690.92552664517</v>
      </c>
      <c r="M485" s="515">
        <f>+L485-I485</f>
        <v>-35.15901415777262</v>
      </c>
      <c r="N485" s="516">
        <f t="shared" si="51"/>
        <v>-0.0011442725190410426</v>
      </c>
      <c r="O485" s="241">
        <f>L485/L488</f>
        <v>0.5179392018877553</v>
      </c>
      <c r="P485" s="165"/>
    </row>
    <row r="486" spans="2:16" ht="17.25" customHeight="1" thickBot="1">
      <c r="B486" s="172"/>
      <c r="C486" s="31"/>
      <c r="D486" s="31"/>
      <c r="E486" s="31"/>
      <c r="F486" s="233" t="s">
        <v>195</v>
      </c>
      <c r="G486" s="586"/>
      <c r="H486" s="587"/>
      <c r="I486" s="235">
        <f>SUM(I482:I485)</f>
        <v>45975.01911963182</v>
      </c>
      <c r="J486" s="586"/>
      <c r="K486" s="587"/>
      <c r="L486" s="235">
        <f>SUM(L482:L485)</f>
        <v>52438.80167119051</v>
      </c>
      <c r="M486" s="235">
        <f>SUM(M482:M485)</f>
        <v>6463.782551558695</v>
      </c>
      <c r="N486" s="238">
        <f t="shared" si="51"/>
        <v>0.14059336299000236</v>
      </c>
      <c r="O486" s="375">
        <f>L486/L488</f>
        <v>0.8849557522123894</v>
      </c>
      <c r="P486" s="165"/>
    </row>
    <row r="487" spans="2:16" ht="17.25" customHeight="1" thickBot="1">
      <c r="B487" s="172"/>
      <c r="C487" s="31"/>
      <c r="D487" s="31"/>
      <c r="E487" s="31"/>
      <c r="F487" s="297" t="s">
        <v>274</v>
      </c>
      <c r="G487" s="298"/>
      <c r="H487" s="302">
        <v>0.13</v>
      </c>
      <c r="I487" s="299">
        <f>I486*H487</f>
        <v>5976.752485552137</v>
      </c>
      <c r="J487" s="298"/>
      <c r="K487" s="302">
        <v>0.13</v>
      </c>
      <c r="L487" s="300">
        <f>L486*K487</f>
        <v>6817.044217254766</v>
      </c>
      <c r="M487" s="227">
        <f>+L487-I487</f>
        <v>840.2917317026295</v>
      </c>
      <c r="N487" s="228">
        <f t="shared" si="51"/>
        <v>0.1405933629900022</v>
      </c>
      <c r="O487" s="241">
        <f>L487/L488</f>
        <v>0.11504424778761063</v>
      </c>
      <c r="P487" s="165"/>
    </row>
    <row r="488" spans="2:16" ht="17.25" customHeight="1" thickBot="1">
      <c r="B488" s="172"/>
      <c r="C488" s="31"/>
      <c r="D488" s="31"/>
      <c r="E488" s="35"/>
      <c r="F488" s="412" t="s">
        <v>79</v>
      </c>
      <c r="G488" s="588"/>
      <c r="H488" s="589"/>
      <c r="I488" s="413">
        <f>SUM(I486:I487)</f>
        <v>51951.77160518395</v>
      </c>
      <c r="J488" s="588"/>
      <c r="K488" s="589"/>
      <c r="L488" s="413">
        <f>SUM(L486:L487)</f>
        <v>59255.84588844527</v>
      </c>
      <c r="M488" s="413">
        <f>SUM(M486:M487)</f>
        <v>7304.074283261324</v>
      </c>
      <c r="N488" s="414">
        <f t="shared" si="51"/>
        <v>0.14059336299000233</v>
      </c>
      <c r="O488" s="371">
        <f>O486+O487</f>
        <v>1</v>
      </c>
      <c r="P488" s="165"/>
    </row>
    <row r="489" spans="2:16" ht="17.25" customHeight="1" thickBot="1">
      <c r="B489" s="166"/>
      <c r="C489" s="178"/>
      <c r="D489" s="178"/>
      <c r="E489" s="178"/>
      <c r="F489" s="275"/>
      <c r="G489" s="276"/>
      <c r="H489" s="277"/>
      <c r="I489" s="278"/>
      <c r="J489" s="276"/>
      <c r="K489" s="279"/>
      <c r="L489" s="278"/>
      <c r="M489" s="415"/>
      <c r="N489" s="280"/>
      <c r="O489" s="281"/>
      <c r="P489" s="167"/>
    </row>
    <row r="490" spans="2:16" ht="17.25" customHeight="1" thickBot="1">
      <c r="B490" s="25"/>
      <c r="C490" s="31"/>
      <c r="D490" s="31"/>
      <c r="E490" s="31"/>
      <c r="F490" s="49"/>
      <c r="G490" s="50"/>
      <c r="H490" s="51"/>
      <c r="I490" s="52"/>
      <c r="J490" s="50"/>
      <c r="K490" s="53"/>
      <c r="L490" s="52"/>
      <c r="M490" s="54"/>
      <c r="N490" s="175"/>
      <c r="O490" s="176"/>
      <c r="P490" s="25"/>
    </row>
    <row r="491" spans="2:16" ht="17.25" customHeight="1">
      <c r="B491" s="174"/>
      <c r="C491" s="592"/>
      <c r="D491" s="592"/>
      <c r="E491" s="592"/>
      <c r="F491" s="592"/>
      <c r="G491" s="592"/>
      <c r="H491" s="592"/>
      <c r="I491" s="592"/>
      <c r="J491" s="592"/>
      <c r="K491" s="592"/>
      <c r="L491" s="592"/>
      <c r="M491" s="592"/>
      <c r="N491" s="592"/>
      <c r="O491" s="592"/>
      <c r="P491" s="164"/>
    </row>
    <row r="492" spans="2:16" ht="23.25">
      <c r="B492" s="172"/>
      <c r="C492" s="591" t="s">
        <v>305</v>
      </c>
      <c r="D492" s="591"/>
      <c r="E492" s="591"/>
      <c r="F492" s="591"/>
      <c r="G492" s="591"/>
      <c r="H492" s="591"/>
      <c r="I492" s="591"/>
      <c r="J492" s="591"/>
      <c r="K492" s="591"/>
      <c r="L492" s="591"/>
      <c r="M492" s="591"/>
      <c r="N492" s="591"/>
      <c r="O492" s="591"/>
      <c r="P492" s="165"/>
    </row>
    <row r="493" spans="2:17" ht="17.25" customHeight="1" thickBot="1">
      <c r="B493" s="172"/>
      <c r="C493" s="590"/>
      <c r="D493" s="590"/>
      <c r="E493" s="590"/>
      <c r="F493" s="590"/>
      <c r="G493" s="590"/>
      <c r="H493" s="590"/>
      <c r="I493" s="590"/>
      <c r="J493" s="590"/>
      <c r="K493" s="590"/>
      <c r="L493" s="590"/>
      <c r="M493" s="590"/>
      <c r="N493" s="590"/>
      <c r="O493" s="590"/>
      <c r="P493" s="165"/>
      <c r="Q493" s="25"/>
    </row>
    <row r="494" spans="2:17" ht="17.25" customHeight="1" thickBot="1">
      <c r="B494" s="172"/>
      <c r="C494" s="173"/>
      <c r="D494" s="173"/>
      <c r="E494" s="31"/>
      <c r="F494" s="32"/>
      <c r="G494" s="595" t="str">
        <f>$G$10</f>
        <v>2010 BILL</v>
      </c>
      <c r="H494" s="596"/>
      <c r="I494" s="597"/>
      <c r="J494" s="595" t="str">
        <f>$J$10</f>
        <v>2011 BILL</v>
      </c>
      <c r="K494" s="596"/>
      <c r="L494" s="597"/>
      <c r="M494" s="595" t="s">
        <v>73</v>
      </c>
      <c r="N494" s="596"/>
      <c r="O494" s="597"/>
      <c r="P494" s="165"/>
      <c r="Q494" s="25"/>
    </row>
    <row r="495" spans="2:17" ht="26.25" thickBot="1">
      <c r="B495" s="172"/>
      <c r="C495" s="31"/>
      <c r="D495" s="31"/>
      <c r="E495" s="33"/>
      <c r="F495" s="34"/>
      <c r="G495" s="391" t="s">
        <v>67</v>
      </c>
      <c r="H495" s="392" t="s">
        <v>68</v>
      </c>
      <c r="I495" s="393" t="s">
        <v>69</v>
      </c>
      <c r="J495" s="394" t="s">
        <v>67</v>
      </c>
      <c r="K495" s="392" t="s">
        <v>68</v>
      </c>
      <c r="L495" s="393" t="s">
        <v>69</v>
      </c>
      <c r="M495" s="192" t="s">
        <v>74</v>
      </c>
      <c r="N495" s="193" t="s">
        <v>75</v>
      </c>
      <c r="O495" s="194" t="s">
        <v>76</v>
      </c>
      <c r="P495" s="165"/>
      <c r="Q495" s="25"/>
    </row>
    <row r="496" spans="2:17" ht="17.25" customHeight="1" thickBot="1">
      <c r="B496" s="172"/>
      <c r="C496" s="593" t="s">
        <v>139</v>
      </c>
      <c r="D496" s="594"/>
      <c r="E496" s="31"/>
      <c r="F496" s="397" t="s">
        <v>71</v>
      </c>
      <c r="G496" s="395">
        <f>C497</f>
        <v>1</v>
      </c>
      <c r="H496" s="389">
        <f>'2010 Existing RatesNF'!$B$13</f>
        <v>0.32</v>
      </c>
      <c r="I496" s="210">
        <f>+G496*H496</f>
        <v>0.32</v>
      </c>
      <c r="J496" s="395">
        <f>G496</f>
        <v>1</v>
      </c>
      <c r="K496" s="389">
        <f>'Rate Schedule (Part 1) NF'!$E$55</f>
        <v>0.8005</v>
      </c>
      <c r="L496" s="210">
        <f aca="true" t="shared" si="52" ref="L496:L503">+J496*K496</f>
        <v>0.8005</v>
      </c>
      <c r="M496" s="230">
        <f aca="true" t="shared" si="53" ref="M496:M501">+L496-I496</f>
        <v>0.4805</v>
      </c>
      <c r="N496" s="231">
        <f aca="true" t="shared" si="54" ref="N496:N512">+M496/I496</f>
        <v>1.5015625</v>
      </c>
      <c r="O496" s="225">
        <f>L496/L512</f>
        <v>0.1248405262860136</v>
      </c>
      <c r="P496" s="165"/>
      <c r="Q496" s="25"/>
    </row>
    <row r="497" spans="2:17" ht="17.25" customHeight="1" thickBot="1">
      <c r="B497" s="172"/>
      <c r="C497" s="170">
        <v>1</v>
      </c>
      <c r="D497" s="171" t="s">
        <v>138</v>
      </c>
      <c r="E497" s="31"/>
      <c r="F497" s="398" t="s">
        <v>82</v>
      </c>
      <c r="G497" s="396">
        <f>C499</f>
        <v>0.13409274450617428</v>
      </c>
      <c r="H497" s="196">
        <f>'2010 Existing RatesNF'!$D$74</f>
        <v>1.6919</v>
      </c>
      <c r="I497" s="210">
        <f>+G497*H497</f>
        <v>0.22687151442999626</v>
      </c>
      <c r="J497" s="201">
        <f>G497</f>
        <v>0.13409274450617428</v>
      </c>
      <c r="K497" s="195">
        <f>'Rate Schedule (Part 1) NF'!$E$56</f>
        <v>3.1398</v>
      </c>
      <c r="L497" s="210">
        <f t="shared" si="52"/>
        <v>0.421024399200486</v>
      </c>
      <c r="M497" s="230">
        <f t="shared" si="53"/>
        <v>0.19415288477048975</v>
      </c>
      <c r="N497" s="231">
        <f t="shared" si="54"/>
        <v>0.8557834387375142</v>
      </c>
      <c r="O497" s="225">
        <f>L497/L512</f>
        <v>0.06566009690873374</v>
      </c>
      <c r="P497" s="165"/>
      <c r="Q497" s="25"/>
    </row>
    <row r="498" spans="2:16" ht="17.25" customHeight="1" thickBot="1">
      <c r="B498" s="172"/>
      <c r="C498" s="294">
        <f>C474/C473</f>
        <v>49.59556564942787</v>
      </c>
      <c r="D498" s="171" t="s">
        <v>16</v>
      </c>
      <c r="E498" s="31"/>
      <c r="F498" s="398" t="s">
        <v>250</v>
      </c>
      <c r="G498" s="333">
        <f>G497</f>
        <v>0.13409274450617428</v>
      </c>
      <c r="H498" s="399">
        <f>'2010 Existing RatesNF'!$D$51</f>
        <v>0</v>
      </c>
      <c r="J498" s="201">
        <f>G498</f>
        <v>0.13409274450617428</v>
      </c>
      <c r="K498" s="195">
        <f>'Rate Schedule (Part 1) NF'!$E$57</f>
        <v>0.0801</v>
      </c>
      <c r="L498" s="210">
        <f t="shared" si="52"/>
        <v>0.01074082883494456</v>
      </c>
      <c r="M498" s="230">
        <f t="shared" si="53"/>
        <v>0.01074082883494456</v>
      </c>
      <c r="N498" s="231" t="e">
        <f t="shared" si="54"/>
        <v>#DIV/0!</v>
      </c>
      <c r="O498" s="225">
        <f>L498/L512</f>
        <v>0.0016750664890724163</v>
      </c>
      <c r="P498" s="165"/>
    </row>
    <row r="499" spans="2:16" ht="17.25" customHeight="1" thickBot="1">
      <c r="B499" s="172"/>
      <c r="C499" s="294">
        <f>C475/C473</f>
        <v>0.13409274450617428</v>
      </c>
      <c r="D499" s="171" t="s">
        <v>17</v>
      </c>
      <c r="E499" s="31"/>
      <c r="F499" s="199" t="s">
        <v>251</v>
      </c>
      <c r="G499" s="201">
        <f>G498</f>
        <v>0.13409274450617428</v>
      </c>
      <c r="H499" s="196"/>
      <c r="I499" s="210">
        <f>+G499*H499</f>
        <v>0</v>
      </c>
      <c r="J499" s="201">
        <f>G499</f>
        <v>0.13409274450617428</v>
      </c>
      <c r="K499" s="195">
        <f>'Rate Schedule (Part 1) NF'!$E$58</f>
        <v>0</v>
      </c>
      <c r="L499" s="214">
        <f t="shared" si="52"/>
        <v>0</v>
      </c>
      <c r="M499" s="230">
        <f t="shared" si="53"/>
        <v>0</v>
      </c>
      <c r="N499" s="231" t="e">
        <f t="shared" si="54"/>
        <v>#DIV/0!</v>
      </c>
      <c r="O499" s="225">
        <f>L499/L512</f>
        <v>0</v>
      </c>
      <c r="P499" s="165"/>
    </row>
    <row r="500" spans="2:16" ht="29.25" customHeight="1">
      <c r="B500" s="172"/>
      <c r="C500" s="63"/>
      <c r="D500" s="64"/>
      <c r="E500" s="31"/>
      <c r="F500" s="199" t="s">
        <v>295</v>
      </c>
      <c r="G500" s="201">
        <f>G499</f>
        <v>0.13409274450617428</v>
      </c>
      <c r="H500" s="196">
        <f>'2010 Existing RatesNF'!$D$25</f>
        <v>-0.5038</v>
      </c>
      <c r="I500" s="210">
        <f>+G500*H500</f>
        <v>-0.06755592468221061</v>
      </c>
      <c r="J500" s="201">
        <f>J499</f>
        <v>0.13409274450617428</v>
      </c>
      <c r="K500" s="195">
        <f>'Rate Schedule (Part 1) NF'!$E$60</f>
        <v>-0.5038</v>
      </c>
      <c r="L500" s="214">
        <f t="shared" si="52"/>
        <v>-0.06755592468221061</v>
      </c>
      <c r="M500" s="230">
        <f t="shared" si="53"/>
        <v>0</v>
      </c>
      <c r="N500" s="231">
        <f t="shared" si="54"/>
        <v>0</v>
      </c>
      <c r="O500" s="225">
        <f>L500/L512</f>
        <v>-0.01053556176273013</v>
      </c>
      <c r="P500" s="165"/>
    </row>
    <row r="501" spans="2:16" ht="27.75" customHeight="1">
      <c r="B501" s="172"/>
      <c r="C501" s="31"/>
      <c r="D501" s="31"/>
      <c r="E501" s="31"/>
      <c r="F501" s="199" t="s">
        <v>296</v>
      </c>
      <c r="G501" s="372">
        <f>C499</f>
        <v>0.13409274450617428</v>
      </c>
      <c r="H501" s="488"/>
      <c r="I501" s="206">
        <f>+G501*H501</f>
        <v>0</v>
      </c>
      <c r="J501" s="372">
        <f>C499</f>
        <v>0.13409274450617428</v>
      </c>
      <c r="K501" s="488">
        <f>'Rate Schedule (Part 1) NF'!E62</f>
        <v>-0.6329</v>
      </c>
      <c r="L501" s="214">
        <f t="shared" si="52"/>
        <v>-0.08486729799795771</v>
      </c>
      <c r="M501" s="224">
        <f t="shared" si="53"/>
        <v>-0.08486729799795771</v>
      </c>
      <c r="N501" s="218" t="e">
        <f>+M501/I501</f>
        <v>#DIV/0!</v>
      </c>
      <c r="O501" s="225">
        <f>L501/L512</f>
        <v>-0.013235325604668318</v>
      </c>
      <c r="P501" s="165"/>
    </row>
    <row r="502" spans="2:16" ht="29.25" customHeight="1">
      <c r="B502" s="172"/>
      <c r="C502" s="63"/>
      <c r="D502" s="64"/>
      <c r="E502" s="31"/>
      <c r="F502" s="199" t="s">
        <v>318</v>
      </c>
      <c r="G502" s="201">
        <f>C499</f>
        <v>0.13409274450617428</v>
      </c>
      <c r="H502" s="196">
        <f>'2010 Existing RatesNF'!D38</f>
        <v>0</v>
      </c>
      <c r="I502" s="206">
        <f>+G502*H502</f>
        <v>0</v>
      </c>
      <c r="J502" s="201">
        <f>C499</f>
        <v>0.13409274450617428</v>
      </c>
      <c r="K502" s="195">
        <f>'Rate Schedule (Part 1) NF'!E59</f>
        <v>0</v>
      </c>
      <c r="L502" s="214">
        <f t="shared" si="52"/>
        <v>0</v>
      </c>
      <c r="M502" s="224">
        <f>+L502-I502</f>
        <v>0</v>
      </c>
      <c r="N502" s="218" t="e">
        <f>+M502/I502</f>
        <v>#DIV/0!</v>
      </c>
      <c r="O502" s="225">
        <f>L502/L512</f>
        <v>0</v>
      </c>
      <c r="P502" s="165"/>
    </row>
    <row r="503" spans="2:16" ht="27.75" customHeight="1" thickBot="1">
      <c r="B503" s="172"/>
      <c r="C503" s="31"/>
      <c r="D503" s="31"/>
      <c r="E503" s="31"/>
      <c r="F503" s="199" t="s">
        <v>319</v>
      </c>
      <c r="G503" s="372">
        <f>C499</f>
        <v>0.13409274450617428</v>
      </c>
      <c r="H503" s="488"/>
      <c r="I503" s="206">
        <f>+G503*H503</f>
        <v>0</v>
      </c>
      <c r="J503" s="372">
        <f>C499</f>
        <v>0.13409274450617428</v>
      </c>
      <c r="K503" s="488">
        <f>'Rate Schedule (Part 1) NF'!E61</f>
        <v>0.6613</v>
      </c>
      <c r="L503" s="214">
        <f t="shared" si="52"/>
        <v>0.08867553194193305</v>
      </c>
      <c r="M503" s="224">
        <f>+L503-I503</f>
        <v>0.08867553194193305</v>
      </c>
      <c r="N503" s="218" t="e">
        <f>+M503/I503</f>
        <v>#DIV/0!</v>
      </c>
      <c r="O503" s="225">
        <f>L503/L512</f>
        <v>0.013829231825512968</v>
      </c>
      <c r="P503" s="165"/>
    </row>
    <row r="504" spans="2:16" ht="17.25" customHeight="1" thickBot="1">
      <c r="B504" s="172"/>
      <c r="C504" s="31"/>
      <c r="D504" s="31"/>
      <c r="E504" s="31"/>
      <c r="F504" s="233" t="s">
        <v>247</v>
      </c>
      <c r="G504" s="586"/>
      <c r="H504" s="587"/>
      <c r="I504" s="235">
        <f>SUM(I496:I503)</f>
        <v>0.47931558974778565</v>
      </c>
      <c r="J504" s="586"/>
      <c r="K504" s="587"/>
      <c r="L504" s="235">
        <f>SUM(L496:L503)</f>
        <v>1.1685175372971954</v>
      </c>
      <c r="M504" s="237">
        <f>SUM(M496:M503)</f>
        <v>0.6892019475494097</v>
      </c>
      <c r="N504" s="238">
        <f t="shared" si="54"/>
        <v>1.4378876095227062</v>
      </c>
      <c r="O504" s="240">
        <f>SUM(O496:O503)</f>
        <v>0.1822340341419343</v>
      </c>
      <c r="P504" s="165"/>
    </row>
    <row r="505" spans="2:16" ht="17.25" customHeight="1" thickBot="1">
      <c r="B505" s="172"/>
      <c r="C505" s="31"/>
      <c r="D505" s="31"/>
      <c r="E505" s="31"/>
      <c r="F505" s="199" t="s">
        <v>252</v>
      </c>
      <c r="G505" s="372">
        <f>G500</f>
        <v>0.13409274450617428</v>
      </c>
      <c r="H505" s="373">
        <f>'Other Electriciy Rates NF'!$G$15</f>
        <v>2.7645999999999997</v>
      </c>
      <c r="I505" s="210">
        <f>+G505*H505</f>
        <v>0.3707128014617694</v>
      </c>
      <c r="J505" s="372">
        <f>G505</f>
        <v>0.13409274450617428</v>
      </c>
      <c r="K505" s="494">
        <f>'Other Electriciy Rates NF'!$G$29</f>
        <v>2.790111290450164</v>
      </c>
      <c r="L505" s="210">
        <f>+J505*K505</f>
        <v>0.37413368041412604</v>
      </c>
      <c r="M505" s="374">
        <f>+L505-I505</f>
        <v>0.003420878952356654</v>
      </c>
      <c r="N505" s="222">
        <f t="shared" si="54"/>
        <v>0.009227841441859246</v>
      </c>
      <c r="O505" s="225">
        <f>L505/L512</f>
        <v>0.058347339867860976</v>
      </c>
      <c r="P505" s="165"/>
    </row>
    <row r="506" spans="2:16" ht="17.25" customHeight="1" thickBot="1">
      <c r="B506" s="172"/>
      <c r="C506" s="31"/>
      <c r="D506" s="31"/>
      <c r="E506" s="31"/>
      <c r="F506" s="233" t="s">
        <v>249</v>
      </c>
      <c r="G506" s="586"/>
      <c r="H506" s="587"/>
      <c r="I506" s="235">
        <f>SUM(I504:I505)</f>
        <v>0.850028391209555</v>
      </c>
      <c r="J506" s="586"/>
      <c r="K506" s="587"/>
      <c r="L506" s="235">
        <f>SUM(L504:L505)</f>
        <v>1.5426512177113214</v>
      </c>
      <c r="M506" s="237">
        <f>SUM(M504:M505)</f>
        <v>0.6926228265017663</v>
      </c>
      <c r="N506" s="238">
        <f t="shared" si="54"/>
        <v>0.8148231678664202</v>
      </c>
      <c r="O506" s="375">
        <f>L506/L512</f>
        <v>0.24058137400979526</v>
      </c>
      <c r="P506" s="165"/>
    </row>
    <row r="507" spans="2:16" ht="17.25" customHeight="1">
      <c r="B507" s="172"/>
      <c r="C507" s="31"/>
      <c r="D507" s="31"/>
      <c r="E507" s="31"/>
      <c r="F507" s="197" t="s">
        <v>77</v>
      </c>
      <c r="G507" s="202">
        <f>C498*'Other Electriciy Rates NF'!$M$15</f>
        <v>52.43243200457514</v>
      </c>
      <c r="H507" s="203">
        <f>'Other Electriciy Rates NF'!$C$15+'Other Electriciy Rates NF'!$E$15+'Other Electriciy Rates NF'!D15</f>
        <v>0.0138725</v>
      </c>
      <c r="I507" s="204">
        <f>+G507*H507</f>
        <v>0.7273689129834686</v>
      </c>
      <c r="J507" s="202">
        <f>C498*'Other Electriciy Rates NF'!$M$29</f>
        <v>52.372435013525816</v>
      </c>
      <c r="K507" s="203">
        <f>'Other Electriciy Rates NF'!$C$29+'Other Electriciy Rates NF'!$E$29+'Other Electriciy Rates NF'!D29</f>
        <v>0.0135</v>
      </c>
      <c r="L507" s="229">
        <f>+J507*K507</f>
        <v>0.7070278726825985</v>
      </c>
      <c r="M507" s="221">
        <f>+L507-I507</f>
        <v>-0.02034104030087014</v>
      </c>
      <c r="N507" s="222">
        <f t="shared" si="54"/>
        <v>-0.027965231862105224</v>
      </c>
      <c r="O507" s="301">
        <f>L507/L512</f>
        <v>0.11026325012439252</v>
      </c>
      <c r="P507" s="165"/>
    </row>
    <row r="508" spans="2:16" ht="21.75" customHeight="1">
      <c r="B508" s="172"/>
      <c r="C508" s="31"/>
      <c r="D508" s="31"/>
      <c r="E508" s="31"/>
      <c r="F508" s="200" t="s">
        <v>321</v>
      </c>
      <c r="G508" s="220"/>
      <c r="H508" s="219"/>
      <c r="I508" s="512">
        <v>0.25</v>
      </c>
      <c r="J508" s="496"/>
      <c r="K508" s="219"/>
      <c r="L508" s="514">
        <v>0.25</v>
      </c>
      <c r="M508" s="230">
        <f>+L508-I508</f>
        <v>0</v>
      </c>
      <c r="N508" s="231">
        <f t="shared" si="54"/>
        <v>0</v>
      </c>
      <c r="O508" s="225">
        <f>L508/L512</f>
        <v>0.03898829677889244</v>
      </c>
      <c r="P508" s="165"/>
    </row>
    <row r="509" spans="2:16" ht="17.25" customHeight="1" thickBot="1">
      <c r="B509" s="172"/>
      <c r="C509" s="31"/>
      <c r="D509" s="31"/>
      <c r="E509" s="31"/>
      <c r="F509" s="197" t="s">
        <v>78</v>
      </c>
      <c r="G509" s="202">
        <f>G507</f>
        <v>52.43243200457514</v>
      </c>
      <c r="H509" s="203">
        <f>'Other Electriciy Rates NF'!$K$15</f>
        <v>0.06062</v>
      </c>
      <c r="I509" s="204">
        <f>+G509*H509</f>
        <v>3.1784540281173452</v>
      </c>
      <c r="J509" s="202">
        <f>J507</f>
        <v>52.372435013525816</v>
      </c>
      <c r="K509" s="203">
        <f>'Other Electriciy Rates NF'!$K$29</f>
        <v>0.06062</v>
      </c>
      <c r="L509" s="229">
        <f>+J509*K509</f>
        <v>3.174817010519935</v>
      </c>
      <c r="M509" s="515">
        <f>+L509-I509</f>
        <v>-0.003637017597410086</v>
      </c>
      <c r="N509" s="516">
        <f t="shared" si="54"/>
        <v>-0.0011442725190410749</v>
      </c>
      <c r="O509" s="241">
        <f>L509/L512</f>
        <v>0.4951228312993093</v>
      </c>
      <c r="P509" s="165"/>
    </row>
    <row r="510" spans="2:16" ht="17.25" customHeight="1" thickBot="1">
      <c r="B510" s="172"/>
      <c r="C510" s="31"/>
      <c r="D510" s="31"/>
      <c r="E510" s="31"/>
      <c r="F510" s="233" t="s">
        <v>195</v>
      </c>
      <c r="G510" s="586"/>
      <c r="H510" s="587"/>
      <c r="I510" s="235">
        <f>SUM(I506:I509)</f>
        <v>5.005851332310369</v>
      </c>
      <c r="J510" s="586"/>
      <c r="K510" s="587"/>
      <c r="L510" s="235">
        <f>SUM(L506:L509)</f>
        <v>5.674496100913855</v>
      </c>
      <c r="M510" s="235">
        <f>SUM(M506:M509)</f>
        <v>0.6686447686034861</v>
      </c>
      <c r="N510" s="238">
        <f t="shared" si="54"/>
        <v>0.13357263814202888</v>
      </c>
      <c r="O510" s="375">
        <f>L510/L512</f>
        <v>0.8849557522123894</v>
      </c>
      <c r="P510" s="165"/>
    </row>
    <row r="511" spans="2:16" ht="17.25" customHeight="1" thickBot="1">
      <c r="B511" s="172"/>
      <c r="C511" s="31"/>
      <c r="D511" s="31"/>
      <c r="E511" s="31"/>
      <c r="F511" s="297" t="s">
        <v>274</v>
      </c>
      <c r="G511" s="298"/>
      <c r="H511" s="302">
        <v>0.13</v>
      </c>
      <c r="I511" s="299">
        <f>I510*H511</f>
        <v>0.650760673200348</v>
      </c>
      <c r="J511" s="298"/>
      <c r="K511" s="302">
        <v>0.13</v>
      </c>
      <c r="L511" s="300">
        <f>L510*K511</f>
        <v>0.7376844931188011</v>
      </c>
      <c r="M511" s="227">
        <f>+L511-I511</f>
        <v>0.0869238199184531</v>
      </c>
      <c r="N511" s="228">
        <f t="shared" si="54"/>
        <v>0.13357263814202874</v>
      </c>
      <c r="O511" s="241">
        <f>L511/L512</f>
        <v>0.11504424778761063</v>
      </c>
      <c r="P511" s="165"/>
    </row>
    <row r="512" spans="2:16" ht="17.25" customHeight="1" thickBot="1">
      <c r="B512" s="172"/>
      <c r="C512" s="31"/>
      <c r="D512" s="31"/>
      <c r="E512" s="35"/>
      <c r="F512" s="412" t="s">
        <v>79</v>
      </c>
      <c r="G512" s="588"/>
      <c r="H512" s="589"/>
      <c r="I512" s="413">
        <f>SUM(I510:I511)</f>
        <v>5.656612005510717</v>
      </c>
      <c r="J512" s="588"/>
      <c r="K512" s="589"/>
      <c r="L512" s="413">
        <f>SUM(L510:L511)</f>
        <v>6.412180594032655</v>
      </c>
      <c r="M512" s="413">
        <f>SUM(M510:M511)</f>
        <v>0.7555685885219392</v>
      </c>
      <c r="N512" s="414">
        <f t="shared" si="54"/>
        <v>0.13357263814202885</v>
      </c>
      <c r="O512" s="371">
        <f>O510+O511</f>
        <v>1</v>
      </c>
      <c r="P512" s="165"/>
    </row>
    <row r="513" spans="2:16" ht="17.25" customHeight="1" thickBot="1">
      <c r="B513" s="166"/>
      <c r="C513" s="178"/>
      <c r="D513" s="178"/>
      <c r="E513" s="178"/>
      <c r="F513" s="275"/>
      <c r="G513" s="276"/>
      <c r="H513" s="277"/>
      <c r="I513" s="278"/>
      <c r="J513" s="276"/>
      <c r="K513" s="279"/>
      <c r="L513" s="278"/>
      <c r="M513" s="415"/>
      <c r="N513" s="280"/>
      <c r="O513" s="281"/>
      <c r="P513" s="167"/>
    </row>
    <row r="514" ht="17.25" customHeight="1" thickBot="1"/>
    <row r="515" spans="2:16" ht="17.25" customHeight="1">
      <c r="B515" s="174"/>
      <c r="C515" s="592"/>
      <c r="D515" s="592"/>
      <c r="E515" s="592"/>
      <c r="F515" s="592"/>
      <c r="G515" s="592"/>
      <c r="H515" s="592"/>
      <c r="I515" s="592"/>
      <c r="J515" s="592"/>
      <c r="K515" s="592"/>
      <c r="L515" s="592"/>
      <c r="M515" s="592"/>
      <c r="N515" s="592"/>
      <c r="O515" s="592"/>
      <c r="P515" s="164"/>
    </row>
    <row r="516" spans="2:16" ht="23.25">
      <c r="B516" s="172"/>
      <c r="C516" s="591" t="s">
        <v>83</v>
      </c>
      <c r="D516" s="591"/>
      <c r="E516" s="591"/>
      <c r="F516" s="591"/>
      <c r="G516" s="591"/>
      <c r="H516" s="591"/>
      <c r="I516" s="591"/>
      <c r="J516" s="591"/>
      <c r="K516" s="591"/>
      <c r="L516" s="591"/>
      <c r="M516" s="591"/>
      <c r="N516" s="591"/>
      <c r="O516" s="591"/>
      <c r="P516" s="165"/>
    </row>
    <row r="517" spans="2:17" ht="17.25" customHeight="1" thickBot="1">
      <c r="B517" s="172"/>
      <c r="C517" s="590"/>
      <c r="D517" s="590"/>
      <c r="E517" s="590"/>
      <c r="F517" s="590"/>
      <c r="G517" s="590"/>
      <c r="H517" s="590"/>
      <c r="I517" s="590"/>
      <c r="J517" s="590"/>
      <c r="K517" s="590"/>
      <c r="L517" s="590"/>
      <c r="M517" s="590"/>
      <c r="N517" s="590"/>
      <c r="O517" s="590"/>
      <c r="P517" s="165"/>
      <c r="Q517" s="25"/>
    </row>
    <row r="518" spans="2:17" ht="17.25" customHeight="1" thickBot="1">
      <c r="B518" s="172"/>
      <c r="C518" s="173"/>
      <c r="D518" s="173"/>
      <c r="E518" s="31"/>
      <c r="F518" s="32"/>
      <c r="G518" s="595" t="str">
        <f>$G$10</f>
        <v>2010 BILL</v>
      </c>
      <c r="H518" s="596"/>
      <c r="I518" s="597"/>
      <c r="J518" s="595" t="str">
        <f>$J$10</f>
        <v>2011 BILL</v>
      </c>
      <c r="K518" s="596"/>
      <c r="L518" s="597"/>
      <c r="M518" s="595" t="s">
        <v>73</v>
      </c>
      <c r="N518" s="596"/>
      <c r="O518" s="597"/>
      <c r="P518" s="165"/>
      <c r="Q518" s="25"/>
    </row>
    <row r="519" spans="2:17" ht="26.25" thickBot="1">
      <c r="B519" s="172"/>
      <c r="C519" s="31"/>
      <c r="D519" s="31"/>
      <c r="E519" s="33"/>
      <c r="F519" s="34"/>
      <c r="G519" s="391" t="s">
        <v>67</v>
      </c>
      <c r="H519" s="392" t="s">
        <v>68</v>
      </c>
      <c r="I519" s="393" t="s">
        <v>69</v>
      </c>
      <c r="J519" s="394" t="s">
        <v>67</v>
      </c>
      <c r="K519" s="392" t="s">
        <v>68</v>
      </c>
      <c r="L519" s="393" t="s">
        <v>69</v>
      </c>
      <c r="M519" s="192" t="s">
        <v>74</v>
      </c>
      <c r="N519" s="193" t="s">
        <v>75</v>
      </c>
      <c r="O519" s="194" t="s">
        <v>76</v>
      </c>
      <c r="P519" s="165"/>
      <c r="Q519" s="25"/>
    </row>
    <row r="520" spans="2:17" ht="17.25" customHeight="1" thickBot="1">
      <c r="B520" s="172"/>
      <c r="C520" s="593" t="s">
        <v>139</v>
      </c>
      <c r="D520" s="594"/>
      <c r="E520" s="31"/>
      <c r="F520" s="397" t="s">
        <v>71</v>
      </c>
      <c r="G520" s="395">
        <f>C521</f>
        <v>20.080768248337716</v>
      </c>
      <c r="H520" s="389">
        <f>'2010 Existing RatesNF'!$B$12</f>
        <v>1.1</v>
      </c>
      <c r="I520" s="210">
        <f>+G520*H520</f>
        <v>22.088845073171488</v>
      </c>
      <c r="J520" s="395">
        <f>G520</f>
        <v>20.080768248337716</v>
      </c>
      <c r="K520" s="389">
        <f>'Rate Schedule (Part 1) NF'!$E$45</f>
        <v>7.1862</v>
      </c>
      <c r="L520" s="210">
        <f aca="true" t="shared" si="55" ref="L520:L527">+J520*K520</f>
        <v>144.3044167862045</v>
      </c>
      <c r="M520" s="230">
        <f aca="true" t="shared" si="56" ref="M520:M525">+L520-I520</f>
        <v>122.21557171303303</v>
      </c>
      <c r="N520" s="231">
        <f aca="true" t="shared" si="57" ref="N520:N536">+M520/I520</f>
        <v>5.532909090909092</v>
      </c>
      <c r="O520" s="225">
        <f>L520/L536</f>
        <v>0.5084240255244333</v>
      </c>
      <c r="P520" s="165"/>
      <c r="Q520" s="25"/>
    </row>
    <row r="521" spans="2:17" ht="17.25" customHeight="1" thickBot="1">
      <c r="B521" s="172"/>
      <c r="C521" s="170">
        <f>'Forecast Data For 2011'!I17</f>
        <v>20.080768248337716</v>
      </c>
      <c r="D521" s="171" t="s">
        <v>138</v>
      </c>
      <c r="E521" s="31"/>
      <c r="F521" s="398" t="s">
        <v>82</v>
      </c>
      <c r="G521" s="396">
        <f>C523</f>
        <v>2.4096921898005257</v>
      </c>
      <c r="H521" s="196">
        <f>'2010 Existing RatesNF'!$D$73</f>
        <v>4.083</v>
      </c>
      <c r="I521" s="210">
        <f>+G521*H521</f>
        <v>9.838773210955546</v>
      </c>
      <c r="J521" s="201">
        <f>G521</f>
        <v>2.4096921898005257</v>
      </c>
      <c r="K521" s="195">
        <f>'Rate Schedule (Part 1) NF'!$E$46</f>
        <v>8.9771</v>
      </c>
      <c r="L521" s="210">
        <f t="shared" si="55"/>
        <v>21.6320477570583</v>
      </c>
      <c r="M521" s="230">
        <f t="shared" si="56"/>
        <v>11.793274546102753</v>
      </c>
      <c r="N521" s="231">
        <f t="shared" si="57"/>
        <v>1.1986529512613275</v>
      </c>
      <c r="O521" s="225">
        <f>L521/L536</f>
        <v>0.07621563529323519</v>
      </c>
      <c r="P521" s="165"/>
      <c r="Q521" s="25"/>
    </row>
    <row r="522" spans="2:16" ht="17.25" customHeight="1" thickBot="1">
      <c r="B522" s="172"/>
      <c r="C522" s="170">
        <f>C546*C521</f>
        <v>874.9190725800743</v>
      </c>
      <c r="D522" s="171" t="s">
        <v>16</v>
      </c>
      <c r="E522" s="31"/>
      <c r="F522" s="398" t="s">
        <v>250</v>
      </c>
      <c r="G522" s="333">
        <f>G521</f>
        <v>2.4096921898005257</v>
      </c>
      <c r="H522" s="399">
        <f>'2010 Existing RatesNF'!$D$50</f>
        <v>0</v>
      </c>
      <c r="J522" s="201">
        <f>G522</f>
        <v>2.4096921898005257</v>
      </c>
      <c r="K522" s="195">
        <f>'Rate Schedule (Part 1) NF'!$E$47</f>
        <v>0.0871</v>
      </c>
      <c r="L522" s="210">
        <f t="shared" si="55"/>
        <v>0.2098841897316258</v>
      </c>
      <c r="M522" s="230">
        <f t="shared" si="56"/>
        <v>0.2098841897316258</v>
      </c>
      <c r="N522" s="231" t="e">
        <f t="shared" si="57"/>
        <v>#DIV/0!</v>
      </c>
      <c r="O522" s="225">
        <f>L522/L536</f>
        <v>0.0007394795461831533</v>
      </c>
      <c r="P522" s="165"/>
    </row>
    <row r="523" spans="2:16" ht="17.25" customHeight="1" thickBot="1">
      <c r="B523" s="172"/>
      <c r="C523" s="170">
        <f>C547*C521</f>
        <v>2.4096921898005257</v>
      </c>
      <c r="D523" s="171" t="s">
        <v>17</v>
      </c>
      <c r="E523" s="31"/>
      <c r="F523" s="199" t="s">
        <v>251</v>
      </c>
      <c r="G523" s="201">
        <f>G522</f>
        <v>2.4096921898005257</v>
      </c>
      <c r="H523" s="196"/>
      <c r="I523" s="210">
        <f>+G523*H523</f>
        <v>0</v>
      </c>
      <c r="J523" s="201">
        <f>G523</f>
        <v>2.4096921898005257</v>
      </c>
      <c r="K523" s="195">
        <f>'Rate Schedule (Part 1) NF'!$E$48</f>
        <v>0</v>
      </c>
      <c r="L523" s="214">
        <f t="shared" si="55"/>
        <v>0</v>
      </c>
      <c r="M523" s="230">
        <f t="shared" si="56"/>
        <v>0</v>
      </c>
      <c r="N523" s="231" t="e">
        <f t="shared" si="57"/>
        <v>#DIV/0!</v>
      </c>
      <c r="O523" s="225">
        <f>L523/L536</f>
        <v>0</v>
      </c>
      <c r="P523" s="165"/>
    </row>
    <row r="524" spans="2:16" ht="26.25" customHeight="1">
      <c r="B524" s="172"/>
      <c r="C524" s="63"/>
      <c r="D524" s="64"/>
      <c r="E524" s="31"/>
      <c r="F524" s="199" t="s">
        <v>295</v>
      </c>
      <c r="G524" s="201">
        <f>G523</f>
        <v>2.4096921898005257</v>
      </c>
      <c r="H524" s="196">
        <f>'2010 Existing RatesNF'!$D$24</f>
        <v>-1.2973</v>
      </c>
      <c r="I524" s="210">
        <f>+G524*H524</f>
        <v>-3.1260936778282216</v>
      </c>
      <c r="J524" s="201">
        <f>J523</f>
        <v>2.4096921898005257</v>
      </c>
      <c r="K524" s="195">
        <f>'Rate Schedule (Part 1) NF'!$E$50</f>
        <v>-1.2973</v>
      </c>
      <c r="L524" s="214">
        <f t="shared" si="55"/>
        <v>-3.1260936778282216</v>
      </c>
      <c r="M524" s="230">
        <f t="shared" si="56"/>
        <v>0</v>
      </c>
      <c r="N524" s="231">
        <f t="shared" si="57"/>
        <v>0</v>
      </c>
      <c r="O524" s="225">
        <f>L524/L536</f>
        <v>-0.01101408513505631</v>
      </c>
      <c r="P524" s="165"/>
    </row>
    <row r="525" spans="2:16" ht="27.75" customHeight="1">
      <c r="B525" s="172"/>
      <c r="C525" s="31"/>
      <c r="D525" s="31"/>
      <c r="E525" s="31"/>
      <c r="F525" s="199" t="s">
        <v>296</v>
      </c>
      <c r="G525" s="372">
        <f>C523</f>
        <v>2.4096921898005257</v>
      </c>
      <c r="H525" s="488"/>
      <c r="I525" s="206">
        <f>+G525*H525</f>
        <v>0</v>
      </c>
      <c r="J525" s="372">
        <f>C523</f>
        <v>2.4096921898005257</v>
      </c>
      <c r="K525" s="488">
        <f>'Rate Schedule (Part 1) NF'!E52</f>
        <v>2.1482</v>
      </c>
      <c r="L525" s="214">
        <f t="shared" si="55"/>
        <v>5.176500762129489</v>
      </c>
      <c r="M525" s="224">
        <f t="shared" si="56"/>
        <v>5.176500762129489</v>
      </c>
      <c r="N525" s="218" t="e">
        <f>+M525/I525</f>
        <v>#DIV/0!</v>
      </c>
      <c r="O525" s="225">
        <f>L525/L536</f>
        <v>0.01823823147084558</v>
      </c>
      <c r="P525" s="165"/>
    </row>
    <row r="526" spans="2:16" ht="26.25" customHeight="1">
      <c r="B526" s="172"/>
      <c r="C526" s="63"/>
      <c r="D526" s="64"/>
      <c r="E526" s="31"/>
      <c r="F526" s="199" t="s">
        <v>318</v>
      </c>
      <c r="G526" s="201">
        <f>C523</f>
        <v>2.4096921898005257</v>
      </c>
      <c r="H526" s="196">
        <f>'2010 Existing RatesNF'!D37</f>
        <v>0.3939</v>
      </c>
      <c r="I526" s="206">
        <f>+G526*H526</f>
        <v>0.949177753562427</v>
      </c>
      <c r="J526" s="201">
        <f>C523</f>
        <v>2.4096921898005257</v>
      </c>
      <c r="K526" s="195">
        <f>'Rate Schedule (Part 1) NF'!E49</f>
        <v>0.3939</v>
      </c>
      <c r="L526" s="214">
        <f t="shared" si="55"/>
        <v>0.949177753562427</v>
      </c>
      <c r="M526" s="224">
        <f>+L526-I526</f>
        <v>0</v>
      </c>
      <c r="N526" s="218">
        <f>+M526/I526</f>
        <v>0</v>
      </c>
      <c r="O526" s="225">
        <f>L526/L536</f>
        <v>0.0033442134700521703</v>
      </c>
      <c r="P526" s="165"/>
    </row>
    <row r="527" spans="2:16" ht="27.75" customHeight="1" thickBot="1">
      <c r="B527" s="172"/>
      <c r="C527" s="31"/>
      <c r="D527" s="31"/>
      <c r="E527" s="31"/>
      <c r="F527" s="199" t="s">
        <v>319</v>
      </c>
      <c r="G527" s="372">
        <f>C523</f>
        <v>2.4096921898005257</v>
      </c>
      <c r="H527" s="488"/>
      <c r="I527" s="206">
        <f>+G527*H527</f>
        <v>0</v>
      </c>
      <c r="J527" s="372">
        <f>C523</f>
        <v>2.4096921898005257</v>
      </c>
      <c r="K527" s="488">
        <f>'Rate Schedule (Part 1) NF'!E51</f>
        <v>0.978</v>
      </c>
      <c r="L527" s="214">
        <f t="shared" si="55"/>
        <v>2.356678961624914</v>
      </c>
      <c r="M527" s="224">
        <f>+L527-I527</f>
        <v>2.356678961624914</v>
      </c>
      <c r="N527" s="218" t="e">
        <f>+M527/I527</f>
        <v>#DIV/0!</v>
      </c>
      <c r="O527" s="225">
        <f>L527/L536</f>
        <v>0.0083032261328028</v>
      </c>
      <c r="P527" s="165"/>
    </row>
    <row r="528" spans="2:16" ht="17.25" customHeight="1" thickBot="1">
      <c r="B528" s="172"/>
      <c r="C528" s="31"/>
      <c r="D528" s="31"/>
      <c r="E528" s="31"/>
      <c r="F528" s="233" t="s">
        <v>247</v>
      </c>
      <c r="G528" s="586"/>
      <c r="H528" s="587"/>
      <c r="I528" s="235">
        <f>SUM(I520:I527)</f>
        <v>29.75070235986124</v>
      </c>
      <c r="J528" s="586"/>
      <c r="K528" s="587"/>
      <c r="L528" s="235">
        <f>SUM(L520:L527)</f>
        <v>171.50261253248306</v>
      </c>
      <c r="M528" s="237">
        <f>SUM(M520:M527)</f>
        <v>141.75191017262182</v>
      </c>
      <c r="N528" s="238">
        <f t="shared" si="57"/>
        <v>4.764657602298132</v>
      </c>
      <c r="O528" s="240">
        <f>SUM(O520:O527)</f>
        <v>0.6042507263024959</v>
      </c>
      <c r="P528" s="165"/>
    </row>
    <row r="529" spans="2:16" ht="17.25" customHeight="1" thickBot="1">
      <c r="B529" s="172"/>
      <c r="C529" s="31"/>
      <c r="D529" s="31"/>
      <c r="E529" s="31"/>
      <c r="F529" s="199" t="s">
        <v>252</v>
      </c>
      <c r="G529" s="372">
        <f>G524</f>
        <v>2.4096921898005257</v>
      </c>
      <c r="H529" s="373">
        <f>'Other Electriciy Rates NF'!$G$14</f>
        <v>2.7986</v>
      </c>
      <c r="I529" s="210">
        <f>+G529*H529</f>
        <v>6.743764562375751</v>
      </c>
      <c r="J529" s="372">
        <f>G529</f>
        <v>2.4096921898005257</v>
      </c>
      <c r="K529" s="494">
        <f>'Other Electriciy Rates NF'!$G$28</f>
        <v>2.861367432444399</v>
      </c>
      <c r="L529" s="210">
        <f>+J529*K529</f>
        <v>6.895014754110852</v>
      </c>
      <c r="M529" s="374">
        <f>+L529-I529</f>
        <v>0.1512501917351008</v>
      </c>
      <c r="N529" s="222">
        <f t="shared" si="57"/>
        <v>0.022428154235831905</v>
      </c>
      <c r="O529" s="225">
        <f>L529/L536</f>
        <v>0.024293027444399987</v>
      </c>
      <c r="P529" s="165"/>
    </row>
    <row r="530" spans="2:16" ht="17.25" customHeight="1" thickBot="1">
      <c r="B530" s="172"/>
      <c r="C530" s="31"/>
      <c r="D530" s="31"/>
      <c r="E530" s="31"/>
      <c r="F530" s="233" t="s">
        <v>249</v>
      </c>
      <c r="G530" s="586"/>
      <c r="H530" s="587"/>
      <c r="I530" s="235">
        <f>SUM(I528:I529)</f>
        <v>36.49446692223699</v>
      </c>
      <c r="J530" s="586"/>
      <c r="K530" s="587"/>
      <c r="L530" s="235">
        <f>SUM(L528:L529)</f>
        <v>178.39762728659392</v>
      </c>
      <c r="M530" s="237">
        <f>SUM(M528:M529)</f>
        <v>141.90316036435692</v>
      </c>
      <c r="N530" s="238">
        <f t="shared" si="57"/>
        <v>3.8883472573178426</v>
      </c>
      <c r="O530" s="375">
        <f>L530/L536</f>
        <v>0.628543753746896</v>
      </c>
      <c r="P530" s="165"/>
    </row>
    <row r="531" spans="2:16" ht="17.25" customHeight="1">
      <c r="B531" s="172"/>
      <c r="C531" s="31"/>
      <c r="D531" s="31"/>
      <c r="E531" s="31"/>
      <c r="F531" s="197" t="s">
        <v>77</v>
      </c>
      <c r="G531" s="202">
        <f>C522*'Other Electriciy Rates NF'!$M$14</f>
        <v>924.9644435316544</v>
      </c>
      <c r="H531" s="203">
        <f>'Other Electriciy Rates NF'!$C$14+'Other Electriciy Rates NF'!$E$14+'Other Electriciy Rates NF'!D14</f>
        <v>0.0138725</v>
      </c>
      <c r="I531" s="204">
        <f>+G531*H531</f>
        <v>12.831569242892876</v>
      </c>
      <c r="J531" s="202">
        <f>C522*'Other Electriciy Rates NF'!$M$28</f>
        <v>923.9060321378312</v>
      </c>
      <c r="K531" s="203">
        <f>'Other Electriciy Rates NF'!$C$28+'Other Electriciy Rates NF'!$E$28+'Other Electriciy Rates NF'!D28</f>
        <v>0.0135</v>
      </c>
      <c r="L531" s="229">
        <f>+J531*K531</f>
        <v>12.472731433860721</v>
      </c>
      <c r="M531" s="221">
        <f>+L531-I531</f>
        <v>-0.35883780903215445</v>
      </c>
      <c r="N531" s="222">
        <f t="shared" si="57"/>
        <v>-0.027965231862105006</v>
      </c>
      <c r="O531" s="301">
        <f>L531/L536</f>
        <v>0.04394485259785095</v>
      </c>
      <c r="P531" s="165"/>
    </row>
    <row r="532" spans="2:16" ht="21.75" customHeight="1">
      <c r="B532" s="172"/>
      <c r="C532" s="31"/>
      <c r="D532" s="31"/>
      <c r="E532" s="31"/>
      <c r="F532" s="200" t="s">
        <v>321</v>
      </c>
      <c r="G532" s="220"/>
      <c r="H532" s="219"/>
      <c r="I532" s="512">
        <v>0.25</v>
      </c>
      <c r="J532" s="496"/>
      <c r="K532" s="219"/>
      <c r="L532" s="514">
        <v>0.25</v>
      </c>
      <c r="M532" s="230">
        <f>+L532-I532</f>
        <v>0</v>
      </c>
      <c r="N532" s="231">
        <f t="shared" si="57"/>
        <v>0</v>
      </c>
      <c r="O532" s="225">
        <f>L532/L536</f>
        <v>0.0008808185446563521</v>
      </c>
      <c r="P532" s="165"/>
    </row>
    <row r="533" spans="2:16" ht="17.25" customHeight="1" thickBot="1">
      <c r="B533" s="172"/>
      <c r="C533" s="31"/>
      <c r="D533" s="31"/>
      <c r="E533" s="31"/>
      <c r="F533" s="197" t="s">
        <v>78</v>
      </c>
      <c r="G533" s="202">
        <f>G531</f>
        <v>924.9644435316544</v>
      </c>
      <c r="H533" s="203">
        <f>'Other Electriciy Rates NF'!$K$14</f>
        <v>0.065</v>
      </c>
      <c r="I533" s="204">
        <f>+G533*H533</f>
        <v>60.12268882955754</v>
      </c>
      <c r="J533" s="202">
        <f>J531</f>
        <v>923.9060321378312</v>
      </c>
      <c r="K533" s="203">
        <f>'Other Electriciy Rates NF'!$K$28</f>
        <v>0.065</v>
      </c>
      <c r="L533" s="229">
        <f>+J533*K533</f>
        <v>60.05389208895903</v>
      </c>
      <c r="M533" s="515">
        <f>+L533-I533</f>
        <v>-0.06879674059850771</v>
      </c>
      <c r="N533" s="516">
        <f t="shared" si="57"/>
        <v>-0.0011442725190408622</v>
      </c>
      <c r="O533" s="241">
        <f>L533/L536</f>
        <v>0.21158632732298607</v>
      </c>
      <c r="P533" s="165"/>
    </row>
    <row r="534" spans="2:16" ht="17.25" customHeight="1" thickBot="1">
      <c r="B534" s="172"/>
      <c r="C534" s="31"/>
      <c r="D534" s="31"/>
      <c r="E534" s="31"/>
      <c r="F534" s="233" t="s">
        <v>195</v>
      </c>
      <c r="G534" s="586"/>
      <c r="H534" s="587"/>
      <c r="I534" s="235">
        <f>SUM(I530:I533)</f>
        <v>109.69872499468741</v>
      </c>
      <c r="J534" s="586"/>
      <c r="K534" s="587"/>
      <c r="L534" s="235">
        <f>SUM(L530:L533)</f>
        <v>251.17425080941368</v>
      </c>
      <c r="M534" s="235">
        <f>SUM(M530:M533)</f>
        <v>141.47552581472624</v>
      </c>
      <c r="N534" s="238">
        <f t="shared" si="57"/>
        <v>1.2896733833650094</v>
      </c>
      <c r="O534" s="375">
        <f>L534/L536</f>
        <v>0.8849557522123894</v>
      </c>
      <c r="P534" s="165"/>
    </row>
    <row r="535" spans="2:16" ht="17.25" customHeight="1" thickBot="1">
      <c r="B535" s="172"/>
      <c r="C535" s="31"/>
      <c r="D535" s="31"/>
      <c r="E535" s="31"/>
      <c r="F535" s="297" t="s">
        <v>274</v>
      </c>
      <c r="G535" s="298"/>
      <c r="H535" s="302">
        <v>0.13</v>
      </c>
      <c r="I535" s="299">
        <f>I534*H535</f>
        <v>14.260834249309363</v>
      </c>
      <c r="J535" s="298"/>
      <c r="K535" s="302">
        <v>0.13</v>
      </c>
      <c r="L535" s="300">
        <f>L534*K535</f>
        <v>32.65265260522378</v>
      </c>
      <c r="M535" s="227">
        <f>+L535-I535</f>
        <v>18.391818355914417</v>
      </c>
      <c r="N535" s="228">
        <f t="shared" si="57"/>
        <v>1.2896733833650098</v>
      </c>
      <c r="O535" s="241">
        <f>L535/L536</f>
        <v>0.11504424778761062</v>
      </c>
      <c r="P535" s="165"/>
    </row>
    <row r="536" spans="2:16" ht="17.25" customHeight="1" thickBot="1">
      <c r="B536" s="172"/>
      <c r="C536" s="31"/>
      <c r="D536" s="31"/>
      <c r="E536" s="35"/>
      <c r="F536" s="412" t="s">
        <v>79</v>
      </c>
      <c r="G536" s="588"/>
      <c r="H536" s="589"/>
      <c r="I536" s="413">
        <f>SUM(I534:I535)</f>
        <v>123.95955924399678</v>
      </c>
      <c r="J536" s="588"/>
      <c r="K536" s="589"/>
      <c r="L536" s="413">
        <f>SUM(L534:L535)</f>
        <v>283.82690341463746</v>
      </c>
      <c r="M536" s="413">
        <f>SUM(M534:M535)</f>
        <v>159.86734417064065</v>
      </c>
      <c r="N536" s="414">
        <f t="shared" si="57"/>
        <v>1.2896733833650094</v>
      </c>
      <c r="O536" s="371">
        <f>O534+O535</f>
        <v>1</v>
      </c>
      <c r="P536" s="165"/>
    </row>
    <row r="537" spans="2:16" ht="17.25" customHeight="1" thickBot="1">
      <c r="B537" s="166"/>
      <c r="C537" s="178"/>
      <c r="D537" s="178"/>
      <c r="E537" s="178"/>
      <c r="F537" s="275"/>
      <c r="G537" s="276"/>
      <c r="H537" s="277"/>
      <c r="I537" s="278"/>
      <c r="J537" s="276"/>
      <c r="K537" s="279"/>
      <c r="L537" s="278"/>
      <c r="M537" s="415"/>
      <c r="N537" s="280"/>
      <c r="O537" s="281"/>
      <c r="P537" s="167"/>
    </row>
    <row r="538" ht="17.25" customHeight="1" thickBot="1"/>
    <row r="539" spans="2:16" ht="17.25" customHeight="1">
      <c r="B539" s="174"/>
      <c r="C539" s="592"/>
      <c r="D539" s="592"/>
      <c r="E539" s="592"/>
      <c r="F539" s="592"/>
      <c r="G539" s="592"/>
      <c r="H539" s="592"/>
      <c r="I539" s="592"/>
      <c r="J539" s="592"/>
      <c r="K539" s="592"/>
      <c r="L539" s="592"/>
      <c r="M539" s="592"/>
      <c r="N539" s="592"/>
      <c r="O539" s="592"/>
      <c r="P539" s="164"/>
    </row>
    <row r="540" spans="2:16" ht="23.25">
      <c r="B540" s="172"/>
      <c r="C540" s="591" t="s">
        <v>306</v>
      </c>
      <c r="D540" s="591"/>
      <c r="E540" s="591"/>
      <c r="F540" s="591"/>
      <c r="G540" s="591"/>
      <c r="H540" s="591"/>
      <c r="I540" s="591"/>
      <c r="J540" s="591"/>
      <c r="K540" s="591"/>
      <c r="L540" s="591"/>
      <c r="M540" s="591"/>
      <c r="N540" s="591"/>
      <c r="O540" s="591"/>
      <c r="P540" s="165"/>
    </row>
    <row r="541" spans="2:17" ht="17.25" customHeight="1" thickBot="1">
      <c r="B541" s="172"/>
      <c r="C541" s="590"/>
      <c r="D541" s="590"/>
      <c r="E541" s="590"/>
      <c r="F541" s="590"/>
      <c r="G541" s="590"/>
      <c r="H541" s="590"/>
      <c r="I541" s="590"/>
      <c r="J541" s="590"/>
      <c r="K541" s="590"/>
      <c r="L541" s="590"/>
      <c r="M541" s="590"/>
      <c r="N541" s="590"/>
      <c r="O541" s="590"/>
      <c r="P541" s="165"/>
      <c r="Q541" s="25"/>
    </row>
    <row r="542" spans="2:17" ht="17.25" customHeight="1" thickBot="1">
      <c r="B542" s="172"/>
      <c r="C542" s="173"/>
      <c r="D542" s="173"/>
      <c r="E542" s="31"/>
      <c r="F542" s="32"/>
      <c r="G542" s="595" t="str">
        <f>$G$10</f>
        <v>2010 BILL</v>
      </c>
      <c r="H542" s="596"/>
      <c r="I542" s="597"/>
      <c r="J542" s="595" t="str">
        <f>$J$10</f>
        <v>2011 BILL</v>
      </c>
      <c r="K542" s="596"/>
      <c r="L542" s="597"/>
      <c r="M542" s="595" t="s">
        <v>73</v>
      </c>
      <c r="N542" s="596"/>
      <c r="O542" s="597"/>
      <c r="P542" s="165"/>
      <c r="Q542" s="25"/>
    </row>
    <row r="543" spans="2:17" ht="26.25" thickBot="1">
      <c r="B543" s="172"/>
      <c r="C543" s="31"/>
      <c r="D543" s="31"/>
      <c r="E543" s="33"/>
      <c r="F543" s="34"/>
      <c r="G543" s="391" t="s">
        <v>67</v>
      </c>
      <c r="H543" s="392" t="s">
        <v>68</v>
      </c>
      <c r="I543" s="393" t="s">
        <v>69</v>
      </c>
      <c r="J543" s="394" t="s">
        <v>67</v>
      </c>
      <c r="K543" s="392" t="s">
        <v>68</v>
      </c>
      <c r="L543" s="393" t="s">
        <v>69</v>
      </c>
      <c r="M543" s="192" t="s">
        <v>74</v>
      </c>
      <c r="N543" s="193" t="s">
        <v>75</v>
      </c>
      <c r="O543" s="194" t="s">
        <v>76</v>
      </c>
      <c r="P543" s="165"/>
      <c r="Q543" s="25"/>
    </row>
    <row r="544" spans="2:17" ht="17.25" customHeight="1" thickBot="1">
      <c r="B544" s="172"/>
      <c r="C544" s="593" t="s">
        <v>139</v>
      </c>
      <c r="D544" s="594"/>
      <c r="E544" s="31"/>
      <c r="F544" s="397" t="s">
        <v>71</v>
      </c>
      <c r="G544" s="395">
        <f>C545</f>
        <v>1</v>
      </c>
      <c r="H544" s="389">
        <f>'2010 Existing RatesNF'!$B$12</f>
        <v>1.1</v>
      </c>
      <c r="I544" s="210">
        <f>+G544*H544</f>
        <v>1.1</v>
      </c>
      <c r="J544" s="395">
        <f>G544</f>
        <v>1</v>
      </c>
      <c r="K544" s="389">
        <f>'Rate Schedule (Part 1) NF'!$E$45</f>
        <v>7.1862</v>
      </c>
      <c r="L544" s="210">
        <f aca="true" t="shared" si="58" ref="L544:L551">+J544*K544</f>
        <v>7.1862</v>
      </c>
      <c r="M544" s="230">
        <f aca="true" t="shared" si="59" ref="M544:M549">+L544-I544</f>
        <v>6.0862</v>
      </c>
      <c r="N544" s="231">
        <f aca="true" t="shared" si="60" ref="N544:N560">+M544/I544</f>
        <v>5.53290909090909</v>
      </c>
      <c r="O544" s="225">
        <f>L544/L560</f>
        <v>0.49894821810497963</v>
      </c>
      <c r="P544" s="165"/>
      <c r="Q544" s="25"/>
    </row>
    <row r="545" spans="2:17" ht="17.25" customHeight="1" thickBot="1">
      <c r="B545" s="172"/>
      <c r="C545" s="170">
        <v>1</v>
      </c>
      <c r="D545" s="171" t="s">
        <v>138</v>
      </c>
      <c r="E545" s="31"/>
      <c r="F545" s="398" t="s">
        <v>82</v>
      </c>
      <c r="G545" s="396">
        <f>C547</f>
        <v>0.12</v>
      </c>
      <c r="H545" s="196">
        <f>'2010 Existing RatesNF'!$D$73</f>
        <v>4.083</v>
      </c>
      <c r="I545" s="210">
        <f>+G545*H545</f>
        <v>0.48996</v>
      </c>
      <c r="J545" s="201">
        <f>G545</f>
        <v>0.12</v>
      </c>
      <c r="K545" s="195">
        <f>'Rate Schedule (Part 1) NF'!$E$46</f>
        <v>8.9771</v>
      </c>
      <c r="L545" s="210">
        <f t="shared" si="58"/>
        <v>1.0772519999999999</v>
      </c>
      <c r="M545" s="230">
        <f t="shared" si="59"/>
        <v>0.5872919999999999</v>
      </c>
      <c r="N545" s="231">
        <f t="shared" si="60"/>
        <v>1.1986529512613273</v>
      </c>
      <c r="O545" s="225">
        <f>L545/L560</f>
        <v>0.07479515819905172</v>
      </c>
      <c r="P545" s="165"/>
      <c r="Q545" s="25"/>
    </row>
    <row r="546" spans="2:16" ht="17.25" customHeight="1" thickBot="1">
      <c r="B546" s="172"/>
      <c r="C546" s="294">
        <v>43.57</v>
      </c>
      <c r="D546" s="171" t="s">
        <v>16</v>
      </c>
      <c r="E546" s="31"/>
      <c r="F546" s="398" t="s">
        <v>250</v>
      </c>
      <c r="G546" s="333">
        <f>G545</f>
        <v>0.12</v>
      </c>
      <c r="H546" s="399">
        <f>'2010 Existing RatesNF'!$D$50</f>
        <v>0</v>
      </c>
      <c r="J546" s="201">
        <f>G546</f>
        <v>0.12</v>
      </c>
      <c r="K546" s="195">
        <f>'Rate Schedule (Part 1) NF'!$E$47</f>
        <v>0.0871</v>
      </c>
      <c r="L546" s="210">
        <f t="shared" si="58"/>
        <v>0.010452</v>
      </c>
      <c r="M546" s="230">
        <f t="shared" si="59"/>
        <v>0.010452</v>
      </c>
      <c r="N546" s="231" t="e">
        <f t="shared" si="60"/>
        <v>#DIV/0!</v>
      </c>
      <c r="O546" s="225">
        <f>L546/L560</f>
        <v>0.0007256974166643354</v>
      </c>
      <c r="P546" s="165"/>
    </row>
    <row r="547" spans="2:16" ht="17.25" customHeight="1" thickBot="1">
      <c r="B547" s="172"/>
      <c r="C547" s="294">
        <v>0.12</v>
      </c>
      <c r="D547" s="171" t="s">
        <v>17</v>
      </c>
      <c r="E547" s="31"/>
      <c r="F547" s="199" t="s">
        <v>251</v>
      </c>
      <c r="G547" s="201">
        <f>G546</f>
        <v>0.12</v>
      </c>
      <c r="H547" s="196"/>
      <c r="I547" s="210">
        <f>+G547*H547</f>
        <v>0</v>
      </c>
      <c r="J547" s="201">
        <f>G547</f>
        <v>0.12</v>
      </c>
      <c r="K547" s="195">
        <f>'Rate Schedule (Part 1) NF'!$E$48</f>
        <v>0</v>
      </c>
      <c r="L547" s="214">
        <f t="shared" si="58"/>
        <v>0</v>
      </c>
      <c r="M547" s="230">
        <f t="shared" si="59"/>
        <v>0</v>
      </c>
      <c r="N547" s="231" t="e">
        <f t="shared" si="60"/>
        <v>#DIV/0!</v>
      </c>
      <c r="O547" s="225">
        <f>L547/L560</f>
        <v>0</v>
      </c>
      <c r="P547" s="165"/>
    </row>
    <row r="548" spans="2:16" ht="32.25" customHeight="1">
      <c r="B548" s="172"/>
      <c r="C548" s="63"/>
      <c r="D548" s="64"/>
      <c r="E548" s="31"/>
      <c r="F548" s="199" t="s">
        <v>295</v>
      </c>
      <c r="G548" s="201">
        <f>G547</f>
        <v>0.12</v>
      </c>
      <c r="H548" s="196">
        <f>'2010 Existing RatesNF'!$D$24</f>
        <v>-1.2973</v>
      </c>
      <c r="I548" s="210">
        <f>+G548*H548</f>
        <v>-0.15567599999999998</v>
      </c>
      <c r="J548" s="201">
        <f>J547</f>
        <v>0.12</v>
      </c>
      <c r="K548" s="195">
        <f>'Rate Schedule (Part 1) NF'!$E$50</f>
        <v>-1.2973</v>
      </c>
      <c r="L548" s="214">
        <f t="shared" si="58"/>
        <v>-0.15567599999999998</v>
      </c>
      <c r="M548" s="230">
        <f t="shared" si="59"/>
        <v>0</v>
      </c>
      <c r="N548" s="231">
        <f t="shared" si="60"/>
        <v>0</v>
      </c>
      <c r="O548" s="225">
        <f>L548/L560</f>
        <v>-0.010808808939594055</v>
      </c>
      <c r="P548" s="165"/>
    </row>
    <row r="549" spans="2:16" ht="27.75" customHeight="1">
      <c r="B549" s="172"/>
      <c r="C549" s="31"/>
      <c r="D549" s="31"/>
      <c r="E549" s="31"/>
      <c r="F549" s="199" t="s">
        <v>296</v>
      </c>
      <c r="G549" s="372">
        <f>C547</f>
        <v>0.12</v>
      </c>
      <c r="H549" s="488"/>
      <c r="I549" s="206">
        <f>+G549*H549</f>
        <v>0</v>
      </c>
      <c r="J549" s="372">
        <f>C547</f>
        <v>0.12</v>
      </c>
      <c r="K549" s="488">
        <f>'Rate Schedule (Part 1) NF'!E52</f>
        <v>2.1482</v>
      </c>
      <c r="L549" s="214">
        <f t="shared" si="58"/>
        <v>0.257784</v>
      </c>
      <c r="M549" s="224">
        <f t="shared" si="59"/>
        <v>0.257784</v>
      </c>
      <c r="N549" s="218" t="e">
        <f>+M549/I549</f>
        <v>#DIV/0!</v>
      </c>
      <c r="O549" s="225">
        <f>L549/L560</f>
        <v>0.017898314471622566</v>
      </c>
      <c r="P549" s="165"/>
    </row>
    <row r="550" spans="2:16" ht="32.25" customHeight="1">
      <c r="B550" s="172"/>
      <c r="C550" s="63"/>
      <c r="D550" s="64"/>
      <c r="E550" s="31"/>
      <c r="F550" s="199" t="s">
        <v>318</v>
      </c>
      <c r="G550" s="201">
        <f>C547</f>
        <v>0.12</v>
      </c>
      <c r="H550" s="196">
        <f>'2010 Existing RatesNF'!D37</f>
        <v>0.3939</v>
      </c>
      <c r="I550" s="206">
        <f>+G550*H550</f>
        <v>0.047268</v>
      </c>
      <c r="J550" s="201">
        <f>C547</f>
        <v>0.12</v>
      </c>
      <c r="K550" s="195">
        <f>'Rate Schedule (Part 1) NF'!E49</f>
        <v>0.3939</v>
      </c>
      <c r="L550" s="214">
        <f t="shared" si="58"/>
        <v>0.047268</v>
      </c>
      <c r="M550" s="224">
        <f>+L550-I550</f>
        <v>0</v>
      </c>
      <c r="N550" s="218">
        <f>+M550/I550</f>
        <v>0</v>
      </c>
      <c r="O550" s="225">
        <f>L550/L560</f>
        <v>0.0032818853320790093</v>
      </c>
      <c r="P550" s="165"/>
    </row>
    <row r="551" spans="2:16" ht="27.75" customHeight="1" thickBot="1">
      <c r="B551" s="172"/>
      <c r="C551" s="31"/>
      <c r="D551" s="31"/>
      <c r="E551" s="31"/>
      <c r="F551" s="199" t="s">
        <v>319</v>
      </c>
      <c r="G551" s="372">
        <f>C547</f>
        <v>0.12</v>
      </c>
      <c r="H551" s="488"/>
      <c r="I551" s="206">
        <f>+G551*H551</f>
        <v>0</v>
      </c>
      <c r="J551" s="372">
        <f>C547</f>
        <v>0.12</v>
      </c>
      <c r="K551" s="488">
        <f>'Rate Schedule (Part 1) NF'!E51</f>
        <v>0.978</v>
      </c>
      <c r="L551" s="214">
        <f t="shared" si="58"/>
        <v>0.11735999999999999</v>
      </c>
      <c r="M551" s="224">
        <f>+L551-I551</f>
        <v>0.11735999999999999</v>
      </c>
      <c r="N551" s="218" t="e">
        <f>+M551/I551</f>
        <v>#DIV/0!</v>
      </c>
      <c r="O551" s="225">
        <f>L551/L560</f>
        <v>0.008148473863349253</v>
      </c>
      <c r="P551" s="165"/>
    </row>
    <row r="552" spans="2:16" ht="17.25" customHeight="1" thickBot="1">
      <c r="B552" s="172"/>
      <c r="C552" s="31"/>
      <c r="D552" s="31"/>
      <c r="E552" s="31"/>
      <c r="F552" s="233" t="s">
        <v>247</v>
      </c>
      <c r="G552" s="586"/>
      <c r="H552" s="587"/>
      <c r="I552" s="235">
        <f>SUM(I544:I551)</f>
        <v>1.4815520000000002</v>
      </c>
      <c r="J552" s="586"/>
      <c r="K552" s="587"/>
      <c r="L552" s="235">
        <f>SUM(L544:L551)</f>
        <v>8.540640000000003</v>
      </c>
      <c r="M552" s="237">
        <f>SUM(M544:M551)</f>
        <v>7.059087999999999</v>
      </c>
      <c r="N552" s="238">
        <f t="shared" si="60"/>
        <v>4.764657602298129</v>
      </c>
      <c r="O552" s="240">
        <f>SUM(O544:O551)</f>
        <v>0.5929889384481525</v>
      </c>
      <c r="P552" s="165"/>
    </row>
    <row r="553" spans="2:16" ht="17.25" customHeight="1" thickBot="1">
      <c r="B553" s="172"/>
      <c r="C553" s="31"/>
      <c r="D553" s="31"/>
      <c r="E553" s="31"/>
      <c r="F553" s="199" t="s">
        <v>252</v>
      </c>
      <c r="G553" s="372">
        <f>G548</f>
        <v>0.12</v>
      </c>
      <c r="H553" s="373">
        <f>'Other Electriciy Rates NF'!$G$14</f>
        <v>2.7986</v>
      </c>
      <c r="I553" s="210">
        <f>+G553*H553</f>
        <v>0.33583199999999996</v>
      </c>
      <c r="J553" s="372">
        <f>G553</f>
        <v>0.12</v>
      </c>
      <c r="K553" s="494">
        <f>'Other Electriciy Rates NF'!$G$28</f>
        <v>2.861367432444399</v>
      </c>
      <c r="L553" s="210">
        <f>+J553*K553</f>
        <v>0.34336409189332784</v>
      </c>
      <c r="M553" s="374">
        <f>+L553-I553</f>
        <v>0.007532091893327875</v>
      </c>
      <c r="N553" s="222">
        <f t="shared" si="60"/>
        <v>0.022428154235831832</v>
      </c>
      <c r="O553" s="225">
        <f>L553/L560</f>
        <v>0.02384026353447029</v>
      </c>
      <c r="P553" s="165"/>
    </row>
    <row r="554" spans="2:16" ht="17.25" customHeight="1" thickBot="1">
      <c r="B554" s="172"/>
      <c r="C554" s="31"/>
      <c r="D554" s="31"/>
      <c r="E554" s="31"/>
      <c r="F554" s="233" t="s">
        <v>249</v>
      </c>
      <c r="G554" s="586"/>
      <c r="H554" s="587"/>
      <c r="I554" s="235">
        <f>SUM(I552:I553)</f>
        <v>1.817384</v>
      </c>
      <c r="J554" s="586"/>
      <c r="K554" s="587"/>
      <c r="L554" s="235">
        <f>SUM(L552:L553)</f>
        <v>8.884004091893331</v>
      </c>
      <c r="M554" s="237">
        <f>SUM(M552:M553)</f>
        <v>7.066620091893327</v>
      </c>
      <c r="N554" s="238">
        <f t="shared" si="60"/>
        <v>3.888347257317841</v>
      </c>
      <c r="O554" s="375">
        <f>L554/L560</f>
        <v>0.616829201982623</v>
      </c>
      <c r="P554" s="165"/>
    </row>
    <row r="555" spans="2:16" ht="17.25" customHeight="1">
      <c r="B555" s="172"/>
      <c r="C555" s="31"/>
      <c r="D555" s="31"/>
      <c r="E555" s="31"/>
      <c r="F555" s="197" t="s">
        <v>77</v>
      </c>
      <c r="G555" s="202">
        <f>C546*'Other Electriciy Rates NF'!$M$14</f>
        <v>46.062203999999994</v>
      </c>
      <c r="H555" s="203">
        <f>'Other Electriciy Rates NF'!$C$14+'Other Electriciy Rates NF'!$E$14+'Other Electriciy Rates NF'!D14</f>
        <v>0.0138725</v>
      </c>
      <c r="I555" s="204">
        <f>+G555*H555</f>
        <v>0.6389979249899999</v>
      </c>
      <c r="J555" s="202">
        <f>C546*'Other Electriciy Rates NF'!$M$28</f>
        <v>46.00949628579634</v>
      </c>
      <c r="K555" s="203">
        <f>'Other Electriciy Rates NF'!$C$28+'Other Electriciy Rates NF'!$E$28+'Other Electriciy Rates NF'!D28</f>
        <v>0.0135</v>
      </c>
      <c r="L555" s="229">
        <f>+J555*K555</f>
        <v>0.6211281998582505</v>
      </c>
      <c r="M555" s="221">
        <f>+L555-I555</f>
        <v>-0.017869725131749337</v>
      </c>
      <c r="N555" s="222">
        <f t="shared" si="60"/>
        <v>-0.02796523186210502</v>
      </c>
      <c r="O555" s="301">
        <f>L555/L560</f>
        <v>0.043125825684510274</v>
      </c>
      <c r="P555" s="165"/>
    </row>
    <row r="556" spans="2:16" ht="21.75" customHeight="1">
      <c r="B556" s="172"/>
      <c r="C556" s="31"/>
      <c r="D556" s="31"/>
      <c r="E556" s="31"/>
      <c r="F556" s="200" t="s">
        <v>321</v>
      </c>
      <c r="G556" s="220"/>
      <c r="H556" s="219"/>
      <c r="I556" s="512">
        <v>0.25</v>
      </c>
      <c r="J556" s="496"/>
      <c r="K556" s="219"/>
      <c r="L556" s="514">
        <v>0.25</v>
      </c>
      <c r="M556" s="230">
        <f>+L556-I556</f>
        <v>0</v>
      </c>
      <c r="N556" s="231">
        <f t="shared" si="60"/>
        <v>0</v>
      </c>
      <c r="O556" s="225">
        <f>L556/L560</f>
        <v>0.01735786013835475</v>
      </c>
      <c r="P556" s="165"/>
    </row>
    <row r="557" spans="2:16" ht="17.25" customHeight="1" thickBot="1">
      <c r="B557" s="172"/>
      <c r="C557" s="31"/>
      <c r="D557" s="31"/>
      <c r="E557" s="31"/>
      <c r="F557" s="197" t="s">
        <v>78</v>
      </c>
      <c r="G557" s="202">
        <f>G555</f>
        <v>46.062203999999994</v>
      </c>
      <c r="H557" s="203">
        <f>'Other Electriciy Rates NF'!$K$14</f>
        <v>0.065</v>
      </c>
      <c r="I557" s="204">
        <f>+G557*H557</f>
        <v>2.9940432599999998</v>
      </c>
      <c r="J557" s="202">
        <f>J555</f>
        <v>46.00949628579634</v>
      </c>
      <c r="K557" s="203">
        <f>'Other Electriciy Rates NF'!$K$28</f>
        <v>0.065</v>
      </c>
      <c r="L557" s="229">
        <f>+J557*K557</f>
        <v>2.990617258576762</v>
      </c>
      <c r="M557" s="515">
        <f>+L557-I557</f>
        <v>-0.003426001423237679</v>
      </c>
      <c r="N557" s="516">
        <f t="shared" si="60"/>
        <v>-0.001144272519040917</v>
      </c>
      <c r="O557" s="241">
        <f>L557/L560</f>
        <v>0.20764286440690136</v>
      </c>
      <c r="P557" s="165"/>
    </row>
    <row r="558" spans="2:16" ht="17.25" customHeight="1" thickBot="1">
      <c r="B558" s="172"/>
      <c r="C558" s="31"/>
      <c r="D558" s="31"/>
      <c r="E558" s="31"/>
      <c r="F558" s="233" t="s">
        <v>195</v>
      </c>
      <c r="G558" s="586"/>
      <c r="H558" s="587"/>
      <c r="I558" s="235">
        <f>SUM(I554:I557)</f>
        <v>5.700425184989999</v>
      </c>
      <c r="J558" s="586"/>
      <c r="K558" s="587"/>
      <c r="L558" s="235">
        <f>SUM(L554:L557)</f>
        <v>12.745749550328345</v>
      </c>
      <c r="M558" s="235">
        <f>SUM(M554:M557)</f>
        <v>7.04532436533834</v>
      </c>
      <c r="N558" s="238">
        <f t="shared" si="60"/>
        <v>1.2359296257215417</v>
      </c>
      <c r="O558" s="375">
        <f>L558/L560</f>
        <v>0.8849557522123894</v>
      </c>
      <c r="P558" s="165"/>
    </row>
    <row r="559" spans="2:16" ht="17.25" customHeight="1" thickBot="1">
      <c r="B559" s="172"/>
      <c r="C559" s="31"/>
      <c r="D559" s="31"/>
      <c r="E559" s="31"/>
      <c r="F559" s="297" t="s">
        <v>274</v>
      </c>
      <c r="G559" s="298"/>
      <c r="H559" s="302">
        <v>0.13</v>
      </c>
      <c r="I559" s="299">
        <f>I558*H559</f>
        <v>0.7410552740487</v>
      </c>
      <c r="J559" s="298"/>
      <c r="K559" s="302">
        <v>0.13</v>
      </c>
      <c r="L559" s="300">
        <f>L558*K559</f>
        <v>1.6569474415426848</v>
      </c>
      <c r="M559" s="227">
        <f>+L559-I559</f>
        <v>0.9158921674939848</v>
      </c>
      <c r="N559" s="228">
        <f t="shared" si="60"/>
        <v>1.2359296257215424</v>
      </c>
      <c r="O559" s="241">
        <f>L559/L560</f>
        <v>0.11504424778761063</v>
      </c>
      <c r="P559" s="165"/>
    </row>
    <row r="560" spans="2:16" ht="17.25" customHeight="1" thickBot="1">
      <c r="B560" s="172"/>
      <c r="C560" s="31"/>
      <c r="D560" s="31"/>
      <c r="E560" s="35"/>
      <c r="F560" s="412" t="s">
        <v>79</v>
      </c>
      <c r="G560" s="588"/>
      <c r="H560" s="589"/>
      <c r="I560" s="413">
        <f>SUM(I558:I559)</f>
        <v>6.441480459038699</v>
      </c>
      <c r="J560" s="588"/>
      <c r="K560" s="589"/>
      <c r="L560" s="413">
        <f>SUM(L558:L559)</f>
        <v>14.402696991871029</v>
      </c>
      <c r="M560" s="413">
        <f>SUM(M558:M559)</f>
        <v>7.961216532832324</v>
      </c>
      <c r="N560" s="414">
        <f t="shared" si="60"/>
        <v>1.2359296257215417</v>
      </c>
      <c r="O560" s="371">
        <f>O558+O559</f>
        <v>1</v>
      </c>
      <c r="P560" s="165"/>
    </row>
    <row r="561" spans="2:16" ht="17.25" customHeight="1" thickBot="1">
      <c r="B561" s="166"/>
      <c r="C561" s="178"/>
      <c r="D561" s="178"/>
      <c r="E561" s="178"/>
      <c r="F561" s="275"/>
      <c r="G561" s="276"/>
      <c r="H561" s="277"/>
      <c r="I561" s="278"/>
      <c r="J561" s="276"/>
      <c r="K561" s="279"/>
      <c r="L561" s="278"/>
      <c r="M561" s="415"/>
      <c r="N561" s="280"/>
      <c r="O561" s="281"/>
      <c r="P561" s="167"/>
    </row>
    <row r="562" ht="18" customHeight="1" thickBot="1"/>
    <row r="563" spans="2:16" ht="21.75" customHeight="1">
      <c r="B563" s="174"/>
      <c r="C563" s="603" t="s">
        <v>307</v>
      </c>
      <c r="D563" s="603"/>
      <c r="E563" s="603"/>
      <c r="F563" s="603"/>
      <c r="G563" s="603"/>
      <c r="H563" s="603"/>
      <c r="I563" s="603"/>
      <c r="J563" s="603"/>
      <c r="K563" s="603"/>
      <c r="L563" s="603"/>
      <c r="M563" s="603"/>
      <c r="N563" s="603"/>
      <c r="O563" s="603"/>
      <c r="P563" s="164"/>
    </row>
    <row r="564" spans="2:16" ht="21.75" customHeight="1" thickBot="1">
      <c r="B564" s="172"/>
      <c r="C564" s="604"/>
      <c r="D564" s="604"/>
      <c r="E564" s="604"/>
      <c r="F564" s="604"/>
      <c r="G564" s="604"/>
      <c r="H564" s="604"/>
      <c r="I564" s="604"/>
      <c r="J564" s="604"/>
      <c r="K564" s="604"/>
      <c r="L564" s="604"/>
      <c r="M564" s="604"/>
      <c r="N564" s="604"/>
      <c r="O564" s="604"/>
      <c r="P564" s="165"/>
    </row>
    <row r="565" spans="2:16" ht="21.75" customHeight="1" thickBot="1">
      <c r="B565" s="172"/>
      <c r="C565" s="173"/>
      <c r="D565" s="173"/>
      <c r="E565" s="31"/>
      <c r="F565" s="37"/>
      <c r="G565" s="595" t="s">
        <v>198</v>
      </c>
      <c r="H565" s="596"/>
      <c r="I565" s="597"/>
      <c r="J565" s="595" t="s">
        <v>245</v>
      </c>
      <c r="K565" s="596"/>
      <c r="L565" s="597"/>
      <c r="M565" s="595" t="s">
        <v>73</v>
      </c>
      <c r="N565" s="596"/>
      <c r="O565" s="597"/>
      <c r="P565" s="165"/>
    </row>
    <row r="566" spans="2:16" ht="26.25" thickBot="1">
      <c r="B566" s="172"/>
      <c r="C566" s="31"/>
      <c r="D566" s="31"/>
      <c r="E566" s="33"/>
      <c r="F566" s="38"/>
      <c r="G566" s="213" t="s">
        <v>67</v>
      </c>
      <c r="H566" s="189" t="s">
        <v>68</v>
      </c>
      <c r="I566" s="190" t="s">
        <v>69</v>
      </c>
      <c r="J566" s="213" t="s">
        <v>67</v>
      </c>
      <c r="K566" s="189" t="s">
        <v>68</v>
      </c>
      <c r="L566" s="190" t="s">
        <v>69</v>
      </c>
      <c r="M566" s="215" t="s">
        <v>74</v>
      </c>
      <c r="N566" s="216" t="s">
        <v>75</v>
      </c>
      <c r="O566" s="217" t="s">
        <v>76</v>
      </c>
      <c r="P566" s="165"/>
    </row>
    <row r="567" spans="2:16" ht="21.75" customHeight="1" thickBot="1">
      <c r="B567" s="172"/>
      <c r="C567" s="593" t="s">
        <v>70</v>
      </c>
      <c r="D567" s="594"/>
      <c r="E567" s="31"/>
      <c r="F567" s="198" t="s">
        <v>71</v>
      </c>
      <c r="G567" s="207"/>
      <c r="H567" s="208"/>
      <c r="I567" s="209">
        <f>'2010 Existing RatesNF'!$B$14</f>
        <v>23.65</v>
      </c>
      <c r="J567" s="207"/>
      <c r="K567" s="208"/>
      <c r="L567" s="212">
        <f>'Rate Schedule (Part 1) NF'!$E$65</f>
        <v>19.8658</v>
      </c>
      <c r="M567" s="221">
        <f aca="true" t="shared" si="61" ref="M567:M572">+L567-I567</f>
        <v>-3.7841999999999985</v>
      </c>
      <c r="N567" s="222">
        <f aca="true" t="shared" si="62" ref="N567:N577">+M567/I567</f>
        <v>-0.1600084566596194</v>
      </c>
      <c r="O567" s="223">
        <f>L567/L583</f>
        <v>0.3766492201066342</v>
      </c>
      <c r="P567" s="165"/>
    </row>
    <row r="568" spans="2:16" ht="21.75" customHeight="1" thickBot="1">
      <c r="B568" s="172"/>
      <c r="C568" s="168">
        <v>250</v>
      </c>
      <c r="D568" s="169" t="s">
        <v>16</v>
      </c>
      <c r="E568" s="31"/>
      <c r="F568" s="199" t="s">
        <v>72</v>
      </c>
      <c r="G568" s="201">
        <f>+C568</f>
        <v>250</v>
      </c>
      <c r="H568" s="196">
        <f>'2010 Existing RatesNF'!$B$75</f>
        <v>0.01</v>
      </c>
      <c r="I568" s="210">
        <f aca="true" t="shared" si="63" ref="I568:I574">+G568*H568</f>
        <v>2.5</v>
      </c>
      <c r="J568" s="201">
        <f>+C568</f>
        <v>250</v>
      </c>
      <c r="K568" s="195">
        <f>'Rate Schedule (Part 1) NF'!$E$66</f>
        <v>0.0139</v>
      </c>
      <c r="L568" s="214">
        <f>+J568*K568</f>
        <v>3.4749999999999996</v>
      </c>
      <c r="M568" s="224">
        <f t="shared" si="61"/>
        <v>0.9749999999999996</v>
      </c>
      <c r="N568" s="218">
        <f t="shared" si="62"/>
        <v>0.38999999999999985</v>
      </c>
      <c r="O568" s="225">
        <f>L568/L583</f>
        <v>0.06588488960276222</v>
      </c>
      <c r="P568" s="165"/>
    </row>
    <row r="569" spans="2:16" ht="21.75" customHeight="1">
      <c r="B569" s="172"/>
      <c r="C569" s="369"/>
      <c r="D569" s="370"/>
      <c r="E569" s="31"/>
      <c r="F569" s="199" t="s">
        <v>246</v>
      </c>
      <c r="G569" s="201">
        <f>G568</f>
        <v>250</v>
      </c>
      <c r="H569" s="196">
        <f>'2010 Existing RatesNF'!$B$52</f>
        <v>0</v>
      </c>
      <c r="I569" s="210">
        <f t="shared" si="63"/>
        <v>0</v>
      </c>
      <c r="J569" s="201">
        <f>J568</f>
        <v>250</v>
      </c>
      <c r="K569" s="195">
        <f>'Rate Schedule (Part 1) NF'!$E$67</f>
        <v>0.0003</v>
      </c>
      <c r="L569" s="214">
        <f>+J569*K569</f>
        <v>0.075</v>
      </c>
      <c r="M569" s="224">
        <f t="shared" si="61"/>
        <v>0.075</v>
      </c>
      <c r="N569" s="218" t="e">
        <f t="shared" si="62"/>
        <v>#DIV/0!</v>
      </c>
      <c r="O569" s="225">
        <f>L569/L583</f>
        <v>0.0014219760345919904</v>
      </c>
      <c r="P569" s="165"/>
    </row>
    <row r="570" spans="2:16" ht="21.75" customHeight="1">
      <c r="B570" s="172"/>
      <c r="C570" s="63"/>
      <c r="D570" s="64"/>
      <c r="E570" s="31"/>
      <c r="F570" s="199" t="s">
        <v>162</v>
      </c>
      <c r="G570" s="201">
        <f>C568</f>
        <v>250</v>
      </c>
      <c r="H570" s="196"/>
      <c r="I570" s="206">
        <f t="shared" si="63"/>
        <v>0</v>
      </c>
      <c r="J570" s="201">
        <f>C568</f>
        <v>250</v>
      </c>
      <c r="K570" s="195">
        <f>'Rate Schedule (Part 1) NF'!$E$68</f>
        <v>0</v>
      </c>
      <c r="L570" s="214">
        <f>J570*K570</f>
        <v>0</v>
      </c>
      <c r="M570" s="224">
        <f t="shared" si="61"/>
        <v>0</v>
      </c>
      <c r="N570" s="218" t="e">
        <f t="shared" si="62"/>
        <v>#DIV/0!</v>
      </c>
      <c r="O570" s="225">
        <f>L570/L583</f>
        <v>0</v>
      </c>
      <c r="P570" s="165"/>
    </row>
    <row r="571" spans="2:16" ht="32.25" customHeight="1">
      <c r="B571" s="172"/>
      <c r="C571" s="63"/>
      <c r="D571" s="64"/>
      <c r="E571" s="31"/>
      <c r="F571" s="199" t="s">
        <v>286</v>
      </c>
      <c r="G571" s="201">
        <f>+C568</f>
        <v>250</v>
      </c>
      <c r="H571" s="196">
        <f>'2010 Existing RatesNF'!$B$26</f>
        <v>-0.0027</v>
      </c>
      <c r="I571" s="210">
        <f t="shared" si="63"/>
        <v>-0.675</v>
      </c>
      <c r="J571" s="201">
        <f>+C568</f>
        <v>250</v>
      </c>
      <c r="K571" s="195">
        <f>'Rate Schedule (Part 1) NF'!$E$70</f>
        <v>-0.0027</v>
      </c>
      <c r="L571" s="214">
        <f>+J571*K571</f>
        <v>-0.675</v>
      </c>
      <c r="M571" s="230">
        <f t="shared" si="61"/>
        <v>0</v>
      </c>
      <c r="N571" s="231">
        <f t="shared" si="62"/>
        <v>0</v>
      </c>
      <c r="O571" s="225">
        <f>L571/L583</f>
        <v>-0.012797784311327914</v>
      </c>
      <c r="P571" s="165"/>
    </row>
    <row r="572" spans="2:16" ht="27.75" customHeight="1">
      <c r="B572" s="172"/>
      <c r="C572" s="31"/>
      <c r="D572" s="31"/>
      <c r="E572" s="31"/>
      <c r="F572" s="199" t="s">
        <v>294</v>
      </c>
      <c r="G572" s="372">
        <f>C568</f>
        <v>250</v>
      </c>
      <c r="H572" s="488"/>
      <c r="I572" s="206">
        <f t="shared" si="63"/>
        <v>0</v>
      </c>
      <c r="J572" s="372">
        <f>C568</f>
        <v>250</v>
      </c>
      <c r="K572" s="488">
        <f>'Rate Schedule (Part 1) NF'!E72</f>
        <v>-0.0005</v>
      </c>
      <c r="L572" s="214">
        <f>+J572*K572</f>
        <v>-0.125</v>
      </c>
      <c r="M572" s="224">
        <f t="shared" si="61"/>
        <v>-0.125</v>
      </c>
      <c r="N572" s="218" t="e">
        <f>+M572/I572</f>
        <v>#DIV/0!</v>
      </c>
      <c r="O572" s="225">
        <f>L572/L583</f>
        <v>-0.0023699600576533174</v>
      </c>
      <c r="P572" s="165"/>
    </row>
    <row r="573" spans="2:16" ht="32.25" customHeight="1">
      <c r="B573" s="172"/>
      <c r="C573" s="63"/>
      <c r="D573" s="64"/>
      <c r="E573" s="31"/>
      <c r="F573" s="199" t="s">
        <v>316</v>
      </c>
      <c r="G573" s="201">
        <f>C568</f>
        <v>250</v>
      </c>
      <c r="H573" s="196">
        <f>'2010 Existing RatesNF'!B39</f>
        <v>0.0011</v>
      </c>
      <c r="I573" s="206">
        <f t="shared" si="63"/>
        <v>0.275</v>
      </c>
      <c r="J573" s="201">
        <f>C568</f>
        <v>250</v>
      </c>
      <c r="K573" s="195">
        <f>'Rate Schedule (Part 1) NF'!E69</f>
        <v>0.0011</v>
      </c>
      <c r="L573" s="214">
        <f>+J573*K573</f>
        <v>0.275</v>
      </c>
      <c r="M573" s="224">
        <f>+L573-I573</f>
        <v>0</v>
      </c>
      <c r="N573" s="218">
        <f>+M573/I573</f>
        <v>0</v>
      </c>
      <c r="O573" s="225">
        <f>L573/L583</f>
        <v>0.005213912126837299</v>
      </c>
      <c r="P573" s="165"/>
    </row>
    <row r="574" spans="2:16" ht="27.75" customHeight="1" thickBot="1">
      <c r="B574" s="172"/>
      <c r="C574" s="31"/>
      <c r="D574" s="31"/>
      <c r="E574" s="31"/>
      <c r="F574" s="199" t="s">
        <v>317</v>
      </c>
      <c r="G574" s="372">
        <f>C568</f>
        <v>250</v>
      </c>
      <c r="H574" s="488"/>
      <c r="I574" s="206">
        <f t="shared" si="63"/>
        <v>0</v>
      </c>
      <c r="J574" s="372">
        <f>C568</f>
        <v>250</v>
      </c>
      <c r="K574" s="488">
        <f>'Rate Schedule (Part 1) NF'!E71</f>
        <v>0.0016</v>
      </c>
      <c r="L574" s="214">
        <f>+J574*K574</f>
        <v>0.4</v>
      </c>
      <c r="M574" s="224">
        <f>+L574-I574</f>
        <v>0.4</v>
      </c>
      <c r="N574" s="218" t="e">
        <f>+M574/I574</f>
        <v>#DIV/0!</v>
      </c>
      <c r="O574" s="225">
        <f>L574/L583</f>
        <v>0.0075838721844906165</v>
      </c>
      <c r="P574" s="165"/>
    </row>
    <row r="575" spans="2:16" ht="21.75" customHeight="1" thickBot="1">
      <c r="B575" s="172"/>
      <c r="C575" s="31"/>
      <c r="D575" s="31"/>
      <c r="E575" s="31"/>
      <c r="F575" s="233" t="s">
        <v>247</v>
      </c>
      <c r="G575" s="586"/>
      <c r="H575" s="587"/>
      <c r="I575" s="235">
        <f>SUM(I567:I574)</f>
        <v>25.749999999999996</v>
      </c>
      <c r="J575" s="586"/>
      <c r="K575" s="587"/>
      <c r="L575" s="235">
        <f>SUM(L567:L574)</f>
        <v>23.290799999999997</v>
      </c>
      <c r="M575" s="237">
        <f>SUM(M567:M574)</f>
        <v>-2.4591999999999987</v>
      </c>
      <c r="N575" s="238">
        <f t="shared" si="62"/>
        <v>-0.09550291262135918</v>
      </c>
      <c r="O575" s="240">
        <f>L575/L583</f>
        <v>0.44158612568633504</v>
      </c>
      <c r="P575" s="165"/>
    </row>
    <row r="576" spans="2:16" ht="21.75" customHeight="1" thickBot="1">
      <c r="B576" s="172"/>
      <c r="C576" s="31"/>
      <c r="D576" s="31"/>
      <c r="E576" s="31"/>
      <c r="F576" s="199" t="s">
        <v>248</v>
      </c>
      <c r="G576" s="372">
        <f>C568*'Other Electriciy Rates NF'!$M$16</f>
        <v>264.29999999999995</v>
      </c>
      <c r="H576" s="373">
        <f>'Other Electriciy Rates NF'!$B$16</f>
        <v>0.009000000000000001</v>
      </c>
      <c r="I576" s="210">
        <f>+G576*H576</f>
        <v>2.3787</v>
      </c>
      <c r="J576" s="372">
        <f>C568*'Other Electriciy Rates NF'!$M$30</f>
        <v>263.99756877321744</v>
      </c>
      <c r="K576" s="494">
        <f>'Other Electriciy Rates NF'!$B$30</f>
        <v>0.009132883108925464</v>
      </c>
      <c r="L576" s="210">
        <f>+J576*K576</f>
        <v>2.411058936646306</v>
      </c>
      <c r="M576" s="374">
        <f>+L576-I576</f>
        <v>0.03235893664630618</v>
      </c>
      <c r="N576" s="222">
        <f t="shared" si="62"/>
        <v>0.013603622418256267</v>
      </c>
      <c r="O576" s="223">
        <f>L576/L583</f>
        <v>0.04571290701199861</v>
      </c>
      <c r="P576" s="165"/>
    </row>
    <row r="577" spans="2:16" ht="21.75" customHeight="1" thickBot="1">
      <c r="B577" s="172"/>
      <c r="C577" s="31"/>
      <c r="D577" s="31"/>
      <c r="E577" s="31"/>
      <c r="F577" s="233" t="s">
        <v>249</v>
      </c>
      <c r="G577" s="586"/>
      <c r="H577" s="587"/>
      <c r="I577" s="235">
        <f>SUM(I575:I576)</f>
        <v>28.128699999999995</v>
      </c>
      <c r="J577" s="586"/>
      <c r="K577" s="587"/>
      <c r="L577" s="235">
        <f>SUM(L575:L576)</f>
        <v>25.701858936646303</v>
      </c>
      <c r="M577" s="237">
        <f>SUM(M575:M576)</f>
        <v>-2.4268410633536925</v>
      </c>
      <c r="N577" s="238">
        <f t="shared" si="62"/>
        <v>-0.08627633212177217</v>
      </c>
      <c r="O577" s="375">
        <f>L577/L583</f>
        <v>0.48729903269833363</v>
      </c>
      <c r="P577" s="165"/>
    </row>
    <row r="578" spans="2:16" ht="21.75" customHeight="1">
      <c r="B578" s="172"/>
      <c r="C578" s="31"/>
      <c r="D578" s="31"/>
      <c r="E578" s="31"/>
      <c r="F578" s="200" t="s">
        <v>77</v>
      </c>
      <c r="G578" s="202">
        <f>G576</f>
        <v>264.29999999999995</v>
      </c>
      <c r="H578" s="203">
        <f>'Other Electriciy Rates NF'!$C$16+'Other Electriciy Rates NF'!$E$16+'Other Electriciy Rates NF'!D16</f>
        <v>0.0138725</v>
      </c>
      <c r="I578" s="204">
        <f>+G578*H578</f>
        <v>3.6665017499999992</v>
      </c>
      <c r="J578" s="202">
        <f>J576</f>
        <v>263.99756877321744</v>
      </c>
      <c r="K578" s="203">
        <f>'Other Electriciy Rates NF'!$C$30+'Other Electriciy Rates NF'!$E$30+'Other Electriciy Rates NF'!D30</f>
        <v>0.0135</v>
      </c>
      <c r="L578" s="229">
        <f>+J578*K578</f>
        <v>3.5639671784384355</v>
      </c>
      <c r="M578" s="221">
        <f>+L578-I578</f>
        <v>-0.10253457156156376</v>
      </c>
      <c r="N578" s="222">
        <f aca="true" t="shared" si="64" ref="N578:N583">+M578/I578</f>
        <v>-0.02796523186210501</v>
      </c>
      <c r="O578" s="301">
        <f>L578/L583</f>
        <v>0.06757167887749188</v>
      </c>
      <c r="P578" s="165"/>
    </row>
    <row r="579" spans="2:16" ht="21.75" customHeight="1">
      <c r="B579" s="172"/>
      <c r="C579" s="31"/>
      <c r="D579" s="31"/>
      <c r="E579" s="31"/>
      <c r="F579" s="200" t="s">
        <v>321</v>
      </c>
      <c r="G579" s="220"/>
      <c r="H579" s="219"/>
      <c r="I579" s="512">
        <v>0.25</v>
      </c>
      <c r="J579" s="496"/>
      <c r="K579" s="219"/>
      <c r="L579" s="514">
        <v>0.25</v>
      </c>
      <c r="M579" s="230">
        <f>+L579-I579</f>
        <v>0</v>
      </c>
      <c r="N579" s="231">
        <f t="shared" si="64"/>
        <v>0</v>
      </c>
      <c r="O579" s="225">
        <f>L579/L583</f>
        <v>0.004739920115306635</v>
      </c>
      <c r="P579" s="165"/>
    </row>
    <row r="580" spans="2:16" ht="21.75" customHeight="1" thickBot="1">
      <c r="B580" s="172"/>
      <c r="C580" s="31"/>
      <c r="D580" s="31"/>
      <c r="E580" s="31"/>
      <c r="F580" s="199" t="s">
        <v>78</v>
      </c>
      <c r="G580" s="211">
        <f>G578</f>
        <v>264.29999999999995</v>
      </c>
      <c r="H580" s="205">
        <f>'Other Electriciy Rates NF'!$K$16</f>
        <v>0.065</v>
      </c>
      <c r="I580" s="206">
        <f>+G580*H580</f>
        <v>17.179499999999997</v>
      </c>
      <c r="J580" s="211">
        <f>J578</f>
        <v>263.99756877321744</v>
      </c>
      <c r="K580" s="205">
        <f>'Other Electriciy Rates NF'!$K$30</f>
        <v>0.065</v>
      </c>
      <c r="L580" s="226">
        <f>+J580*K580</f>
        <v>17.159841970259134</v>
      </c>
      <c r="M580" s="515">
        <f>+L580-I580</f>
        <v>-0.019658029740863725</v>
      </c>
      <c r="N580" s="516">
        <f t="shared" si="64"/>
        <v>-0.0011442725190409341</v>
      </c>
      <c r="O580" s="241">
        <f>L580/L583</f>
        <v>0.3253451205212572</v>
      </c>
      <c r="P580" s="165"/>
    </row>
    <row r="581" spans="2:16" ht="21.75" customHeight="1" thickBot="1">
      <c r="B581" s="172"/>
      <c r="C581" s="31"/>
      <c r="D581" s="31"/>
      <c r="E581" s="31"/>
      <c r="F581" s="233" t="s">
        <v>195</v>
      </c>
      <c r="G581" s="586"/>
      <c r="H581" s="587"/>
      <c r="I581" s="235">
        <f>SUM(I577:I580)</f>
        <v>49.22470174999999</v>
      </c>
      <c r="J581" s="586"/>
      <c r="K581" s="587"/>
      <c r="L581" s="235">
        <f>SUM(L577:L580)</f>
        <v>46.67566808534387</v>
      </c>
      <c r="M581" s="235">
        <f>SUM(M577:M580)</f>
        <v>-2.54903366465612</v>
      </c>
      <c r="N581" s="238">
        <f t="shared" si="64"/>
        <v>-0.05178362842302281</v>
      </c>
      <c r="O581" s="375">
        <f>L581/L583</f>
        <v>0.8849557522123894</v>
      </c>
      <c r="P581" s="303"/>
    </row>
    <row r="582" spans="2:16" ht="21.75" customHeight="1" thickBot="1">
      <c r="B582" s="172"/>
      <c r="C582" s="31"/>
      <c r="D582" s="31"/>
      <c r="E582" s="31"/>
      <c r="F582" s="297" t="s">
        <v>274</v>
      </c>
      <c r="G582" s="298"/>
      <c r="H582" s="302">
        <v>0.13</v>
      </c>
      <c r="I582" s="299">
        <f>I581*H582</f>
        <v>6.399211227499999</v>
      </c>
      <c r="J582" s="298"/>
      <c r="K582" s="302">
        <v>0.13</v>
      </c>
      <c r="L582" s="300">
        <f>L581*K582</f>
        <v>6.067836851094704</v>
      </c>
      <c r="M582" s="227">
        <f>+L582-I582</f>
        <v>-0.33137437640529477</v>
      </c>
      <c r="N582" s="231">
        <f t="shared" si="64"/>
        <v>-0.05178362842302268</v>
      </c>
      <c r="O582" s="241">
        <f>L582/L583</f>
        <v>0.11504424778761063</v>
      </c>
      <c r="P582" s="165"/>
    </row>
    <row r="583" spans="2:17" ht="21.75" customHeight="1" thickBot="1">
      <c r="B583" s="376"/>
      <c r="C583" s="377"/>
      <c r="D583" s="377"/>
      <c r="E583" s="378"/>
      <c r="F583" s="379" t="s">
        <v>79</v>
      </c>
      <c r="G583" s="600"/>
      <c r="H583" s="601"/>
      <c r="I583" s="380">
        <f>SUM(I581:I582)</f>
        <v>55.623912977499984</v>
      </c>
      <c r="J583" s="600"/>
      <c r="K583" s="601"/>
      <c r="L583" s="380">
        <f>SUM(L581:L582)</f>
        <v>52.743504936438576</v>
      </c>
      <c r="M583" s="380">
        <f>SUM(M581:M582)</f>
        <v>-2.880408041061415</v>
      </c>
      <c r="N583" s="381">
        <f t="shared" si="64"/>
        <v>-0.051783628423022796</v>
      </c>
      <c r="O583" s="382">
        <f>O581+O582</f>
        <v>1</v>
      </c>
      <c r="P583" s="383"/>
      <c r="Q583" s="384"/>
    </row>
    <row r="584" spans="2:16" ht="10.5" customHeight="1" thickBot="1">
      <c r="B584" s="166"/>
      <c r="C584" s="602"/>
      <c r="D584" s="602"/>
      <c r="E584" s="602"/>
      <c r="F584" s="602"/>
      <c r="G584" s="602"/>
      <c r="H584" s="602"/>
      <c r="I584" s="602"/>
      <c r="J584" s="602"/>
      <c r="K584" s="602"/>
      <c r="L584" s="602"/>
      <c r="M584" s="602"/>
      <c r="N584" s="602"/>
      <c r="O584" s="602"/>
      <c r="P584" s="167"/>
    </row>
    <row r="585" ht="17.25" customHeight="1" thickBot="1"/>
    <row r="586" spans="2:16" ht="21.75" customHeight="1">
      <c r="B586" s="174"/>
      <c r="C586" s="603" t="s">
        <v>194</v>
      </c>
      <c r="D586" s="603"/>
      <c r="E586" s="603"/>
      <c r="F586" s="603"/>
      <c r="G586" s="603"/>
      <c r="H586" s="603"/>
      <c r="I586" s="603"/>
      <c r="J586" s="603"/>
      <c r="K586" s="603"/>
      <c r="L586" s="603"/>
      <c r="M586" s="603"/>
      <c r="N586" s="603"/>
      <c r="O586" s="603"/>
      <c r="P586" s="164"/>
    </row>
    <row r="587" spans="2:16" ht="21.75" customHeight="1" thickBot="1">
      <c r="B587" s="172"/>
      <c r="C587" s="604"/>
      <c r="D587" s="604"/>
      <c r="E587" s="604"/>
      <c r="F587" s="604"/>
      <c r="G587" s="604"/>
      <c r="H587" s="604"/>
      <c r="I587" s="604"/>
      <c r="J587" s="604"/>
      <c r="K587" s="604"/>
      <c r="L587" s="604"/>
      <c r="M587" s="604"/>
      <c r="N587" s="604"/>
      <c r="O587" s="604"/>
      <c r="P587" s="165"/>
    </row>
    <row r="588" spans="2:16" ht="21.75" customHeight="1" thickBot="1">
      <c r="B588" s="172"/>
      <c r="C588" s="173"/>
      <c r="D588" s="173"/>
      <c r="E588" s="31"/>
      <c r="F588" s="37"/>
      <c r="G588" s="595" t="s">
        <v>198</v>
      </c>
      <c r="H588" s="596"/>
      <c r="I588" s="597"/>
      <c r="J588" s="595" t="s">
        <v>245</v>
      </c>
      <c r="K588" s="596"/>
      <c r="L588" s="597"/>
      <c r="M588" s="595" t="s">
        <v>73</v>
      </c>
      <c r="N588" s="596"/>
      <c r="O588" s="597"/>
      <c r="P588" s="165"/>
    </row>
    <row r="589" spans="2:16" ht="26.25" thickBot="1">
      <c r="B589" s="172"/>
      <c r="C589" s="31"/>
      <c r="D589" s="31"/>
      <c r="E589" s="33"/>
      <c r="F589" s="38"/>
      <c r="G589" s="213" t="s">
        <v>67</v>
      </c>
      <c r="H589" s="189" t="s">
        <v>68</v>
      </c>
      <c r="I589" s="190" t="s">
        <v>69</v>
      </c>
      <c r="J589" s="213" t="s">
        <v>67</v>
      </c>
      <c r="K589" s="189" t="s">
        <v>68</v>
      </c>
      <c r="L589" s="190" t="s">
        <v>69</v>
      </c>
      <c r="M589" s="215" t="s">
        <v>74</v>
      </c>
      <c r="N589" s="216" t="s">
        <v>75</v>
      </c>
      <c r="O589" s="217" t="s">
        <v>76</v>
      </c>
      <c r="P589" s="165"/>
    </row>
    <row r="590" spans="2:16" ht="21.75" customHeight="1" thickBot="1">
      <c r="B590" s="172"/>
      <c r="C590" s="593" t="s">
        <v>70</v>
      </c>
      <c r="D590" s="594"/>
      <c r="E590" s="31"/>
      <c r="F590" s="198" t="s">
        <v>71</v>
      </c>
      <c r="G590" s="207"/>
      <c r="H590" s="208"/>
      <c r="I590" s="209">
        <f>'2010 Existing RatesNF'!$B$14</f>
        <v>23.65</v>
      </c>
      <c r="J590" s="207"/>
      <c r="K590" s="208"/>
      <c r="L590" s="212">
        <f>'Rate Schedule (Part 1) NF'!$E$65</f>
        <v>19.8658</v>
      </c>
      <c r="M590" s="221">
        <f aca="true" t="shared" si="65" ref="M590:M595">+L590-I590</f>
        <v>-3.7841999999999985</v>
      </c>
      <c r="N590" s="222">
        <f aca="true" t="shared" si="66" ref="N590:N600">+M590/I590</f>
        <v>-0.1600084566596194</v>
      </c>
      <c r="O590" s="223">
        <f>L590/L606</f>
        <v>0.2400522328576514</v>
      </c>
      <c r="P590" s="165"/>
    </row>
    <row r="591" spans="2:16" ht="21.75" customHeight="1" thickBot="1">
      <c r="B591" s="172"/>
      <c r="C591" s="168">
        <v>500</v>
      </c>
      <c r="D591" s="169" t="s">
        <v>16</v>
      </c>
      <c r="E591" s="31"/>
      <c r="F591" s="199" t="s">
        <v>72</v>
      </c>
      <c r="G591" s="201">
        <f>+C591</f>
        <v>500</v>
      </c>
      <c r="H591" s="196">
        <f>'2010 Existing RatesNF'!$B$75</f>
        <v>0.01</v>
      </c>
      <c r="I591" s="210">
        <f aca="true" t="shared" si="67" ref="I591:I597">+G591*H591</f>
        <v>5</v>
      </c>
      <c r="J591" s="201">
        <f>+C591</f>
        <v>500</v>
      </c>
      <c r="K591" s="195">
        <f>'Rate Schedule (Part 1) NF'!$E$66</f>
        <v>0.0139</v>
      </c>
      <c r="L591" s="214">
        <f>+J591*K591</f>
        <v>6.949999999999999</v>
      </c>
      <c r="M591" s="224">
        <f t="shared" si="65"/>
        <v>1.9499999999999993</v>
      </c>
      <c r="N591" s="218">
        <f t="shared" si="66"/>
        <v>0.38999999999999985</v>
      </c>
      <c r="O591" s="225">
        <f>L591/L606</f>
        <v>0.083981667909708</v>
      </c>
      <c r="P591" s="165"/>
    </row>
    <row r="592" spans="2:16" ht="21.75" customHeight="1">
      <c r="B592" s="172"/>
      <c r="C592" s="369"/>
      <c r="D592" s="370"/>
      <c r="E592" s="31"/>
      <c r="F592" s="199" t="s">
        <v>246</v>
      </c>
      <c r="G592" s="201">
        <f>G591</f>
        <v>500</v>
      </c>
      <c r="H592" s="196">
        <f>'2010 Existing RatesNF'!$B$52</f>
        <v>0</v>
      </c>
      <c r="I592" s="210">
        <f t="shared" si="67"/>
        <v>0</v>
      </c>
      <c r="J592" s="201">
        <f>J591</f>
        <v>500</v>
      </c>
      <c r="K592" s="195">
        <f>'Rate Schedule (Part 1) NF'!$E$67</f>
        <v>0.0003</v>
      </c>
      <c r="L592" s="214">
        <f>+J592*K592</f>
        <v>0.15</v>
      </c>
      <c r="M592" s="224">
        <f t="shared" si="65"/>
        <v>0.15</v>
      </c>
      <c r="N592" s="218" t="e">
        <f t="shared" si="66"/>
        <v>#DIV/0!</v>
      </c>
      <c r="O592" s="225">
        <f>L592/L606</f>
        <v>0.0018125539836627625</v>
      </c>
      <c r="P592" s="165"/>
    </row>
    <row r="593" spans="2:16" ht="21.75" customHeight="1">
      <c r="B593" s="172"/>
      <c r="C593" s="63"/>
      <c r="D593" s="64"/>
      <c r="E593" s="31"/>
      <c r="F593" s="199" t="s">
        <v>162</v>
      </c>
      <c r="G593" s="201">
        <f>C591</f>
        <v>500</v>
      </c>
      <c r="H593" s="196"/>
      <c r="I593" s="206">
        <f t="shared" si="67"/>
        <v>0</v>
      </c>
      <c r="J593" s="201">
        <f>C591</f>
        <v>500</v>
      </c>
      <c r="K593" s="195">
        <f>'Rate Schedule (Part 1) NF'!$E$68</f>
        <v>0</v>
      </c>
      <c r="L593" s="214">
        <f>J593*K593</f>
        <v>0</v>
      </c>
      <c r="M593" s="224">
        <f t="shared" si="65"/>
        <v>0</v>
      </c>
      <c r="N593" s="218" t="e">
        <f t="shared" si="66"/>
        <v>#DIV/0!</v>
      </c>
      <c r="O593" s="225">
        <f>L593/L606</f>
        <v>0</v>
      </c>
      <c r="P593" s="165"/>
    </row>
    <row r="594" spans="2:16" ht="32.25" customHeight="1">
      <c r="B594" s="172"/>
      <c r="C594" s="63"/>
      <c r="D594" s="64"/>
      <c r="E594" s="31"/>
      <c r="F594" s="199" t="s">
        <v>286</v>
      </c>
      <c r="G594" s="201">
        <f>+C591</f>
        <v>500</v>
      </c>
      <c r="H594" s="196">
        <f>'2010 Existing RatesNF'!$B$26</f>
        <v>-0.0027</v>
      </c>
      <c r="I594" s="210">
        <f t="shared" si="67"/>
        <v>-1.35</v>
      </c>
      <c r="J594" s="201">
        <f>+C591</f>
        <v>500</v>
      </c>
      <c r="K594" s="195">
        <f>'Rate Schedule (Part 1) NF'!$E$70</f>
        <v>-0.0027</v>
      </c>
      <c r="L594" s="214">
        <f>+J594*K594</f>
        <v>-1.35</v>
      </c>
      <c r="M594" s="230">
        <f t="shared" si="65"/>
        <v>0</v>
      </c>
      <c r="N594" s="231">
        <f t="shared" si="66"/>
        <v>0</v>
      </c>
      <c r="O594" s="225">
        <f>L594/L606</f>
        <v>-0.016312985852964864</v>
      </c>
      <c r="P594" s="165"/>
    </row>
    <row r="595" spans="2:16" ht="27.75" customHeight="1">
      <c r="B595" s="172"/>
      <c r="C595" s="31"/>
      <c r="D595" s="31"/>
      <c r="E595" s="31"/>
      <c r="F595" s="199" t="s">
        <v>294</v>
      </c>
      <c r="G595" s="372">
        <f>C591</f>
        <v>500</v>
      </c>
      <c r="H595" s="488"/>
      <c r="I595" s="206">
        <f t="shared" si="67"/>
        <v>0</v>
      </c>
      <c r="J595" s="372">
        <f>C591</f>
        <v>500</v>
      </c>
      <c r="K595" s="488">
        <f>'Rate Schedule (Part 1) NF'!E72</f>
        <v>-0.0005</v>
      </c>
      <c r="L595" s="214">
        <f>+J595*K595</f>
        <v>-0.25</v>
      </c>
      <c r="M595" s="224">
        <f t="shared" si="65"/>
        <v>-0.25</v>
      </c>
      <c r="N595" s="218" t="e">
        <f>+M595/I595</f>
        <v>#DIV/0!</v>
      </c>
      <c r="O595" s="225">
        <f>L595/L606</f>
        <v>-0.0030209233061046043</v>
      </c>
      <c r="P595" s="165"/>
    </row>
    <row r="596" spans="2:16" ht="32.25" customHeight="1">
      <c r="B596" s="172"/>
      <c r="C596" s="63"/>
      <c r="D596" s="64"/>
      <c r="E596" s="31"/>
      <c r="F596" s="199" t="s">
        <v>316</v>
      </c>
      <c r="G596" s="201">
        <f>C591</f>
        <v>500</v>
      </c>
      <c r="H596" s="196">
        <f>'2010 Existing RatesNF'!B39</f>
        <v>0.0011</v>
      </c>
      <c r="I596" s="206">
        <f t="shared" si="67"/>
        <v>0.55</v>
      </c>
      <c r="J596" s="201">
        <f>C591</f>
        <v>500</v>
      </c>
      <c r="K596" s="195">
        <f>'Rate Schedule (Part 1) NF'!E69</f>
        <v>0.0011</v>
      </c>
      <c r="L596" s="214">
        <f>+J596*K596</f>
        <v>0.55</v>
      </c>
      <c r="M596" s="224">
        <f>+L596-I596</f>
        <v>0</v>
      </c>
      <c r="N596" s="218">
        <f>+M596/I596</f>
        <v>0</v>
      </c>
      <c r="O596" s="225">
        <f>L596/L606</f>
        <v>0.00664603127343013</v>
      </c>
      <c r="P596" s="165"/>
    </row>
    <row r="597" spans="2:16" ht="27.75" customHeight="1" thickBot="1">
      <c r="B597" s="172"/>
      <c r="C597" s="31"/>
      <c r="D597" s="31"/>
      <c r="E597" s="31"/>
      <c r="F597" s="199" t="s">
        <v>317</v>
      </c>
      <c r="G597" s="372">
        <f>C591</f>
        <v>500</v>
      </c>
      <c r="H597" s="488"/>
      <c r="I597" s="206">
        <f t="shared" si="67"/>
        <v>0</v>
      </c>
      <c r="J597" s="372">
        <f>C591</f>
        <v>500</v>
      </c>
      <c r="K597" s="488">
        <f>'Rate Schedule (Part 1) NF'!E71</f>
        <v>0.0016</v>
      </c>
      <c r="L597" s="214">
        <f>+J597*K597</f>
        <v>0.8</v>
      </c>
      <c r="M597" s="224">
        <f>+L597-I597</f>
        <v>0.8</v>
      </c>
      <c r="N597" s="218" t="e">
        <f>+M597/I597</f>
        <v>#DIV/0!</v>
      </c>
      <c r="O597" s="225">
        <f>L597/L606</f>
        <v>0.009666954579534735</v>
      </c>
      <c r="P597" s="165"/>
    </row>
    <row r="598" spans="2:16" ht="21.75" customHeight="1" thickBot="1">
      <c r="B598" s="172"/>
      <c r="C598" s="31"/>
      <c r="D598" s="31"/>
      <c r="E598" s="31"/>
      <c r="F598" s="233" t="s">
        <v>247</v>
      </c>
      <c r="G598" s="586"/>
      <c r="H598" s="587"/>
      <c r="I598" s="235">
        <f>SUM(I590:I597)</f>
        <v>27.849999999999998</v>
      </c>
      <c r="J598" s="586"/>
      <c r="K598" s="587"/>
      <c r="L598" s="235">
        <f>SUM(L590:L597)</f>
        <v>26.715799999999998</v>
      </c>
      <c r="M598" s="237">
        <f>SUM(M590:M597)</f>
        <v>-1.1341999999999992</v>
      </c>
      <c r="N598" s="238">
        <f t="shared" si="66"/>
        <v>-0.040725314183123855</v>
      </c>
      <c r="O598" s="240">
        <f>L598/L606</f>
        <v>0.32282553144491755</v>
      </c>
      <c r="P598" s="165"/>
    </row>
    <row r="599" spans="2:16" ht="21.75" customHeight="1" thickBot="1">
      <c r="B599" s="172"/>
      <c r="C599" s="31"/>
      <c r="D599" s="31"/>
      <c r="E599" s="31"/>
      <c r="F599" s="199" t="s">
        <v>248</v>
      </c>
      <c r="G599" s="372">
        <f>C591*'Other Electriciy Rates NF'!$M$16</f>
        <v>528.5999999999999</v>
      </c>
      <c r="H599" s="373">
        <f>'Other Electriciy Rates NF'!$B$16</f>
        <v>0.009000000000000001</v>
      </c>
      <c r="I599" s="210">
        <f>+G599*H599</f>
        <v>4.7574</v>
      </c>
      <c r="J599" s="372">
        <f>C591*'Other Electriciy Rates NF'!$M$30</f>
        <v>527.9951375464349</v>
      </c>
      <c r="K599" s="494">
        <f>'Other Electriciy Rates NF'!$B$30</f>
        <v>0.009132883108925464</v>
      </c>
      <c r="L599" s="210">
        <f>+J599*K599</f>
        <v>4.822117873292612</v>
      </c>
      <c r="M599" s="374">
        <f>+L599-I599</f>
        <v>0.06471787329261236</v>
      </c>
      <c r="N599" s="222">
        <f t="shared" si="66"/>
        <v>0.013603622418256267</v>
      </c>
      <c r="O599" s="223">
        <f>L599/L606</f>
        <v>0.05826899307285289</v>
      </c>
      <c r="P599" s="165"/>
    </row>
    <row r="600" spans="2:16" ht="21.75" customHeight="1" thickBot="1">
      <c r="B600" s="172"/>
      <c r="C600" s="31"/>
      <c r="D600" s="31"/>
      <c r="E600" s="31"/>
      <c r="F600" s="233" t="s">
        <v>249</v>
      </c>
      <c r="G600" s="586"/>
      <c r="H600" s="587"/>
      <c r="I600" s="235">
        <f>SUM(I598:I599)</f>
        <v>32.6074</v>
      </c>
      <c r="J600" s="586"/>
      <c r="K600" s="587"/>
      <c r="L600" s="235">
        <f>SUM(L598:L599)</f>
        <v>31.53791787329261</v>
      </c>
      <c r="M600" s="237">
        <f>SUM(M598:M599)</f>
        <v>-1.0694821267073868</v>
      </c>
      <c r="N600" s="238">
        <f t="shared" si="66"/>
        <v>-0.03279875508956209</v>
      </c>
      <c r="O600" s="375">
        <f>L600/L606</f>
        <v>0.3810945245177704</v>
      </c>
      <c r="P600" s="165"/>
    </row>
    <row r="601" spans="2:16" ht="21.75" customHeight="1">
      <c r="B601" s="172"/>
      <c r="C601" s="31"/>
      <c r="D601" s="31"/>
      <c r="E601" s="31"/>
      <c r="F601" s="200" t="s">
        <v>77</v>
      </c>
      <c r="G601" s="202">
        <f>G599</f>
        <v>528.5999999999999</v>
      </c>
      <c r="H601" s="203">
        <f>'Other Electriciy Rates NF'!$C$16+'Other Electriciy Rates NF'!$E$16+'Other Electriciy Rates NF'!D16</f>
        <v>0.0138725</v>
      </c>
      <c r="I601" s="204">
        <f>+G601*H601</f>
        <v>7.3330034999999985</v>
      </c>
      <c r="J601" s="202">
        <f>J599</f>
        <v>527.9951375464349</v>
      </c>
      <c r="K601" s="203">
        <f>'Other Electriciy Rates NF'!$C$30+'Other Electriciy Rates NF'!$E$30+'Other Electriciy Rates NF'!D30</f>
        <v>0.0135</v>
      </c>
      <c r="L601" s="229">
        <f>+J601*K601</f>
        <v>7.127934356876871</v>
      </c>
      <c r="M601" s="221">
        <f>+L601-I601</f>
        <v>-0.20506914312312752</v>
      </c>
      <c r="N601" s="222">
        <f aca="true" t="shared" si="68" ref="N601:N606">+M601/I601</f>
        <v>-0.02796523186210501</v>
      </c>
      <c r="O601" s="301">
        <f>L601/L606</f>
        <v>0.0861317720922923</v>
      </c>
      <c r="P601" s="165"/>
    </row>
    <row r="602" spans="2:16" ht="21.75" customHeight="1">
      <c r="B602" s="172"/>
      <c r="C602" s="31"/>
      <c r="D602" s="31"/>
      <c r="E602" s="31"/>
      <c r="F602" s="200" t="s">
        <v>321</v>
      </c>
      <c r="G602" s="220"/>
      <c r="H602" s="219"/>
      <c r="I602" s="512">
        <v>0.25</v>
      </c>
      <c r="J602" s="496"/>
      <c r="K602" s="219"/>
      <c r="L602" s="514">
        <v>0.25</v>
      </c>
      <c r="M602" s="230">
        <f>+L602-I602</f>
        <v>0</v>
      </c>
      <c r="N602" s="231">
        <f t="shared" si="68"/>
        <v>0</v>
      </c>
      <c r="O602" s="225">
        <f>L602/L606</f>
        <v>0.0030209233061046043</v>
      </c>
      <c r="P602" s="165"/>
    </row>
    <row r="603" spans="2:16" ht="21.75" customHeight="1" thickBot="1">
      <c r="B603" s="172"/>
      <c r="C603" s="31"/>
      <c r="D603" s="31"/>
      <c r="E603" s="31"/>
      <c r="F603" s="199" t="s">
        <v>78</v>
      </c>
      <c r="G603" s="211">
        <f>G601</f>
        <v>528.5999999999999</v>
      </c>
      <c r="H603" s="205">
        <f>'Other Electriciy Rates NF'!$K$16</f>
        <v>0.065</v>
      </c>
      <c r="I603" s="206">
        <f>+G603*H603</f>
        <v>34.358999999999995</v>
      </c>
      <c r="J603" s="211">
        <f>J601</f>
        <v>527.9951375464349</v>
      </c>
      <c r="K603" s="205">
        <f>'Other Electriciy Rates NF'!$K$30</f>
        <v>0.065</v>
      </c>
      <c r="L603" s="226">
        <f>+J603*K603</f>
        <v>34.31968394051827</v>
      </c>
      <c r="M603" s="515">
        <f>+L603-I603</f>
        <v>-0.03931605948172745</v>
      </c>
      <c r="N603" s="516">
        <f t="shared" si="68"/>
        <v>-0.0011442725190409341</v>
      </c>
      <c r="O603" s="241">
        <f>L603/L606</f>
        <v>0.4147085322962222</v>
      </c>
      <c r="P603" s="165"/>
    </row>
    <row r="604" spans="2:16" ht="21.75" customHeight="1" thickBot="1">
      <c r="B604" s="172"/>
      <c r="C604" s="31"/>
      <c r="D604" s="31"/>
      <c r="E604" s="31"/>
      <c r="F604" s="233" t="s">
        <v>195</v>
      </c>
      <c r="G604" s="586"/>
      <c r="H604" s="587"/>
      <c r="I604" s="235">
        <f>SUM(I600:I603)</f>
        <v>74.54940349999998</v>
      </c>
      <c r="J604" s="586"/>
      <c r="K604" s="587"/>
      <c r="L604" s="235">
        <f>SUM(L600:L603)</f>
        <v>73.23553617068774</v>
      </c>
      <c r="M604" s="235">
        <f>SUM(M600:M603)</f>
        <v>-1.3138673293122418</v>
      </c>
      <c r="N604" s="238">
        <f t="shared" si="68"/>
        <v>-0.017624115923506243</v>
      </c>
      <c r="O604" s="375">
        <f>L604/L606</f>
        <v>0.8849557522123894</v>
      </c>
      <c r="P604" s="303"/>
    </row>
    <row r="605" spans="2:16" ht="21.75" customHeight="1" thickBot="1">
      <c r="B605" s="172"/>
      <c r="C605" s="31"/>
      <c r="D605" s="31"/>
      <c r="E605" s="31"/>
      <c r="F605" s="297" t="s">
        <v>274</v>
      </c>
      <c r="G605" s="298"/>
      <c r="H605" s="302">
        <v>0.13</v>
      </c>
      <c r="I605" s="299">
        <f>I604*H605</f>
        <v>9.691422454999998</v>
      </c>
      <c r="J605" s="298"/>
      <c r="K605" s="302">
        <v>0.13</v>
      </c>
      <c r="L605" s="300">
        <f>L604*K605</f>
        <v>9.520619702189407</v>
      </c>
      <c r="M605" s="227">
        <f>+L605-I605</f>
        <v>-0.17080275281059087</v>
      </c>
      <c r="N605" s="231">
        <f t="shared" si="68"/>
        <v>-0.017624115923506187</v>
      </c>
      <c r="O605" s="241">
        <f>L605/L606</f>
        <v>0.11504424778761063</v>
      </c>
      <c r="P605" s="165"/>
    </row>
    <row r="606" spans="2:17" ht="21.75" customHeight="1" thickBot="1">
      <c r="B606" s="376"/>
      <c r="C606" s="377"/>
      <c r="D606" s="377"/>
      <c r="E606" s="378"/>
      <c r="F606" s="379" t="s">
        <v>79</v>
      </c>
      <c r="G606" s="600"/>
      <c r="H606" s="601"/>
      <c r="I606" s="380">
        <f>SUM(I604:I605)</f>
        <v>84.24082595499998</v>
      </c>
      <c r="J606" s="600"/>
      <c r="K606" s="601"/>
      <c r="L606" s="380">
        <f>SUM(L604:L605)</f>
        <v>82.75615587287714</v>
      </c>
      <c r="M606" s="380">
        <f>SUM(M604:M605)</f>
        <v>-1.4846700821228327</v>
      </c>
      <c r="N606" s="381">
        <f t="shared" si="68"/>
        <v>-0.01762411592350624</v>
      </c>
      <c r="O606" s="382">
        <f>O604+O605</f>
        <v>1</v>
      </c>
      <c r="P606" s="383"/>
      <c r="Q606" s="384"/>
    </row>
    <row r="607" spans="2:16" ht="10.5" customHeight="1" thickBot="1">
      <c r="B607" s="166"/>
      <c r="C607" s="602"/>
      <c r="D607" s="602"/>
      <c r="E607" s="602"/>
      <c r="F607" s="602"/>
      <c r="G607" s="602"/>
      <c r="H607" s="602"/>
      <c r="I607" s="602"/>
      <c r="J607" s="602"/>
      <c r="K607" s="602"/>
      <c r="L607" s="602"/>
      <c r="M607" s="602"/>
      <c r="N607" s="602"/>
      <c r="O607" s="602"/>
      <c r="P607" s="167"/>
    </row>
    <row r="608" ht="17.25" customHeight="1"/>
    <row r="609" ht="6.75" customHeight="1"/>
    <row r="610" ht="6.75" customHeight="1"/>
    <row r="613" ht="6.75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6.75" customHeight="1"/>
    <row r="626" ht="6.75" customHeight="1"/>
    <row r="629" ht="6.75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6.75" customHeight="1"/>
  </sheetData>
  <mergeCells count="367">
    <mergeCell ref="J512:K512"/>
    <mergeCell ref="G470:I470"/>
    <mergeCell ref="J470:L470"/>
    <mergeCell ref="C496:D496"/>
    <mergeCell ref="G506:H506"/>
    <mergeCell ref="J506:K506"/>
    <mergeCell ref="G504:H504"/>
    <mergeCell ref="C472:D472"/>
    <mergeCell ref="C492:O492"/>
    <mergeCell ref="G494:I494"/>
    <mergeCell ref="J494:L494"/>
    <mergeCell ref="M494:O494"/>
    <mergeCell ref="G482:H482"/>
    <mergeCell ref="J482:K482"/>
    <mergeCell ref="C491:O491"/>
    <mergeCell ref="G486:H486"/>
    <mergeCell ref="J486:K486"/>
    <mergeCell ref="G488:H488"/>
    <mergeCell ref="J488:K488"/>
    <mergeCell ref="J480:K480"/>
    <mergeCell ref="G461:H461"/>
    <mergeCell ref="J461:K461"/>
    <mergeCell ref="G463:H463"/>
    <mergeCell ref="J463:K463"/>
    <mergeCell ref="C467:O467"/>
    <mergeCell ref="C468:O468"/>
    <mergeCell ref="C469:O469"/>
    <mergeCell ref="G480:H480"/>
    <mergeCell ref="M470:O470"/>
    <mergeCell ref="C446:D446"/>
    <mergeCell ref="G455:H455"/>
    <mergeCell ref="J455:K455"/>
    <mergeCell ref="G457:H457"/>
    <mergeCell ref="J457:K457"/>
    <mergeCell ref="C441:O441"/>
    <mergeCell ref="C442:O442"/>
    <mergeCell ref="C443:O443"/>
    <mergeCell ref="G444:I444"/>
    <mergeCell ref="J444:L444"/>
    <mergeCell ref="M444:O444"/>
    <mergeCell ref="G436:H436"/>
    <mergeCell ref="J436:K436"/>
    <mergeCell ref="G438:H438"/>
    <mergeCell ref="J438:K438"/>
    <mergeCell ref="G430:H430"/>
    <mergeCell ref="J430:K430"/>
    <mergeCell ref="G432:H432"/>
    <mergeCell ref="J432:K432"/>
    <mergeCell ref="G419:I419"/>
    <mergeCell ref="J419:L419"/>
    <mergeCell ref="M419:O419"/>
    <mergeCell ref="C421:D421"/>
    <mergeCell ref="J413:K413"/>
    <mergeCell ref="C416:O416"/>
    <mergeCell ref="C417:O417"/>
    <mergeCell ref="C418:O418"/>
    <mergeCell ref="G413:H413"/>
    <mergeCell ref="G309:H309"/>
    <mergeCell ref="J309:K309"/>
    <mergeCell ref="G311:H311"/>
    <mergeCell ref="J311:K311"/>
    <mergeCell ref="C293:D293"/>
    <mergeCell ref="G302:H302"/>
    <mergeCell ref="J302:K302"/>
    <mergeCell ref="G304:H304"/>
    <mergeCell ref="J304:K304"/>
    <mergeCell ref="C288:O288"/>
    <mergeCell ref="C289:O289"/>
    <mergeCell ref="C290:O290"/>
    <mergeCell ref="G291:I291"/>
    <mergeCell ref="J291:L291"/>
    <mergeCell ref="M291:O291"/>
    <mergeCell ref="G283:H283"/>
    <mergeCell ref="J283:K283"/>
    <mergeCell ref="G285:H285"/>
    <mergeCell ref="J285:K285"/>
    <mergeCell ref="C267:D267"/>
    <mergeCell ref="G276:H276"/>
    <mergeCell ref="J276:K276"/>
    <mergeCell ref="G278:H278"/>
    <mergeCell ref="J278:K278"/>
    <mergeCell ref="C262:O262"/>
    <mergeCell ref="C263:O263"/>
    <mergeCell ref="C264:O264"/>
    <mergeCell ref="G265:I265"/>
    <mergeCell ref="J265:L265"/>
    <mergeCell ref="M265:O265"/>
    <mergeCell ref="G257:H257"/>
    <mergeCell ref="J257:K257"/>
    <mergeCell ref="G259:H259"/>
    <mergeCell ref="J259:K259"/>
    <mergeCell ref="C241:D241"/>
    <mergeCell ref="G250:H250"/>
    <mergeCell ref="J250:K250"/>
    <mergeCell ref="G252:H252"/>
    <mergeCell ref="J252:K252"/>
    <mergeCell ref="C236:O236"/>
    <mergeCell ref="C237:O237"/>
    <mergeCell ref="C238:O238"/>
    <mergeCell ref="G239:I239"/>
    <mergeCell ref="J239:L239"/>
    <mergeCell ref="M239:O239"/>
    <mergeCell ref="G231:H231"/>
    <mergeCell ref="J231:K231"/>
    <mergeCell ref="G233:H233"/>
    <mergeCell ref="J233:K233"/>
    <mergeCell ref="C215:D215"/>
    <mergeCell ref="G224:H224"/>
    <mergeCell ref="J224:K224"/>
    <mergeCell ref="G226:H226"/>
    <mergeCell ref="J226:K226"/>
    <mergeCell ref="C210:O210"/>
    <mergeCell ref="C211:O211"/>
    <mergeCell ref="C212:O212"/>
    <mergeCell ref="G213:I213"/>
    <mergeCell ref="J213:L213"/>
    <mergeCell ref="M213:O213"/>
    <mergeCell ref="G205:H205"/>
    <mergeCell ref="J205:K205"/>
    <mergeCell ref="G207:H207"/>
    <mergeCell ref="J207:K207"/>
    <mergeCell ref="C189:D189"/>
    <mergeCell ref="G198:H198"/>
    <mergeCell ref="J198:K198"/>
    <mergeCell ref="G200:H200"/>
    <mergeCell ref="J200:K200"/>
    <mergeCell ref="C185:O185"/>
    <mergeCell ref="C186:O186"/>
    <mergeCell ref="G187:I187"/>
    <mergeCell ref="J187:L187"/>
    <mergeCell ref="M187:O187"/>
    <mergeCell ref="C32:O32"/>
    <mergeCell ref="G34:I34"/>
    <mergeCell ref="J34:L34"/>
    <mergeCell ref="M34:O34"/>
    <mergeCell ref="C33:O33"/>
    <mergeCell ref="C36:D36"/>
    <mergeCell ref="G45:H45"/>
    <mergeCell ref="J45:K45"/>
    <mergeCell ref="G51:H51"/>
    <mergeCell ref="J51:K51"/>
    <mergeCell ref="G47:H47"/>
    <mergeCell ref="J47:K47"/>
    <mergeCell ref="C56:O56"/>
    <mergeCell ref="C54:O54"/>
    <mergeCell ref="C57:O57"/>
    <mergeCell ref="G58:I58"/>
    <mergeCell ref="J58:L58"/>
    <mergeCell ref="M58:O58"/>
    <mergeCell ref="G181:H181"/>
    <mergeCell ref="J181:K181"/>
    <mergeCell ref="C184:O184"/>
    <mergeCell ref="C60:D60"/>
    <mergeCell ref="G69:H69"/>
    <mergeCell ref="J69:K69"/>
    <mergeCell ref="G71:H71"/>
    <mergeCell ref="J71:K71"/>
    <mergeCell ref="G77:H77"/>
    <mergeCell ref="J77:K77"/>
    <mergeCell ref="G179:H179"/>
    <mergeCell ref="J179:K179"/>
    <mergeCell ref="C367:O367"/>
    <mergeCell ref="C368:O368"/>
    <mergeCell ref="C321:D321"/>
    <mergeCell ref="J319:L319"/>
    <mergeCell ref="M319:O319"/>
    <mergeCell ref="G330:H330"/>
    <mergeCell ref="J330:K330"/>
    <mergeCell ref="G338:H338"/>
    <mergeCell ref="G369:I369"/>
    <mergeCell ref="C341:O341"/>
    <mergeCell ref="C342:O342"/>
    <mergeCell ref="G361:H361"/>
    <mergeCell ref="J361:K361"/>
    <mergeCell ref="G363:H363"/>
    <mergeCell ref="J363:K363"/>
    <mergeCell ref="C366:O366"/>
    <mergeCell ref="C343:O343"/>
    <mergeCell ref="G344:I344"/>
    <mergeCell ref="C81:O81"/>
    <mergeCell ref="C30:O30"/>
    <mergeCell ref="C85:D85"/>
    <mergeCell ref="C80:O80"/>
    <mergeCell ref="G53:H53"/>
    <mergeCell ref="J53:K53"/>
    <mergeCell ref="C78:O78"/>
    <mergeCell ref="C82:O82"/>
    <mergeCell ref="G75:H75"/>
    <mergeCell ref="J75:K75"/>
    <mergeCell ref="C106:O106"/>
    <mergeCell ref="J344:L344"/>
    <mergeCell ref="C520:D520"/>
    <mergeCell ref="C317:O317"/>
    <mergeCell ref="C316:O316"/>
    <mergeCell ref="M344:O344"/>
    <mergeCell ref="C346:D346"/>
    <mergeCell ref="G355:H355"/>
    <mergeCell ref="J355:K355"/>
    <mergeCell ref="G109:I109"/>
    <mergeCell ref="C8:O8"/>
    <mergeCell ref="C9:O9"/>
    <mergeCell ref="C12:D12"/>
    <mergeCell ref="G10:I10"/>
    <mergeCell ref="J10:L10"/>
    <mergeCell ref="M10:O10"/>
    <mergeCell ref="G411:H411"/>
    <mergeCell ref="M109:O109"/>
    <mergeCell ref="J120:K120"/>
    <mergeCell ref="G122:H122"/>
    <mergeCell ref="J122:K122"/>
    <mergeCell ref="J411:K411"/>
    <mergeCell ref="G357:H357"/>
    <mergeCell ref="J357:K357"/>
    <mergeCell ref="C318:O318"/>
    <mergeCell ref="G319:I319"/>
    <mergeCell ref="J554:K554"/>
    <mergeCell ref="J528:K528"/>
    <mergeCell ref="G528:H528"/>
    <mergeCell ref="C517:O517"/>
    <mergeCell ref="G518:I518"/>
    <mergeCell ref="J518:L518"/>
    <mergeCell ref="M518:O518"/>
    <mergeCell ref="G530:H530"/>
    <mergeCell ref="J530:K530"/>
    <mergeCell ref="C539:O539"/>
    <mergeCell ref="C540:O540"/>
    <mergeCell ref="C541:O541"/>
    <mergeCell ref="G542:I542"/>
    <mergeCell ref="J542:L542"/>
    <mergeCell ref="M542:O542"/>
    <mergeCell ref="C544:D544"/>
    <mergeCell ref="C567:D567"/>
    <mergeCell ref="C584:O584"/>
    <mergeCell ref="C586:O586"/>
    <mergeCell ref="G575:H575"/>
    <mergeCell ref="G558:H558"/>
    <mergeCell ref="G552:H552"/>
    <mergeCell ref="G554:H554"/>
    <mergeCell ref="J558:K558"/>
    <mergeCell ref="J552:K552"/>
    <mergeCell ref="C587:O587"/>
    <mergeCell ref="G583:H583"/>
    <mergeCell ref="J583:K583"/>
    <mergeCell ref="G581:H581"/>
    <mergeCell ref="J581:K581"/>
    <mergeCell ref="M135:O135"/>
    <mergeCell ref="C134:O134"/>
    <mergeCell ref="G588:I588"/>
    <mergeCell ref="J588:L588"/>
    <mergeCell ref="M588:O588"/>
    <mergeCell ref="M565:O565"/>
    <mergeCell ref="G565:I565"/>
    <mergeCell ref="J565:L565"/>
    <mergeCell ref="J575:K575"/>
    <mergeCell ref="G577:H577"/>
    <mergeCell ref="G129:H129"/>
    <mergeCell ref="J129:K129"/>
    <mergeCell ref="C132:O132"/>
    <mergeCell ref="C133:O133"/>
    <mergeCell ref="J83:L83"/>
    <mergeCell ref="M83:O83"/>
    <mergeCell ref="G103:H103"/>
    <mergeCell ref="J103:K103"/>
    <mergeCell ref="G101:H101"/>
    <mergeCell ref="J101:K101"/>
    <mergeCell ref="G96:H96"/>
    <mergeCell ref="J96:K96"/>
    <mergeCell ref="G94:H94"/>
    <mergeCell ref="J94:K94"/>
    <mergeCell ref="C108:O108"/>
    <mergeCell ref="B1:O1"/>
    <mergeCell ref="B2:O2"/>
    <mergeCell ref="B3:O3"/>
    <mergeCell ref="B7:O7"/>
    <mergeCell ref="C6:O6"/>
    <mergeCell ref="C4:O4"/>
    <mergeCell ref="C5:O5"/>
    <mergeCell ref="G21:H21"/>
    <mergeCell ref="G83:I83"/>
    <mergeCell ref="J369:L369"/>
    <mergeCell ref="M369:O369"/>
    <mergeCell ref="G598:H598"/>
    <mergeCell ref="J598:K598"/>
    <mergeCell ref="G510:H510"/>
    <mergeCell ref="J577:K577"/>
    <mergeCell ref="G560:H560"/>
    <mergeCell ref="C563:O563"/>
    <mergeCell ref="C564:O564"/>
    <mergeCell ref="J560:K560"/>
    <mergeCell ref="C590:D590"/>
    <mergeCell ref="G606:H606"/>
    <mergeCell ref="J606:K606"/>
    <mergeCell ref="C607:O607"/>
    <mergeCell ref="G600:H600"/>
    <mergeCell ref="J600:K600"/>
    <mergeCell ref="G604:H604"/>
    <mergeCell ref="J604:K604"/>
    <mergeCell ref="G155:H155"/>
    <mergeCell ref="J155:K155"/>
    <mergeCell ref="J29:K29"/>
    <mergeCell ref="G29:H29"/>
    <mergeCell ref="J146:K146"/>
    <mergeCell ref="G148:H148"/>
    <mergeCell ref="J148:K148"/>
    <mergeCell ref="G153:H153"/>
    <mergeCell ref="J153:K153"/>
    <mergeCell ref="C107:O107"/>
    <mergeCell ref="J21:K21"/>
    <mergeCell ref="G27:H27"/>
    <mergeCell ref="J27:K27"/>
    <mergeCell ref="G23:H23"/>
    <mergeCell ref="J23:K23"/>
    <mergeCell ref="C111:D111"/>
    <mergeCell ref="G120:H120"/>
    <mergeCell ref="J109:L109"/>
    <mergeCell ref="C158:O158"/>
    <mergeCell ref="C137:D137"/>
    <mergeCell ref="G146:H146"/>
    <mergeCell ref="G135:I135"/>
    <mergeCell ref="J135:L135"/>
    <mergeCell ref="G127:H127"/>
    <mergeCell ref="J127:K127"/>
    <mergeCell ref="C159:O159"/>
    <mergeCell ref="C160:O160"/>
    <mergeCell ref="G161:I161"/>
    <mergeCell ref="J161:L161"/>
    <mergeCell ref="M161:O161"/>
    <mergeCell ref="C163:D163"/>
    <mergeCell ref="G172:H172"/>
    <mergeCell ref="J172:K172"/>
    <mergeCell ref="G174:H174"/>
    <mergeCell ref="J174:K174"/>
    <mergeCell ref="C371:D371"/>
    <mergeCell ref="G380:H380"/>
    <mergeCell ref="J380:K380"/>
    <mergeCell ref="G382:H382"/>
    <mergeCell ref="J382:K382"/>
    <mergeCell ref="G386:H386"/>
    <mergeCell ref="J386:K386"/>
    <mergeCell ref="G388:H388"/>
    <mergeCell ref="J388:K388"/>
    <mergeCell ref="C391:O391"/>
    <mergeCell ref="C392:O392"/>
    <mergeCell ref="C393:O393"/>
    <mergeCell ref="G394:I394"/>
    <mergeCell ref="J394:L394"/>
    <mergeCell ref="M394:O394"/>
    <mergeCell ref="C396:D396"/>
    <mergeCell ref="G405:H405"/>
    <mergeCell ref="J405:K405"/>
    <mergeCell ref="G407:H407"/>
    <mergeCell ref="J407:K407"/>
    <mergeCell ref="J338:K338"/>
    <mergeCell ref="G336:H336"/>
    <mergeCell ref="J336:K336"/>
    <mergeCell ref="G332:H332"/>
    <mergeCell ref="J332:K332"/>
    <mergeCell ref="G534:H534"/>
    <mergeCell ref="J534:K534"/>
    <mergeCell ref="J536:K536"/>
    <mergeCell ref="C493:O493"/>
    <mergeCell ref="G536:H536"/>
    <mergeCell ref="C516:O516"/>
    <mergeCell ref="J504:K504"/>
    <mergeCell ref="C515:O515"/>
    <mergeCell ref="J510:K510"/>
    <mergeCell ref="G512:H512"/>
  </mergeCells>
  <printOptions/>
  <pageMargins left="0.75" right="0.75" top="1" bottom="1" header="0.5" footer="0.5"/>
  <pageSetup fitToHeight="10" horizontalDpi="355" verticalDpi="355" orientation="portrait" scale="40" r:id="rId1"/>
  <rowBreaks count="7" manualBreakCount="7">
    <brk id="78" max="15" man="1"/>
    <brk id="156" max="15" man="1"/>
    <brk id="235" max="15" man="1"/>
    <brk id="313" max="15" man="1"/>
    <brk id="390" max="15" man="1"/>
    <brk id="465" max="15" man="1"/>
    <brk id="538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783"/>
  <sheetViews>
    <sheetView zoomScale="75" zoomScaleNormal="75" workbookViewId="0" topLeftCell="B716">
      <selection activeCell="C740" sqref="C740:O740"/>
    </sheetView>
  </sheetViews>
  <sheetFormatPr defaultColWidth="9.140625" defaultRowHeight="12.75"/>
  <cols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1.00390625" style="0" bestFit="1" customWidth="1"/>
    <col min="8" max="8" width="9.7109375" style="0" bestFit="1" customWidth="1"/>
    <col min="9" max="9" width="13.8515625" style="0" bestFit="1" customWidth="1"/>
    <col min="10" max="10" width="11.00390625" style="0" bestFit="1" customWidth="1"/>
    <col min="11" max="11" width="11.7109375" style="0" bestFit="1" customWidth="1"/>
    <col min="12" max="12" width="14.8515625" style="0" bestFit="1" customWidth="1"/>
    <col min="13" max="13" width="13.57421875" style="0" bestFit="1" customWidth="1"/>
    <col min="14" max="14" width="11.00390625" style="0" bestFit="1" customWidth="1"/>
    <col min="15" max="15" width="14.00390625" style="0" bestFit="1" customWidth="1"/>
    <col min="16" max="16" width="1.57421875" style="0" customWidth="1"/>
  </cols>
  <sheetData>
    <row r="1" spans="1:15" ht="12.75">
      <c r="A1" s="60"/>
      <c r="B1" s="544" t="str">
        <f>+'Revenue Input'!A1</f>
        <v>Niagara Peninsula Energy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ht="12.75">
      <c r="A2" s="60"/>
      <c r="B2" s="544" t="str">
        <f>+'Revenue Input'!A2</f>
        <v>, License Number ED-2007-0749, File Number EB-2010-0138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5" ht="12.75">
      <c r="A3" s="60"/>
      <c r="B3" s="544">
        <f>+'Revenue Input'!A3</f>
        <v>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5" ht="12.75">
      <c r="A4" s="60"/>
      <c r="B4" s="8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</row>
    <row r="5" spans="1:15" ht="20.25">
      <c r="A5" s="60"/>
      <c r="B5" s="8"/>
      <c r="C5" s="565" t="s">
        <v>280</v>
      </c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</row>
    <row r="6" spans="1:15" ht="18">
      <c r="A6" s="60"/>
      <c r="B6" s="8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</row>
    <row r="7" spans="1:15" ht="18" customHeight="1" thickBot="1">
      <c r="A7" s="60"/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</row>
    <row r="8" spans="2:16" ht="21.75" customHeight="1">
      <c r="B8" s="174"/>
      <c r="C8" s="603" t="s">
        <v>277</v>
      </c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164"/>
    </row>
    <row r="9" spans="2:16" ht="21.75" customHeight="1" thickBot="1">
      <c r="B9" s="172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165"/>
    </row>
    <row r="10" spans="2:16" ht="21.75" customHeight="1" thickBot="1">
      <c r="B10" s="172"/>
      <c r="C10" s="173"/>
      <c r="D10" s="173"/>
      <c r="E10" s="31"/>
      <c r="F10" s="37"/>
      <c r="G10" s="595" t="s">
        <v>198</v>
      </c>
      <c r="H10" s="596"/>
      <c r="I10" s="597"/>
      <c r="J10" s="595" t="s">
        <v>245</v>
      </c>
      <c r="K10" s="596"/>
      <c r="L10" s="597"/>
      <c r="M10" s="595" t="s">
        <v>73</v>
      </c>
      <c r="N10" s="596"/>
      <c r="O10" s="597"/>
      <c r="P10" s="165"/>
    </row>
    <row r="11" spans="2:16" ht="26.25" thickBot="1">
      <c r="B11" s="172"/>
      <c r="C11" s="31"/>
      <c r="D11" s="31"/>
      <c r="E11" s="33"/>
      <c r="F11" s="38"/>
      <c r="G11" s="213" t="s">
        <v>67</v>
      </c>
      <c r="H11" s="189" t="s">
        <v>68</v>
      </c>
      <c r="I11" s="190" t="s">
        <v>69</v>
      </c>
      <c r="J11" s="213" t="s">
        <v>67</v>
      </c>
      <c r="K11" s="189" t="s">
        <v>68</v>
      </c>
      <c r="L11" s="190" t="s">
        <v>69</v>
      </c>
      <c r="M11" s="215" t="s">
        <v>74</v>
      </c>
      <c r="N11" s="216" t="s">
        <v>75</v>
      </c>
      <c r="O11" s="217" t="s">
        <v>76</v>
      </c>
      <c r="P11" s="165"/>
    </row>
    <row r="12" spans="2:16" ht="21.75" customHeight="1" thickBot="1">
      <c r="B12" s="172"/>
      <c r="C12" s="593" t="s">
        <v>70</v>
      </c>
      <c r="D12" s="594"/>
      <c r="E12" s="31"/>
      <c r="F12" s="397" t="s">
        <v>71</v>
      </c>
      <c r="G12" s="495"/>
      <c r="H12" s="208"/>
      <c r="I12" s="500">
        <f>'2010 Existing RatesPW'!C8</f>
        <v>10.04</v>
      </c>
      <c r="J12" s="207"/>
      <c r="K12" s="208"/>
      <c r="L12" s="212">
        <f>'Rate Schedule (Part 1) PW'!$E$12</f>
        <v>16.55</v>
      </c>
      <c r="M12" s="504">
        <f aca="true" t="shared" si="0" ref="M12:M18">+L12-I12</f>
        <v>6.510000000000002</v>
      </c>
      <c r="N12" s="222">
        <f aca="true" t="shared" si="1" ref="N12:N29">+M12/I12</f>
        <v>0.6484063745019922</v>
      </c>
      <c r="O12" s="223">
        <f>L12/L29</f>
        <v>0.5146262166120585</v>
      </c>
      <c r="P12" s="165"/>
    </row>
    <row r="13" spans="2:16" ht="21.75" customHeight="1" thickBot="1">
      <c r="B13" s="172"/>
      <c r="C13" s="168">
        <v>100</v>
      </c>
      <c r="D13" s="169" t="s">
        <v>16</v>
      </c>
      <c r="E13" s="31"/>
      <c r="F13" s="398" t="s">
        <v>72</v>
      </c>
      <c r="G13" s="396">
        <f>+C13</f>
        <v>100</v>
      </c>
      <c r="H13" s="196">
        <f>'2010 Existing RatesPW'!B72</f>
        <v>0.018</v>
      </c>
      <c r="I13" s="501">
        <f>+G13*H13</f>
        <v>1.7999999999999998</v>
      </c>
      <c r="J13" s="201">
        <f>+C13</f>
        <v>100</v>
      </c>
      <c r="K13" s="195">
        <f>'Rate Schedule (Part 1) PW'!$E$13</f>
        <v>0.0167</v>
      </c>
      <c r="L13" s="214">
        <f>+J13*K13</f>
        <v>1.67</v>
      </c>
      <c r="M13" s="489">
        <f t="shared" si="0"/>
        <v>-0.1299999999999999</v>
      </c>
      <c r="N13" s="218">
        <f t="shared" si="1"/>
        <v>-0.07222222222222217</v>
      </c>
      <c r="O13" s="225">
        <f>L13/L29</f>
        <v>0.05192905025632252</v>
      </c>
      <c r="P13" s="165"/>
    </row>
    <row r="14" spans="2:16" ht="21.75" customHeight="1">
      <c r="B14" s="172"/>
      <c r="C14" s="369"/>
      <c r="D14" s="370"/>
      <c r="E14" s="31"/>
      <c r="F14" s="398" t="s">
        <v>246</v>
      </c>
      <c r="G14" s="396">
        <f>G13</f>
        <v>100</v>
      </c>
      <c r="H14" s="196">
        <f>'2010 Existing RatesPW'!B47</f>
        <v>0.0023</v>
      </c>
      <c r="I14" s="501">
        <f>+G14*H14</f>
        <v>0.22999999999999998</v>
      </c>
      <c r="J14" s="201">
        <f>J13</f>
        <v>100</v>
      </c>
      <c r="K14" s="195">
        <f>'Rate Schedule (Part 1) PW'!$E$14</f>
        <v>0.0003</v>
      </c>
      <c r="L14" s="214">
        <f>+J14*K14</f>
        <v>0.03</v>
      </c>
      <c r="M14" s="489">
        <f t="shared" si="0"/>
        <v>-0.19999999999999998</v>
      </c>
      <c r="N14" s="218">
        <f t="shared" si="1"/>
        <v>-0.8695652173913043</v>
      </c>
      <c r="O14" s="225">
        <f>L14/L29</f>
        <v>0.0009328571902333387</v>
      </c>
      <c r="P14" s="165"/>
    </row>
    <row r="15" spans="2:16" ht="21.75" customHeight="1">
      <c r="B15" s="172"/>
      <c r="C15" s="63"/>
      <c r="D15" s="64"/>
      <c r="E15" s="31"/>
      <c r="F15" s="398" t="s">
        <v>170</v>
      </c>
      <c r="G15" s="496"/>
      <c r="H15" s="219"/>
      <c r="I15" s="501">
        <f>'2010 Existing RatesPW'!B59</f>
        <v>1</v>
      </c>
      <c r="J15" s="220"/>
      <c r="K15" s="219"/>
      <c r="L15" s="214">
        <f>'Rate Schedule (Part 1) PW'!$E$16</f>
        <v>1</v>
      </c>
      <c r="M15" s="489">
        <f t="shared" si="0"/>
        <v>0</v>
      </c>
      <c r="N15" s="218">
        <f t="shared" si="1"/>
        <v>0</v>
      </c>
      <c r="O15" s="225">
        <f>L15/L29</f>
        <v>0.031095239674444625</v>
      </c>
      <c r="P15" s="165"/>
    </row>
    <row r="16" spans="2:16" ht="21.75" customHeight="1">
      <c r="B16" s="172"/>
      <c r="C16" s="63"/>
      <c r="D16" s="64"/>
      <c r="E16" s="31"/>
      <c r="F16" s="398" t="s">
        <v>162</v>
      </c>
      <c r="G16" s="396">
        <f>C13</f>
        <v>100</v>
      </c>
      <c r="H16" s="196"/>
      <c r="I16" s="502">
        <f>+G16*H16</f>
        <v>0</v>
      </c>
      <c r="J16" s="201">
        <f>C13</f>
        <v>100</v>
      </c>
      <c r="K16" s="195">
        <f>'Rate Schedule (Part 1) PW'!$E$15</f>
        <v>0</v>
      </c>
      <c r="L16" s="214">
        <f>J16*K16</f>
        <v>0</v>
      </c>
      <c r="M16" s="489">
        <f t="shared" si="0"/>
        <v>0</v>
      </c>
      <c r="N16" s="218" t="e">
        <f t="shared" si="1"/>
        <v>#DIV/0!</v>
      </c>
      <c r="O16" s="225">
        <f>L16/L29</f>
        <v>0</v>
      </c>
      <c r="P16" s="165"/>
    </row>
    <row r="17" spans="2:16" ht="25.5" customHeight="1">
      <c r="B17" s="172"/>
      <c r="C17" s="31"/>
      <c r="D17" s="31"/>
      <c r="E17" s="31"/>
      <c r="F17" s="398" t="s">
        <v>286</v>
      </c>
      <c r="G17" s="497">
        <f>+C13</f>
        <v>100</v>
      </c>
      <c r="H17" s="196">
        <f>'2010 Existing RatesPW'!B21</f>
        <v>-0.0064</v>
      </c>
      <c r="I17" s="501">
        <f>+G17*H17</f>
        <v>-0.64</v>
      </c>
      <c r="J17" s="505">
        <f>+C13</f>
        <v>100</v>
      </c>
      <c r="K17" s="196">
        <f>'Rate Schedule (Part 1) PW'!$E$18</f>
        <v>-0.0064</v>
      </c>
      <c r="L17" s="214">
        <f>+J17*K17</f>
        <v>-0.64</v>
      </c>
      <c r="M17" s="489">
        <f t="shared" si="0"/>
        <v>0</v>
      </c>
      <c r="N17" s="218">
        <f t="shared" si="1"/>
        <v>0</v>
      </c>
      <c r="O17" s="225">
        <f>L17/L29</f>
        <v>-0.01990095339164456</v>
      </c>
      <c r="P17" s="165"/>
    </row>
    <row r="18" spans="2:16" ht="27.75" customHeight="1">
      <c r="B18" s="172"/>
      <c r="C18" s="31"/>
      <c r="D18" s="31"/>
      <c r="E18" s="31"/>
      <c r="F18" s="398" t="s">
        <v>294</v>
      </c>
      <c r="G18" s="498">
        <f>C13</f>
        <v>100</v>
      </c>
      <c r="H18" s="488"/>
      <c r="I18" s="503">
        <f>+G18*H18</f>
        <v>0</v>
      </c>
      <c r="J18" s="372">
        <f>C13</f>
        <v>100</v>
      </c>
      <c r="K18" s="488">
        <f>'Rate Schedule (Part 1) PW'!E20</f>
        <v>0.0001</v>
      </c>
      <c r="L18" s="229">
        <f>+J18*K18</f>
        <v>0.01</v>
      </c>
      <c r="M18" s="489">
        <f t="shared" si="0"/>
        <v>0.01</v>
      </c>
      <c r="N18" s="218" t="e">
        <f>+M18/I18</f>
        <v>#DIV/0!</v>
      </c>
      <c r="O18" s="225">
        <f>L18/L29</f>
        <v>0.00031095239674444624</v>
      </c>
      <c r="P18" s="165"/>
    </row>
    <row r="19" spans="2:16" ht="26.25" customHeight="1">
      <c r="B19" s="172"/>
      <c r="C19" s="63"/>
      <c r="D19" s="64"/>
      <c r="E19" s="31"/>
      <c r="F19" s="398" t="s">
        <v>316</v>
      </c>
      <c r="G19" s="396">
        <f>C13</f>
        <v>100</v>
      </c>
      <c r="H19" s="196">
        <f>'2010 Existing RatesPW'!B34</f>
        <v>0.0007</v>
      </c>
      <c r="I19" s="210">
        <f>+G19*H19</f>
        <v>0.06999999999999999</v>
      </c>
      <c r="J19" s="201">
        <f>C13</f>
        <v>100</v>
      </c>
      <c r="K19" s="195">
        <f>'Rate Schedule (Part 1) PW'!E17</f>
        <v>0.0007</v>
      </c>
      <c r="L19" s="229">
        <f>+J19*K19</f>
        <v>0.06999999999999999</v>
      </c>
      <c r="M19" s="489">
        <f>+L19-I19</f>
        <v>0</v>
      </c>
      <c r="N19" s="218">
        <f>+M19/I19</f>
        <v>0</v>
      </c>
      <c r="O19" s="225">
        <f>L19/L29</f>
        <v>0.0021766667772111234</v>
      </c>
      <c r="P19" s="165"/>
    </row>
    <row r="20" spans="2:16" ht="27.75" customHeight="1" thickBot="1">
      <c r="B20" s="172"/>
      <c r="C20" s="31"/>
      <c r="D20" s="31"/>
      <c r="E20" s="31"/>
      <c r="F20" s="499" t="s">
        <v>317</v>
      </c>
      <c r="G20" s="498">
        <f>C13</f>
        <v>100</v>
      </c>
      <c r="H20" s="488"/>
      <c r="I20" s="503">
        <f>+G20*H20</f>
        <v>0</v>
      </c>
      <c r="J20" s="506">
        <f>C13</f>
        <v>100</v>
      </c>
      <c r="K20" s="507">
        <f>'Rate Schedule (Part 1) PW'!E19</f>
        <v>0.0016</v>
      </c>
      <c r="L20" s="508">
        <f>+J20*K20</f>
        <v>0.16</v>
      </c>
      <c r="M20" s="489">
        <f>+L20-I20</f>
        <v>0.16</v>
      </c>
      <c r="N20" s="218" t="e">
        <f>+M20/I20</f>
        <v>#DIV/0!</v>
      </c>
      <c r="O20" s="225">
        <f>L20/L29</f>
        <v>0.00497523834791114</v>
      </c>
      <c r="P20" s="165"/>
    </row>
    <row r="21" spans="2:16" ht="21.75" customHeight="1" thickBot="1">
      <c r="B21" s="172"/>
      <c r="C21" s="31"/>
      <c r="D21" s="31"/>
      <c r="E21" s="31"/>
      <c r="F21" s="233" t="s">
        <v>247</v>
      </c>
      <c r="G21" s="586"/>
      <c r="H21" s="587"/>
      <c r="I21" s="235">
        <f>SUM(I12:I20)</f>
        <v>12.5</v>
      </c>
      <c r="J21" s="586"/>
      <c r="K21" s="587"/>
      <c r="L21" s="235">
        <f>SUM(L12:L20)</f>
        <v>18.85</v>
      </c>
      <c r="M21" s="237">
        <f>SUM(M12:M20)</f>
        <v>6.350000000000001</v>
      </c>
      <c r="N21" s="238">
        <f t="shared" si="1"/>
        <v>0.5080000000000001</v>
      </c>
      <c r="O21" s="240">
        <f>L21/L29</f>
        <v>0.5861452678632812</v>
      </c>
      <c r="P21" s="165"/>
    </row>
    <row r="22" spans="2:16" ht="21.75" customHeight="1" thickBot="1">
      <c r="B22" s="172"/>
      <c r="C22" s="31"/>
      <c r="D22" s="31"/>
      <c r="E22" s="31"/>
      <c r="F22" s="199" t="s">
        <v>248</v>
      </c>
      <c r="G22" s="372">
        <f>C13*'Other Electriciy Rates PW'!$M$10</f>
        <v>106.01</v>
      </c>
      <c r="H22" s="373">
        <f>'Other Electriciy Rates PW'!$B$10</f>
        <v>0.0103</v>
      </c>
      <c r="I22" s="210">
        <f>+G22*H22</f>
        <v>1.091903</v>
      </c>
      <c r="J22" s="372">
        <f>'BILL IMPACTS PW'!C13*'Other Electriciy Rates PW'!$M$24</f>
        <v>105.59902750928698</v>
      </c>
      <c r="K22" s="494">
        <f>'Other Electriciy Rates PW'!$B$24</f>
        <v>0.010132682166659615</v>
      </c>
      <c r="L22" s="210">
        <f>+J22*K22</f>
        <v>1.0700013828599504</v>
      </c>
      <c r="M22" s="374">
        <f>+L22-I22</f>
        <v>-0.02190161714004968</v>
      </c>
      <c r="N22" s="222">
        <f t="shared" si="1"/>
        <v>-0.020058207679665388</v>
      </c>
      <c r="O22" s="223">
        <f>L22/L29</f>
        <v>0.03327194945201734</v>
      </c>
      <c r="P22" s="165"/>
    </row>
    <row r="23" spans="2:16" ht="21.75" customHeight="1" thickBot="1">
      <c r="B23" s="172"/>
      <c r="C23" s="31"/>
      <c r="D23" s="31"/>
      <c r="E23" s="31"/>
      <c r="F23" s="233" t="s">
        <v>249</v>
      </c>
      <c r="G23" s="586"/>
      <c r="H23" s="587"/>
      <c r="I23" s="235">
        <f>SUM(I21:I22)</f>
        <v>13.591903</v>
      </c>
      <c r="J23" s="586"/>
      <c r="K23" s="587"/>
      <c r="L23" s="235">
        <f>SUM(L21:L22)</f>
        <v>19.92000138285995</v>
      </c>
      <c r="M23" s="237">
        <f>SUM(M21:M22)</f>
        <v>6.3280983828599515</v>
      </c>
      <c r="N23" s="238">
        <f t="shared" si="1"/>
        <v>0.4655785420819992</v>
      </c>
      <c r="O23" s="375">
        <f>L23/L29</f>
        <v>0.6194172173152985</v>
      </c>
      <c r="P23" s="165"/>
    </row>
    <row r="24" spans="2:16" ht="21.75" customHeight="1">
      <c r="B24" s="172"/>
      <c r="C24" s="31"/>
      <c r="D24" s="31"/>
      <c r="E24" s="31"/>
      <c r="F24" s="200" t="s">
        <v>77</v>
      </c>
      <c r="G24" s="202">
        <f>+'Other Electriciy Rates PW'!$M$10*C13</f>
        <v>106.01</v>
      </c>
      <c r="H24" s="203">
        <f>'Other Electriciy Rates PW'!$C$10+'Other Electriciy Rates PW'!$E$10+'Other Electriciy Rates PW'!D10</f>
        <v>0.0138725</v>
      </c>
      <c r="I24" s="204">
        <f>+G24*H24</f>
        <v>1.470623725</v>
      </c>
      <c r="J24" s="202">
        <f>J22</f>
        <v>105.59902750928698</v>
      </c>
      <c r="K24" s="203">
        <f>'Other Electriciy Rates PW'!$C$24+'Other Electriciy Rates PW'!$E$24+'Other Electriciy Rates PW'!D24</f>
        <v>0.0135</v>
      </c>
      <c r="L24" s="229">
        <f>+J24*K24</f>
        <v>1.4255868713753743</v>
      </c>
      <c r="M24" s="230">
        <f>+L24-I24</f>
        <v>-0.04503685362462573</v>
      </c>
      <c r="N24" s="231">
        <f t="shared" si="1"/>
        <v>-0.030624321407996955</v>
      </c>
      <c r="O24" s="301">
        <f>L24/L29</f>
        <v>0.044328965442158925</v>
      </c>
      <c r="P24" s="165"/>
    </row>
    <row r="25" spans="2:16" ht="21.75" customHeight="1">
      <c r="B25" s="172"/>
      <c r="C25" s="31"/>
      <c r="D25" s="31"/>
      <c r="E25" s="31"/>
      <c r="F25" s="200" t="s">
        <v>321</v>
      </c>
      <c r="G25" s="220"/>
      <c r="H25" s="219"/>
      <c r="I25" s="299">
        <v>0.25</v>
      </c>
      <c r="J25" s="220"/>
      <c r="K25" s="219"/>
      <c r="L25" s="300">
        <v>0.25</v>
      </c>
      <c r="M25" s="230">
        <f>+L25-I25</f>
        <v>0</v>
      </c>
      <c r="N25" s="231">
        <f t="shared" si="1"/>
        <v>0</v>
      </c>
      <c r="O25" s="225">
        <f>L25/L29</f>
        <v>0.007773809918611156</v>
      </c>
      <c r="P25" s="165"/>
    </row>
    <row r="26" spans="2:16" ht="21.75" customHeight="1" thickBot="1">
      <c r="B26" s="172"/>
      <c r="C26" s="31"/>
      <c r="D26" s="31"/>
      <c r="E26" s="31"/>
      <c r="F26" s="199" t="s">
        <v>78</v>
      </c>
      <c r="G26" s="211">
        <f>+'Other Electriciy Rates PW'!$M$10*C13</f>
        <v>106.01</v>
      </c>
      <c r="H26" s="205">
        <f>'Other Electriciy Rates PW'!$K$10</f>
        <v>0.065</v>
      </c>
      <c r="I26" s="206">
        <f>+G26*H26</f>
        <v>6.890650000000001</v>
      </c>
      <c r="J26" s="211">
        <f>J24</f>
        <v>105.59902750928698</v>
      </c>
      <c r="K26" s="205">
        <f>'Other Electriciy Rates PW'!$K$24</f>
        <v>0.065</v>
      </c>
      <c r="L26" s="226">
        <f>+J26*K26</f>
        <v>6.863936788103654</v>
      </c>
      <c r="M26" s="227">
        <f>+L26-I26</f>
        <v>-0.026713211896346678</v>
      </c>
      <c r="N26" s="228">
        <f t="shared" si="1"/>
        <v>-0.0038767332394399187</v>
      </c>
      <c r="O26" s="241">
        <f>L26/L29</f>
        <v>0.21343575953632074</v>
      </c>
      <c r="P26" s="165"/>
    </row>
    <row r="27" spans="2:16" ht="21.75" customHeight="1" thickBot="1">
      <c r="B27" s="172"/>
      <c r="C27" s="31"/>
      <c r="D27" s="31"/>
      <c r="E27" s="31"/>
      <c r="F27" s="233" t="s">
        <v>195</v>
      </c>
      <c r="G27" s="586"/>
      <c r="H27" s="587"/>
      <c r="I27" s="235">
        <f>SUM(I23:I26)</f>
        <v>22.203176725</v>
      </c>
      <c r="J27" s="586"/>
      <c r="K27" s="587"/>
      <c r="L27" s="235">
        <f>SUM(L23:L26)</f>
        <v>28.459525042338978</v>
      </c>
      <c r="M27" s="235">
        <f>SUM(M23:M26)</f>
        <v>6.256348317338979</v>
      </c>
      <c r="N27" s="238">
        <f t="shared" si="1"/>
        <v>0.2817771706647072</v>
      </c>
      <c r="O27" s="375">
        <f>L27/L29</f>
        <v>0.8849557522123893</v>
      </c>
      <c r="P27" s="303"/>
    </row>
    <row r="28" spans="2:16" ht="21.75" customHeight="1" thickBot="1">
      <c r="B28" s="172"/>
      <c r="C28" s="31"/>
      <c r="D28" s="31"/>
      <c r="E28" s="31"/>
      <c r="F28" s="297" t="s">
        <v>274</v>
      </c>
      <c r="G28" s="298"/>
      <c r="H28" s="302">
        <v>0.13</v>
      </c>
      <c r="I28" s="299">
        <f>I27*H28</f>
        <v>2.8864129742499998</v>
      </c>
      <c r="J28" s="298"/>
      <c r="K28" s="302">
        <v>0.13</v>
      </c>
      <c r="L28" s="300">
        <f>L27*K28</f>
        <v>3.699738255504067</v>
      </c>
      <c r="M28" s="227">
        <f>+L28-I28</f>
        <v>0.8133252812540674</v>
      </c>
      <c r="N28" s="231">
        <f t="shared" si="1"/>
        <v>0.28177717066470725</v>
      </c>
      <c r="O28" s="241">
        <f>L28/L29</f>
        <v>0.11504424778761062</v>
      </c>
      <c r="P28" s="165"/>
    </row>
    <row r="29" spans="2:16" s="384" customFormat="1" ht="21.75" customHeight="1" thickBot="1">
      <c r="B29" s="376"/>
      <c r="C29" s="377"/>
      <c r="D29" s="377"/>
      <c r="E29" s="378"/>
      <c r="F29" s="379" t="s">
        <v>79</v>
      </c>
      <c r="G29" s="600"/>
      <c r="H29" s="601"/>
      <c r="I29" s="380">
        <f>SUM(I27:I28)</f>
        <v>25.08958969925</v>
      </c>
      <c r="J29" s="600"/>
      <c r="K29" s="601"/>
      <c r="L29" s="380">
        <f>SUM(L27:L28)</f>
        <v>32.15926329784305</v>
      </c>
      <c r="M29" s="380">
        <f>SUM(M27:M28)</f>
        <v>7.069673598593047</v>
      </c>
      <c r="N29" s="381">
        <f t="shared" si="1"/>
        <v>0.2817771706647072</v>
      </c>
      <c r="O29" s="382">
        <f>O27+O28</f>
        <v>0.9999999999999999</v>
      </c>
      <c r="P29" s="383"/>
    </row>
    <row r="30" spans="2:16" ht="9.75" customHeight="1" thickBot="1">
      <c r="B30" s="166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167"/>
    </row>
    <row r="31" ht="18" customHeight="1" thickBot="1"/>
    <row r="32" spans="2:16" ht="21.75" customHeight="1">
      <c r="B32" s="174"/>
      <c r="C32" s="603" t="s">
        <v>277</v>
      </c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164"/>
    </row>
    <row r="33" spans="2:16" ht="21.75" customHeight="1" thickBot="1">
      <c r="B33" s="172"/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165"/>
    </row>
    <row r="34" spans="2:16" ht="21.75" customHeight="1" thickBot="1">
      <c r="B34" s="172"/>
      <c r="C34" s="173"/>
      <c r="D34" s="173"/>
      <c r="E34" s="31"/>
      <c r="F34" s="37"/>
      <c r="G34" s="595" t="s">
        <v>198</v>
      </c>
      <c r="H34" s="596"/>
      <c r="I34" s="597"/>
      <c r="J34" s="595" t="s">
        <v>245</v>
      </c>
      <c r="K34" s="596"/>
      <c r="L34" s="597"/>
      <c r="M34" s="595" t="s">
        <v>73</v>
      </c>
      <c r="N34" s="596"/>
      <c r="O34" s="597"/>
      <c r="P34" s="165"/>
    </row>
    <row r="35" spans="2:16" ht="26.25" thickBot="1">
      <c r="B35" s="172"/>
      <c r="C35" s="31"/>
      <c r="D35" s="31"/>
      <c r="E35" s="33"/>
      <c r="F35" s="38"/>
      <c r="G35" s="213" t="s">
        <v>67</v>
      </c>
      <c r="H35" s="189" t="s">
        <v>68</v>
      </c>
      <c r="I35" s="190" t="s">
        <v>69</v>
      </c>
      <c r="J35" s="213" t="s">
        <v>67</v>
      </c>
      <c r="K35" s="189" t="s">
        <v>68</v>
      </c>
      <c r="L35" s="190" t="s">
        <v>69</v>
      </c>
      <c r="M35" s="215" t="s">
        <v>74</v>
      </c>
      <c r="N35" s="216" t="s">
        <v>75</v>
      </c>
      <c r="O35" s="217" t="s">
        <v>76</v>
      </c>
      <c r="P35" s="165"/>
    </row>
    <row r="36" spans="2:16" ht="21.75" customHeight="1" thickBot="1">
      <c r="B36" s="172"/>
      <c r="C36" s="593" t="s">
        <v>70</v>
      </c>
      <c r="D36" s="594"/>
      <c r="E36" s="31"/>
      <c r="F36" s="397" t="s">
        <v>71</v>
      </c>
      <c r="G36" s="495"/>
      <c r="H36" s="208"/>
      <c r="I36" s="500">
        <f>'2010 Existing RatesPW'!C8</f>
        <v>10.04</v>
      </c>
      <c r="J36" s="207"/>
      <c r="K36" s="208"/>
      <c r="L36" s="212">
        <f>'Rate Schedule (Part 1) PW'!$E$12</f>
        <v>16.55</v>
      </c>
      <c r="M36" s="504">
        <f aca="true" t="shared" si="2" ref="M36:M42">+L36-I36</f>
        <v>6.510000000000002</v>
      </c>
      <c r="N36" s="222">
        <f aca="true" t="shared" si="3" ref="N36:N53">+M36/I36</f>
        <v>0.6484063745019922</v>
      </c>
      <c r="O36" s="223">
        <f>L36/L53</f>
        <v>0.32950301347731153</v>
      </c>
      <c r="P36" s="165"/>
    </row>
    <row r="37" spans="2:16" ht="21.75" customHeight="1" thickBot="1">
      <c r="B37" s="172"/>
      <c r="C37" s="168">
        <v>250</v>
      </c>
      <c r="D37" s="169" t="s">
        <v>16</v>
      </c>
      <c r="E37" s="31"/>
      <c r="F37" s="398" t="s">
        <v>72</v>
      </c>
      <c r="G37" s="396">
        <f>+C37</f>
        <v>250</v>
      </c>
      <c r="H37" s="196">
        <f>'2010 Existing RatesPW'!B72</f>
        <v>0.018</v>
      </c>
      <c r="I37" s="501">
        <f>+G37*H37</f>
        <v>4.5</v>
      </c>
      <c r="J37" s="201">
        <f>+C37</f>
        <v>250</v>
      </c>
      <c r="K37" s="195">
        <f>'Rate Schedule (Part 1) PW'!$E$13</f>
        <v>0.0167</v>
      </c>
      <c r="L37" s="214">
        <f>+J37*K37</f>
        <v>4.175</v>
      </c>
      <c r="M37" s="489">
        <f t="shared" si="2"/>
        <v>-0.3250000000000002</v>
      </c>
      <c r="N37" s="218">
        <f t="shared" si="3"/>
        <v>-0.07222222222222226</v>
      </c>
      <c r="O37" s="225">
        <f>L37/L53</f>
        <v>0.0831223614059079</v>
      </c>
      <c r="P37" s="165"/>
    </row>
    <row r="38" spans="2:16" ht="21.75" customHeight="1">
      <c r="B38" s="172"/>
      <c r="C38" s="369"/>
      <c r="D38" s="370"/>
      <c r="E38" s="31"/>
      <c r="F38" s="398" t="s">
        <v>246</v>
      </c>
      <c r="G38" s="396">
        <f>G37</f>
        <v>250</v>
      </c>
      <c r="H38" s="196">
        <f>'2010 Existing RatesPW'!B47</f>
        <v>0.0023</v>
      </c>
      <c r="I38" s="501">
        <f>+G38*H38</f>
        <v>0.575</v>
      </c>
      <c r="J38" s="201">
        <f>J37</f>
        <v>250</v>
      </c>
      <c r="K38" s="195">
        <f>'Rate Schedule (Part 1) PW'!$E$14</f>
        <v>0.0003</v>
      </c>
      <c r="L38" s="214">
        <f>+J38*K38</f>
        <v>0.075</v>
      </c>
      <c r="M38" s="489">
        <f t="shared" si="2"/>
        <v>-0.49999999999999994</v>
      </c>
      <c r="N38" s="218">
        <f t="shared" si="3"/>
        <v>-0.8695652173913043</v>
      </c>
      <c r="O38" s="225">
        <f>L38/L53</f>
        <v>0.001493216073160022</v>
      </c>
      <c r="P38" s="165"/>
    </row>
    <row r="39" spans="2:16" ht="21.75" customHeight="1">
      <c r="B39" s="172"/>
      <c r="C39" s="63"/>
      <c r="D39" s="64"/>
      <c r="E39" s="31"/>
      <c r="F39" s="398" t="s">
        <v>170</v>
      </c>
      <c r="G39" s="496"/>
      <c r="H39" s="219"/>
      <c r="I39" s="501">
        <f>'2010 Existing RatesNF'!$B$57</f>
        <v>1</v>
      </c>
      <c r="J39" s="220"/>
      <c r="K39" s="219"/>
      <c r="L39" s="214">
        <f>'Rate Schedule (Part 1) PW'!$E$16</f>
        <v>1</v>
      </c>
      <c r="M39" s="489">
        <f t="shared" si="2"/>
        <v>0</v>
      </c>
      <c r="N39" s="218">
        <f t="shared" si="3"/>
        <v>0</v>
      </c>
      <c r="O39" s="225">
        <f>L39/L53</f>
        <v>0.019909547642133627</v>
      </c>
      <c r="P39" s="165"/>
    </row>
    <row r="40" spans="2:16" ht="21.75" customHeight="1">
      <c r="B40" s="172"/>
      <c r="C40" s="63"/>
      <c r="D40" s="64"/>
      <c r="E40" s="31"/>
      <c r="F40" s="398" t="s">
        <v>162</v>
      </c>
      <c r="G40" s="396">
        <f>C37</f>
        <v>250</v>
      </c>
      <c r="H40" s="196"/>
      <c r="I40" s="502">
        <f>+G40*H40</f>
        <v>0</v>
      </c>
      <c r="J40" s="201">
        <f>C37</f>
        <v>250</v>
      </c>
      <c r="K40" s="195">
        <f>'Rate Schedule (Part 1) PW'!$E$15</f>
        <v>0</v>
      </c>
      <c r="L40" s="214">
        <f>J40*K40</f>
        <v>0</v>
      </c>
      <c r="M40" s="489">
        <f t="shared" si="2"/>
        <v>0</v>
      </c>
      <c r="N40" s="218" t="e">
        <f t="shared" si="3"/>
        <v>#DIV/0!</v>
      </c>
      <c r="O40" s="225">
        <f>L40/L53</f>
        <v>0</v>
      </c>
      <c r="P40" s="165"/>
    </row>
    <row r="41" spans="2:16" ht="25.5" customHeight="1">
      <c r="B41" s="172"/>
      <c r="C41" s="31"/>
      <c r="D41" s="31"/>
      <c r="E41" s="31"/>
      <c r="F41" s="398" t="s">
        <v>286</v>
      </c>
      <c r="G41" s="497">
        <f>+C37</f>
        <v>250</v>
      </c>
      <c r="H41" s="196">
        <f>'2010 Existing RatesPW'!B21</f>
        <v>-0.0064</v>
      </c>
      <c r="I41" s="501">
        <f>+G41*H41</f>
        <v>-1.6</v>
      </c>
      <c r="J41" s="505">
        <f>+C37</f>
        <v>250</v>
      </c>
      <c r="K41" s="196">
        <f>'Rate Schedule (Part 1) PW'!$E$18</f>
        <v>-0.0064</v>
      </c>
      <c r="L41" s="214">
        <f>+J41*K41</f>
        <v>-1.6</v>
      </c>
      <c r="M41" s="489">
        <f t="shared" si="2"/>
        <v>0</v>
      </c>
      <c r="N41" s="218">
        <f t="shared" si="3"/>
        <v>0</v>
      </c>
      <c r="O41" s="225">
        <f>L41/L53</f>
        <v>-0.031855276227413805</v>
      </c>
      <c r="P41" s="165"/>
    </row>
    <row r="42" spans="2:16" ht="27.75" customHeight="1">
      <c r="B42" s="172"/>
      <c r="C42" s="31"/>
      <c r="D42" s="31"/>
      <c r="E42" s="31"/>
      <c r="F42" s="398" t="s">
        <v>294</v>
      </c>
      <c r="G42" s="498">
        <f>C37</f>
        <v>250</v>
      </c>
      <c r="H42" s="488"/>
      <c r="I42" s="503">
        <f>+G42*H42</f>
        <v>0</v>
      </c>
      <c r="J42" s="372">
        <f>C37</f>
        <v>250</v>
      </c>
      <c r="K42" s="488">
        <f>'Rate Schedule (Part 1) PW'!E20</f>
        <v>0.0001</v>
      </c>
      <c r="L42" s="229">
        <f>+J42*K42</f>
        <v>0.025</v>
      </c>
      <c r="M42" s="489">
        <f t="shared" si="2"/>
        <v>0.025</v>
      </c>
      <c r="N42" s="218" t="e">
        <f>+M42/I42</f>
        <v>#DIV/0!</v>
      </c>
      <c r="O42" s="225">
        <f>L42/L53</f>
        <v>0.0004977386910533407</v>
      </c>
      <c r="P42" s="165"/>
    </row>
    <row r="43" spans="2:16" ht="26.25" customHeight="1">
      <c r="B43" s="172"/>
      <c r="C43" s="63"/>
      <c r="D43" s="64"/>
      <c r="E43" s="31"/>
      <c r="F43" s="398" t="s">
        <v>316</v>
      </c>
      <c r="G43" s="396">
        <f>C37</f>
        <v>250</v>
      </c>
      <c r="H43" s="196">
        <f>'2010 Existing RatesPW'!B34</f>
        <v>0.0007</v>
      </c>
      <c r="I43" s="502">
        <f>+G43*H43</f>
        <v>0.175</v>
      </c>
      <c r="J43" s="201">
        <f>C37</f>
        <v>250</v>
      </c>
      <c r="K43" s="195">
        <f>'Rate Schedule (Part 1) PW'!E17</f>
        <v>0.0007</v>
      </c>
      <c r="L43" s="214">
        <f>+J43*K43</f>
        <v>0.175</v>
      </c>
      <c r="M43" s="489">
        <f>+L43-I43</f>
        <v>0</v>
      </c>
      <c r="N43" s="218">
        <f>+M43/I43</f>
        <v>0</v>
      </c>
      <c r="O43" s="225">
        <f>L43/L53</f>
        <v>0.0034841708373733846</v>
      </c>
      <c r="P43" s="165"/>
    </row>
    <row r="44" spans="2:16" ht="27.75" customHeight="1" thickBot="1">
      <c r="B44" s="172"/>
      <c r="C44" s="31"/>
      <c r="D44" s="31"/>
      <c r="E44" s="31"/>
      <c r="F44" s="499" t="s">
        <v>317</v>
      </c>
      <c r="G44" s="498">
        <f>C37</f>
        <v>250</v>
      </c>
      <c r="H44" s="488"/>
      <c r="I44" s="502">
        <f>+G44*H44</f>
        <v>0</v>
      </c>
      <c r="J44" s="506">
        <f>C37</f>
        <v>250</v>
      </c>
      <c r="K44" s="507">
        <f>'Rate Schedule (Part 1) PW'!E19</f>
        <v>0.0016</v>
      </c>
      <c r="L44" s="509">
        <f>+J44*K44</f>
        <v>0.4</v>
      </c>
      <c r="M44" s="489">
        <f>+L44-I44</f>
        <v>0.4</v>
      </c>
      <c r="N44" s="218" t="e">
        <f>+M44/I44</f>
        <v>#DIV/0!</v>
      </c>
      <c r="O44" s="225">
        <f>L44/L53</f>
        <v>0.007963819056853451</v>
      </c>
      <c r="P44" s="165"/>
    </row>
    <row r="45" spans="2:16" ht="21.75" customHeight="1" thickBot="1">
      <c r="B45" s="172"/>
      <c r="C45" s="31"/>
      <c r="D45" s="31"/>
      <c r="E45" s="31"/>
      <c r="F45" s="233" t="s">
        <v>247</v>
      </c>
      <c r="G45" s="586"/>
      <c r="H45" s="587"/>
      <c r="I45" s="235">
        <f>SUM(I36:I44)</f>
        <v>14.69</v>
      </c>
      <c r="J45" s="586"/>
      <c r="K45" s="587"/>
      <c r="L45" s="235">
        <f>SUM(L36:L44)</f>
        <v>20.799999999999997</v>
      </c>
      <c r="M45" s="237">
        <f>SUM(M36:M44)</f>
        <v>6.110000000000002</v>
      </c>
      <c r="N45" s="238">
        <f t="shared" si="3"/>
        <v>0.41592920353982316</v>
      </c>
      <c r="O45" s="240">
        <f>L45/L53</f>
        <v>0.4141185909563794</v>
      </c>
      <c r="P45" s="165"/>
    </row>
    <row r="46" spans="2:16" ht="21.75" customHeight="1" thickBot="1">
      <c r="B46" s="172"/>
      <c r="C46" s="31"/>
      <c r="D46" s="31"/>
      <c r="E46" s="31"/>
      <c r="F46" s="199" t="s">
        <v>248</v>
      </c>
      <c r="G46" s="372">
        <f>C37*'Other Electriciy Rates PW'!$M$10</f>
        <v>265.02500000000003</v>
      </c>
      <c r="H46" s="373">
        <f>'Other Electriciy Rates PW'!$B$10</f>
        <v>0.0103</v>
      </c>
      <c r="I46" s="210">
        <f>+G46*H46</f>
        <v>2.7297575000000003</v>
      </c>
      <c r="J46" s="372">
        <f>'BILL IMPACTS PW'!C37*'Other Electriciy Rates PW'!$M$24</f>
        <v>263.99756877321744</v>
      </c>
      <c r="K46" s="494">
        <f>'Other Electriciy Rates PW'!$B$24</f>
        <v>0.010132682166659615</v>
      </c>
      <c r="L46" s="210">
        <f>+J46*K46</f>
        <v>2.6750034571498755</v>
      </c>
      <c r="M46" s="374">
        <f>+L46-I46</f>
        <v>-0.05475404285012475</v>
      </c>
      <c r="N46" s="222">
        <f t="shared" si="3"/>
        <v>-0.020058207679665593</v>
      </c>
      <c r="O46" s="223">
        <f>L46/L53</f>
        <v>0.05325810877299761</v>
      </c>
      <c r="P46" s="165"/>
    </row>
    <row r="47" spans="2:16" ht="21.75" customHeight="1" thickBot="1">
      <c r="B47" s="172"/>
      <c r="C47" s="31"/>
      <c r="D47" s="31"/>
      <c r="E47" s="31"/>
      <c r="F47" s="233" t="s">
        <v>249</v>
      </c>
      <c r="G47" s="586"/>
      <c r="H47" s="587"/>
      <c r="I47" s="235">
        <f>SUM(I45:I46)</f>
        <v>17.4197575</v>
      </c>
      <c r="J47" s="586"/>
      <c r="K47" s="587"/>
      <c r="L47" s="235">
        <f>SUM(L45:L46)</f>
        <v>23.475003457149874</v>
      </c>
      <c r="M47" s="237">
        <f>SUM(M45:M46)</f>
        <v>6.055245957149877</v>
      </c>
      <c r="N47" s="238">
        <f t="shared" si="3"/>
        <v>0.3476079363992224</v>
      </c>
      <c r="O47" s="375">
        <f>L47/L53</f>
        <v>0.46737669972937707</v>
      </c>
      <c r="P47" s="165"/>
    </row>
    <row r="48" spans="2:16" ht="21.75" customHeight="1">
      <c r="B48" s="172"/>
      <c r="C48" s="31"/>
      <c r="D48" s="31"/>
      <c r="E48" s="31"/>
      <c r="F48" s="200" t="s">
        <v>77</v>
      </c>
      <c r="G48" s="202">
        <f>+'Other Electriciy Rates PW'!$M$10*C37</f>
        <v>265.02500000000003</v>
      </c>
      <c r="H48" s="203">
        <f>'Other Electriciy Rates PW'!$C$10+'Other Electriciy Rates PW'!$E$10+'Other Electriciy Rates PW'!D10</f>
        <v>0.0138725</v>
      </c>
      <c r="I48" s="204">
        <f>+G48*H48</f>
        <v>3.6765593125000002</v>
      </c>
      <c r="J48" s="202">
        <f>J46</f>
        <v>263.99756877321744</v>
      </c>
      <c r="K48" s="203">
        <f>'Other Electriciy Rates PW'!$C$24+'Other Electriciy Rates PW'!$E$24+'Other Electriciy Rates PW'!D24</f>
        <v>0.0135</v>
      </c>
      <c r="L48" s="229">
        <f>+J48*K48</f>
        <v>3.5639671784384355</v>
      </c>
      <c r="M48" s="230">
        <f>+L48-I48</f>
        <v>-0.11259213406156476</v>
      </c>
      <c r="N48" s="231">
        <f t="shared" si="3"/>
        <v>-0.030624321407997073</v>
      </c>
      <c r="O48" s="301">
        <f>L48/L53</f>
        <v>0.07095697433412058</v>
      </c>
      <c r="P48" s="165"/>
    </row>
    <row r="49" spans="2:16" ht="21.75" customHeight="1">
      <c r="B49" s="172"/>
      <c r="C49" s="31"/>
      <c r="D49" s="31"/>
      <c r="E49" s="31"/>
      <c r="F49" s="200" t="s">
        <v>321</v>
      </c>
      <c r="G49" s="220"/>
      <c r="H49" s="219"/>
      <c r="I49" s="299">
        <v>0.25</v>
      </c>
      <c r="J49" s="220"/>
      <c r="K49" s="219"/>
      <c r="L49" s="300">
        <v>0.25</v>
      </c>
      <c r="M49" s="230">
        <f>+L49-I49</f>
        <v>0</v>
      </c>
      <c r="N49" s="231">
        <f t="shared" si="3"/>
        <v>0</v>
      </c>
      <c r="O49" s="225">
        <f>L49/L53</f>
        <v>0.004977386910533407</v>
      </c>
      <c r="P49" s="165"/>
    </row>
    <row r="50" spans="2:16" ht="21.75" customHeight="1" thickBot="1">
      <c r="B50" s="172"/>
      <c r="C50" s="31"/>
      <c r="D50" s="31"/>
      <c r="E50" s="31"/>
      <c r="F50" s="199" t="s">
        <v>78</v>
      </c>
      <c r="G50" s="211">
        <f>+'Other Electriciy Rates PW'!$M$10*C37</f>
        <v>265.02500000000003</v>
      </c>
      <c r="H50" s="205">
        <f>'Other Electriciy Rates PW'!$K$10</f>
        <v>0.065</v>
      </c>
      <c r="I50" s="206">
        <f>+G50*H50</f>
        <v>17.226625000000002</v>
      </c>
      <c r="J50" s="211">
        <f>J48</f>
        <v>263.99756877321744</v>
      </c>
      <c r="K50" s="205">
        <f>'Other Electriciy Rates PW'!$K$24</f>
        <v>0.065</v>
      </c>
      <c r="L50" s="226">
        <f>+J50*K50</f>
        <v>17.159841970259134</v>
      </c>
      <c r="M50" s="227">
        <f>+L50-I50</f>
        <v>-0.06678302974086847</v>
      </c>
      <c r="N50" s="228">
        <f t="shared" si="3"/>
        <v>-0.003876733239440022</v>
      </c>
      <c r="O50" s="241">
        <f>L50/L53</f>
        <v>0.3416446912383584</v>
      </c>
      <c r="P50" s="165"/>
    </row>
    <row r="51" spans="2:16" ht="21.75" customHeight="1" thickBot="1">
      <c r="B51" s="172"/>
      <c r="C51" s="31"/>
      <c r="D51" s="31"/>
      <c r="E51" s="31"/>
      <c r="F51" s="233" t="s">
        <v>195</v>
      </c>
      <c r="G51" s="586"/>
      <c r="H51" s="587"/>
      <c r="I51" s="235">
        <f>SUM(I47:I50)</f>
        <v>38.572941812500005</v>
      </c>
      <c r="J51" s="586"/>
      <c r="K51" s="587"/>
      <c r="L51" s="235">
        <f>SUM(L47:L50)</f>
        <v>44.44881260584744</v>
      </c>
      <c r="M51" s="235">
        <f>SUM(M47:M50)</f>
        <v>5.875870793347444</v>
      </c>
      <c r="N51" s="238">
        <f t="shared" si="3"/>
        <v>0.15233141464577898</v>
      </c>
      <c r="O51" s="375">
        <f>L51/L53</f>
        <v>0.8849557522123894</v>
      </c>
      <c r="P51" s="303"/>
    </row>
    <row r="52" spans="2:16" ht="21.75" customHeight="1" thickBot="1">
      <c r="B52" s="172"/>
      <c r="C52" s="31"/>
      <c r="D52" s="31"/>
      <c r="E52" s="31"/>
      <c r="F52" s="297" t="str">
        <f>F28</f>
        <v>HST</v>
      </c>
      <c r="G52" s="298"/>
      <c r="H52" s="302">
        <v>0.13</v>
      </c>
      <c r="I52" s="299">
        <f>I51*H52</f>
        <v>5.014482435625001</v>
      </c>
      <c r="J52" s="298"/>
      <c r="K52" s="302">
        <v>0.13</v>
      </c>
      <c r="L52" s="300">
        <f>L51*K52</f>
        <v>5.778345638760168</v>
      </c>
      <c r="M52" s="227">
        <f>+L52-I52</f>
        <v>0.7638632031351671</v>
      </c>
      <c r="N52" s="231">
        <f t="shared" si="3"/>
        <v>0.15233141464577885</v>
      </c>
      <c r="O52" s="241">
        <f>L52/L53</f>
        <v>0.11504424778761063</v>
      </c>
      <c r="P52" s="165"/>
    </row>
    <row r="53" spans="2:17" ht="21.75" customHeight="1" thickBot="1">
      <c r="B53" s="376"/>
      <c r="C53" s="377"/>
      <c r="D53" s="377"/>
      <c r="E53" s="378"/>
      <c r="F53" s="379" t="s">
        <v>79</v>
      </c>
      <c r="G53" s="600"/>
      <c r="H53" s="601"/>
      <c r="I53" s="380">
        <f>SUM(I51:I52)</f>
        <v>43.587424248125004</v>
      </c>
      <c r="J53" s="600"/>
      <c r="K53" s="601"/>
      <c r="L53" s="380">
        <f>SUM(L51:L52)</f>
        <v>50.22715824460761</v>
      </c>
      <c r="M53" s="380">
        <f>SUM(M51:M52)</f>
        <v>6.639733996482611</v>
      </c>
      <c r="N53" s="381">
        <f t="shared" si="3"/>
        <v>0.15233141464577898</v>
      </c>
      <c r="O53" s="382">
        <f>O51+O52</f>
        <v>1</v>
      </c>
      <c r="P53" s="383"/>
      <c r="Q53" s="384"/>
    </row>
    <row r="54" spans="2:16" ht="10.5" customHeight="1" thickBot="1">
      <c r="B54" s="166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167"/>
    </row>
    <row r="55" ht="21.75" customHeight="1" thickBot="1"/>
    <row r="56" spans="2:16" ht="22.5" customHeight="1">
      <c r="B56" s="174"/>
      <c r="C56" s="603" t="s">
        <v>277</v>
      </c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164"/>
    </row>
    <row r="57" spans="2:16" ht="18" customHeight="1" thickBot="1">
      <c r="B57" s="172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165"/>
    </row>
    <row r="58" spans="2:16" ht="18" customHeight="1" thickBot="1">
      <c r="B58" s="172"/>
      <c r="C58" s="173"/>
      <c r="D58" s="173"/>
      <c r="E58" s="31"/>
      <c r="F58" s="37"/>
      <c r="G58" s="595" t="s">
        <v>198</v>
      </c>
      <c r="H58" s="596"/>
      <c r="I58" s="597"/>
      <c r="J58" s="595" t="s">
        <v>245</v>
      </c>
      <c r="K58" s="596"/>
      <c r="L58" s="597"/>
      <c r="M58" s="595" t="s">
        <v>73</v>
      </c>
      <c r="N58" s="596"/>
      <c r="O58" s="597"/>
      <c r="P58" s="165"/>
    </row>
    <row r="59" spans="2:16" ht="26.25" thickBot="1">
      <c r="B59" s="172"/>
      <c r="C59" s="31"/>
      <c r="D59" s="31"/>
      <c r="E59" s="33"/>
      <c r="F59" s="38"/>
      <c r="G59" s="213" t="s">
        <v>67</v>
      </c>
      <c r="H59" s="189" t="s">
        <v>68</v>
      </c>
      <c r="I59" s="190" t="s">
        <v>69</v>
      </c>
      <c r="J59" s="213" t="s">
        <v>67</v>
      </c>
      <c r="K59" s="189" t="s">
        <v>68</v>
      </c>
      <c r="L59" s="190" t="s">
        <v>69</v>
      </c>
      <c r="M59" s="215" t="s">
        <v>74</v>
      </c>
      <c r="N59" s="216" t="s">
        <v>75</v>
      </c>
      <c r="O59" s="217" t="s">
        <v>76</v>
      </c>
      <c r="P59" s="165"/>
    </row>
    <row r="60" spans="2:16" ht="18" customHeight="1" thickBot="1">
      <c r="B60" s="172"/>
      <c r="C60" s="593" t="s">
        <v>70</v>
      </c>
      <c r="D60" s="594"/>
      <c r="E60" s="31"/>
      <c r="F60" s="397" t="s">
        <v>71</v>
      </c>
      <c r="G60" s="495"/>
      <c r="H60" s="208"/>
      <c r="I60" s="500">
        <f>'2010 Existing RatesPW'!C8</f>
        <v>10.04</v>
      </c>
      <c r="J60" s="207"/>
      <c r="K60" s="208"/>
      <c r="L60" s="212">
        <f>'Rate Schedule (Part 1) PW'!$E$12</f>
        <v>16.55</v>
      </c>
      <c r="M60" s="504">
        <f aca="true" t="shared" si="4" ref="M60:M66">+L60-I60</f>
        <v>6.510000000000002</v>
      </c>
      <c r="N60" s="222">
        <f aca="true" t="shared" si="5" ref="N60:N77">+M60/I60</f>
        <v>0.6484063745019922</v>
      </c>
      <c r="O60" s="223">
        <f>L60/L77</f>
        <v>0.2059986906103569</v>
      </c>
      <c r="P60" s="165"/>
    </row>
    <row r="61" spans="2:16" ht="18" customHeight="1" thickBot="1">
      <c r="B61" s="172"/>
      <c r="C61" s="168">
        <v>500</v>
      </c>
      <c r="D61" s="169" t="s">
        <v>16</v>
      </c>
      <c r="E61" s="31"/>
      <c r="F61" s="398" t="s">
        <v>72</v>
      </c>
      <c r="G61" s="396">
        <f>+C61</f>
        <v>500</v>
      </c>
      <c r="H61" s="196">
        <f>'2010 Existing RatesPW'!B72</f>
        <v>0.018</v>
      </c>
      <c r="I61" s="501">
        <f>+G61*H61</f>
        <v>9</v>
      </c>
      <c r="J61" s="201">
        <f>+C61</f>
        <v>500</v>
      </c>
      <c r="K61" s="195">
        <f>'Rate Schedule (Part 1) PW'!$E$13</f>
        <v>0.0167</v>
      </c>
      <c r="L61" s="214">
        <f>+J61*K61</f>
        <v>8.35</v>
      </c>
      <c r="M61" s="489">
        <f t="shared" si="4"/>
        <v>-0.6500000000000004</v>
      </c>
      <c r="N61" s="218">
        <f t="shared" si="5"/>
        <v>-0.07222222222222226</v>
      </c>
      <c r="O61" s="225">
        <f>L61/L77</f>
        <v>0.10393287411459093</v>
      </c>
      <c r="P61" s="165"/>
    </row>
    <row r="62" spans="2:16" ht="18" customHeight="1">
      <c r="B62" s="172"/>
      <c r="C62" s="369"/>
      <c r="D62" s="370"/>
      <c r="E62" s="31"/>
      <c r="F62" s="398" t="s">
        <v>246</v>
      </c>
      <c r="G62" s="396">
        <f>G61</f>
        <v>500</v>
      </c>
      <c r="H62" s="196">
        <f>'2010 Existing RatesPW'!B47</f>
        <v>0.0023</v>
      </c>
      <c r="I62" s="501">
        <f>+G62*H62</f>
        <v>1.15</v>
      </c>
      <c r="J62" s="201">
        <f>J61</f>
        <v>500</v>
      </c>
      <c r="K62" s="195">
        <f>'Rate Schedule (Part 1) PW'!$E$14</f>
        <v>0.0003</v>
      </c>
      <c r="L62" s="214">
        <f>+J62*K62</f>
        <v>0.15</v>
      </c>
      <c r="M62" s="489">
        <f t="shared" si="4"/>
        <v>-0.9999999999999999</v>
      </c>
      <c r="N62" s="218">
        <f t="shared" si="5"/>
        <v>-0.8695652173913043</v>
      </c>
      <c r="O62" s="225">
        <f>L62/L77</f>
        <v>0.0018670576188249868</v>
      </c>
      <c r="P62" s="165"/>
    </row>
    <row r="63" spans="2:16" ht="18" customHeight="1">
      <c r="B63" s="172"/>
      <c r="C63" s="63"/>
      <c r="D63" s="64"/>
      <c r="E63" s="31"/>
      <c r="F63" s="398" t="s">
        <v>170</v>
      </c>
      <c r="G63" s="496"/>
      <c r="H63" s="219"/>
      <c r="I63" s="501">
        <f>'2010 Existing RatesNF'!$B$57</f>
        <v>1</v>
      </c>
      <c r="J63" s="220"/>
      <c r="K63" s="219"/>
      <c r="L63" s="214">
        <f>'Rate Schedule (Part 1) PW'!$E$16</f>
        <v>1</v>
      </c>
      <c r="M63" s="489">
        <f t="shared" si="4"/>
        <v>0</v>
      </c>
      <c r="N63" s="218">
        <f t="shared" si="5"/>
        <v>0</v>
      </c>
      <c r="O63" s="225">
        <f>L63/L77</f>
        <v>0.012447050792166578</v>
      </c>
      <c r="P63" s="165"/>
    </row>
    <row r="64" spans="2:16" ht="18" customHeight="1">
      <c r="B64" s="172"/>
      <c r="C64" s="63"/>
      <c r="D64" s="64"/>
      <c r="E64" s="31"/>
      <c r="F64" s="398" t="s">
        <v>162</v>
      </c>
      <c r="G64" s="396">
        <f>C61</f>
        <v>500</v>
      </c>
      <c r="H64" s="196"/>
      <c r="I64" s="502">
        <f>+G64*H64</f>
        <v>0</v>
      </c>
      <c r="J64" s="201">
        <f>C61</f>
        <v>500</v>
      </c>
      <c r="K64" s="195">
        <f>'Rate Schedule (Part 1) PW'!$E$15</f>
        <v>0</v>
      </c>
      <c r="L64" s="214">
        <f>J64*K64</f>
        <v>0</v>
      </c>
      <c r="M64" s="489">
        <f t="shared" si="4"/>
        <v>0</v>
      </c>
      <c r="N64" s="218" t="e">
        <f t="shared" si="5"/>
        <v>#DIV/0!</v>
      </c>
      <c r="O64" s="225">
        <f>L64/L77</f>
        <v>0</v>
      </c>
      <c r="P64" s="165"/>
    </row>
    <row r="65" spans="2:16" ht="25.5" customHeight="1">
      <c r="B65" s="172"/>
      <c r="C65" s="31"/>
      <c r="D65" s="31"/>
      <c r="E65" s="31"/>
      <c r="F65" s="398" t="s">
        <v>286</v>
      </c>
      <c r="G65" s="497">
        <f>+C61</f>
        <v>500</v>
      </c>
      <c r="H65" s="196">
        <f>'2010 Existing RatesPW'!B21</f>
        <v>-0.0064</v>
      </c>
      <c r="I65" s="501">
        <f>+G65*H65</f>
        <v>-3.2</v>
      </c>
      <c r="J65" s="505">
        <f>+C61</f>
        <v>500</v>
      </c>
      <c r="K65" s="196">
        <f>'Rate Schedule (Part 1) PW'!$E$18</f>
        <v>-0.0064</v>
      </c>
      <c r="L65" s="214">
        <f>+J65*K65</f>
        <v>-3.2</v>
      </c>
      <c r="M65" s="489">
        <f t="shared" si="4"/>
        <v>0</v>
      </c>
      <c r="N65" s="218">
        <f t="shared" si="5"/>
        <v>0</v>
      </c>
      <c r="O65" s="225">
        <f>L65/L77</f>
        <v>-0.039830562534933056</v>
      </c>
      <c r="P65" s="165"/>
    </row>
    <row r="66" spans="2:16" ht="27.75" customHeight="1">
      <c r="B66" s="172"/>
      <c r="C66" s="31"/>
      <c r="D66" s="31"/>
      <c r="E66" s="31"/>
      <c r="F66" s="398" t="s">
        <v>294</v>
      </c>
      <c r="G66" s="498">
        <f>C61</f>
        <v>500</v>
      </c>
      <c r="H66" s="488"/>
      <c r="I66" s="503">
        <f>+G66*H66</f>
        <v>0</v>
      </c>
      <c r="J66" s="372">
        <f>C61</f>
        <v>500</v>
      </c>
      <c r="K66" s="488">
        <f>'Rate Schedule (Part 1) PW'!E20</f>
        <v>0.0001</v>
      </c>
      <c r="L66" s="229">
        <f>+J66*K66</f>
        <v>0.05</v>
      </c>
      <c r="M66" s="489">
        <f t="shared" si="4"/>
        <v>0.05</v>
      </c>
      <c r="N66" s="218" t="e">
        <f>+M66/I66</f>
        <v>#DIV/0!</v>
      </c>
      <c r="O66" s="225">
        <f>L66/L77</f>
        <v>0.000622352539608329</v>
      </c>
      <c r="P66" s="165"/>
    </row>
    <row r="67" spans="2:16" ht="26.25" customHeight="1">
      <c r="B67" s="172"/>
      <c r="C67" s="63"/>
      <c r="D67" s="64"/>
      <c r="E67" s="31"/>
      <c r="F67" s="398" t="s">
        <v>316</v>
      </c>
      <c r="G67" s="396">
        <f>C61</f>
        <v>500</v>
      </c>
      <c r="H67" s="196">
        <f>'2010 Existing RatesPW'!B34</f>
        <v>0.0007</v>
      </c>
      <c r="I67" s="502">
        <f>+G67*H67</f>
        <v>0.35</v>
      </c>
      <c r="J67" s="201">
        <f>C61</f>
        <v>500</v>
      </c>
      <c r="K67" s="195">
        <f>'Rate Schedule (Part 1) PW'!E17</f>
        <v>0.0007</v>
      </c>
      <c r="L67" s="214">
        <f>+J67*K67</f>
        <v>0.35</v>
      </c>
      <c r="M67" s="489">
        <f>+L67-I67</f>
        <v>0</v>
      </c>
      <c r="N67" s="218">
        <f>+M67/I67</f>
        <v>0</v>
      </c>
      <c r="O67" s="225">
        <f>L67/L77</f>
        <v>0.004356467777258302</v>
      </c>
      <c r="P67" s="165"/>
    </row>
    <row r="68" spans="2:16" ht="27.75" customHeight="1" thickBot="1">
      <c r="B68" s="172"/>
      <c r="C68" s="31"/>
      <c r="D68" s="31"/>
      <c r="E68" s="31"/>
      <c r="F68" s="499" t="s">
        <v>317</v>
      </c>
      <c r="G68" s="498">
        <f>C61</f>
        <v>500</v>
      </c>
      <c r="H68" s="488"/>
      <c r="I68" s="502">
        <f>+G68*H68</f>
        <v>0</v>
      </c>
      <c r="J68" s="506">
        <f>C61</f>
        <v>500</v>
      </c>
      <c r="K68" s="507">
        <f>'Rate Schedule (Part 1) PW'!E19</f>
        <v>0.0016</v>
      </c>
      <c r="L68" s="509">
        <f>+J68*K68</f>
        <v>0.8</v>
      </c>
      <c r="M68" s="489">
        <f>+L68-I68</f>
        <v>0.8</v>
      </c>
      <c r="N68" s="218" t="e">
        <f>+M68/I68</f>
        <v>#DIV/0!</v>
      </c>
      <c r="O68" s="225">
        <f>L68/L77</f>
        <v>0.009957640633733264</v>
      </c>
      <c r="P68" s="165"/>
    </row>
    <row r="69" spans="2:16" ht="18" customHeight="1" thickBot="1">
      <c r="B69" s="172"/>
      <c r="C69" s="31"/>
      <c r="D69" s="31"/>
      <c r="E69" s="31"/>
      <c r="F69" s="233" t="s">
        <v>247</v>
      </c>
      <c r="G69" s="586"/>
      <c r="H69" s="587"/>
      <c r="I69" s="235">
        <f>SUM(I60:I68)</f>
        <v>18.34</v>
      </c>
      <c r="J69" s="586"/>
      <c r="K69" s="587"/>
      <c r="L69" s="235">
        <f>SUM(L60:L68)</f>
        <v>24.05</v>
      </c>
      <c r="M69" s="237">
        <f>SUM(M60:M68)</f>
        <v>5.710000000000001</v>
      </c>
      <c r="N69" s="238">
        <f t="shared" si="5"/>
        <v>0.31134133042529993</v>
      </c>
      <c r="O69" s="240">
        <f>L69/L77</f>
        <v>0.29935157155160624</v>
      </c>
      <c r="P69" s="165"/>
    </row>
    <row r="70" spans="2:16" ht="18" customHeight="1" thickBot="1">
      <c r="B70" s="172"/>
      <c r="C70" s="31"/>
      <c r="D70" s="31"/>
      <c r="E70" s="31"/>
      <c r="F70" s="199" t="s">
        <v>248</v>
      </c>
      <c r="G70" s="372">
        <f>C61*'Other Electriciy Rates PW'!$M$10</f>
        <v>530.0500000000001</v>
      </c>
      <c r="H70" s="373">
        <f>'Other Electriciy Rates PW'!$B$10</f>
        <v>0.0103</v>
      </c>
      <c r="I70" s="210">
        <f>+G70*H70</f>
        <v>5.459515000000001</v>
      </c>
      <c r="J70" s="372">
        <f>'BILL IMPACTS PW'!C61*'Other Electriciy Rates PW'!$M$24</f>
        <v>527.9951375464349</v>
      </c>
      <c r="K70" s="494">
        <f>'Other Electriciy Rates PW'!$B$24</f>
        <v>0.010132682166659615</v>
      </c>
      <c r="L70" s="210">
        <f>+J70*K70</f>
        <v>5.350006914299751</v>
      </c>
      <c r="M70" s="374">
        <f>+L70-I70</f>
        <v>-0.1095080857002495</v>
      </c>
      <c r="N70" s="222">
        <f t="shared" si="5"/>
        <v>-0.020058207679665593</v>
      </c>
      <c r="O70" s="223">
        <f>L70/L77</f>
        <v>0.06659180780073139</v>
      </c>
      <c r="P70" s="165"/>
    </row>
    <row r="71" spans="2:16" ht="18" customHeight="1" thickBot="1">
      <c r="B71" s="172"/>
      <c r="C71" s="31"/>
      <c r="D71" s="31"/>
      <c r="E71" s="31"/>
      <c r="F71" s="233" t="s">
        <v>249</v>
      </c>
      <c r="G71" s="586"/>
      <c r="H71" s="587"/>
      <c r="I71" s="235">
        <f>SUM(I69:I70)</f>
        <v>23.799515</v>
      </c>
      <c r="J71" s="586"/>
      <c r="K71" s="587"/>
      <c r="L71" s="235">
        <f>SUM(L69:L70)</f>
        <v>29.40000691429975</v>
      </c>
      <c r="M71" s="237">
        <f>SUM(M69:M70)</f>
        <v>5.600491914299751</v>
      </c>
      <c r="N71" s="238">
        <f t="shared" si="5"/>
        <v>0.2353195816931459</v>
      </c>
      <c r="O71" s="375">
        <f>L71/L77</f>
        <v>0.3659433793523376</v>
      </c>
      <c r="P71" s="165"/>
    </row>
    <row r="72" spans="2:16" ht="18" customHeight="1">
      <c r="B72" s="172"/>
      <c r="C72" s="31"/>
      <c r="D72" s="31"/>
      <c r="E72" s="31"/>
      <c r="F72" s="200" t="s">
        <v>77</v>
      </c>
      <c r="G72" s="202">
        <f>+'Other Electriciy Rates PW'!$M$10*C61</f>
        <v>530.0500000000001</v>
      </c>
      <c r="H72" s="203">
        <f>'Other Electriciy Rates PW'!$C$10+'Other Electriciy Rates PW'!$E$10+'Other Electriciy Rates PW'!D10</f>
        <v>0.0138725</v>
      </c>
      <c r="I72" s="204">
        <f>+G72*H72</f>
        <v>7.3531186250000005</v>
      </c>
      <c r="J72" s="202">
        <f>J70</f>
        <v>527.9951375464349</v>
      </c>
      <c r="K72" s="203">
        <f>'Other Electriciy Rates PW'!$C$24+'Other Electriciy Rates PW'!$E$24+'Other Electriciy Rates PW'!D24</f>
        <v>0.0135</v>
      </c>
      <c r="L72" s="229">
        <f>+J72*K72</f>
        <v>7.127934356876871</v>
      </c>
      <c r="M72" s="230">
        <f>+L72-I72</f>
        <v>-0.22518426812312953</v>
      </c>
      <c r="N72" s="231">
        <f t="shared" si="5"/>
        <v>-0.030624321407997073</v>
      </c>
      <c r="O72" s="301">
        <f>L72/L77</f>
        <v>0.08872176098327562</v>
      </c>
      <c r="P72" s="165"/>
    </row>
    <row r="73" spans="2:16" ht="21.75" customHeight="1">
      <c r="B73" s="172"/>
      <c r="C73" s="31"/>
      <c r="D73" s="31"/>
      <c r="E73" s="31"/>
      <c r="F73" s="200" t="s">
        <v>321</v>
      </c>
      <c r="G73" s="220"/>
      <c r="H73" s="219"/>
      <c r="I73" s="299">
        <v>0.25</v>
      </c>
      <c r="J73" s="220"/>
      <c r="K73" s="219"/>
      <c r="L73" s="300">
        <v>0.25</v>
      </c>
      <c r="M73" s="230">
        <f>+L73-I73</f>
        <v>0</v>
      </c>
      <c r="N73" s="231">
        <f t="shared" si="5"/>
        <v>0</v>
      </c>
      <c r="O73" s="225">
        <f>L73/L77</f>
        <v>0.0031117626980416446</v>
      </c>
      <c r="P73" s="165"/>
    </row>
    <row r="74" spans="2:16" ht="18" customHeight="1" thickBot="1">
      <c r="B74" s="172"/>
      <c r="C74" s="31"/>
      <c r="D74" s="31"/>
      <c r="E74" s="31"/>
      <c r="F74" s="199" t="s">
        <v>78</v>
      </c>
      <c r="G74" s="211">
        <f>+'Other Electriciy Rates PW'!$M$10*C61</f>
        <v>530.0500000000001</v>
      </c>
      <c r="H74" s="205">
        <f>'Other Electriciy Rates PW'!$K$10</f>
        <v>0.065</v>
      </c>
      <c r="I74" s="206">
        <f>+G74*H74</f>
        <v>34.453250000000004</v>
      </c>
      <c r="J74" s="211">
        <f>J72</f>
        <v>527.9951375464349</v>
      </c>
      <c r="K74" s="205">
        <f>'Other Electriciy Rates PW'!$K$24</f>
        <v>0.065</v>
      </c>
      <c r="L74" s="226">
        <f>+J74*K74</f>
        <v>34.31968394051827</v>
      </c>
      <c r="M74" s="227">
        <f>+L74-I74</f>
        <v>-0.13356605948173694</v>
      </c>
      <c r="N74" s="228">
        <f t="shared" si="5"/>
        <v>-0.003876733239440022</v>
      </c>
      <c r="O74" s="241">
        <f>L74/L77</f>
        <v>0.4271788491787345</v>
      </c>
      <c r="P74" s="165"/>
    </row>
    <row r="75" spans="2:16" ht="18" customHeight="1" thickBot="1">
      <c r="B75" s="172"/>
      <c r="C75" s="31"/>
      <c r="D75" s="31"/>
      <c r="E75" s="31"/>
      <c r="F75" s="233" t="s">
        <v>195</v>
      </c>
      <c r="G75" s="586"/>
      <c r="H75" s="587"/>
      <c r="I75" s="235">
        <f>SUM(I71:I74)</f>
        <v>65.855883625</v>
      </c>
      <c r="J75" s="586"/>
      <c r="K75" s="587"/>
      <c r="L75" s="235">
        <f>SUM(L71:L74)</f>
        <v>71.09762521169489</v>
      </c>
      <c r="M75" s="235">
        <f>SUM(M71:M74)</f>
        <v>5.241741586694885</v>
      </c>
      <c r="N75" s="238">
        <f t="shared" si="5"/>
        <v>0.07959412733025772</v>
      </c>
      <c r="O75" s="375">
        <f>L75/L77</f>
        <v>0.8849557522123894</v>
      </c>
      <c r="P75" s="303"/>
    </row>
    <row r="76" spans="2:16" ht="18" customHeight="1" thickBot="1">
      <c r="B76" s="172"/>
      <c r="C76" s="31"/>
      <c r="D76" s="31"/>
      <c r="E76" s="31"/>
      <c r="F76" s="297" t="s">
        <v>274</v>
      </c>
      <c r="G76" s="298"/>
      <c r="H76" s="302">
        <v>0.13</v>
      </c>
      <c r="I76" s="299">
        <f>I75*H76</f>
        <v>8.561264871250001</v>
      </c>
      <c r="J76" s="298"/>
      <c r="K76" s="302">
        <v>0.13</v>
      </c>
      <c r="L76" s="300">
        <f>L75*K76</f>
        <v>9.242691277520336</v>
      </c>
      <c r="M76" s="227">
        <f>+L76-I76</f>
        <v>0.6814264062703348</v>
      </c>
      <c r="N76" s="231">
        <f t="shared" si="5"/>
        <v>0.07959412733025768</v>
      </c>
      <c r="O76" s="241">
        <f>L76/L77</f>
        <v>0.11504424778761063</v>
      </c>
      <c r="P76" s="165"/>
    </row>
    <row r="77" spans="2:16" ht="18" customHeight="1" thickBot="1">
      <c r="B77" s="376"/>
      <c r="C77" s="377"/>
      <c r="D77" s="377"/>
      <c r="E77" s="378"/>
      <c r="F77" s="379" t="s">
        <v>79</v>
      </c>
      <c r="G77" s="600"/>
      <c r="H77" s="601"/>
      <c r="I77" s="380">
        <f>SUM(I75:I76)</f>
        <v>74.41714849625001</v>
      </c>
      <c r="J77" s="600"/>
      <c r="K77" s="601"/>
      <c r="L77" s="380">
        <f>SUM(L75:L76)</f>
        <v>80.34031648921523</v>
      </c>
      <c r="M77" s="380">
        <f>SUM(M75:M76)</f>
        <v>5.92316799296522</v>
      </c>
      <c r="N77" s="381">
        <f t="shared" si="5"/>
        <v>0.07959412733025771</v>
      </c>
      <c r="O77" s="382">
        <f>O75+O76</f>
        <v>1</v>
      </c>
      <c r="P77" s="383"/>
    </row>
    <row r="78" spans="2:16" ht="18" customHeight="1" thickBot="1">
      <c r="B78" s="166"/>
      <c r="C78" s="602"/>
      <c r="D78" s="602"/>
      <c r="E78" s="60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167"/>
    </row>
    <row r="79" ht="18" customHeight="1" thickBot="1"/>
    <row r="80" spans="2:16" ht="6.75" customHeight="1" thickBot="1">
      <c r="B80" s="174"/>
      <c r="C80" s="592"/>
      <c r="D80" s="592"/>
      <c r="E80" s="592"/>
      <c r="F80" s="592"/>
      <c r="G80" s="592"/>
      <c r="H80" s="592"/>
      <c r="I80" s="592"/>
      <c r="J80" s="592"/>
      <c r="K80" s="592"/>
      <c r="L80" s="592"/>
      <c r="M80" s="592"/>
      <c r="N80" s="592"/>
      <c r="O80" s="592"/>
      <c r="P80" s="164"/>
    </row>
    <row r="81" spans="2:16" ht="23.25">
      <c r="B81" s="172"/>
      <c r="C81" s="603" t="s">
        <v>277</v>
      </c>
      <c r="D81" s="603"/>
      <c r="E81" s="603"/>
      <c r="F81" s="603"/>
      <c r="G81" s="603"/>
      <c r="H81" s="603"/>
      <c r="I81" s="603"/>
      <c r="J81" s="603"/>
      <c r="K81" s="603"/>
      <c r="L81" s="603"/>
      <c r="M81" s="603"/>
      <c r="N81" s="603"/>
      <c r="O81" s="603"/>
      <c r="P81" s="165"/>
    </row>
    <row r="82" spans="2:16" ht="6.75" customHeight="1" thickBot="1">
      <c r="B82" s="172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  <c r="N82" s="590"/>
      <c r="O82" s="590"/>
      <c r="P82" s="165"/>
    </row>
    <row r="83" spans="2:16" ht="21" thickBot="1">
      <c r="B83" s="172"/>
      <c r="C83" s="173"/>
      <c r="D83" s="173"/>
      <c r="E83" s="31"/>
      <c r="F83" s="37"/>
      <c r="G83" s="595" t="str">
        <f>$G$10</f>
        <v>2010 BILL</v>
      </c>
      <c r="H83" s="596"/>
      <c r="I83" s="597"/>
      <c r="J83" s="595" t="str">
        <f>$J$10</f>
        <v>2011 BILL</v>
      </c>
      <c r="K83" s="596"/>
      <c r="L83" s="597"/>
      <c r="M83" s="595" t="s">
        <v>73</v>
      </c>
      <c r="N83" s="596"/>
      <c r="O83" s="597"/>
      <c r="P83" s="165"/>
    </row>
    <row r="84" spans="2:16" ht="26.25" thickBot="1">
      <c r="B84" s="172"/>
      <c r="C84" s="31"/>
      <c r="D84" s="31"/>
      <c r="E84" s="33"/>
      <c r="F84" s="38"/>
      <c r="G84" s="188" t="s">
        <v>67</v>
      </c>
      <c r="H84" s="189" t="s">
        <v>68</v>
      </c>
      <c r="I84" s="190" t="s">
        <v>69</v>
      </c>
      <c r="J84" s="191" t="s">
        <v>67</v>
      </c>
      <c r="K84" s="189" t="s">
        <v>68</v>
      </c>
      <c r="L84" s="190" t="s">
        <v>69</v>
      </c>
      <c r="M84" s="192" t="s">
        <v>80</v>
      </c>
      <c r="N84" s="193" t="s">
        <v>81</v>
      </c>
      <c r="O84" s="194" t="s">
        <v>76</v>
      </c>
      <c r="P84" s="165"/>
    </row>
    <row r="85" spans="2:16" ht="18" customHeight="1" thickBot="1">
      <c r="B85" s="172"/>
      <c r="C85" s="593" t="s">
        <v>70</v>
      </c>
      <c r="D85" s="594"/>
      <c r="E85" s="31"/>
      <c r="F85" s="397" t="s">
        <v>71</v>
      </c>
      <c r="G85" s="495"/>
      <c r="H85" s="208"/>
      <c r="I85" s="500">
        <f>'2010 Existing RatesPW'!C8</f>
        <v>10.04</v>
      </c>
      <c r="J85" s="207"/>
      <c r="K85" s="208"/>
      <c r="L85" s="212">
        <f>'Rate Schedule (Part 1) PW'!$E$12</f>
        <v>16.55</v>
      </c>
      <c r="M85" s="504">
        <f aca="true" t="shared" si="6" ref="M85:M91">+L85-I85</f>
        <v>6.510000000000002</v>
      </c>
      <c r="N85" s="222">
        <f aca="true" t="shared" si="7" ref="N85:N103">+M85/I85</f>
        <v>0.6484063745019922</v>
      </c>
      <c r="O85" s="223">
        <f>L85/L103</f>
        <v>0.14695045531800546</v>
      </c>
      <c r="P85" s="165"/>
    </row>
    <row r="86" spans="2:16" ht="18" customHeight="1" thickBot="1">
      <c r="B86" s="172"/>
      <c r="C86" s="170">
        <v>750</v>
      </c>
      <c r="D86" s="171" t="s">
        <v>16</v>
      </c>
      <c r="E86" s="31"/>
      <c r="F86" s="398" t="s">
        <v>72</v>
      </c>
      <c r="G86" s="396">
        <f>+C86</f>
        <v>750</v>
      </c>
      <c r="H86" s="196">
        <f>'2010 Existing RatesPW'!B72</f>
        <v>0.018</v>
      </c>
      <c r="I86" s="501">
        <f>+G86*H86</f>
        <v>13.499999999999998</v>
      </c>
      <c r="J86" s="201">
        <f>+C86</f>
        <v>750</v>
      </c>
      <c r="K86" s="195">
        <f>'Rate Schedule (Part 1) PW'!$E$13</f>
        <v>0.0167</v>
      </c>
      <c r="L86" s="214">
        <f>+J86*K86</f>
        <v>12.525</v>
      </c>
      <c r="M86" s="489">
        <f t="shared" si="6"/>
        <v>-0.9749999999999979</v>
      </c>
      <c r="N86" s="218">
        <f t="shared" si="7"/>
        <v>-0.07222222222222208</v>
      </c>
      <c r="O86" s="225">
        <f>L86/L103</f>
        <v>0.11121174941740293</v>
      </c>
      <c r="P86" s="165"/>
    </row>
    <row r="87" spans="2:16" ht="18" customHeight="1">
      <c r="B87" s="172"/>
      <c r="C87" s="63"/>
      <c r="D87" s="64"/>
      <c r="E87" s="31"/>
      <c r="F87" s="398" t="s">
        <v>246</v>
      </c>
      <c r="G87" s="396">
        <f>G86</f>
        <v>750</v>
      </c>
      <c r="H87" s="196">
        <f>'2010 Existing RatesPW'!B47</f>
        <v>0.0023</v>
      </c>
      <c r="I87" s="501">
        <f>+G87*H87</f>
        <v>1.7249999999999999</v>
      </c>
      <c r="J87" s="201">
        <f>J86</f>
        <v>750</v>
      </c>
      <c r="K87" s="195">
        <f>'Rate Schedule (Part 1) PW'!$E$14</f>
        <v>0.0003</v>
      </c>
      <c r="L87" s="214">
        <f>+J87*K87</f>
        <v>0.22499999999999998</v>
      </c>
      <c r="M87" s="489">
        <f t="shared" si="6"/>
        <v>-1.5</v>
      </c>
      <c r="N87" s="218">
        <f t="shared" si="7"/>
        <v>-0.8695652173913044</v>
      </c>
      <c r="O87" s="225">
        <f>L87/L103</f>
        <v>0.001997815857797657</v>
      </c>
      <c r="P87" s="165"/>
    </row>
    <row r="88" spans="2:16" ht="18" customHeight="1">
      <c r="B88" s="172"/>
      <c r="C88" s="63"/>
      <c r="D88" s="64"/>
      <c r="E88" s="31"/>
      <c r="F88" s="398" t="s">
        <v>170</v>
      </c>
      <c r="G88" s="496"/>
      <c r="H88" s="219"/>
      <c r="I88" s="501">
        <f>'2010 Existing RatesNF'!$B$57</f>
        <v>1</v>
      </c>
      <c r="J88" s="220"/>
      <c r="K88" s="219"/>
      <c r="L88" s="214">
        <f>'Rate Schedule (Part 1) PW'!$E$16</f>
        <v>1</v>
      </c>
      <c r="M88" s="489">
        <f t="shared" si="6"/>
        <v>0</v>
      </c>
      <c r="N88" s="218">
        <f t="shared" si="7"/>
        <v>0</v>
      </c>
      <c r="O88" s="225">
        <f>L88/L103</f>
        <v>0.00887918159021181</v>
      </c>
      <c r="P88" s="165"/>
    </row>
    <row r="89" spans="2:16" ht="18" customHeight="1">
      <c r="B89" s="172"/>
      <c r="C89" s="31"/>
      <c r="D89" s="31"/>
      <c r="E89" s="31"/>
      <c r="F89" s="398" t="s">
        <v>162</v>
      </c>
      <c r="G89" s="396">
        <f>C86</f>
        <v>750</v>
      </c>
      <c r="H89" s="196"/>
      <c r="I89" s="502">
        <f>+G89*H89</f>
        <v>0</v>
      </c>
      <c r="J89" s="201">
        <f>C86</f>
        <v>750</v>
      </c>
      <c r="K89" s="195">
        <f>'Rate Schedule (Part 1) PW'!$E$15</f>
        <v>0</v>
      </c>
      <c r="L89" s="214">
        <f>J89*K89</f>
        <v>0</v>
      </c>
      <c r="M89" s="489">
        <f t="shared" si="6"/>
        <v>0</v>
      </c>
      <c r="N89" s="218" t="e">
        <f t="shared" si="7"/>
        <v>#DIV/0!</v>
      </c>
      <c r="O89" s="225">
        <f>L89/L103</f>
        <v>0</v>
      </c>
      <c r="P89" s="165"/>
    </row>
    <row r="90" spans="2:16" ht="25.5" customHeight="1">
      <c r="B90" s="172"/>
      <c r="C90" s="31"/>
      <c r="D90" s="31"/>
      <c r="E90" s="31"/>
      <c r="F90" s="398" t="s">
        <v>286</v>
      </c>
      <c r="G90" s="497">
        <f>+C86</f>
        <v>750</v>
      </c>
      <c r="H90" s="196">
        <f>'2010 Existing RatesPW'!B21</f>
        <v>-0.0064</v>
      </c>
      <c r="I90" s="501">
        <f>+G90*H90</f>
        <v>-4.8</v>
      </c>
      <c r="J90" s="505">
        <f>+C86</f>
        <v>750</v>
      </c>
      <c r="K90" s="196">
        <f>'Rate Schedule (Part 1) PW'!$E$18</f>
        <v>-0.0064</v>
      </c>
      <c r="L90" s="214">
        <f>+J90*K90</f>
        <v>-4.8</v>
      </c>
      <c r="M90" s="489">
        <f t="shared" si="6"/>
        <v>0</v>
      </c>
      <c r="N90" s="218">
        <f t="shared" si="7"/>
        <v>0</v>
      </c>
      <c r="O90" s="225">
        <f>L90/L103</f>
        <v>-0.04262007163301669</v>
      </c>
      <c r="P90" s="165"/>
    </row>
    <row r="91" spans="2:16" ht="27.75" customHeight="1">
      <c r="B91" s="172"/>
      <c r="C91" s="31"/>
      <c r="D91" s="31"/>
      <c r="E91" s="31"/>
      <c r="F91" s="398" t="s">
        <v>294</v>
      </c>
      <c r="G91" s="498">
        <f>C86</f>
        <v>750</v>
      </c>
      <c r="H91" s="488"/>
      <c r="I91" s="503">
        <f>+G91*H91</f>
        <v>0</v>
      </c>
      <c r="J91" s="372">
        <f>C86</f>
        <v>750</v>
      </c>
      <c r="K91" s="488">
        <f>'Rate Schedule (Part 1) PW'!E20</f>
        <v>0.0001</v>
      </c>
      <c r="L91" s="229">
        <f>+J91*K91</f>
        <v>0.075</v>
      </c>
      <c r="M91" s="489">
        <f t="shared" si="6"/>
        <v>0.075</v>
      </c>
      <c r="N91" s="218" t="e">
        <f>+M91/I91</f>
        <v>#DIV/0!</v>
      </c>
      <c r="O91" s="225">
        <f>L91/L103</f>
        <v>0.0006659386192658858</v>
      </c>
      <c r="P91" s="165"/>
    </row>
    <row r="92" spans="2:16" ht="26.25" customHeight="1">
      <c r="B92" s="172"/>
      <c r="C92" s="63"/>
      <c r="D92" s="64"/>
      <c r="E92" s="31"/>
      <c r="F92" s="398" t="s">
        <v>316</v>
      </c>
      <c r="G92" s="396">
        <f>C86</f>
        <v>750</v>
      </c>
      <c r="H92" s="196">
        <f>'2010 Existing RatesPW'!B34</f>
        <v>0.0007</v>
      </c>
      <c r="I92" s="502">
        <f>+G92*H92</f>
        <v>0.525</v>
      </c>
      <c r="J92" s="201">
        <f>C86</f>
        <v>750</v>
      </c>
      <c r="K92" s="195">
        <f>'Rate Schedule (Part 1) PW'!E17</f>
        <v>0.0007</v>
      </c>
      <c r="L92" s="214">
        <f>+J92*K92</f>
        <v>0.525</v>
      </c>
      <c r="M92" s="489">
        <f>+L92-I92</f>
        <v>0</v>
      </c>
      <c r="N92" s="218">
        <f>+M92/I92</f>
        <v>0</v>
      </c>
      <c r="O92" s="225">
        <f>L92/L103</f>
        <v>0.004661570334861201</v>
      </c>
      <c r="P92" s="165"/>
    </row>
    <row r="93" spans="2:16" ht="27.75" customHeight="1" thickBot="1">
      <c r="B93" s="172"/>
      <c r="C93" s="31"/>
      <c r="D93" s="31"/>
      <c r="E93" s="31"/>
      <c r="F93" s="499" t="s">
        <v>317</v>
      </c>
      <c r="G93" s="498">
        <f>C86</f>
        <v>750</v>
      </c>
      <c r="H93" s="488"/>
      <c r="I93" s="502">
        <f>+G93*H93</f>
        <v>0</v>
      </c>
      <c r="J93" s="506">
        <f>C86</f>
        <v>750</v>
      </c>
      <c r="K93" s="507">
        <f>'Rate Schedule (Part 1) PW'!E19</f>
        <v>0.0016</v>
      </c>
      <c r="L93" s="509">
        <f>+J93*K93</f>
        <v>1.2</v>
      </c>
      <c r="M93" s="489">
        <f>+L93-I93</f>
        <v>1.2</v>
      </c>
      <c r="N93" s="218" t="e">
        <f>+M93/I93</f>
        <v>#DIV/0!</v>
      </c>
      <c r="O93" s="225">
        <f>L93/L103</f>
        <v>0.010655017908254173</v>
      </c>
      <c r="P93" s="165"/>
    </row>
    <row r="94" spans="1:16" ht="18" customHeight="1" thickBot="1">
      <c r="A94" s="165"/>
      <c r="F94" s="233" t="s">
        <v>247</v>
      </c>
      <c r="G94" s="586"/>
      <c r="H94" s="587"/>
      <c r="I94" s="235">
        <f>SUM(I85:I93)</f>
        <v>21.99</v>
      </c>
      <c r="J94" s="586"/>
      <c r="K94" s="587"/>
      <c r="L94" s="235">
        <f>SUM(L85:L93)</f>
        <v>27.3</v>
      </c>
      <c r="M94" s="237">
        <f>SUM(M85:M93)</f>
        <v>5.310000000000004</v>
      </c>
      <c r="N94" s="238">
        <f t="shared" si="7"/>
        <v>0.24147339699863596</v>
      </c>
      <c r="O94" s="240">
        <f>L94/L103</f>
        <v>0.24240165741278244</v>
      </c>
      <c r="P94" s="385"/>
    </row>
    <row r="95" spans="1:16" ht="18" customHeight="1" thickBot="1">
      <c r="A95" s="165"/>
      <c r="F95" s="199" t="s">
        <v>248</v>
      </c>
      <c r="G95" s="372">
        <f>C86*'Other Electriciy Rates PW'!$M$10</f>
        <v>795.075</v>
      </c>
      <c r="H95" s="373">
        <f>'Other Electriciy Rates PW'!$B$10</f>
        <v>0.0103</v>
      </c>
      <c r="I95" s="210">
        <f>+G95*H95</f>
        <v>8.189272500000001</v>
      </c>
      <c r="J95" s="372">
        <f>'BILL IMPACTS PW'!C86*'Other Electriciy Rates PW'!$M$24</f>
        <v>791.9927063196524</v>
      </c>
      <c r="K95" s="494">
        <f>'Other Electriciy Rates PW'!$B$24</f>
        <v>0.010132682166659615</v>
      </c>
      <c r="L95" s="210">
        <f>+J95*K95</f>
        <v>8.025010371449628</v>
      </c>
      <c r="M95" s="374">
        <f>+L95-I95</f>
        <v>-0.16426212855037292</v>
      </c>
      <c r="N95" s="222">
        <f t="shared" si="7"/>
        <v>-0.020058207679665426</v>
      </c>
      <c r="O95" s="223">
        <f>L95/L103</f>
        <v>0.07125552435143438</v>
      </c>
      <c r="P95" s="385"/>
    </row>
    <row r="96" spans="1:16" ht="18" customHeight="1" thickBot="1">
      <c r="A96" s="165"/>
      <c r="F96" s="233" t="s">
        <v>249</v>
      </c>
      <c r="G96" s="586"/>
      <c r="H96" s="587"/>
      <c r="I96" s="235">
        <f>SUM(I94:I95)</f>
        <v>30.1792725</v>
      </c>
      <c r="J96" s="586"/>
      <c r="K96" s="587"/>
      <c r="L96" s="235">
        <f>SUM(L94:L95)</f>
        <v>35.32501037144963</v>
      </c>
      <c r="M96" s="237">
        <f>SUM(M94:M95)</f>
        <v>5.145737871449631</v>
      </c>
      <c r="N96" s="238">
        <f t="shared" si="7"/>
        <v>0.17050569630032106</v>
      </c>
      <c r="O96" s="375">
        <f>L96/L103</f>
        <v>0.3136571817642168</v>
      </c>
      <c r="P96" s="385"/>
    </row>
    <row r="97" spans="1:16" ht="18" customHeight="1">
      <c r="A97" s="165"/>
      <c r="F97" s="200" t="s">
        <v>77</v>
      </c>
      <c r="G97" s="517">
        <f>+'Other Electriciy Rates PW'!$M$10*C86</f>
        <v>795.075</v>
      </c>
      <c r="H97" s="518">
        <f>'Other Electriciy Rates PW'!$C$10+'Other Electriciy Rates PW'!$E$10+'Other Electriciy Rates PW'!D10</f>
        <v>0.0138725</v>
      </c>
      <c r="I97" s="209">
        <f>+G97*H97</f>
        <v>11.0296779375</v>
      </c>
      <c r="J97" s="517">
        <f>J95</f>
        <v>791.9927063196524</v>
      </c>
      <c r="K97" s="518">
        <f>'Other Electriciy Rates PW'!$C$24+'Other Electriciy Rates PW'!$E$24+'Other Electriciy Rates PW'!D24</f>
        <v>0.0135</v>
      </c>
      <c r="L97" s="212">
        <f>+J97*K97</f>
        <v>10.691901535315306</v>
      </c>
      <c r="M97" s="513">
        <f>+L97-I97</f>
        <v>-0.3377764021846943</v>
      </c>
      <c r="N97" s="231">
        <f t="shared" si="7"/>
        <v>-0.030624321407997073</v>
      </c>
      <c r="O97" s="301">
        <f>L97/L103</f>
        <v>0.09493533527672905</v>
      </c>
      <c r="P97" s="385"/>
    </row>
    <row r="98" spans="2:16" ht="21.75" customHeight="1">
      <c r="B98" s="172"/>
      <c r="C98" s="31"/>
      <c r="D98" s="31"/>
      <c r="E98" s="31"/>
      <c r="F98" s="200" t="s">
        <v>321</v>
      </c>
      <c r="G98" s="220"/>
      <c r="H98" s="219"/>
      <c r="I98" s="210">
        <v>0.25</v>
      </c>
      <c r="J98" s="220"/>
      <c r="K98" s="219"/>
      <c r="L98" s="214">
        <v>0.25</v>
      </c>
      <c r="M98" s="513">
        <f>+L98-I98</f>
        <v>0</v>
      </c>
      <c r="N98" s="231">
        <f t="shared" si="7"/>
        <v>0</v>
      </c>
      <c r="O98" s="225">
        <f>L98/L103</f>
        <v>0.0022197953975529525</v>
      </c>
      <c r="P98" s="165"/>
    </row>
    <row r="99" spans="1:16" ht="18" customHeight="1">
      <c r="A99" s="165"/>
      <c r="B99" s="25"/>
      <c r="C99" s="31"/>
      <c r="D99" s="31"/>
      <c r="E99" s="31"/>
      <c r="F99" s="197" t="s">
        <v>78</v>
      </c>
      <c r="G99" s="202">
        <v>600</v>
      </c>
      <c r="H99" s="203">
        <f>'Other Electriciy Rates PW'!$K$11</f>
        <v>0.065</v>
      </c>
      <c r="I99" s="204">
        <f>+G99*H99</f>
        <v>39</v>
      </c>
      <c r="J99" s="202">
        <v>600</v>
      </c>
      <c r="K99" s="203">
        <f>'Other Electriciy Rates PW'!$K$24</f>
        <v>0.065</v>
      </c>
      <c r="L99" s="229">
        <f>+J99*K99</f>
        <v>39</v>
      </c>
      <c r="M99" s="513">
        <f>+L99-I99</f>
        <v>0</v>
      </c>
      <c r="N99" s="231">
        <f t="shared" si="7"/>
        <v>0</v>
      </c>
      <c r="O99" s="232">
        <f>L99/L103</f>
        <v>0.3462880820182606</v>
      </c>
      <c r="P99" s="385"/>
    </row>
    <row r="100" spans="2:16" ht="18" customHeight="1" thickBot="1">
      <c r="B100" s="172"/>
      <c r="C100" s="31"/>
      <c r="D100" s="31"/>
      <c r="E100" s="31"/>
      <c r="F100" s="197" t="s">
        <v>78</v>
      </c>
      <c r="G100" s="519">
        <f>G97-G99</f>
        <v>195.07500000000005</v>
      </c>
      <c r="H100" s="520">
        <f>'Other Electriciy Rates PW'!$L$10</f>
        <v>0.075</v>
      </c>
      <c r="I100" s="521">
        <f>+G100*H100</f>
        <v>14.630625000000002</v>
      </c>
      <c r="J100" s="519">
        <f>J97-J99</f>
        <v>191.99270631965237</v>
      </c>
      <c r="K100" s="520">
        <f>'Other Electriciy Rates PW'!$L$24</f>
        <v>0.075</v>
      </c>
      <c r="L100" s="508">
        <f>+J100*K100</f>
        <v>14.399452973973927</v>
      </c>
      <c r="M100" s="513">
        <f>+L100-I100</f>
        <v>-0.23117202602607456</v>
      </c>
      <c r="N100" s="231">
        <f t="shared" si="7"/>
        <v>-0.01580055712083896</v>
      </c>
      <c r="O100" s="232">
        <f>L100/L103</f>
        <v>0.12785535775563</v>
      </c>
      <c r="P100" s="165"/>
    </row>
    <row r="101" spans="2:16" ht="18" customHeight="1" thickBot="1">
      <c r="B101" s="172"/>
      <c r="C101" s="31"/>
      <c r="D101" s="31"/>
      <c r="E101" s="31"/>
      <c r="F101" s="233" t="s">
        <v>195</v>
      </c>
      <c r="G101" s="586"/>
      <c r="H101" s="587"/>
      <c r="I101" s="235">
        <f>SUM(I96:I100)</f>
        <v>95.0895754375</v>
      </c>
      <c r="J101" s="586"/>
      <c r="K101" s="587"/>
      <c r="L101" s="235">
        <f>SUM(L96:L100)</f>
        <v>99.66636488073885</v>
      </c>
      <c r="M101" s="235">
        <f>SUM(M96:M100)</f>
        <v>4.576789443238862</v>
      </c>
      <c r="N101" s="238">
        <f t="shared" si="7"/>
        <v>0.048131347965130744</v>
      </c>
      <c r="O101" s="375">
        <f>L101/L103</f>
        <v>0.8849557522123893</v>
      </c>
      <c r="P101" s="165"/>
    </row>
    <row r="102" spans="2:16" ht="18" customHeight="1" thickBot="1">
      <c r="B102" s="172"/>
      <c r="C102" s="31"/>
      <c r="D102" s="31"/>
      <c r="E102" s="31"/>
      <c r="F102" s="297" t="s">
        <v>274</v>
      </c>
      <c r="G102" s="298"/>
      <c r="H102" s="302">
        <v>0.13</v>
      </c>
      <c r="I102" s="299">
        <f>I101*H102</f>
        <v>12.361644806875</v>
      </c>
      <c r="J102" s="298"/>
      <c r="K102" s="302">
        <v>0.13</v>
      </c>
      <c r="L102" s="300">
        <f>L101*K102</f>
        <v>12.95662743449605</v>
      </c>
      <c r="M102" s="227">
        <f>+L102-I102</f>
        <v>0.5949826276210501</v>
      </c>
      <c r="N102" s="228">
        <f t="shared" si="7"/>
        <v>0.048131347965130584</v>
      </c>
      <c r="O102" s="241">
        <f>L102/L103</f>
        <v>0.11504424778761062</v>
      </c>
      <c r="P102" s="165"/>
    </row>
    <row r="103" spans="2:16" ht="18" customHeight="1" thickBot="1">
      <c r="B103" s="172"/>
      <c r="C103" s="31"/>
      <c r="D103" s="31"/>
      <c r="E103" s="35"/>
      <c r="F103" s="234" t="s">
        <v>79</v>
      </c>
      <c r="G103" s="598"/>
      <c r="H103" s="599"/>
      <c r="I103" s="236">
        <f>SUM(I101:I102)</f>
        <v>107.45122024437501</v>
      </c>
      <c r="J103" s="598"/>
      <c r="K103" s="599"/>
      <c r="L103" s="236">
        <f>SUM(L101:L102)</f>
        <v>112.62299231523491</v>
      </c>
      <c r="M103" s="236">
        <f>SUM(M101:M102)</f>
        <v>5.171772070859912</v>
      </c>
      <c r="N103" s="238">
        <f t="shared" si="7"/>
        <v>0.04813134796513072</v>
      </c>
      <c r="O103" s="240">
        <f>SUM(O101:O102)</f>
        <v>0.9999999999999999</v>
      </c>
      <c r="P103" s="165"/>
    </row>
    <row r="104" spans="2:16" ht="6.75" customHeight="1" thickBot="1">
      <c r="B104" s="166"/>
      <c r="C104" s="178"/>
      <c r="D104" s="178"/>
      <c r="E104" s="178"/>
      <c r="F104" s="179"/>
      <c r="G104" s="180"/>
      <c r="H104" s="181"/>
      <c r="I104" s="182"/>
      <c r="J104" s="180"/>
      <c r="K104" s="183"/>
      <c r="L104" s="182"/>
      <c r="M104" s="187"/>
      <c r="N104" s="185"/>
      <c r="O104" s="186"/>
      <c r="P104" s="167"/>
    </row>
    <row r="105" ht="18" customHeight="1" thickBot="1"/>
    <row r="106" spans="2:16" ht="18" customHeight="1" thickBot="1">
      <c r="B106" s="174"/>
      <c r="C106" s="592"/>
      <c r="D106" s="592"/>
      <c r="E106" s="592"/>
      <c r="F106" s="592"/>
      <c r="G106" s="592"/>
      <c r="H106" s="592"/>
      <c r="I106" s="592"/>
      <c r="J106" s="592"/>
      <c r="K106" s="592"/>
      <c r="L106" s="592"/>
      <c r="M106" s="592"/>
      <c r="N106" s="592"/>
      <c r="O106" s="592"/>
      <c r="P106" s="164"/>
    </row>
    <row r="107" spans="2:16" ht="23.25">
      <c r="B107" s="172"/>
      <c r="C107" s="603" t="s">
        <v>308</v>
      </c>
      <c r="D107" s="603"/>
      <c r="E107" s="603"/>
      <c r="F107" s="603"/>
      <c r="G107" s="603"/>
      <c r="H107" s="603"/>
      <c r="I107" s="603"/>
      <c r="J107" s="603"/>
      <c r="K107" s="603"/>
      <c r="L107" s="603"/>
      <c r="M107" s="603"/>
      <c r="N107" s="603"/>
      <c r="O107" s="603"/>
      <c r="P107" s="165"/>
    </row>
    <row r="108" spans="2:16" ht="18" customHeight="1" thickBot="1">
      <c r="B108" s="172"/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165"/>
    </row>
    <row r="109" spans="2:16" ht="18" customHeight="1" thickBot="1">
      <c r="B109" s="172"/>
      <c r="C109" s="173"/>
      <c r="D109" s="173"/>
      <c r="E109" s="31"/>
      <c r="F109" s="37"/>
      <c r="G109" s="595" t="str">
        <f>$G$10</f>
        <v>2010 BILL</v>
      </c>
      <c r="H109" s="596"/>
      <c r="I109" s="597"/>
      <c r="J109" s="595" t="str">
        <f>$J$10</f>
        <v>2011 BILL</v>
      </c>
      <c r="K109" s="596"/>
      <c r="L109" s="597"/>
      <c r="M109" s="595" t="s">
        <v>73</v>
      </c>
      <c r="N109" s="596"/>
      <c r="O109" s="597"/>
      <c r="P109" s="165"/>
    </row>
    <row r="110" spans="2:16" ht="26.25" thickBot="1">
      <c r="B110" s="172"/>
      <c r="C110" s="31"/>
      <c r="D110" s="31"/>
      <c r="E110" s="33"/>
      <c r="F110" s="38"/>
      <c r="G110" s="188" t="s">
        <v>67</v>
      </c>
      <c r="H110" s="189" t="s">
        <v>68</v>
      </c>
      <c r="I110" s="190" t="s">
        <v>69</v>
      </c>
      <c r="J110" s="191" t="s">
        <v>67</v>
      </c>
      <c r="K110" s="189" t="s">
        <v>68</v>
      </c>
      <c r="L110" s="190" t="s">
        <v>69</v>
      </c>
      <c r="M110" s="192" t="s">
        <v>80</v>
      </c>
      <c r="N110" s="193" t="s">
        <v>81</v>
      </c>
      <c r="O110" s="194" t="s">
        <v>76</v>
      </c>
      <c r="P110" s="165"/>
    </row>
    <row r="111" spans="2:16" ht="18" customHeight="1" thickBot="1">
      <c r="B111" s="172"/>
      <c r="C111" s="593" t="s">
        <v>70</v>
      </c>
      <c r="D111" s="594"/>
      <c r="E111" s="31"/>
      <c r="F111" s="397" t="s">
        <v>71</v>
      </c>
      <c r="G111" s="495"/>
      <c r="H111" s="208"/>
      <c r="I111" s="500">
        <f>'2010 Existing RatesPW'!C8</f>
        <v>10.04</v>
      </c>
      <c r="J111" s="207"/>
      <c r="K111" s="208"/>
      <c r="L111" s="212">
        <f>'Rate Schedule (Part 1) PW'!$E$12</f>
        <v>16.55</v>
      </c>
      <c r="M111" s="504">
        <f aca="true" t="shared" si="8" ref="M111:M117">+L111-I111</f>
        <v>6.510000000000002</v>
      </c>
      <c r="N111" s="222">
        <f aca="true" t="shared" si="9" ref="N111:N129">+M111/I111</f>
        <v>0.6484063745019922</v>
      </c>
      <c r="O111" s="223">
        <f>L111/L129</f>
        <v>0.13879307732351903</v>
      </c>
      <c r="P111" s="165"/>
    </row>
    <row r="112" spans="2:16" ht="18" customHeight="1" thickBot="1">
      <c r="B112" s="172"/>
      <c r="C112" s="170">
        <v>800</v>
      </c>
      <c r="D112" s="171" t="s">
        <v>16</v>
      </c>
      <c r="E112" s="31"/>
      <c r="F112" s="398" t="s">
        <v>72</v>
      </c>
      <c r="G112" s="396">
        <f>+C112</f>
        <v>800</v>
      </c>
      <c r="H112" s="196">
        <f>'2010 Existing RatesPW'!B72</f>
        <v>0.018</v>
      </c>
      <c r="I112" s="501">
        <f>+G112*H112</f>
        <v>14.399999999999999</v>
      </c>
      <c r="J112" s="201">
        <f>+C112</f>
        <v>800</v>
      </c>
      <c r="K112" s="195">
        <f>'Rate Schedule (Part 1) PW'!$E$13</f>
        <v>0.0167</v>
      </c>
      <c r="L112" s="214">
        <f>+J112*K112</f>
        <v>13.36</v>
      </c>
      <c r="M112" s="489">
        <f t="shared" si="8"/>
        <v>-1.0399999999999991</v>
      </c>
      <c r="N112" s="218">
        <f t="shared" si="9"/>
        <v>-0.07222222222222217</v>
      </c>
      <c r="O112" s="225">
        <f>L112/L129</f>
        <v>0.11204081649801897</v>
      </c>
      <c r="P112" s="165"/>
    </row>
    <row r="113" spans="2:16" ht="18" customHeight="1">
      <c r="B113" s="172"/>
      <c r="C113" s="63"/>
      <c r="D113" s="64"/>
      <c r="E113" s="31"/>
      <c r="F113" s="398" t="s">
        <v>246</v>
      </c>
      <c r="G113" s="396">
        <f>G112</f>
        <v>800</v>
      </c>
      <c r="H113" s="196">
        <f>'2010 Existing RatesPW'!B47</f>
        <v>0.0023</v>
      </c>
      <c r="I113" s="501">
        <f>+G113*H113</f>
        <v>1.8399999999999999</v>
      </c>
      <c r="J113" s="201">
        <f>J112</f>
        <v>800</v>
      </c>
      <c r="K113" s="195">
        <f>'Rate Schedule (Part 1) PW'!$E$14</f>
        <v>0.0003</v>
      </c>
      <c r="L113" s="214">
        <f>+J113*K113</f>
        <v>0.24</v>
      </c>
      <c r="M113" s="489">
        <f t="shared" si="8"/>
        <v>-1.5999999999999999</v>
      </c>
      <c r="N113" s="218">
        <f t="shared" si="9"/>
        <v>-0.8695652173913043</v>
      </c>
      <c r="O113" s="225">
        <f>L113/L129</f>
        <v>0.0020127092784075267</v>
      </c>
      <c r="P113" s="165"/>
    </row>
    <row r="114" spans="2:16" ht="18" customHeight="1">
      <c r="B114" s="172"/>
      <c r="C114" s="63"/>
      <c r="D114" s="64"/>
      <c r="E114" s="31"/>
      <c r="F114" s="398" t="s">
        <v>170</v>
      </c>
      <c r="G114" s="496"/>
      <c r="H114" s="219"/>
      <c r="I114" s="501">
        <f>'2010 Existing RatesNF'!$B$57</f>
        <v>1</v>
      </c>
      <c r="J114" s="220"/>
      <c r="K114" s="219"/>
      <c r="L114" s="214">
        <f>'Rate Schedule (Part 1) PW'!$E$16</f>
        <v>1</v>
      </c>
      <c r="M114" s="489">
        <f t="shared" si="8"/>
        <v>0</v>
      </c>
      <c r="N114" s="218">
        <f t="shared" si="9"/>
        <v>0</v>
      </c>
      <c r="O114" s="225">
        <f>L114/L129</f>
        <v>0.008386288660031362</v>
      </c>
      <c r="P114" s="165"/>
    </row>
    <row r="115" spans="1:16" ht="18" customHeight="1">
      <c r="A115" s="165"/>
      <c r="B115" s="25"/>
      <c r="C115" s="31"/>
      <c r="D115" s="31"/>
      <c r="E115" s="31"/>
      <c r="F115" s="398" t="s">
        <v>162</v>
      </c>
      <c r="G115" s="396">
        <f>C112</f>
        <v>800</v>
      </c>
      <c r="H115" s="196"/>
      <c r="I115" s="502">
        <f>+G115*H115</f>
        <v>0</v>
      </c>
      <c r="J115" s="201">
        <f>C112</f>
        <v>800</v>
      </c>
      <c r="K115" s="195">
        <f>'Rate Schedule (Part 1) PW'!$E$15</f>
        <v>0</v>
      </c>
      <c r="L115" s="214">
        <f>J115*K115</f>
        <v>0</v>
      </c>
      <c r="M115" s="489">
        <f t="shared" si="8"/>
        <v>0</v>
      </c>
      <c r="N115" s="218" t="e">
        <f t="shared" si="9"/>
        <v>#DIV/0!</v>
      </c>
      <c r="O115" s="225">
        <f>L115/L129</f>
        <v>0</v>
      </c>
      <c r="P115" s="165"/>
    </row>
    <row r="116" spans="2:16" ht="25.5" customHeight="1">
      <c r="B116" s="172"/>
      <c r="C116" s="31"/>
      <c r="D116" s="31"/>
      <c r="E116" s="31"/>
      <c r="F116" s="398" t="s">
        <v>286</v>
      </c>
      <c r="G116" s="497">
        <f>+C112</f>
        <v>800</v>
      </c>
      <c r="H116" s="196">
        <f>'2010 Existing RatesPW'!B21</f>
        <v>-0.0064</v>
      </c>
      <c r="I116" s="501">
        <f>+G116*H116</f>
        <v>-5.12</v>
      </c>
      <c r="J116" s="505">
        <f>+C112</f>
        <v>800</v>
      </c>
      <c r="K116" s="196">
        <f>'Rate Schedule (Part 1) PW'!$E$18</f>
        <v>-0.0064</v>
      </c>
      <c r="L116" s="214">
        <f>+J116*K116</f>
        <v>-5.12</v>
      </c>
      <c r="M116" s="489">
        <f t="shared" si="8"/>
        <v>0</v>
      </c>
      <c r="N116" s="218">
        <f t="shared" si="9"/>
        <v>0</v>
      </c>
      <c r="O116" s="225">
        <f>L116/L129</f>
        <v>-0.04293779793936057</v>
      </c>
      <c r="P116" s="165"/>
    </row>
    <row r="117" spans="2:16" ht="27.75" customHeight="1">
      <c r="B117" s="172"/>
      <c r="C117" s="31"/>
      <c r="D117" s="31"/>
      <c r="E117" s="31"/>
      <c r="F117" s="398" t="s">
        <v>294</v>
      </c>
      <c r="G117" s="498">
        <f>C112</f>
        <v>800</v>
      </c>
      <c r="H117" s="488"/>
      <c r="I117" s="503">
        <f>+G117*H117</f>
        <v>0</v>
      </c>
      <c r="J117" s="372">
        <f>C112</f>
        <v>800</v>
      </c>
      <c r="K117" s="488">
        <f>'Rate Schedule (Part 1) PW'!E20</f>
        <v>0.0001</v>
      </c>
      <c r="L117" s="229">
        <f>+J117*K117</f>
        <v>0.08</v>
      </c>
      <c r="M117" s="489">
        <f t="shared" si="8"/>
        <v>0.08</v>
      </c>
      <c r="N117" s="218" t="e">
        <f>+M117/I117</f>
        <v>#DIV/0!</v>
      </c>
      <c r="O117" s="225">
        <f>L117/L129</f>
        <v>0.0006709030928025089</v>
      </c>
      <c r="P117" s="165"/>
    </row>
    <row r="118" spans="2:16" ht="26.25" customHeight="1">
      <c r="B118" s="172"/>
      <c r="C118" s="63"/>
      <c r="D118" s="64"/>
      <c r="E118" s="31"/>
      <c r="F118" s="398" t="s">
        <v>316</v>
      </c>
      <c r="G118" s="396">
        <f>C112</f>
        <v>800</v>
      </c>
      <c r="H118" s="196">
        <f>'2010 Existing RatesPW'!B34</f>
        <v>0.0007</v>
      </c>
      <c r="I118" s="502">
        <f>+G118*H118</f>
        <v>0.5599999999999999</v>
      </c>
      <c r="J118" s="201">
        <f>C112</f>
        <v>800</v>
      </c>
      <c r="K118" s="195">
        <f>'Rate Schedule (Part 1) PW'!E17</f>
        <v>0.0007</v>
      </c>
      <c r="L118" s="214">
        <f>+J118*K118</f>
        <v>0.5599999999999999</v>
      </c>
      <c r="M118" s="489">
        <f>+L118-I118</f>
        <v>0</v>
      </c>
      <c r="N118" s="218">
        <f>+M118/I118</f>
        <v>0</v>
      </c>
      <c r="O118" s="225">
        <f>L118/L129</f>
        <v>0.004696321649617562</v>
      </c>
      <c r="P118" s="165"/>
    </row>
    <row r="119" spans="2:16" ht="27.75" customHeight="1" thickBot="1">
      <c r="B119" s="172"/>
      <c r="C119" s="31"/>
      <c r="D119" s="31"/>
      <c r="E119" s="31"/>
      <c r="F119" s="499" t="s">
        <v>317</v>
      </c>
      <c r="G119" s="498">
        <f>C112</f>
        <v>800</v>
      </c>
      <c r="H119" s="488"/>
      <c r="I119" s="502">
        <f>+G119*H119</f>
        <v>0</v>
      </c>
      <c r="J119" s="506">
        <f>C112</f>
        <v>800</v>
      </c>
      <c r="K119" s="507">
        <f>'Rate Schedule (Part 1) PW'!E19</f>
        <v>0.0016</v>
      </c>
      <c r="L119" s="509">
        <f>+J119*K119</f>
        <v>1.28</v>
      </c>
      <c r="M119" s="489">
        <f>+L119-I119</f>
        <v>1.28</v>
      </c>
      <c r="N119" s="218" t="e">
        <f>+M119/I119</f>
        <v>#DIV/0!</v>
      </c>
      <c r="O119" s="225">
        <f>L119/L129</f>
        <v>0.010734449484840142</v>
      </c>
      <c r="P119" s="165"/>
    </row>
    <row r="120" spans="1:16" ht="18" customHeight="1" thickBot="1">
      <c r="A120" s="165"/>
      <c r="F120" s="233" t="s">
        <v>247</v>
      </c>
      <c r="G120" s="586"/>
      <c r="H120" s="587"/>
      <c r="I120" s="235">
        <f>SUM(I111:I119)</f>
        <v>22.719999999999995</v>
      </c>
      <c r="J120" s="586"/>
      <c r="K120" s="587"/>
      <c r="L120" s="235">
        <f>SUM(L111:L119)</f>
        <v>27.949999999999996</v>
      </c>
      <c r="M120" s="237">
        <f>SUM(M111:M119)</f>
        <v>5.230000000000003</v>
      </c>
      <c r="N120" s="238">
        <f t="shared" si="9"/>
        <v>0.23019366197183116</v>
      </c>
      <c r="O120" s="240">
        <f>L120/L129</f>
        <v>0.2343967680478765</v>
      </c>
      <c r="P120" s="385"/>
    </row>
    <row r="121" spans="1:16" ht="18" customHeight="1" thickBot="1">
      <c r="A121" s="165"/>
      <c r="F121" s="199" t="s">
        <v>248</v>
      </c>
      <c r="G121" s="372">
        <f>C112*'Other Electriciy Rates PW'!$M$10</f>
        <v>848.08</v>
      </c>
      <c r="H121" s="373">
        <f>'Other Electriciy Rates PW'!$B$10</f>
        <v>0.0103</v>
      </c>
      <c r="I121" s="210">
        <f>+G121*H121</f>
        <v>8.735224</v>
      </c>
      <c r="J121" s="372">
        <f>'BILL IMPACTS PW'!C112*'Other Electriciy Rates PW'!$M$24</f>
        <v>844.7922200742959</v>
      </c>
      <c r="K121" s="494">
        <f>'Other Electriciy Rates PW'!$B$24</f>
        <v>0.010132682166659615</v>
      </c>
      <c r="L121" s="210">
        <f>+J121*K121</f>
        <v>8.560011062879603</v>
      </c>
      <c r="M121" s="374">
        <f>+L121-I121</f>
        <v>-0.17521293712039743</v>
      </c>
      <c r="N121" s="222">
        <f t="shared" si="9"/>
        <v>-0.020058207679665388</v>
      </c>
      <c r="O121" s="223">
        <f>L121/L129</f>
        <v>0.07178672370637021</v>
      </c>
      <c r="P121" s="385"/>
    </row>
    <row r="122" spans="1:16" ht="18" customHeight="1" thickBot="1">
      <c r="A122" s="165"/>
      <c r="F122" s="233" t="s">
        <v>249</v>
      </c>
      <c r="G122" s="586"/>
      <c r="H122" s="587"/>
      <c r="I122" s="235">
        <f>SUM(I120:I121)</f>
        <v>31.455223999999994</v>
      </c>
      <c r="J122" s="586"/>
      <c r="K122" s="587"/>
      <c r="L122" s="235">
        <f>SUM(L120:L121)</f>
        <v>36.5100110628796</v>
      </c>
      <c r="M122" s="237">
        <f>SUM(M120:M121)</f>
        <v>5.054787062879606</v>
      </c>
      <c r="N122" s="238">
        <f t="shared" si="9"/>
        <v>0.16069785619328625</v>
      </c>
      <c r="O122" s="375">
        <f>L122/L129</f>
        <v>0.3061834917542467</v>
      </c>
      <c r="P122" s="385"/>
    </row>
    <row r="123" spans="1:16" ht="18" customHeight="1">
      <c r="A123" s="165"/>
      <c r="F123" s="200" t="s">
        <v>77</v>
      </c>
      <c r="G123" s="202">
        <f>+'Other Electriciy Rates PW'!$M$10*C112</f>
        <v>848.08</v>
      </c>
      <c r="H123" s="203">
        <f>'Other Electriciy Rates PW'!$C$10+'Other Electriciy Rates PW'!$E$10+'Other Electriciy Rates PW'!D10</f>
        <v>0.0138725</v>
      </c>
      <c r="I123" s="204">
        <f>+G123*H123</f>
        <v>11.7649898</v>
      </c>
      <c r="J123" s="202">
        <f>J121</f>
        <v>844.7922200742959</v>
      </c>
      <c r="K123" s="203">
        <f>'Other Electriciy Rates PW'!$C$24+'Other Electriciy Rates PW'!$E$24+'Other Electriciy Rates PW'!D24</f>
        <v>0.0135</v>
      </c>
      <c r="L123" s="229">
        <f>+J123*K123</f>
        <v>11.404694971002995</v>
      </c>
      <c r="M123" s="230">
        <f>+L123-I123</f>
        <v>-0.3602948289970058</v>
      </c>
      <c r="N123" s="231">
        <f t="shared" si="9"/>
        <v>-0.030624321407996955</v>
      </c>
      <c r="O123" s="301">
        <f>L123/L129</f>
        <v>0.09564306410643911</v>
      </c>
      <c r="P123" s="385"/>
    </row>
    <row r="124" spans="2:16" ht="21.75" customHeight="1">
      <c r="B124" s="172"/>
      <c r="C124" s="31"/>
      <c r="D124" s="31"/>
      <c r="E124" s="31"/>
      <c r="F124" s="200" t="s">
        <v>321</v>
      </c>
      <c r="G124" s="220"/>
      <c r="H124" s="219"/>
      <c r="I124" s="210">
        <v>0.25</v>
      </c>
      <c r="J124" s="220"/>
      <c r="K124" s="219"/>
      <c r="L124" s="214">
        <v>0.25</v>
      </c>
      <c r="M124" s="513">
        <f>+L124-I124</f>
        <v>0</v>
      </c>
      <c r="N124" s="231">
        <f t="shared" si="9"/>
        <v>0</v>
      </c>
      <c r="O124" s="225">
        <f>L124/L129</f>
        <v>0.0020965721650078404</v>
      </c>
      <c r="P124" s="165"/>
    </row>
    <row r="125" spans="1:16" ht="18" customHeight="1">
      <c r="A125" s="165"/>
      <c r="B125" s="25"/>
      <c r="C125" s="31"/>
      <c r="D125" s="31"/>
      <c r="E125" s="31"/>
      <c r="F125" s="197" t="s">
        <v>78</v>
      </c>
      <c r="G125" s="202">
        <v>600</v>
      </c>
      <c r="H125" s="203">
        <f>'Other Electriciy Rates PW'!$K$11</f>
        <v>0.065</v>
      </c>
      <c r="I125" s="204">
        <f>+G125*H125</f>
        <v>39</v>
      </c>
      <c r="J125" s="202">
        <v>600</v>
      </c>
      <c r="K125" s="203">
        <f>'Other Electriciy Rates PW'!$K$24</f>
        <v>0.065</v>
      </c>
      <c r="L125" s="229">
        <f>+J125*K125</f>
        <v>39</v>
      </c>
      <c r="M125" s="230">
        <f>+L125-I125</f>
        <v>0</v>
      </c>
      <c r="N125" s="231">
        <f t="shared" si="9"/>
        <v>0</v>
      </c>
      <c r="O125" s="232">
        <f>L125/L129</f>
        <v>0.3270652577412231</v>
      </c>
      <c r="P125" s="385"/>
    </row>
    <row r="126" spans="2:16" ht="18" customHeight="1" thickBot="1">
      <c r="B126" s="172"/>
      <c r="C126" s="31"/>
      <c r="D126" s="31"/>
      <c r="E126" s="31"/>
      <c r="F126" s="197" t="s">
        <v>78</v>
      </c>
      <c r="G126" s="202">
        <f>G123-G125</f>
        <v>248.08000000000004</v>
      </c>
      <c r="H126" s="203">
        <f>'Other Electriciy Rates PW'!$L$10</f>
        <v>0.075</v>
      </c>
      <c r="I126" s="204">
        <f>+G126*H126</f>
        <v>18.606</v>
      </c>
      <c r="J126" s="202">
        <f>J123-J125</f>
        <v>244.79222007429587</v>
      </c>
      <c r="K126" s="203">
        <f>'Other Electriciy Rates PW'!$L$24</f>
        <v>0.075</v>
      </c>
      <c r="L126" s="229">
        <f>+J126*K126</f>
        <v>18.359416505572188</v>
      </c>
      <c r="M126" s="230">
        <f>+L126-I126</f>
        <v>-0.24658349442781358</v>
      </c>
      <c r="N126" s="231">
        <f t="shared" si="9"/>
        <v>-0.013252901990100697</v>
      </c>
      <c r="O126" s="232">
        <f>L126/L129</f>
        <v>0.15396736644547263</v>
      </c>
      <c r="P126" s="165"/>
    </row>
    <row r="127" spans="2:16" ht="18" customHeight="1" thickBot="1">
      <c r="B127" s="172"/>
      <c r="C127" s="31"/>
      <c r="D127" s="31"/>
      <c r="E127" s="31"/>
      <c r="F127" s="233" t="s">
        <v>195</v>
      </c>
      <c r="G127" s="586"/>
      <c r="H127" s="587"/>
      <c r="I127" s="235">
        <f>SUM(I122:I126)</f>
        <v>101.0762138</v>
      </c>
      <c r="J127" s="586"/>
      <c r="K127" s="587"/>
      <c r="L127" s="235">
        <f>SUM(L122:L126)</f>
        <v>105.52412253945478</v>
      </c>
      <c r="M127" s="235">
        <f>SUM(M122:M126)</f>
        <v>4.447908739454786</v>
      </c>
      <c r="N127" s="238">
        <f t="shared" si="9"/>
        <v>0.044005494193281564</v>
      </c>
      <c r="O127" s="375">
        <f>L127/L129</f>
        <v>0.8849557522123894</v>
      </c>
      <c r="P127" s="165"/>
    </row>
    <row r="128" spans="2:16" ht="18" customHeight="1" thickBot="1">
      <c r="B128" s="172"/>
      <c r="C128" s="31"/>
      <c r="D128" s="31"/>
      <c r="E128" s="31"/>
      <c r="F128" s="297" t="s">
        <v>274</v>
      </c>
      <c r="G128" s="298"/>
      <c r="H128" s="302">
        <v>0.13</v>
      </c>
      <c r="I128" s="299">
        <f>I127*H128</f>
        <v>13.139907794</v>
      </c>
      <c r="J128" s="298"/>
      <c r="K128" s="302">
        <v>0.13</v>
      </c>
      <c r="L128" s="300">
        <f>L127*K128</f>
        <v>13.718135930129122</v>
      </c>
      <c r="M128" s="227">
        <f>+L128-I128</f>
        <v>0.5782281361291215</v>
      </c>
      <c r="N128" s="228">
        <f t="shared" si="9"/>
        <v>0.04400549419328151</v>
      </c>
      <c r="O128" s="241">
        <f>L128/L129</f>
        <v>0.11504424778761063</v>
      </c>
      <c r="P128" s="165"/>
    </row>
    <row r="129" spans="2:16" ht="18" customHeight="1" thickBot="1">
      <c r="B129" s="172"/>
      <c r="C129" s="31"/>
      <c r="D129" s="31"/>
      <c r="E129" s="35"/>
      <c r="F129" s="234" t="s">
        <v>79</v>
      </c>
      <c r="G129" s="598"/>
      <c r="H129" s="599"/>
      <c r="I129" s="236">
        <f>SUM(I127:I128)</f>
        <v>114.216121594</v>
      </c>
      <c r="J129" s="598"/>
      <c r="K129" s="599"/>
      <c r="L129" s="236">
        <f>SUM(L127:L128)</f>
        <v>119.2422584695839</v>
      </c>
      <c r="M129" s="236">
        <f>SUM(M127:M128)</f>
        <v>5.026136875583908</v>
      </c>
      <c r="N129" s="238">
        <f t="shared" si="9"/>
        <v>0.044005494193281564</v>
      </c>
      <c r="O129" s="240">
        <f>SUM(O127:O128)</f>
        <v>1</v>
      </c>
      <c r="P129" s="165"/>
    </row>
    <row r="130" spans="2:16" ht="18" customHeight="1" thickBot="1">
      <c r="B130" s="166"/>
      <c r="C130" s="178"/>
      <c r="D130" s="178"/>
      <c r="E130" s="178"/>
      <c r="F130" s="179"/>
      <c r="G130" s="180"/>
      <c r="H130" s="181"/>
      <c r="I130" s="182"/>
      <c r="J130" s="180"/>
      <c r="K130" s="183"/>
      <c r="L130" s="182"/>
      <c r="M130" s="187"/>
      <c r="N130" s="185"/>
      <c r="O130" s="186"/>
      <c r="P130" s="167"/>
    </row>
    <row r="131" ht="18" customHeight="1" thickBot="1"/>
    <row r="132" spans="2:16" ht="18" customHeight="1" thickBot="1">
      <c r="B132" s="174"/>
      <c r="C132" s="592"/>
      <c r="D132" s="592"/>
      <c r="E132" s="592"/>
      <c r="F132" s="592"/>
      <c r="G132" s="592"/>
      <c r="H132" s="592"/>
      <c r="I132" s="592"/>
      <c r="J132" s="592"/>
      <c r="K132" s="592"/>
      <c r="L132" s="592"/>
      <c r="M132" s="592"/>
      <c r="N132" s="592"/>
      <c r="O132" s="592"/>
      <c r="P132" s="164"/>
    </row>
    <row r="133" spans="2:16" ht="23.25">
      <c r="B133" s="172"/>
      <c r="C133" s="603" t="s">
        <v>277</v>
      </c>
      <c r="D133" s="603"/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165"/>
    </row>
    <row r="134" spans="2:16" ht="18" customHeight="1" thickBot="1">
      <c r="B134" s="172"/>
      <c r="C134" s="590"/>
      <c r="D134" s="590"/>
      <c r="E134" s="590"/>
      <c r="F134" s="590"/>
      <c r="G134" s="590"/>
      <c r="H134" s="590"/>
      <c r="I134" s="590"/>
      <c r="J134" s="590"/>
      <c r="K134" s="590"/>
      <c r="L134" s="590"/>
      <c r="M134" s="590"/>
      <c r="N134" s="590"/>
      <c r="O134" s="590"/>
      <c r="P134" s="165"/>
    </row>
    <row r="135" spans="2:16" ht="18" customHeight="1" thickBot="1">
      <c r="B135" s="172"/>
      <c r="C135" s="173"/>
      <c r="D135" s="173"/>
      <c r="E135" s="31"/>
      <c r="F135" s="37"/>
      <c r="G135" s="595" t="str">
        <f>$G$10</f>
        <v>2010 BILL</v>
      </c>
      <c r="H135" s="596"/>
      <c r="I135" s="597"/>
      <c r="J135" s="595" t="str">
        <f>$J$10</f>
        <v>2011 BILL</v>
      </c>
      <c r="K135" s="596"/>
      <c r="L135" s="597"/>
      <c r="M135" s="595" t="s">
        <v>73</v>
      </c>
      <c r="N135" s="596"/>
      <c r="O135" s="597"/>
      <c r="P135" s="165"/>
    </row>
    <row r="136" spans="2:16" ht="26.25" thickBot="1">
      <c r="B136" s="172"/>
      <c r="C136" s="31"/>
      <c r="D136" s="31"/>
      <c r="E136" s="33"/>
      <c r="F136" s="38"/>
      <c r="G136" s="188" t="s">
        <v>67</v>
      </c>
      <c r="H136" s="189" t="s">
        <v>68</v>
      </c>
      <c r="I136" s="190" t="s">
        <v>69</v>
      </c>
      <c r="J136" s="191" t="s">
        <v>67</v>
      </c>
      <c r="K136" s="189" t="s">
        <v>68</v>
      </c>
      <c r="L136" s="190" t="s">
        <v>69</v>
      </c>
      <c r="M136" s="192" t="s">
        <v>80</v>
      </c>
      <c r="N136" s="193" t="s">
        <v>81</v>
      </c>
      <c r="O136" s="194" t="s">
        <v>76</v>
      </c>
      <c r="P136" s="165"/>
    </row>
    <row r="137" spans="2:16" ht="18" customHeight="1" thickBot="1">
      <c r="B137" s="172"/>
      <c r="C137" s="593" t="s">
        <v>70</v>
      </c>
      <c r="D137" s="594"/>
      <c r="E137" s="31"/>
      <c r="F137" s="397" t="s">
        <v>71</v>
      </c>
      <c r="G137" s="495"/>
      <c r="H137" s="208"/>
      <c r="I137" s="500">
        <f>'2010 Existing RatesPW'!C8</f>
        <v>10.04</v>
      </c>
      <c r="J137" s="207"/>
      <c r="K137" s="208"/>
      <c r="L137" s="212">
        <f>'Rate Schedule (Part 1) PW'!$E$12</f>
        <v>16.55</v>
      </c>
      <c r="M137" s="504">
        <f aca="true" t="shared" si="10" ref="M137:M143">+L137-I137</f>
        <v>6.510000000000002</v>
      </c>
      <c r="N137" s="222">
        <f aca="true" t="shared" si="11" ref="N137:N155">+M137/I137</f>
        <v>0.6484063745019922</v>
      </c>
      <c r="O137" s="223">
        <f>L137/L155</f>
        <v>0.11357450507865251</v>
      </c>
      <c r="P137" s="165"/>
    </row>
    <row r="138" spans="2:16" ht="18" customHeight="1" thickBot="1">
      <c r="B138" s="172"/>
      <c r="C138" s="170">
        <v>1000</v>
      </c>
      <c r="D138" s="171" t="s">
        <v>16</v>
      </c>
      <c r="E138" s="31"/>
      <c r="F138" s="398" t="s">
        <v>72</v>
      </c>
      <c r="G138" s="396">
        <f>+C138</f>
        <v>1000</v>
      </c>
      <c r="H138" s="196">
        <f>'2010 Existing RatesPW'!B72</f>
        <v>0.018</v>
      </c>
      <c r="I138" s="501">
        <f>+G138*H138</f>
        <v>18</v>
      </c>
      <c r="J138" s="201">
        <f>+C138</f>
        <v>1000</v>
      </c>
      <c r="K138" s="195">
        <f>'Rate Schedule (Part 1) PW'!$E$13</f>
        <v>0.0167</v>
      </c>
      <c r="L138" s="214">
        <f>+J138*K138</f>
        <v>16.7</v>
      </c>
      <c r="M138" s="489">
        <f t="shared" si="10"/>
        <v>-1.3000000000000007</v>
      </c>
      <c r="N138" s="218">
        <f t="shared" si="11"/>
        <v>-0.07222222222222226</v>
      </c>
      <c r="O138" s="225">
        <f>L138/L155</f>
        <v>0.11460388125761309</v>
      </c>
      <c r="P138" s="165"/>
    </row>
    <row r="139" spans="2:16" ht="18" customHeight="1">
      <c r="B139" s="172"/>
      <c r="C139" s="63"/>
      <c r="D139" s="64"/>
      <c r="E139" s="31"/>
      <c r="F139" s="398" t="s">
        <v>246</v>
      </c>
      <c r="G139" s="396">
        <f>G138</f>
        <v>1000</v>
      </c>
      <c r="H139" s="196">
        <f>'2010 Existing RatesPW'!B47</f>
        <v>0.0023</v>
      </c>
      <c r="I139" s="501">
        <f>+G139*H139</f>
        <v>2.3</v>
      </c>
      <c r="J139" s="201">
        <f>J138</f>
        <v>1000</v>
      </c>
      <c r="K139" s="195">
        <f>'Rate Schedule (Part 1) PW'!$E$14</f>
        <v>0.0003</v>
      </c>
      <c r="L139" s="214">
        <f>+J139*K139</f>
        <v>0.3</v>
      </c>
      <c r="M139" s="489">
        <f t="shared" si="10"/>
        <v>-1.9999999999999998</v>
      </c>
      <c r="N139" s="218">
        <f t="shared" si="11"/>
        <v>-0.8695652173913043</v>
      </c>
      <c r="O139" s="225">
        <f>L139/L155</f>
        <v>0.002058752357921193</v>
      </c>
      <c r="P139" s="165"/>
    </row>
    <row r="140" spans="2:16" ht="18" customHeight="1">
      <c r="B140" s="172"/>
      <c r="C140" s="63"/>
      <c r="D140" s="64"/>
      <c r="E140" s="31"/>
      <c r="F140" s="398" t="s">
        <v>170</v>
      </c>
      <c r="G140" s="496"/>
      <c r="H140" s="219"/>
      <c r="I140" s="501">
        <f>'2010 Existing RatesNF'!$B$57</f>
        <v>1</v>
      </c>
      <c r="J140" s="220"/>
      <c r="K140" s="219"/>
      <c r="L140" s="214">
        <f>'Rate Schedule (Part 1) PW'!$E$16</f>
        <v>1</v>
      </c>
      <c r="M140" s="489">
        <f t="shared" si="10"/>
        <v>0</v>
      </c>
      <c r="N140" s="218">
        <f t="shared" si="11"/>
        <v>0</v>
      </c>
      <c r="O140" s="225">
        <f>L140/L155</f>
        <v>0.006862507859737311</v>
      </c>
      <c r="P140" s="165"/>
    </row>
    <row r="141" spans="1:16" ht="18" customHeight="1">
      <c r="A141" s="165"/>
      <c r="B141" s="25"/>
      <c r="C141" s="31"/>
      <c r="D141" s="31"/>
      <c r="E141" s="31"/>
      <c r="F141" s="398" t="s">
        <v>162</v>
      </c>
      <c r="G141" s="396">
        <f>C138</f>
        <v>1000</v>
      </c>
      <c r="H141" s="196"/>
      <c r="I141" s="502">
        <f>+G141*H141</f>
        <v>0</v>
      </c>
      <c r="J141" s="201">
        <f>C138</f>
        <v>1000</v>
      </c>
      <c r="K141" s="195">
        <f>'Rate Schedule (Part 1) PW'!$E$15</f>
        <v>0</v>
      </c>
      <c r="L141" s="214">
        <f>J141*K141</f>
        <v>0</v>
      </c>
      <c r="M141" s="489">
        <f t="shared" si="10"/>
        <v>0</v>
      </c>
      <c r="N141" s="218" t="e">
        <f t="shared" si="11"/>
        <v>#DIV/0!</v>
      </c>
      <c r="O141" s="225">
        <f>L141/L155</f>
        <v>0</v>
      </c>
      <c r="P141" s="165"/>
    </row>
    <row r="142" spans="2:16" ht="25.5" customHeight="1">
      <c r="B142" s="172"/>
      <c r="C142" s="31"/>
      <c r="D142" s="31"/>
      <c r="E142" s="31"/>
      <c r="F142" s="398" t="s">
        <v>286</v>
      </c>
      <c r="G142" s="497">
        <f>+C138</f>
        <v>1000</v>
      </c>
      <c r="H142" s="196">
        <f>'2010 Existing RatesPW'!B21</f>
        <v>-0.0064</v>
      </c>
      <c r="I142" s="501">
        <f>+G142*H142</f>
        <v>-6.4</v>
      </c>
      <c r="J142" s="505">
        <f>+C138</f>
        <v>1000</v>
      </c>
      <c r="K142" s="196">
        <f>'Rate Schedule (Part 1) PW'!$E$18</f>
        <v>-0.0064</v>
      </c>
      <c r="L142" s="214">
        <f>+J142*K142</f>
        <v>-6.4</v>
      </c>
      <c r="M142" s="489">
        <f t="shared" si="10"/>
        <v>0</v>
      </c>
      <c r="N142" s="218">
        <f t="shared" si="11"/>
        <v>0</v>
      </c>
      <c r="O142" s="225">
        <f>L142/L155</f>
        <v>-0.0439200503023188</v>
      </c>
      <c r="P142" s="165"/>
    </row>
    <row r="143" spans="2:16" ht="27.75" customHeight="1">
      <c r="B143" s="172"/>
      <c r="C143" s="31"/>
      <c r="D143" s="31"/>
      <c r="E143" s="31"/>
      <c r="F143" s="398" t="s">
        <v>294</v>
      </c>
      <c r="G143" s="498">
        <f>C138</f>
        <v>1000</v>
      </c>
      <c r="H143" s="488"/>
      <c r="I143" s="503">
        <f>+G143*H143</f>
        <v>0</v>
      </c>
      <c r="J143" s="372">
        <f>C138</f>
        <v>1000</v>
      </c>
      <c r="K143" s="488">
        <f>'Rate Schedule (Part 1) PW'!E20</f>
        <v>0.0001</v>
      </c>
      <c r="L143" s="229">
        <f>+J143*K143</f>
        <v>0.1</v>
      </c>
      <c r="M143" s="489">
        <f t="shared" si="10"/>
        <v>0.1</v>
      </c>
      <c r="N143" s="218" t="e">
        <f>+M143/I143</f>
        <v>#DIV/0!</v>
      </c>
      <c r="O143" s="225">
        <f>L143/L155</f>
        <v>0.0006862507859737312</v>
      </c>
      <c r="P143" s="165"/>
    </row>
    <row r="144" spans="2:16" ht="26.25" customHeight="1">
      <c r="B144" s="172"/>
      <c r="C144" s="63"/>
      <c r="D144" s="64"/>
      <c r="E144" s="31"/>
      <c r="F144" s="398" t="s">
        <v>316</v>
      </c>
      <c r="G144" s="396">
        <f>C138</f>
        <v>1000</v>
      </c>
      <c r="H144" s="196">
        <f>'2010 Existing RatesPW'!B34</f>
        <v>0.0007</v>
      </c>
      <c r="I144" s="502">
        <f>+G144*H144</f>
        <v>0.7</v>
      </c>
      <c r="J144" s="201">
        <f>C138</f>
        <v>1000</v>
      </c>
      <c r="K144" s="195">
        <f>'Rate Schedule (Part 1) PW'!E17</f>
        <v>0.0007</v>
      </c>
      <c r="L144" s="214">
        <f>+J144*K144</f>
        <v>0.7</v>
      </c>
      <c r="M144" s="489">
        <f>+L144-I144</f>
        <v>0</v>
      </c>
      <c r="N144" s="218">
        <f>+M144/I144</f>
        <v>0</v>
      </c>
      <c r="O144" s="225">
        <f>L144/L155</f>
        <v>0.004803755501816118</v>
      </c>
      <c r="P144" s="165"/>
    </row>
    <row r="145" spans="2:16" ht="27.75" customHeight="1" thickBot="1">
      <c r="B145" s="172"/>
      <c r="C145" s="31"/>
      <c r="D145" s="31"/>
      <c r="E145" s="31"/>
      <c r="F145" s="499" t="s">
        <v>317</v>
      </c>
      <c r="G145" s="498">
        <f>C138</f>
        <v>1000</v>
      </c>
      <c r="H145" s="488"/>
      <c r="I145" s="502">
        <f>+G145*H145</f>
        <v>0</v>
      </c>
      <c r="J145" s="506">
        <f>C138</f>
        <v>1000</v>
      </c>
      <c r="K145" s="507">
        <f>'Rate Schedule (Part 1) PW'!E19</f>
        <v>0.0016</v>
      </c>
      <c r="L145" s="509">
        <f>+J145*K145</f>
        <v>1.6</v>
      </c>
      <c r="M145" s="489">
        <f>+L145-I145</f>
        <v>1.6</v>
      </c>
      <c r="N145" s="218" t="e">
        <f>+M145/I145</f>
        <v>#DIV/0!</v>
      </c>
      <c r="O145" s="225">
        <f>L145/L155</f>
        <v>0.0109800125755797</v>
      </c>
      <c r="P145" s="165"/>
    </row>
    <row r="146" spans="1:16" ht="18" customHeight="1" thickBot="1">
      <c r="A146" s="165"/>
      <c r="F146" s="233" t="s">
        <v>247</v>
      </c>
      <c r="G146" s="586"/>
      <c r="H146" s="587"/>
      <c r="I146" s="235">
        <f>SUM(I137:I145)</f>
        <v>25.639999999999997</v>
      </c>
      <c r="J146" s="586"/>
      <c r="K146" s="587"/>
      <c r="L146" s="235">
        <f>SUM(L137:L145)</f>
        <v>30.55</v>
      </c>
      <c r="M146" s="237">
        <f>SUM(M137:M145)</f>
        <v>4.910000000000001</v>
      </c>
      <c r="N146" s="238">
        <f t="shared" si="11"/>
        <v>0.1914976599063963</v>
      </c>
      <c r="O146" s="240">
        <f>L146/L155</f>
        <v>0.20964961511497487</v>
      </c>
      <c r="P146" s="385"/>
    </row>
    <row r="147" spans="1:16" ht="18" customHeight="1" thickBot="1">
      <c r="A147" s="165"/>
      <c r="F147" s="199" t="s">
        <v>248</v>
      </c>
      <c r="G147" s="372">
        <f>C138*'Other Electriciy Rates PW'!$M$10</f>
        <v>1060.1000000000001</v>
      </c>
      <c r="H147" s="373">
        <f>'Other Electriciy Rates PW'!$B$10</f>
        <v>0.0103</v>
      </c>
      <c r="I147" s="210">
        <f>+G147*H147</f>
        <v>10.919030000000001</v>
      </c>
      <c r="J147" s="372">
        <f>'BILL IMPACTS PW'!C138*'Other Electriciy Rates PW'!$M$24</f>
        <v>1055.9902750928698</v>
      </c>
      <c r="K147" s="494">
        <f>'Other Electriciy Rates PW'!$B$24</f>
        <v>0.010132682166659615</v>
      </c>
      <c r="L147" s="210">
        <f>+J147*K147</f>
        <v>10.700013828599502</v>
      </c>
      <c r="M147" s="374">
        <f>+L147-I147</f>
        <v>-0.219016171400499</v>
      </c>
      <c r="N147" s="222">
        <f t="shared" si="11"/>
        <v>-0.020058207679665593</v>
      </c>
      <c r="O147" s="223">
        <f>L147/L155</f>
        <v>0.073428928998062</v>
      </c>
      <c r="P147" s="385"/>
    </row>
    <row r="148" spans="1:16" ht="18" customHeight="1" thickBot="1">
      <c r="A148" s="165"/>
      <c r="F148" s="233" t="s">
        <v>249</v>
      </c>
      <c r="G148" s="586"/>
      <c r="H148" s="587"/>
      <c r="I148" s="235">
        <f>SUM(I146:I147)</f>
        <v>36.55903</v>
      </c>
      <c r="J148" s="586"/>
      <c r="K148" s="587"/>
      <c r="L148" s="235">
        <f>SUM(L146:L147)</f>
        <v>41.250013828599506</v>
      </c>
      <c r="M148" s="237">
        <f>SUM(M146:M147)</f>
        <v>4.690983828599502</v>
      </c>
      <c r="N148" s="238">
        <f t="shared" si="11"/>
        <v>0.12831259003861706</v>
      </c>
      <c r="O148" s="375">
        <f>L148/L155</f>
        <v>0.2830785441130369</v>
      </c>
      <c r="P148" s="385"/>
    </row>
    <row r="149" spans="1:16" ht="18" customHeight="1">
      <c r="A149" s="165"/>
      <c r="F149" s="200" t="s">
        <v>77</v>
      </c>
      <c r="G149" s="202">
        <f>+'Other Electriciy Rates PW'!$M$10*C138</f>
        <v>1060.1000000000001</v>
      </c>
      <c r="H149" s="203">
        <f>'Other Electriciy Rates PW'!$C$10+'Other Electriciy Rates PW'!$E$10+'Other Electriciy Rates PW'!D10</f>
        <v>0.0138725</v>
      </c>
      <c r="I149" s="204">
        <f>+G149*H149</f>
        <v>14.706237250000001</v>
      </c>
      <c r="J149" s="202">
        <f>J147</f>
        <v>1055.9902750928698</v>
      </c>
      <c r="K149" s="203">
        <f>'Other Electriciy Rates PW'!$C$24+'Other Electriciy Rates PW'!$E$24+'Other Electriciy Rates PW'!D24</f>
        <v>0.0135</v>
      </c>
      <c r="L149" s="229">
        <f>+J149*K149</f>
        <v>14.255868713753742</v>
      </c>
      <c r="M149" s="230">
        <f>+L149-I149</f>
        <v>-0.45036853624625905</v>
      </c>
      <c r="N149" s="231">
        <f t="shared" si="11"/>
        <v>-0.030624321407997073</v>
      </c>
      <c r="O149" s="301">
        <f>L149/L155</f>
        <v>0.09783101109551828</v>
      </c>
      <c r="P149" s="385"/>
    </row>
    <row r="150" spans="2:16" ht="21.75" customHeight="1">
      <c r="B150" s="172"/>
      <c r="C150" s="31"/>
      <c r="D150" s="31"/>
      <c r="E150" s="31"/>
      <c r="F150" s="200" t="s">
        <v>321</v>
      </c>
      <c r="G150" s="220"/>
      <c r="H150" s="219"/>
      <c r="I150" s="210">
        <v>0.25</v>
      </c>
      <c r="J150" s="220"/>
      <c r="K150" s="219"/>
      <c r="L150" s="214">
        <v>0.25</v>
      </c>
      <c r="M150" s="513">
        <f>+L150-I150</f>
        <v>0</v>
      </c>
      <c r="N150" s="231">
        <f t="shared" si="11"/>
        <v>0</v>
      </c>
      <c r="O150" s="225">
        <f>L150/L155</f>
        <v>0.0017156269649343278</v>
      </c>
      <c r="P150" s="165"/>
    </row>
    <row r="151" spans="1:16" ht="18" customHeight="1">
      <c r="A151" s="165"/>
      <c r="B151" s="25"/>
      <c r="C151" s="31"/>
      <c r="D151" s="31"/>
      <c r="E151" s="31"/>
      <c r="F151" s="197" t="s">
        <v>78</v>
      </c>
      <c r="G151" s="202">
        <v>600</v>
      </c>
      <c r="H151" s="203">
        <f>'Other Electriciy Rates PW'!$K$11</f>
        <v>0.065</v>
      </c>
      <c r="I151" s="204">
        <f>+G151*H151</f>
        <v>39</v>
      </c>
      <c r="J151" s="202">
        <v>600</v>
      </c>
      <c r="K151" s="203">
        <f>'Other Electriciy Rates PW'!$K$24</f>
        <v>0.065</v>
      </c>
      <c r="L151" s="229">
        <f>+J151*K151</f>
        <v>39</v>
      </c>
      <c r="M151" s="230">
        <f>+L151-I151</f>
        <v>0</v>
      </c>
      <c r="N151" s="231">
        <f t="shared" si="11"/>
        <v>0</v>
      </c>
      <c r="O151" s="232">
        <f>L151/L155</f>
        <v>0.26763780652975516</v>
      </c>
      <c r="P151" s="385"/>
    </row>
    <row r="152" spans="2:16" ht="18" customHeight="1" thickBot="1">
      <c r="B152" s="172"/>
      <c r="C152" s="31"/>
      <c r="D152" s="31"/>
      <c r="E152" s="31"/>
      <c r="F152" s="197" t="s">
        <v>78</v>
      </c>
      <c r="G152" s="202">
        <f>G149-G151</f>
        <v>460.10000000000014</v>
      </c>
      <c r="H152" s="203">
        <f>'Other Electriciy Rates PW'!$L$10</f>
        <v>0.075</v>
      </c>
      <c r="I152" s="204">
        <f>+G152*H152</f>
        <v>34.50750000000001</v>
      </c>
      <c r="J152" s="202">
        <f>J149-J151</f>
        <v>455.99027509286975</v>
      </c>
      <c r="K152" s="203">
        <f>'Other Electriciy Rates PW'!$L$24</f>
        <v>0.075</v>
      </c>
      <c r="L152" s="229">
        <f>+J152*K152</f>
        <v>34.19927063196523</v>
      </c>
      <c r="M152" s="230">
        <f>+L152-I152</f>
        <v>-0.3082293680347803</v>
      </c>
      <c r="N152" s="231">
        <f t="shared" si="11"/>
        <v>-0.008932242788807656</v>
      </c>
      <c r="O152" s="232">
        <f>L152/L155</f>
        <v>0.23469276350914478</v>
      </c>
      <c r="P152" s="165"/>
    </row>
    <row r="153" spans="2:16" ht="18" customHeight="1" thickBot="1">
      <c r="B153" s="172"/>
      <c r="C153" s="31"/>
      <c r="D153" s="31"/>
      <c r="E153" s="31"/>
      <c r="F153" s="233" t="s">
        <v>195</v>
      </c>
      <c r="G153" s="586"/>
      <c r="H153" s="587"/>
      <c r="I153" s="235">
        <f>SUM(I148:I152)</f>
        <v>125.02276725</v>
      </c>
      <c r="J153" s="586"/>
      <c r="K153" s="587"/>
      <c r="L153" s="235">
        <f>SUM(L148:L152)</f>
        <v>128.95515317431847</v>
      </c>
      <c r="M153" s="235">
        <f>SUM(M148:M152)</f>
        <v>3.9323859243184627</v>
      </c>
      <c r="N153" s="238">
        <f t="shared" si="11"/>
        <v>0.031453358542729445</v>
      </c>
      <c r="O153" s="375">
        <f>L153/L155</f>
        <v>0.8849557522123894</v>
      </c>
      <c r="P153" s="165"/>
    </row>
    <row r="154" spans="2:16" ht="18" customHeight="1" thickBot="1">
      <c r="B154" s="172"/>
      <c r="C154" s="31"/>
      <c r="D154" s="31"/>
      <c r="E154" s="31"/>
      <c r="F154" s="297" t="s">
        <v>274</v>
      </c>
      <c r="G154" s="298"/>
      <c r="H154" s="302">
        <v>0.13</v>
      </c>
      <c r="I154" s="299">
        <f>I153*H154</f>
        <v>16.2529597425</v>
      </c>
      <c r="J154" s="298"/>
      <c r="K154" s="302">
        <v>0.13</v>
      </c>
      <c r="L154" s="300">
        <f>L153*K154</f>
        <v>16.7641699126614</v>
      </c>
      <c r="M154" s="227">
        <f>+L154-I154</f>
        <v>0.5112101701614016</v>
      </c>
      <c r="N154" s="228">
        <f t="shared" si="11"/>
        <v>0.031453358542729536</v>
      </c>
      <c r="O154" s="241">
        <f>L154/L155</f>
        <v>0.11504424778761062</v>
      </c>
      <c r="P154" s="165"/>
    </row>
    <row r="155" spans="2:16" ht="18" customHeight="1" thickBot="1">
      <c r="B155" s="172"/>
      <c r="C155" s="31"/>
      <c r="D155" s="31"/>
      <c r="E155" s="35"/>
      <c r="F155" s="234" t="s">
        <v>79</v>
      </c>
      <c r="G155" s="598"/>
      <c r="H155" s="599"/>
      <c r="I155" s="236">
        <f>SUM(I153:I154)</f>
        <v>141.2757269925</v>
      </c>
      <c r="J155" s="598"/>
      <c r="K155" s="599"/>
      <c r="L155" s="236">
        <f>SUM(L153:L154)</f>
        <v>145.71932308697987</v>
      </c>
      <c r="M155" s="236">
        <f>SUM(M153:M154)</f>
        <v>4.443596094479864</v>
      </c>
      <c r="N155" s="238">
        <f t="shared" si="11"/>
        <v>0.03145335854272945</v>
      </c>
      <c r="O155" s="240">
        <f>SUM(O153:O154)</f>
        <v>1</v>
      </c>
      <c r="P155" s="165"/>
    </row>
    <row r="156" spans="2:16" ht="18" customHeight="1" thickBot="1">
      <c r="B156" s="166"/>
      <c r="C156" s="178"/>
      <c r="D156" s="178"/>
      <c r="E156" s="178"/>
      <c r="F156" s="179"/>
      <c r="G156" s="180"/>
      <c r="H156" s="181"/>
      <c r="I156" s="182"/>
      <c r="J156" s="180"/>
      <c r="K156" s="183"/>
      <c r="L156" s="182"/>
      <c r="M156" s="187"/>
      <c r="N156" s="185"/>
      <c r="O156" s="186"/>
      <c r="P156" s="167"/>
    </row>
    <row r="157" ht="18" customHeight="1" thickBot="1"/>
    <row r="158" spans="2:16" ht="18" customHeight="1" thickBot="1">
      <c r="B158" s="174"/>
      <c r="C158" s="592"/>
      <c r="D158" s="592"/>
      <c r="E158" s="592"/>
      <c r="F158" s="592"/>
      <c r="G158" s="592"/>
      <c r="H158" s="592"/>
      <c r="I158" s="592"/>
      <c r="J158" s="592"/>
      <c r="K158" s="592"/>
      <c r="L158" s="592"/>
      <c r="M158" s="592"/>
      <c r="N158" s="592"/>
      <c r="O158" s="592"/>
      <c r="P158" s="164"/>
    </row>
    <row r="159" spans="2:16" ht="23.25">
      <c r="B159" s="172"/>
      <c r="C159" s="603" t="s">
        <v>277</v>
      </c>
      <c r="D159" s="603"/>
      <c r="E159" s="603"/>
      <c r="F159" s="603"/>
      <c r="G159" s="603"/>
      <c r="H159" s="603"/>
      <c r="I159" s="603"/>
      <c r="J159" s="603"/>
      <c r="K159" s="603"/>
      <c r="L159" s="603"/>
      <c r="M159" s="603"/>
      <c r="N159" s="603"/>
      <c r="O159" s="603"/>
      <c r="P159" s="165"/>
    </row>
    <row r="160" spans="2:16" ht="18" customHeight="1" thickBot="1">
      <c r="B160" s="172"/>
      <c r="C160" s="590"/>
      <c r="D160" s="590"/>
      <c r="E160" s="590"/>
      <c r="F160" s="590"/>
      <c r="G160" s="590"/>
      <c r="H160" s="590"/>
      <c r="I160" s="590"/>
      <c r="J160" s="590"/>
      <c r="K160" s="590"/>
      <c r="L160" s="590"/>
      <c r="M160" s="590"/>
      <c r="N160" s="590"/>
      <c r="O160" s="590"/>
      <c r="P160" s="165"/>
    </row>
    <row r="161" spans="2:16" ht="18" customHeight="1" thickBot="1">
      <c r="B161" s="172"/>
      <c r="C161" s="173"/>
      <c r="D161" s="173"/>
      <c r="E161" s="31"/>
      <c r="F161" s="37"/>
      <c r="G161" s="595" t="str">
        <f>$G$10</f>
        <v>2010 BILL</v>
      </c>
      <c r="H161" s="596"/>
      <c r="I161" s="597"/>
      <c r="J161" s="595" t="str">
        <f>$J$10</f>
        <v>2011 BILL</v>
      </c>
      <c r="K161" s="596"/>
      <c r="L161" s="597"/>
      <c r="M161" s="595" t="s">
        <v>73</v>
      </c>
      <c r="N161" s="596"/>
      <c r="O161" s="597"/>
      <c r="P161" s="165"/>
    </row>
    <row r="162" spans="2:16" ht="26.25" thickBot="1">
      <c r="B162" s="172"/>
      <c r="C162" s="31"/>
      <c r="D162" s="31"/>
      <c r="E162" s="33"/>
      <c r="F162" s="38"/>
      <c r="G162" s="188" t="s">
        <v>67</v>
      </c>
      <c r="H162" s="189" t="s">
        <v>68</v>
      </c>
      <c r="I162" s="190" t="s">
        <v>69</v>
      </c>
      <c r="J162" s="191" t="s">
        <v>67</v>
      </c>
      <c r="K162" s="189" t="s">
        <v>68</v>
      </c>
      <c r="L162" s="190" t="s">
        <v>69</v>
      </c>
      <c r="M162" s="192" t="s">
        <v>80</v>
      </c>
      <c r="N162" s="193" t="s">
        <v>81</v>
      </c>
      <c r="O162" s="194" t="s">
        <v>76</v>
      </c>
      <c r="P162" s="165"/>
    </row>
    <row r="163" spans="2:16" ht="18" customHeight="1" thickBot="1">
      <c r="B163" s="172"/>
      <c r="C163" s="593" t="s">
        <v>70</v>
      </c>
      <c r="D163" s="594"/>
      <c r="E163" s="31"/>
      <c r="F163" s="397" t="s">
        <v>71</v>
      </c>
      <c r="G163" s="495"/>
      <c r="H163" s="208"/>
      <c r="I163" s="500">
        <f>'2010 Existing RatesPW'!C8</f>
        <v>10.04</v>
      </c>
      <c r="J163" s="207"/>
      <c r="K163" s="208"/>
      <c r="L163" s="212">
        <f>'Rate Schedule (Part 1) PW'!$E$12</f>
        <v>16.55</v>
      </c>
      <c r="M163" s="504">
        <f aca="true" t="shared" si="12" ref="M163:M169">+L163-I163</f>
        <v>6.510000000000002</v>
      </c>
      <c r="N163" s="222">
        <f aca="true" t="shared" si="13" ref="N163:N181">+M163/I163</f>
        <v>0.6484063745019922</v>
      </c>
      <c r="O163" s="223">
        <f>L163/L181</f>
        <v>0.07809846162716913</v>
      </c>
      <c r="P163" s="165"/>
    </row>
    <row r="164" spans="2:16" ht="18" customHeight="1" thickBot="1">
      <c r="B164" s="172"/>
      <c r="C164" s="170">
        <v>1500</v>
      </c>
      <c r="D164" s="171" t="s">
        <v>16</v>
      </c>
      <c r="E164" s="31"/>
      <c r="F164" s="398" t="s">
        <v>72</v>
      </c>
      <c r="G164" s="396">
        <f>+C164</f>
        <v>1500</v>
      </c>
      <c r="H164" s="196">
        <f>'2010 Existing RatesPW'!B72</f>
        <v>0.018</v>
      </c>
      <c r="I164" s="501">
        <f>+G164*H164</f>
        <v>26.999999999999996</v>
      </c>
      <c r="J164" s="201">
        <f>+C164</f>
        <v>1500</v>
      </c>
      <c r="K164" s="195">
        <f>'Rate Schedule (Part 1) PW'!$E$13</f>
        <v>0.0167</v>
      </c>
      <c r="L164" s="214">
        <f>+J164*K164</f>
        <v>25.05</v>
      </c>
      <c r="M164" s="489">
        <f t="shared" si="12"/>
        <v>-1.9499999999999957</v>
      </c>
      <c r="N164" s="218">
        <f t="shared" si="13"/>
        <v>-0.07222222222222208</v>
      </c>
      <c r="O164" s="225">
        <f>L164/L181</f>
        <v>0.11820945400366083</v>
      </c>
      <c r="P164" s="165"/>
    </row>
    <row r="165" spans="2:16" ht="18" customHeight="1">
      <c r="B165" s="172"/>
      <c r="C165" s="63"/>
      <c r="D165" s="64"/>
      <c r="E165" s="31"/>
      <c r="F165" s="398" t="s">
        <v>246</v>
      </c>
      <c r="G165" s="396">
        <f>G164</f>
        <v>1500</v>
      </c>
      <c r="H165" s="196">
        <f>'2010 Existing RatesPW'!B47</f>
        <v>0.0023</v>
      </c>
      <c r="I165" s="501">
        <f>+G165*H165</f>
        <v>3.4499999999999997</v>
      </c>
      <c r="J165" s="201">
        <f>J164</f>
        <v>1500</v>
      </c>
      <c r="K165" s="195">
        <f>'Rate Schedule (Part 1) PW'!$E$14</f>
        <v>0.0003</v>
      </c>
      <c r="L165" s="214">
        <f>+J165*K165</f>
        <v>0.44999999999999996</v>
      </c>
      <c r="M165" s="489">
        <f t="shared" si="12"/>
        <v>-3</v>
      </c>
      <c r="N165" s="218">
        <f t="shared" si="13"/>
        <v>-0.8695652173913044</v>
      </c>
      <c r="O165" s="225">
        <f>L165/L181</f>
        <v>0.002123523125814266</v>
      </c>
      <c r="P165" s="165"/>
    </row>
    <row r="166" spans="2:16" ht="18" customHeight="1">
      <c r="B166" s="172"/>
      <c r="C166" s="63"/>
      <c r="D166" s="64"/>
      <c r="E166" s="31"/>
      <c r="F166" s="398" t="s">
        <v>170</v>
      </c>
      <c r="G166" s="496"/>
      <c r="H166" s="219"/>
      <c r="I166" s="501">
        <f>'2010 Existing RatesNF'!$B$57</f>
        <v>1</v>
      </c>
      <c r="J166" s="220"/>
      <c r="K166" s="219"/>
      <c r="L166" s="214">
        <f>'Rate Schedule (Part 1) PW'!$E$16</f>
        <v>1</v>
      </c>
      <c r="M166" s="489">
        <f t="shared" si="12"/>
        <v>0</v>
      </c>
      <c r="N166" s="218">
        <f t="shared" si="13"/>
        <v>0</v>
      </c>
      <c r="O166" s="225">
        <f>L166/L181</f>
        <v>0.004718940279587258</v>
      </c>
      <c r="P166" s="165"/>
    </row>
    <row r="167" spans="1:16" ht="18" customHeight="1">
      <c r="A167" s="165"/>
      <c r="B167" s="25"/>
      <c r="C167" s="31"/>
      <c r="D167" s="31"/>
      <c r="E167" s="31"/>
      <c r="F167" s="398" t="s">
        <v>162</v>
      </c>
      <c r="G167" s="396">
        <f>C164</f>
        <v>1500</v>
      </c>
      <c r="H167" s="196"/>
      <c r="I167" s="502">
        <f>+G167*H167</f>
        <v>0</v>
      </c>
      <c r="J167" s="201">
        <f>C164</f>
        <v>1500</v>
      </c>
      <c r="K167" s="195">
        <f>'Rate Schedule (Part 1) PW'!$E$15</f>
        <v>0</v>
      </c>
      <c r="L167" s="214">
        <f>J167*K167</f>
        <v>0</v>
      </c>
      <c r="M167" s="489">
        <f t="shared" si="12"/>
        <v>0</v>
      </c>
      <c r="N167" s="218" t="e">
        <f t="shared" si="13"/>
        <v>#DIV/0!</v>
      </c>
      <c r="O167" s="225">
        <f>L167/L181</f>
        <v>0</v>
      </c>
      <c r="P167" s="165"/>
    </row>
    <row r="168" spans="2:16" ht="25.5" customHeight="1">
      <c r="B168" s="172"/>
      <c r="C168" s="31"/>
      <c r="D168" s="31"/>
      <c r="E168" s="31"/>
      <c r="F168" s="398" t="s">
        <v>286</v>
      </c>
      <c r="G168" s="497">
        <f>+C164</f>
        <v>1500</v>
      </c>
      <c r="H168" s="196">
        <f>'2010 Existing RatesPW'!B21</f>
        <v>-0.0064</v>
      </c>
      <c r="I168" s="501">
        <f>+G168*H168</f>
        <v>-9.6</v>
      </c>
      <c r="J168" s="505">
        <f>+C164</f>
        <v>1500</v>
      </c>
      <c r="K168" s="196">
        <f>'Rate Schedule (Part 1) PW'!$E$18</f>
        <v>-0.0064</v>
      </c>
      <c r="L168" s="214">
        <f>+J168*K168</f>
        <v>-9.6</v>
      </c>
      <c r="M168" s="489">
        <f t="shared" si="12"/>
        <v>0</v>
      </c>
      <c r="N168" s="218">
        <f t="shared" si="13"/>
        <v>0</v>
      </c>
      <c r="O168" s="225">
        <f>L168/L181</f>
        <v>-0.04530182668403768</v>
      </c>
      <c r="P168" s="165"/>
    </row>
    <row r="169" spans="2:16" ht="27.75" customHeight="1">
      <c r="B169" s="172"/>
      <c r="C169" s="31"/>
      <c r="D169" s="31"/>
      <c r="E169" s="31"/>
      <c r="F169" s="398" t="s">
        <v>294</v>
      </c>
      <c r="G169" s="498">
        <f>C164</f>
        <v>1500</v>
      </c>
      <c r="H169" s="488"/>
      <c r="I169" s="503">
        <f>+G169*H169</f>
        <v>0</v>
      </c>
      <c r="J169" s="372">
        <f>C164</f>
        <v>1500</v>
      </c>
      <c r="K169" s="488">
        <f>'Rate Schedule (Part 1) PW'!E20</f>
        <v>0.0001</v>
      </c>
      <c r="L169" s="229">
        <f>+J169*K169</f>
        <v>0.15</v>
      </c>
      <c r="M169" s="489">
        <f t="shared" si="12"/>
        <v>0.15</v>
      </c>
      <c r="N169" s="218" t="e">
        <f>+M169/I169</f>
        <v>#DIV/0!</v>
      </c>
      <c r="O169" s="225">
        <f>L169/L181</f>
        <v>0.0007078410419380887</v>
      </c>
      <c r="P169" s="165"/>
    </row>
    <row r="170" spans="2:16" ht="26.25" customHeight="1">
      <c r="B170" s="172"/>
      <c r="C170" s="63"/>
      <c r="D170" s="64"/>
      <c r="E170" s="31"/>
      <c r="F170" s="398" t="s">
        <v>316</v>
      </c>
      <c r="G170" s="396">
        <f>C164</f>
        <v>1500</v>
      </c>
      <c r="H170" s="196">
        <f>'2010 Existing RatesPW'!B34</f>
        <v>0.0007</v>
      </c>
      <c r="I170" s="502">
        <f>+G170*H170</f>
        <v>1.05</v>
      </c>
      <c r="J170" s="201">
        <f>C164</f>
        <v>1500</v>
      </c>
      <c r="K170" s="195">
        <f>'Rate Schedule (Part 1) PW'!E17</f>
        <v>0.0007</v>
      </c>
      <c r="L170" s="214">
        <f>+J170*K170</f>
        <v>1.05</v>
      </c>
      <c r="M170" s="489">
        <f>+L170-I170</f>
        <v>0</v>
      </c>
      <c r="N170" s="218">
        <f>+M170/I170</f>
        <v>0</v>
      </c>
      <c r="O170" s="225" t="e">
        <f>L170/L182</f>
        <v>#DIV/0!</v>
      </c>
      <c r="P170" s="165"/>
    </row>
    <row r="171" spans="2:16" ht="27.75" customHeight="1" thickBot="1">
      <c r="B171" s="172"/>
      <c r="C171" s="31"/>
      <c r="D171" s="31"/>
      <c r="E171" s="31"/>
      <c r="F171" s="499" t="s">
        <v>317</v>
      </c>
      <c r="G171" s="498">
        <f>C164</f>
        <v>1500</v>
      </c>
      <c r="H171" s="488"/>
      <c r="I171" s="502">
        <f>+G171*H171</f>
        <v>0</v>
      </c>
      <c r="J171" s="506">
        <f>C164</f>
        <v>1500</v>
      </c>
      <c r="K171" s="507">
        <f>'Rate Schedule (Part 1) PW'!E19</f>
        <v>0.0016</v>
      </c>
      <c r="L171" s="509">
        <f>+J171*K171</f>
        <v>2.4</v>
      </c>
      <c r="M171" s="489">
        <f>+L171-I171</f>
        <v>2.4</v>
      </c>
      <c r="N171" s="218" t="e">
        <f>+M171/I171</f>
        <v>#DIV/0!</v>
      </c>
      <c r="O171" s="225" t="e">
        <f>L171/L183</f>
        <v>#DIV/0!</v>
      </c>
      <c r="P171" s="165"/>
    </row>
    <row r="172" spans="1:16" ht="18" customHeight="1" thickBot="1">
      <c r="A172" s="165"/>
      <c r="F172" s="233" t="s">
        <v>247</v>
      </c>
      <c r="G172" s="586"/>
      <c r="H172" s="587"/>
      <c r="I172" s="235">
        <f>SUM(I163:I171)</f>
        <v>32.93999999999999</v>
      </c>
      <c r="J172" s="586"/>
      <c r="K172" s="587"/>
      <c r="L172" s="235">
        <f>SUM(L163:L171)</f>
        <v>37.05</v>
      </c>
      <c r="M172" s="237">
        <f>SUM(M163:M171)</f>
        <v>4.110000000000006</v>
      </c>
      <c r="N172" s="238">
        <f t="shared" si="13"/>
        <v>0.12477231329690366</v>
      </c>
      <c r="O172" s="240">
        <f>L172/L181</f>
        <v>0.1748367373587079</v>
      </c>
      <c r="P172" s="385"/>
    </row>
    <row r="173" spans="1:16" ht="18" customHeight="1" thickBot="1">
      <c r="A173" s="165"/>
      <c r="F173" s="199" t="s">
        <v>248</v>
      </c>
      <c r="G173" s="372">
        <f>C164*'Other Electriciy Rates PW'!$M$10</f>
        <v>1590.15</v>
      </c>
      <c r="H173" s="373">
        <f>'Other Electriciy Rates PW'!$B$10</f>
        <v>0.0103</v>
      </c>
      <c r="I173" s="210">
        <f>+G173*H173</f>
        <v>16.378545000000003</v>
      </c>
      <c r="J173" s="372">
        <f>'BILL IMPACTS PW'!C164*'Other Electriciy Rates PW'!$M$24</f>
        <v>1583.9854126393047</v>
      </c>
      <c r="K173" s="494">
        <f>'Other Electriciy Rates PW'!$B$24</f>
        <v>0.010132682166659615</v>
      </c>
      <c r="L173" s="210">
        <f>+J173*K173</f>
        <v>16.050020742899257</v>
      </c>
      <c r="M173" s="374">
        <f>+L173-I173</f>
        <v>-0.32852425710074584</v>
      </c>
      <c r="N173" s="222">
        <f t="shared" si="13"/>
        <v>-0.020058207679665426</v>
      </c>
      <c r="O173" s="223">
        <f>L173/L181</f>
        <v>0.07573908937187832</v>
      </c>
      <c r="P173" s="385"/>
    </row>
    <row r="174" spans="1:16" ht="18" customHeight="1" thickBot="1">
      <c r="A174" s="165"/>
      <c r="F174" s="233" t="s">
        <v>249</v>
      </c>
      <c r="G174" s="586"/>
      <c r="H174" s="587"/>
      <c r="I174" s="235">
        <f>SUM(I172:I173)</f>
        <v>49.31854499999999</v>
      </c>
      <c r="J174" s="586"/>
      <c r="K174" s="587"/>
      <c r="L174" s="235">
        <f>SUM(L172:L173)</f>
        <v>53.100020742899254</v>
      </c>
      <c r="M174" s="237">
        <f>SUM(M172:M173)</f>
        <v>3.78147574289926</v>
      </c>
      <c r="N174" s="238">
        <f t="shared" si="13"/>
        <v>0.07667451955241705</v>
      </c>
      <c r="O174" s="375">
        <f>L174/L181</f>
        <v>0.2505758267305862</v>
      </c>
      <c r="P174" s="385"/>
    </row>
    <row r="175" spans="1:16" ht="18" customHeight="1">
      <c r="A175" s="165"/>
      <c r="F175" s="200" t="s">
        <v>77</v>
      </c>
      <c r="G175" s="202">
        <f>+'Other Electriciy Rates PW'!$M$10*C164</f>
        <v>1590.15</v>
      </c>
      <c r="H175" s="203">
        <f>'Other Electriciy Rates PW'!$C$10+'Other Electriciy Rates PW'!$E$10+'Other Electriciy Rates PW'!D10</f>
        <v>0.0138725</v>
      </c>
      <c r="I175" s="204">
        <f>+G175*H175</f>
        <v>22.059355875</v>
      </c>
      <c r="J175" s="202">
        <f>J173</f>
        <v>1583.9854126393047</v>
      </c>
      <c r="K175" s="203">
        <f>'Other Electriciy Rates PW'!$C$24+'Other Electriciy Rates PW'!$E$24+'Other Electriciy Rates PW'!D24</f>
        <v>0.0135</v>
      </c>
      <c r="L175" s="229">
        <f>+J175*K175</f>
        <v>21.383803070630613</v>
      </c>
      <c r="M175" s="230">
        <f>+L175-I175</f>
        <v>-0.6755528043693886</v>
      </c>
      <c r="N175" s="231">
        <f t="shared" si="13"/>
        <v>-0.030624321407997073</v>
      </c>
      <c r="O175" s="301">
        <f>L175/L181</f>
        <v>0.10090888964076049</v>
      </c>
      <c r="P175" s="385"/>
    </row>
    <row r="176" spans="2:16" ht="21.75" customHeight="1">
      <c r="B176" s="172"/>
      <c r="C176" s="31"/>
      <c r="D176" s="31"/>
      <c r="E176" s="31"/>
      <c r="F176" s="200" t="s">
        <v>321</v>
      </c>
      <c r="G176" s="220"/>
      <c r="H176" s="219"/>
      <c r="I176" s="210">
        <v>0.25</v>
      </c>
      <c r="J176" s="220"/>
      <c r="K176" s="219"/>
      <c r="L176" s="214">
        <v>0.25</v>
      </c>
      <c r="M176" s="513">
        <f>+L176-I176</f>
        <v>0</v>
      </c>
      <c r="N176" s="231">
        <f t="shared" si="13"/>
        <v>0</v>
      </c>
      <c r="O176" s="225">
        <f>L176/L181</f>
        <v>0.0011797350698968146</v>
      </c>
      <c r="P176" s="165"/>
    </row>
    <row r="177" spans="1:16" ht="18" customHeight="1">
      <c r="A177" s="165"/>
      <c r="B177" s="25"/>
      <c r="C177" s="31"/>
      <c r="D177" s="31"/>
      <c r="E177" s="31"/>
      <c r="F177" s="197" t="s">
        <v>78</v>
      </c>
      <c r="G177" s="202">
        <v>600</v>
      </c>
      <c r="H177" s="203">
        <f>'Other Electriciy Rates PW'!$K$11</f>
        <v>0.065</v>
      </c>
      <c r="I177" s="204">
        <f>+G177*H177</f>
        <v>39</v>
      </c>
      <c r="J177" s="202">
        <v>600</v>
      </c>
      <c r="K177" s="203">
        <f>'Other Electriciy Rates PW'!$K$24</f>
        <v>0.065</v>
      </c>
      <c r="L177" s="229">
        <f>+J177*K177</f>
        <v>39</v>
      </c>
      <c r="M177" s="230">
        <f>+L177-I177</f>
        <v>0</v>
      </c>
      <c r="N177" s="231">
        <f t="shared" si="13"/>
        <v>0</v>
      </c>
      <c r="O177" s="232">
        <f>L177/L181</f>
        <v>0.18403867090390308</v>
      </c>
      <c r="P177" s="385"/>
    </row>
    <row r="178" spans="2:16" ht="18" customHeight="1" thickBot="1">
      <c r="B178" s="172"/>
      <c r="C178" s="31"/>
      <c r="D178" s="31"/>
      <c r="E178" s="31"/>
      <c r="F178" s="197" t="s">
        <v>78</v>
      </c>
      <c r="G178" s="202">
        <f>G175-G177</f>
        <v>990.1500000000001</v>
      </c>
      <c r="H178" s="203">
        <f>'Other Electriciy Rates PW'!$L$10</f>
        <v>0.075</v>
      </c>
      <c r="I178" s="204">
        <f>+G178*H178</f>
        <v>74.26125</v>
      </c>
      <c r="J178" s="202">
        <f>J175-J177</f>
        <v>983.9854126393047</v>
      </c>
      <c r="K178" s="203">
        <f>'Other Electriciy Rates PW'!$L$24</f>
        <v>0.075</v>
      </c>
      <c r="L178" s="229">
        <f>+J178*K178</f>
        <v>73.79890594794786</v>
      </c>
      <c r="M178" s="230">
        <f>+L178-I178</f>
        <v>-0.46234405205214557</v>
      </c>
      <c r="N178" s="231">
        <f t="shared" si="13"/>
        <v>-0.0062259125998033365</v>
      </c>
      <c r="O178" s="232">
        <f>L178/L181</f>
        <v>0.3482526298672428</v>
      </c>
      <c r="P178" s="165"/>
    </row>
    <row r="179" spans="2:16" ht="18" customHeight="1" thickBot="1">
      <c r="B179" s="172"/>
      <c r="C179" s="31"/>
      <c r="D179" s="31"/>
      <c r="E179" s="31"/>
      <c r="F179" s="233" t="s">
        <v>195</v>
      </c>
      <c r="G179" s="586"/>
      <c r="H179" s="587"/>
      <c r="I179" s="235">
        <f>SUM(I174:I178)</f>
        <v>184.88915087499998</v>
      </c>
      <c r="J179" s="586"/>
      <c r="K179" s="587"/>
      <c r="L179" s="235">
        <f>SUM(L174:L178)</f>
        <v>187.53272976147773</v>
      </c>
      <c r="M179" s="235">
        <f>SUM(M174:M178)</f>
        <v>2.6435788864777257</v>
      </c>
      <c r="N179" s="238">
        <f t="shared" si="13"/>
        <v>0.014298182851545457</v>
      </c>
      <c r="O179" s="375">
        <f>L179/L181</f>
        <v>0.8849557522123894</v>
      </c>
      <c r="P179" s="165"/>
    </row>
    <row r="180" spans="2:16" ht="18" customHeight="1" thickBot="1">
      <c r="B180" s="172"/>
      <c r="C180" s="31"/>
      <c r="D180" s="31"/>
      <c r="E180" s="31"/>
      <c r="F180" s="297" t="s">
        <v>274</v>
      </c>
      <c r="G180" s="298"/>
      <c r="H180" s="302">
        <v>0.13</v>
      </c>
      <c r="I180" s="299">
        <f>I179*H180</f>
        <v>24.03558961375</v>
      </c>
      <c r="J180" s="298"/>
      <c r="K180" s="302">
        <v>0.13</v>
      </c>
      <c r="L180" s="300">
        <f>L179*K180</f>
        <v>24.379254868992106</v>
      </c>
      <c r="M180" s="227">
        <f>+L180-I180</f>
        <v>0.343665255242108</v>
      </c>
      <c r="N180" s="228">
        <f t="shared" si="13"/>
        <v>0.01429818285154561</v>
      </c>
      <c r="O180" s="241">
        <f>L180/L181</f>
        <v>0.11504424778761063</v>
      </c>
      <c r="P180" s="165"/>
    </row>
    <row r="181" spans="2:16" ht="18" customHeight="1" thickBot="1">
      <c r="B181" s="172"/>
      <c r="C181" s="31"/>
      <c r="D181" s="31"/>
      <c r="E181" s="35"/>
      <c r="F181" s="234" t="s">
        <v>79</v>
      </c>
      <c r="G181" s="598"/>
      <c r="H181" s="599"/>
      <c r="I181" s="236">
        <f>SUM(I179:I180)</f>
        <v>208.92474048875</v>
      </c>
      <c r="J181" s="598"/>
      <c r="K181" s="599"/>
      <c r="L181" s="236">
        <f>SUM(L179:L180)</f>
        <v>211.91198463046982</v>
      </c>
      <c r="M181" s="236">
        <f>SUM(M179:M180)</f>
        <v>2.9872441417198337</v>
      </c>
      <c r="N181" s="238">
        <f t="shared" si="13"/>
        <v>0.014298182851545474</v>
      </c>
      <c r="O181" s="240">
        <f>SUM(O179:O180)</f>
        <v>1</v>
      </c>
      <c r="P181" s="165"/>
    </row>
    <row r="182" spans="2:16" ht="18" customHeight="1" thickBot="1">
      <c r="B182" s="172"/>
      <c r="C182" s="31"/>
      <c r="D182" s="31"/>
      <c r="E182" s="31"/>
      <c r="F182" s="469"/>
      <c r="G182" s="180"/>
      <c r="H182" s="180"/>
      <c r="I182" s="470"/>
      <c r="J182" s="180"/>
      <c r="K182" s="180"/>
      <c r="L182" s="470"/>
      <c r="M182" s="470"/>
      <c r="N182" s="471"/>
      <c r="O182" s="471"/>
      <c r="P182" s="165"/>
    </row>
    <row r="183" spans="2:16" ht="18" customHeight="1" thickBot="1">
      <c r="B183" s="166"/>
      <c r="C183" s="178"/>
      <c r="D183" s="178"/>
      <c r="E183" s="178"/>
      <c r="F183" s="179"/>
      <c r="G183" s="180"/>
      <c r="H183" s="181"/>
      <c r="I183" s="182"/>
      <c r="J183" s="180"/>
      <c r="K183" s="183"/>
      <c r="L183" s="182"/>
      <c r="M183" s="187"/>
      <c r="N183" s="185"/>
      <c r="O183" s="186"/>
      <c r="P183" s="167"/>
    </row>
    <row r="184" spans="2:16" ht="21.75" customHeight="1">
      <c r="B184" s="174"/>
      <c r="C184" s="603" t="s">
        <v>278</v>
      </c>
      <c r="D184" s="603"/>
      <c r="E184" s="603"/>
      <c r="F184" s="603"/>
      <c r="G184" s="603"/>
      <c r="H184" s="603"/>
      <c r="I184" s="603"/>
      <c r="J184" s="603"/>
      <c r="K184" s="603"/>
      <c r="L184" s="603"/>
      <c r="M184" s="603"/>
      <c r="N184" s="603"/>
      <c r="O184" s="603"/>
      <c r="P184" s="164"/>
    </row>
    <row r="185" spans="2:16" ht="21.75" customHeight="1" thickBot="1">
      <c r="B185" s="172"/>
      <c r="C185" s="604"/>
      <c r="D185" s="604"/>
      <c r="E185" s="604"/>
      <c r="F185" s="604"/>
      <c r="G185" s="604"/>
      <c r="H185" s="604"/>
      <c r="I185" s="604"/>
      <c r="J185" s="604"/>
      <c r="K185" s="604"/>
      <c r="L185" s="604"/>
      <c r="M185" s="604"/>
      <c r="N185" s="604"/>
      <c r="O185" s="604"/>
      <c r="P185" s="165"/>
    </row>
    <row r="186" spans="2:16" ht="21.75" customHeight="1" thickBot="1">
      <c r="B186" s="172"/>
      <c r="C186" s="173"/>
      <c r="D186" s="173"/>
      <c r="E186" s="31"/>
      <c r="F186" s="37"/>
      <c r="G186" s="595" t="s">
        <v>198</v>
      </c>
      <c r="H186" s="596"/>
      <c r="I186" s="597"/>
      <c r="J186" s="595" t="s">
        <v>245</v>
      </c>
      <c r="K186" s="596"/>
      <c r="L186" s="597"/>
      <c r="M186" s="595" t="s">
        <v>73</v>
      </c>
      <c r="N186" s="596"/>
      <c r="O186" s="597"/>
      <c r="P186" s="165"/>
    </row>
    <row r="187" spans="2:16" ht="26.25" thickBot="1">
      <c r="B187" s="172"/>
      <c r="C187" s="31"/>
      <c r="D187" s="31"/>
      <c r="E187" s="33"/>
      <c r="F187" s="38"/>
      <c r="G187" s="213" t="s">
        <v>67</v>
      </c>
      <c r="H187" s="189" t="s">
        <v>68</v>
      </c>
      <c r="I187" s="190" t="s">
        <v>69</v>
      </c>
      <c r="J187" s="213" t="s">
        <v>67</v>
      </c>
      <c r="K187" s="189" t="s">
        <v>68</v>
      </c>
      <c r="L187" s="190" t="s">
        <v>69</v>
      </c>
      <c r="M187" s="215" t="s">
        <v>74</v>
      </c>
      <c r="N187" s="216" t="s">
        <v>75</v>
      </c>
      <c r="O187" s="217" t="s">
        <v>76</v>
      </c>
      <c r="P187" s="165"/>
    </row>
    <row r="188" spans="2:16" ht="21.75" customHeight="1" thickBot="1">
      <c r="B188" s="172"/>
      <c r="C188" s="593" t="s">
        <v>70</v>
      </c>
      <c r="D188" s="594"/>
      <c r="E188" s="31"/>
      <c r="F188" s="397" t="s">
        <v>71</v>
      </c>
      <c r="G188" s="495"/>
      <c r="H188" s="208"/>
      <c r="I188" s="500">
        <f>'2010 Existing RatesPW'!C9</f>
        <v>10.65</v>
      </c>
      <c r="J188" s="207"/>
      <c r="K188" s="208"/>
      <c r="L188" s="212">
        <f>'Rate Schedule (Part 1) PW'!$E$12</f>
        <v>16.55</v>
      </c>
      <c r="M188" s="504">
        <f aca="true" t="shared" si="14" ref="M188:M194">+L188-I188</f>
        <v>5.9</v>
      </c>
      <c r="N188" s="222">
        <f aca="true" t="shared" si="15" ref="N188:N205">+M188/I188</f>
        <v>0.5539906103286385</v>
      </c>
      <c r="O188" s="223">
        <f>L188/L205</f>
        <v>0.5146262166120585</v>
      </c>
      <c r="P188" s="165"/>
    </row>
    <row r="189" spans="2:16" ht="21.75" customHeight="1" thickBot="1">
      <c r="B189" s="172"/>
      <c r="C189" s="168">
        <v>100</v>
      </c>
      <c r="D189" s="169" t="s">
        <v>16</v>
      </c>
      <c r="E189" s="31"/>
      <c r="F189" s="398" t="s">
        <v>72</v>
      </c>
      <c r="G189" s="396">
        <f>+C189</f>
        <v>100</v>
      </c>
      <c r="H189" s="196">
        <f>'2010 Existing RatesPW'!B73</f>
        <v>0.0134</v>
      </c>
      <c r="I189" s="501">
        <f>+G189*H189</f>
        <v>1.34</v>
      </c>
      <c r="J189" s="201">
        <f>+C189</f>
        <v>100</v>
      </c>
      <c r="K189" s="195">
        <f>'Rate Schedule (Part 1) PW'!$E$13</f>
        <v>0.0167</v>
      </c>
      <c r="L189" s="214">
        <f>+J189*K189</f>
        <v>1.67</v>
      </c>
      <c r="M189" s="489">
        <f t="shared" si="14"/>
        <v>0.32999999999999985</v>
      </c>
      <c r="N189" s="218">
        <f t="shared" si="15"/>
        <v>0.2462686567164178</v>
      </c>
      <c r="O189" s="225">
        <f>L189/L205</f>
        <v>0.05192905025632252</v>
      </c>
      <c r="P189" s="165"/>
    </row>
    <row r="190" spans="2:16" ht="21.75" customHeight="1">
      <c r="B190" s="172"/>
      <c r="C190" s="369"/>
      <c r="D190" s="370"/>
      <c r="E190" s="31"/>
      <c r="F190" s="398" t="s">
        <v>246</v>
      </c>
      <c r="G190" s="396">
        <f>G189</f>
        <v>100</v>
      </c>
      <c r="H190" s="196">
        <f>'2010 Existing RatesPW'!B48</f>
        <v>0.0022</v>
      </c>
      <c r="I190" s="501">
        <f>+G190*H190</f>
        <v>0.22</v>
      </c>
      <c r="J190" s="201">
        <f>J189</f>
        <v>100</v>
      </c>
      <c r="K190" s="195">
        <f>'Rate Schedule (Part 1) PW'!$E$14</f>
        <v>0.0003</v>
      </c>
      <c r="L190" s="214">
        <f>+J190*K190</f>
        <v>0.03</v>
      </c>
      <c r="M190" s="489">
        <f t="shared" si="14"/>
        <v>-0.19</v>
      </c>
      <c r="N190" s="218">
        <f t="shared" si="15"/>
        <v>-0.8636363636363636</v>
      </c>
      <c r="O190" s="225">
        <f>L190/L205</f>
        <v>0.0009328571902333387</v>
      </c>
      <c r="P190" s="165"/>
    </row>
    <row r="191" spans="2:16" ht="21.75" customHeight="1">
      <c r="B191" s="172"/>
      <c r="C191" s="63"/>
      <c r="D191" s="64"/>
      <c r="E191" s="31"/>
      <c r="F191" s="398" t="s">
        <v>170</v>
      </c>
      <c r="G191" s="496"/>
      <c r="H191" s="219"/>
      <c r="I191" s="501">
        <f>'2010 Existing RatesNF'!$B$57</f>
        <v>1</v>
      </c>
      <c r="J191" s="220"/>
      <c r="K191" s="219"/>
      <c r="L191" s="214">
        <f>'Rate Schedule (Part 1) PW'!$E$16</f>
        <v>1</v>
      </c>
      <c r="M191" s="489">
        <f t="shared" si="14"/>
        <v>0</v>
      </c>
      <c r="N191" s="218">
        <f t="shared" si="15"/>
        <v>0</v>
      </c>
      <c r="O191" s="225">
        <f>L191/L205</f>
        <v>0.031095239674444625</v>
      </c>
      <c r="P191" s="165"/>
    </row>
    <row r="192" spans="2:16" ht="21.75" customHeight="1">
      <c r="B192" s="172"/>
      <c r="C192" s="63"/>
      <c r="D192" s="64"/>
      <c r="E192" s="31"/>
      <c r="F192" s="398" t="s">
        <v>162</v>
      </c>
      <c r="G192" s="396">
        <f>C189</f>
        <v>100</v>
      </c>
      <c r="H192" s="196"/>
      <c r="I192" s="502">
        <f>+G192*H192</f>
        <v>0</v>
      </c>
      <c r="J192" s="201">
        <f>C189</f>
        <v>100</v>
      </c>
      <c r="K192" s="195">
        <f>'Rate Schedule (Part 1) PW'!$E$15</f>
        <v>0</v>
      </c>
      <c r="L192" s="214">
        <f>J192*K192</f>
        <v>0</v>
      </c>
      <c r="M192" s="489">
        <f t="shared" si="14"/>
        <v>0</v>
      </c>
      <c r="N192" s="218" t="e">
        <f t="shared" si="15"/>
        <v>#DIV/0!</v>
      </c>
      <c r="O192" s="225">
        <f>L192/L205</f>
        <v>0</v>
      </c>
      <c r="P192" s="165"/>
    </row>
    <row r="193" spans="2:16" ht="25.5" customHeight="1">
      <c r="B193" s="172"/>
      <c r="C193" s="31"/>
      <c r="D193" s="31"/>
      <c r="E193" s="31"/>
      <c r="F193" s="398" t="s">
        <v>286</v>
      </c>
      <c r="G193" s="497">
        <f>+C189</f>
        <v>100</v>
      </c>
      <c r="H193" s="196">
        <f>'2010 Existing RatesPW'!B22</f>
        <v>-0.0064</v>
      </c>
      <c r="I193" s="501">
        <f>+G193*H193</f>
        <v>-0.64</v>
      </c>
      <c r="J193" s="505">
        <f>+C189</f>
        <v>100</v>
      </c>
      <c r="K193" s="196">
        <f>'Rate Schedule (Part 1) PW'!$E$18</f>
        <v>-0.0064</v>
      </c>
      <c r="L193" s="214">
        <f>+J193*K193</f>
        <v>-0.64</v>
      </c>
      <c r="M193" s="489">
        <f t="shared" si="14"/>
        <v>0</v>
      </c>
      <c r="N193" s="218">
        <f t="shared" si="15"/>
        <v>0</v>
      </c>
      <c r="O193" s="225">
        <f>L193/L205</f>
        <v>-0.01990095339164456</v>
      </c>
      <c r="P193" s="165"/>
    </row>
    <row r="194" spans="2:16" ht="27.75" customHeight="1">
      <c r="B194" s="172"/>
      <c r="C194" s="31"/>
      <c r="D194" s="31"/>
      <c r="E194" s="31"/>
      <c r="F194" s="398" t="s">
        <v>294</v>
      </c>
      <c r="G194" s="498">
        <f>C189</f>
        <v>100</v>
      </c>
      <c r="H194" s="488"/>
      <c r="I194" s="503">
        <f>+G194*H194</f>
        <v>0</v>
      </c>
      <c r="J194" s="372">
        <f>C189</f>
        <v>100</v>
      </c>
      <c r="K194" s="488">
        <f>'Rate Schedule (Part 1) PW'!E20</f>
        <v>0.0001</v>
      </c>
      <c r="L194" s="229">
        <f>+J194*K194</f>
        <v>0.01</v>
      </c>
      <c r="M194" s="489">
        <f t="shared" si="14"/>
        <v>0.01</v>
      </c>
      <c r="N194" s="218" t="e">
        <f>+M194/I194</f>
        <v>#DIV/0!</v>
      </c>
      <c r="O194" s="225">
        <f>L194/L205</f>
        <v>0.00031095239674444624</v>
      </c>
      <c r="P194" s="165"/>
    </row>
    <row r="195" spans="2:16" ht="26.25" customHeight="1">
      <c r="B195" s="172"/>
      <c r="C195" s="63"/>
      <c r="D195" s="64"/>
      <c r="E195" s="31"/>
      <c r="F195" s="398" t="s">
        <v>316</v>
      </c>
      <c r="G195" s="396">
        <f>C189</f>
        <v>100</v>
      </c>
      <c r="H195" s="196">
        <f>'2010 Existing RatesPW'!B35</f>
        <v>0.0007</v>
      </c>
      <c r="I195" s="502">
        <f>+G195*H195</f>
        <v>0.06999999999999999</v>
      </c>
      <c r="J195" s="201">
        <f>C189</f>
        <v>100</v>
      </c>
      <c r="K195" s="195">
        <f>'Rate Schedule (Part 1) PW'!E17</f>
        <v>0.0007</v>
      </c>
      <c r="L195" s="214">
        <f>+J195*K195</f>
        <v>0.06999999999999999</v>
      </c>
      <c r="M195" s="489">
        <f>+L195-I195</f>
        <v>0</v>
      </c>
      <c r="N195" s="218">
        <f>+M195/I195</f>
        <v>0</v>
      </c>
      <c r="O195" s="225">
        <f>L195/L205</f>
        <v>0.0021766667772111234</v>
      </c>
      <c r="P195" s="165"/>
    </row>
    <row r="196" spans="2:16" ht="27.75" customHeight="1" thickBot="1">
      <c r="B196" s="172"/>
      <c r="C196" s="31"/>
      <c r="D196" s="31"/>
      <c r="E196" s="31"/>
      <c r="F196" s="499" t="s">
        <v>317</v>
      </c>
      <c r="G196" s="498">
        <f>C189</f>
        <v>100</v>
      </c>
      <c r="H196" s="488"/>
      <c r="I196" s="502">
        <f>+G196*H196</f>
        <v>0</v>
      </c>
      <c r="J196" s="506">
        <f>C189</f>
        <v>100</v>
      </c>
      <c r="K196" s="507">
        <f>'Rate Schedule (Part 1) PW'!E19</f>
        <v>0.0016</v>
      </c>
      <c r="L196" s="509">
        <f>+J196*K196</f>
        <v>0.16</v>
      </c>
      <c r="M196" s="489">
        <f>+L196-I196</f>
        <v>0.16</v>
      </c>
      <c r="N196" s="218" t="e">
        <f>+M196/I196</f>
        <v>#DIV/0!</v>
      </c>
      <c r="O196" s="225">
        <f>L196/L205</f>
        <v>0.00497523834791114</v>
      </c>
      <c r="P196" s="165"/>
    </row>
    <row r="197" spans="2:16" ht="21.75" customHeight="1" thickBot="1">
      <c r="B197" s="172"/>
      <c r="C197" s="31"/>
      <c r="D197" s="31"/>
      <c r="E197" s="31"/>
      <c r="F197" s="233" t="s">
        <v>247</v>
      </c>
      <c r="G197" s="586"/>
      <c r="H197" s="587"/>
      <c r="I197" s="235">
        <f>SUM(I188:I196)</f>
        <v>12.64</v>
      </c>
      <c r="J197" s="586"/>
      <c r="K197" s="587"/>
      <c r="L197" s="235">
        <f>SUM(L188:L196)</f>
        <v>18.85</v>
      </c>
      <c r="M197" s="237">
        <f>SUM(M188:M196)</f>
        <v>6.21</v>
      </c>
      <c r="N197" s="238">
        <f t="shared" si="15"/>
        <v>0.49129746835443033</v>
      </c>
      <c r="O197" s="240">
        <f>L197/L205</f>
        <v>0.5861452678632812</v>
      </c>
      <c r="P197" s="165"/>
    </row>
    <row r="198" spans="2:16" ht="21.75" customHeight="1" thickBot="1">
      <c r="B198" s="172"/>
      <c r="C198" s="31"/>
      <c r="D198" s="31"/>
      <c r="E198" s="31"/>
      <c r="F198" s="199" t="s">
        <v>248</v>
      </c>
      <c r="G198" s="372">
        <f>C189*'Other Electriciy Rates PW'!$M$10</f>
        <v>106.01</v>
      </c>
      <c r="H198" s="373">
        <f>'Other Electriciy Rates PW'!$B$10</f>
        <v>0.0103</v>
      </c>
      <c r="I198" s="210">
        <f>+G198*H198</f>
        <v>1.091903</v>
      </c>
      <c r="J198" s="372">
        <f>'BILL IMPACTS PW'!C189*'Other Electriciy Rates PW'!$M$24</f>
        <v>105.59902750928698</v>
      </c>
      <c r="K198" s="494">
        <f>'Other Electriciy Rates PW'!$B$24</f>
        <v>0.010132682166659615</v>
      </c>
      <c r="L198" s="210">
        <f>+J198*K198</f>
        <v>1.0700013828599504</v>
      </c>
      <c r="M198" s="374">
        <f>+L198-I198</f>
        <v>-0.02190161714004968</v>
      </c>
      <c r="N198" s="222">
        <f t="shared" si="15"/>
        <v>-0.020058207679665388</v>
      </c>
      <c r="O198" s="223">
        <f>L198/L205</f>
        <v>0.03327194945201734</v>
      </c>
      <c r="P198" s="165"/>
    </row>
    <row r="199" spans="2:16" ht="21.75" customHeight="1" thickBot="1">
      <c r="B199" s="172"/>
      <c r="C199" s="31"/>
      <c r="D199" s="31"/>
      <c r="E199" s="31"/>
      <c r="F199" s="233" t="s">
        <v>249</v>
      </c>
      <c r="G199" s="586"/>
      <c r="H199" s="587"/>
      <c r="I199" s="235">
        <f>SUM(I197:I198)</f>
        <v>13.731903</v>
      </c>
      <c r="J199" s="586"/>
      <c r="K199" s="587"/>
      <c r="L199" s="235">
        <f>SUM(L197:L198)</f>
        <v>19.92000138285995</v>
      </c>
      <c r="M199" s="237">
        <f>SUM(M197:M198)</f>
        <v>6.18809838285995</v>
      </c>
      <c r="N199" s="238">
        <f t="shared" si="15"/>
        <v>0.4506366220952733</v>
      </c>
      <c r="O199" s="375">
        <f>L199/L205</f>
        <v>0.6194172173152985</v>
      </c>
      <c r="P199" s="165"/>
    </row>
    <row r="200" spans="2:16" ht="21.75" customHeight="1">
      <c r="B200" s="172"/>
      <c r="C200" s="31"/>
      <c r="D200" s="31"/>
      <c r="E200" s="31"/>
      <c r="F200" s="200" t="s">
        <v>77</v>
      </c>
      <c r="G200" s="202">
        <f>+'Other Electriciy Rates PW'!$M$10*C189</f>
        <v>106.01</v>
      </c>
      <c r="H200" s="203">
        <f>'Other Electriciy Rates PW'!$C$10+'Other Electriciy Rates PW'!$E$10+'Other Electriciy Rates PW'!D10</f>
        <v>0.0138725</v>
      </c>
      <c r="I200" s="204">
        <f>+G200*H200</f>
        <v>1.470623725</v>
      </c>
      <c r="J200" s="202">
        <f>J198</f>
        <v>105.59902750928698</v>
      </c>
      <c r="K200" s="203">
        <f>'Other Electriciy Rates PW'!$C$24+'Other Electriciy Rates PW'!$E$24+'Other Electriciy Rates PW'!D24</f>
        <v>0.0135</v>
      </c>
      <c r="L200" s="229">
        <f>+J200*K200</f>
        <v>1.4255868713753743</v>
      </c>
      <c r="M200" s="230">
        <f>+L200-I200</f>
        <v>-0.04503685362462573</v>
      </c>
      <c r="N200" s="231">
        <f t="shared" si="15"/>
        <v>-0.030624321407996955</v>
      </c>
      <c r="O200" s="301">
        <f>L200/L205</f>
        <v>0.044328965442158925</v>
      </c>
      <c r="P200" s="165"/>
    </row>
    <row r="201" spans="2:16" ht="21.75" customHeight="1">
      <c r="B201" s="172"/>
      <c r="C201" s="31"/>
      <c r="D201" s="31"/>
      <c r="E201" s="31"/>
      <c r="F201" s="200" t="s">
        <v>321</v>
      </c>
      <c r="G201" s="220"/>
      <c r="H201" s="219"/>
      <c r="I201" s="210">
        <v>0.25</v>
      </c>
      <c r="J201" s="220"/>
      <c r="K201" s="219"/>
      <c r="L201" s="214">
        <v>0.25</v>
      </c>
      <c r="M201" s="513">
        <f>+L201-I201</f>
        <v>0</v>
      </c>
      <c r="N201" s="231">
        <f t="shared" si="15"/>
        <v>0</v>
      </c>
      <c r="O201" s="225">
        <f>L201/L205</f>
        <v>0.007773809918611156</v>
      </c>
      <c r="P201" s="165"/>
    </row>
    <row r="202" spans="2:16" ht="21.75" customHeight="1" thickBot="1">
      <c r="B202" s="172"/>
      <c r="C202" s="31"/>
      <c r="D202" s="31"/>
      <c r="E202" s="31"/>
      <c r="F202" s="199" t="s">
        <v>78</v>
      </c>
      <c r="G202" s="211">
        <f>+'Other Electriciy Rates PW'!$M$10*C189</f>
        <v>106.01</v>
      </c>
      <c r="H202" s="205">
        <f>'Other Electriciy Rates PW'!$K$10</f>
        <v>0.065</v>
      </c>
      <c r="I202" s="206">
        <f>+G202*H202</f>
        <v>6.890650000000001</v>
      </c>
      <c r="J202" s="211">
        <f>J200</f>
        <v>105.59902750928698</v>
      </c>
      <c r="K202" s="205">
        <f>'Other Electriciy Rates PW'!$K$24</f>
        <v>0.065</v>
      </c>
      <c r="L202" s="226">
        <f>+J202*K202</f>
        <v>6.863936788103654</v>
      </c>
      <c r="M202" s="227">
        <f>+L202-I202</f>
        <v>-0.026713211896346678</v>
      </c>
      <c r="N202" s="228">
        <f t="shared" si="15"/>
        <v>-0.0038767332394399187</v>
      </c>
      <c r="O202" s="241">
        <f>L202/L205</f>
        <v>0.21343575953632074</v>
      </c>
      <c r="P202" s="165"/>
    </row>
    <row r="203" spans="2:16" ht="21.75" customHeight="1" thickBot="1">
      <c r="B203" s="172"/>
      <c r="C203" s="31"/>
      <c r="D203" s="31"/>
      <c r="E203" s="31"/>
      <c r="F203" s="233" t="s">
        <v>195</v>
      </c>
      <c r="G203" s="586"/>
      <c r="H203" s="587"/>
      <c r="I203" s="235">
        <f>SUM(I199:I202)</f>
        <v>22.343176725</v>
      </c>
      <c r="J203" s="586"/>
      <c r="K203" s="587"/>
      <c r="L203" s="235">
        <f>SUM(L199:L202)</f>
        <v>28.459525042338978</v>
      </c>
      <c r="M203" s="235">
        <f>SUM(M199:M202)</f>
        <v>6.116348317338978</v>
      </c>
      <c r="N203" s="238">
        <f t="shared" si="15"/>
        <v>0.27374568946121863</v>
      </c>
      <c r="O203" s="375">
        <f>L203/L205</f>
        <v>0.8849557522123893</v>
      </c>
      <c r="P203" s="303"/>
    </row>
    <row r="204" spans="2:16" ht="21.75" customHeight="1" thickBot="1">
      <c r="B204" s="172"/>
      <c r="C204" s="31"/>
      <c r="D204" s="31"/>
      <c r="E204" s="31"/>
      <c r="F204" s="297" t="s">
        <v>274</v>
      </c>
      <c r="G204" s="298"/>
      <c r="H204" s="302">
        <v>0.13</v>
      </c>
      <c r="I204" s="299">
        <f>I203*H204</f>
        <v>2.90461297425</v>
      </c>
      <c r="J204" s="298"/>
      <c r="K204" s="302">
        <v>0.13</v>
      </c>
      <c r="L204" s="300">
        <f>L203*K204</f>
        <v>3.699738255504067</v>
      </c>
      <c r="M204" s="227">
        <f>+L204-I204</f>
        <v>0.7951252812540672</v>
      </c>
      <c r="N204" s="231">
        <f t="shared" si="15"/>
        <v>0.2737456894612187</v>
      </c>
      <c r="O204" s="241">
        <f>L204/L205</f>
        <v>0.11504424778761062</v>
      </c>
      <c r="P204" s="165"/>
    </row>
    <row r="205" spans="2:16" s="384" customFormat="1" ht="21.75" customHeight="1" thickBot="1">
      <c r="B205" s="376"/>
      <c r="C205" s="377"/>
      <c r="D205" s="377"/>
      <c r="E205" s="378"/>
      <c r="F205" s="379" t="s">
        <v>79</v>
      </c>
      <c r="G205" s="600"/>
      <c r="H205" s="601"/>
      <c r="I205" s="380">
        <f>SUM(I203:I204)</f>
        <v>25.24778969925</v>
      </c>
      <c r="J205" s="600"/>
      <c r="K205" s="601"/>
      <c r="L205" s="380">
        <f>SUM(L203:L204)</f>
        <v>32.15926329784305</v>
      </c>
      <c r="M205" s="380">
        <f>SUM(M203:M204)</f>
        <v>6.911473598593044</v>
      </c>
      <c r="N205" s="381">
        <f t="shared" si="15"/>
        <v>0.27374568946121863</v>
      </c>
      <c r="O205" s="382">
        <f>O203+O204</f>
        <v>0.9999999999999999</v>
      </c>
      <c r="P205" s="383"/>
    </row>
    <row r="206" spans="2:16" ht="9.75" customHeight="1" thickBot="1">
      <c r="B206" s="166"/>
      <c r="C206" s="602"/>
      <c r="D206" s="602"/>
      <c r="E206" s="602"/>
      <c r="F206" s="602"/>
      <c r="G206" s="602"/>
      <c r="H206" s="602"/>
      <c r="I206" s="602"/>
      <c r="J206" s="602"/>
      <c r="K206" s="602"/>
      <c r="L206" s="602"/>
      <c r="M206" s="602"/>
      <c r="N206" s="602"/>
      <c r="O206" s="602"/>
      <c r="P206" s="167"/>
    </row>
    <row r="207" ht="18" customHeight="1" thickBot="1"/>
    <row r="208" spans="2:16" ht="21.75" customHeight="1">
      <c r="B208" s="174"/>
      <c r="C208" s="603" t="s">
        <v>278</v>
      </c>
      <c r="D208" s="603"/>
      <c r="E208" s="603"/>
      <c r="F208" s="603"/>
      <c r="G208" s="603"/>
      <c r="H208" s="603"/>
      <c r="I208" s="603"/>
      <c r="J208" s="603"/>
      <c r="K208" s="603"/>
      <c r="L208" s="603"/>
      <c r="M208" s="603"/>
      <c r="N208" s="603"/>
      <c r="O208" s="603"/>
      <c r="P208" s="164"/>
    </row>
    <row r="209" spans="2:16" ht="21.75" customHeight="1" thickBot="1">
      <c r="B209" s="172"/>
      <c r="C209" s="604"/>
      <c r="D209" s="604"/>
      <c r="E209" s="604"/>
      <c r="F209" s="604"/>
      <c r="G209" s="604"/>
      <c r="H209" s="604"/>
      <c r="I209" s="604"/>
      <c r="J209" s="604"/>
      <c r="K209" s="604"/>
      <c r="L209" s="604"/>
      <c r="M209" s="604"/>
      <c r="N209" s="604"/>
      <c r="O209" s="604"/>
      <c r="P209" s="165"/>
    </row>
    <row r="210" spans="2:16" ht="21.75" customHeight="1" thickBot="1">
      <c r="B210" s="172"/>
      <c r="C210" s="173"/>
      <c r="D210" s="173"/>
      <c r="E210" s="31"/>
      <c r="F210" s="37"/>
      <c r="G210" s="595" t="s">
        <v>198</v>
      </c>
      <c r="H210" s="596"/>
      <c r="I210" s="597"/>
      <c r="J210" s="595" t="s">
        <v>245</v>
      </c>
      <c r="K210" s="596"/>
      <c r="L210" s="597"/>
      <c r="M210" s="595" t="s">
        <v>73</v>
      </c>
      <c r="N210" s="596"/>
      <c r="O210" s="597"/>
      <c r="P210" s="165"/>
    </row>
    <row r="211" spans="2:16" ht="26.25" thickBot="1">
      <c r="B211" s="172"/>
      <c r="C211" s="31"/>
      <c r="D211" s="31"/>
      <c r="E211" s="33"/>
      <c r="F211" s="38"/>
      <c r="G211" s="213" t="s">
        <v>67</v>
      </c>
      <c r="H211" s="189" t="s">
        <v>68</v>
      </c>
      <c r="I211" s="190" t="s">
        <v>69</v>
      </c>
      <c r="J211" s="213" t="s">
        <v>67</v>
      </c>
      <c r="K211" s="189" t="s">
        <v>68</v>
      </c>
      <c r="L211" s="190" t="s">
        <v>69</v>
      </c>
      <c r="M211" s="215" t="s">
        <v>74</v>
      </c>
      <c r="N211" s="216" t="s">
        <v>75</v>
      </c>
      <c r="O211" s="217" t="s">
        <v>76</v>
      </c>
      <c r="P211" s="165"/>
    </row>
    <row r="212" spans="2:16" ht="21.75" customHeight="1" thickBot="1">
      <c r="B212" s="172"/>
      <c r="C212" s="593" t="s">
        <v>70</v>
      </c>
      <c r="D212" s="594"/>
      <c r="E212" s="31"/>
      <c r="F212" s="397" t="s">
        <v>71</v>
      </c>
      <c r="G212" s="495"/>
      <c r="H212" s="208"/>
      <c r="I212" s="500">
        <f>'2010 Existing RatesPW'!C9</f>
        <v>10.65</v>
      </c>
      <c r="J212" s="207"/>
      <c r="K212" s="208"/>
      <c r="L212" s="212">
        <f>'Rate Schedule (Part 1) PW'!$E$12</f>
        <v>16.55</v>
      </c>
      <c r="M212" s="504">
        <f aca="true" t="shared" si="16" ref="M212:M218">+L212-I212</f>
        <v>5.9</v>
      </c>
      <c r="N212" s="222">
        <f aca="true" t="shared" si="17" ref="N212:N229">+M212/I212</f>
        <v>0.5539906103286385</v>
      </c>
      <c r="O212" s="223">
        <f>L212/L229</f>
        <v>0.32950301347731153</v>
      </c>
      <c r="P212" s="165"/>
    </row>
    <row r="213" spans="2:16" ht="21.75" customHeight="1" thickBot="1">
      <c r="B213" s="172"/>
      <c r="C213" s="168">
        <v>250</v>
      </c>
      <c r="D213" s="169" t="s">
        <v>16</v>
      </c>
      <c r="E213" s="31"/>
      <c r="F213" s="398" t="s">
        <v>72</v>
      </c>
      <c r="G213" s="396">
        <f>+C213</f>
        <v>250</v>
      </c>
      <c r="H213" s="196">
        <f>'2010 Existing RatesPW'!B73</f>
        <v>0.0134</v>
      </c>
      <c r="I213" s="501">
        <f>+G213*H213</f>
        <v>3.35</v>
      </c>
      <c r="J213" s="201">
        <f>+C213</f>
        <v>250</v>
      </c>
      <c r="K213" s="195">
        <f>'Rate Schedule (Part 1) PW'!$E$13</f>
        <v>0.0167</v>
      </c>
      <c r="L213" s="214">
        <f>+J213*K213</f>
        <v>4.175</v>
      </c>
      <c r="M213" s="489">
        <f t="shared" si="16"/>
        <v>0.8249999999999997</v>
      </c>
      <c r="N213" s="218">
        <f t="shared" si="17"/>
        <v>0.24626865671641782</v>
      </c>
      <c r="O213" s="225">
        <f>L213/L229</f>
        <v>0.0831223614059079</v>
      </c>
      <c r="P213" s="165"/>
    </row>
    <row r="214" spans="2:16" ht="21.75" customHeight="1">
      <c r="B214" s="172"/>
      <c r="C214" s="369"/>
      <c r="D214" s="370"/>
      <c r="E214" s="31"/>
      <c r="F214" s="398" t="s">
        <v>246</v>
      </c>
      <c r="G214" s="396">
        <f>G213</f>
        <v>250</v>
      </c>
      <c r="H214" s="196">
        <f>'2010 Existing RatesPW'!B48</f>
        <v>0.0022</v>
      </c>
      <c r="I214" s="501">
        <f>+G214*H214</f>
        <v>0.55</v>
      </c>
      <c r="J214" s="201">
        <f>J213</f>
        <v>250</v>
      </c>
      <c r="K214" s="195">
        <f>'Rate Schedule (Part 1) PW'!$E$14</f>
        <v>0.0003</v>
      </c>
      <c r="L214" s="214">
        <f>+J214*K214</f>
        <v>0.075</v>
      </c>
      <c r="M214" s="489">
        <f t="shared" si="16"/>
        <v>-0.47500000000000003</v>
      </c>
      <c r="N214" s="218">
        <f t="shared" si="17"/>
        <v>-0.8636363636363636</v>
      </c>
      <c r="O214" s="225">
        <f>L214/L229</f>
        <v>0.001493216073160022</v>
      </c>
      <c r="P214" s="165"/>
    </row>
    <row r="215" spans="2:16" ht="21.75" customHeight="1">
      <c r="B215" s="172"/>
      <c r="C215" s="63"/>
      <c r="D215" s="64"/>
      <c r="E215" s="31"/>
      <c r="F215" s="398" t="s">
        <v>170</v>
      </c>
      <c r="G215" s="496"/>
      <c r="H215" s="219"/>
      <c r="I215" s="501">
        <f>'2010 Existing RatesNF'!$B$57</f>
        <v>1</v>
      </c>
      <c r="J215" s="220"/>
      <c r="K215" s="219"/>
      <c r="L215" s="214">
        <f>'Rate Schedule (Part 1) PW'!$E$16</f>
        <v>1</v>
      </c>
      <c r="M215" s="489">
        <f t="shared" si="16"/>
        <v>0</v>
      </c>
      <c r="N215" s="218">
        <f t="shared" si="17"/>
        <v>0</v>
      </c>
      <c r="O215" s="225">
        <f>L215/L229</f>
        <v>0.019909547642133627</v>
      </c>
      <c r="P215" s="165"/>
    </row>
    <row r="216" spans="2:16" ht="21.75" customHeight="1">
      <c r="B216" s="172"/>
      <c r="C216" s="63"/>
      <c r="D216" s="64"/>
      <c r="E216" s="31"/>
      <c r="F216" s="398" t="s">
        <v>162</v>
      </c>
      <c r="G216" s="396">
        <f>C213</f>
        <v>250</v>
      </c>
      <c r="H216" s="196"/>
      <c r="I216" s="502">
        <f>+G216*H216</f>
        <v>0</v>
      </c>
      <c r="J216" s="201">
        <f>C213</f>
        <v>250</v>
      </c>
      <c r="K216" s="195">
        <f>'Rate Schedule (Part 1) PW'!$E$15</f>
        <v>0</v>
      </c>
      <c r="L216" s="214">
        <f>J216*K216</f>
        <v>0</v>
      </c>
      <c r="M216" s="489">
        <f t="shared" si="16"/>
        <v>0</v>
      </c>
      <c r="N216" s="218" t="e">
        <f t="shared" si="17"/>
        <v>#DIV/0!</v>
      </c>
      <c r="O216" s="225">
        <f>L216/L229</f>
        <v>0</v>
      </c>
      <c r="P216" s="165"/>
    </row>
    <row r="217" spans="2:16" ht="25.5" customHeight="1">
      <c r="B217" s="172"/>
      <c r="C217" s="31"/>
      <c r="D217" s="31"/>
      <c r="E217" s="31"/>
      <c r="F217" s="398" t="s">
        <v>286</v>
      </c>
      <c r="G217" s="497">
        <f>+C213</f>
        <v>250</v>
      </c>
      <c r="H217" s="196">
        <f>'2010 Existing RatesPW'!B22</f>
        <v>-0.0064</v>
      </c>
      <c r="I217" s="501">
        <f>+G217*H217</f>
        <v>-1.6</v>
      </c>
      <c r="J217" s="505">
        <f>+C213</f>
        <v>250</v>
      </c>
      <c r="K217" s="196">
        <f>'Rate Schedule (Part 1) PW'!$E$18</f>
        <v>-0.0064</v>
      </c>
      <c r="L217" s="214">
        <f>+J217*K217</f>
        <v>-1.6</v>
      </c>
      <c r="M217" s="489">
        <f t="shared" si="16"/>
        <v>0</v>
      </c>
      <c r="N217" s="218">
        <f t="shared" si="17"/>
        <v>0</v>
      </c>
      <c r="O217" s="225">
        <f>L217/L229</f>
        <v>-0.031855276227413805</v>
      </c>
      <c r="P217" s="165"/>
    </row>
    <row r="218" spans="2:16" ht="27.75" customHeight="1">
      <c r="B218" s="172"/>
      <c r="C218" s="31"/>
      <c r="D218" s="31"/>
      <c r="E218" s="31"/>
      <c r="F218" s="398" t="s">
        <v>294</v>
      </c>
      <c r="G218" s="498">
        <f>C213</f>
        <v>250</v>
      </c>
      <c r="H218" s="488"/>
      <c r="I218" s="503">
        <f>+G218*H218</f>
        <v>0</v>
      </c>
      <c r="J218" s="372">
        <f>C213</f>
        <v>250</v>
      </c>
      <c r="K218" s="488">
        <f>'Rate Schedule (Part 1) PW'!E20</f>
        <v>0.0001</v>
      </c>
      <c r="L218" s="229">
        <f>+J218*K218</f>
        <v>0.025</v>
      </c>
      <c r="M218" s="489">
        <f t="shared" si="16"/>
        <v>0.025</v>
      </c>
      <c r="N218" s="218" t="e">
        <f>+M218/I218</f>
        <v>#DIV/0!</v>
      </c>
      <c r="O218" s="225">
        <f>L218/L229</f>
        <v>0.0004977386910533407</v>
      </c>
      <c r="P218" s="165"/>
    </row>
    <row r="219" spans="2:16" ht="26.25" customHeight="1">
      <c r="B219" s="172"/>
      <c r="C219" s="63"/>
      <c r="D219" s="64"/>
      <c r="E219" s="31"/>
      <c r="F219" s="398" t="s">
        <v>316</v>
      </c>
      <c r="G219" s="396">
        <f>C213</f>
        <v>250</v>
      </c>
      <c r="H219" s="196">
        <f>'2010 Existing RatesPW'!B35</f>
        <v>0.0007</v>
      </c>
      <c r="I219" s="502">
        <v>0</v>
      </c>
      <c r="J219" s="201">
        <f>C213</f>
        <v>250</v>
      </c>
      <c r="K219" s="195">
        <f>'Rate Schedule (Part 1) PW'!E17</f>
        <v>0.0007</v>
      </c>
      <c r="L219" s="214">
        <f>+J219*K219</f>
        <v>0.175</v>
      </c>
      <c r="M219" s="489">
        <f>+L219-I219</f>
        <v>0.175</v>
      </c>
      <c r="N219" s="218" t="e">
        <f>+M219/I219</f>
        <v>#DIV/0!</v>
      </c>
      <c r="O219" s="225">
        <f>L219/L229</f>
        <v>0.0034841708373733846</v>
      </c>
      <c r="P219" s="165"/>
    </row>
    <row r="220" spans="2:16" ht="27.75" customHeight="1" thickBot="1">
      <c r="B220" s="172"/>
      <c r="C220" s="31"/>
      <c r="D220" s="31"/>
      <c r="E220" s="31"/>
      <c r="F220" s="499" t="s">
        <v>317</v>
      </c>
      <c r="G220" s="498">
        <f>C213</f>
        <v>250</v>
      </c>
      <c r="H220" s="488"/>
      <c r="I220" s="502">
        <v>0</v>
      </c>
      <c r="J220" s="506">
        <f>C213</f>
        <v>250</v>
      </c>
      <c r="K220" s="507">
        <f>'Rate Schedule (Part 1) PW'!E19</f>
        <v>0.0016</v>
      </c>
      <c r="L220" s="509">
        <f>+J220*K220</f>
        <v>0.4</v>
      </c>
      <c r="M220" s="489">
        <f>+L220-I220</f>
        <v>0.4</v>
      </c>
      <c r="N220" s="218" t="e">
        <f>+M220/I220</f>
        <v>#DIV/0!</v>
      </c>
      <c r="O220" s="225">
        <f>L220/L229</f>
        <v>0.007963819056853451</v>
      </c>
      <c r="P220" s="165"/>
    </row>
    <row r="221" spans="2:16" ht="21.75" customHeight="1" thickBot="1">
      <c r="B221" s="172"/>
      <c r="C221" s="31"/>
      <c r="D221" s="31"/>
      <c r="E221" s="31"/>
      <c r="F221" s="233" t="s">
        <v>247</v>
      </c>
      <c r="G221" s="586"/>
      <c r="H221" s="587"/>
      <c r="I221" s="235">
        <f>SUM(I212:I220)</f>
        <v>13.950000000000001</v>
      </c>
      <c r="J221" s="586"/>
      <c r="K221" s="587"/>
      <c r="L221" s="235">
        <f>SUM(L212:L220)</f>
        <v>20.799999999999997</v>
      </c>
      <c r="M221" s="237">
        <f>SUM(M212:M220)</f>
        <v>6.8500000000000005</v>
      </c>
      <c r="N221" s="238">
        <f t="shared" si="17"/>
        <v>0.4910394265232975</v>
      </c>
      <c r="O221" s="240">
        <f>L221/L229</f>
        <v>0.4141185909563794</v>
      </c>
      <c r="P221" s="165"/>
    </row>
    <row r="222" spans="2:16" ht="21.75" customHeight="1" thickBot="1">
      <c r="B222" s="172"/>
      <c r="C222" s="31"/>
      <c r="D222" s="31"/>
      <c r="E222" s="31"/>
      <c r="F222" s="199" t="s">
        <v>248</v>
      </c>
      <c r="G222" s="372">
        <f>C213*'Other Electriciy Rates PW'!$M$10</f>
        <v>265.02500000000003</v>
      </c>
      <c r="H222" s="373">
        <f>'Other Electriciy Rates PW'!$B$10</f>
        <v>0.0103</v>
      </c>
      <c r="I222" s="210">
        <f>+G222*H222</f>
        <v>2.7297575000000003</v>
      </c>
      <c r="J222" s="372">
        <f>'BILL IMPACTS PW'!C213*'Other Electriciy Rates PW'!$M$24</f>
        <v>263.99756877321744</v>
      </c>
      <c r="K222" s="494">
        <f>'Other Electriciy Rates PW'!$B$24</f>
        <v>0.010132682166659615</v>
      </c>
      <c r="L222" s="210">
        <f>+J222*K222</f>
        <v>2.6750034571498755</v>
      </c>
      <c r="M222" s="374">
        <f>+L222-I222</f>
        <v>-0.05475404285012475</v>
      </c>
      <c r="N222" s="222">
        <f t="shared" si="17"/>
        <v>-0.020058207679665593</v>
      </c>
      <c r="O222" s="223">
        <f>L222/L229</f>
        <v>0.05325810877299761</v>
      </c>
      <c r="P222" s="165"/>
    </row>
    <row r="223" spans="2:16" ht="21.75" customHeight="1" thickBot="1">
      <c r="B223" s="172"/>
      <c r="C223" s="31"/>
      <c r="D223" s="31"/>
      <c r="E223" s="31"/>
      <c r="F223" s="233" t="s">
        <v>249</v>
      </c>
      <c r="G223" s="586"/>
      <c r="H223" s="587"/>
      <c r="I223" s="235">
        <f>SUM(I221:I222)</f>
        <v>16.6797575</v>
      </c>
      <c r="J223" s="586"/>
      <c r="K223" s="587"/>
      <c r="L223" s="235">
        <f>SUM(L221:L222)</f>
        <v>23.475003457149874</v>
      </c>
      <c r="M223" s="237">
        <f>SUM(M221:M222)</f>
        <v>6.795245957149875</v>
      </c>
      <c r="N223" s="238">
        <f t="shared" si="17"/>
        <v>0.40739476920751844</v>
      </c>
      <c r="O223" s="375">
        <f>L223/L229</f>
        <v>0.46737669972937707</v>
      </c>
      <c r="P223" s="165"/>
    </row>
    <row r="224" spans="2:16" ht="21.75" customHeight="1">
      <c r="B224" s="172"/>
      <c r="C224" s="31"/>
      <c r="D224" s="31"/>
      <c r="E224" s="31"/>
      <c r="F224" s="200" t="s">
        <v>77</v>
      </c>
      <c r="G224" s="202">
        <f>+'Other Electriciy Rates PW'!$M$10*C213</f>
        <v>265.02500000000003</v>
      </c>
      <c r="H224" s="203">
        <f>'Other Electriciy Rates PW'!$C$10+'Other Electriciy Rates PW'!$E$10+'Other Electriciy Rates PW'!D10</f>
        <v>0.0138725</v>
      </c>
      <c r="I224" s="204">
        <f>+G224*H224</f>
        <v>3.6765593125000002</v>
      </c>
      <c r="J224" s="202">
        <f>J222</f>
        <v>263.99756877321744</v>
      </c>
      <c r="K224" s="203">
        <f>'Other Electriciy Rates PW'!$C$24+'Other Electriciy Rates PW'!$E$24+'Other Electriciy Rates PW'!D24</f>
        <v>0.0135</v>
      </c>
      <c r="L224" s="229">
        <f>+J224*K224</f>
        <v>3.5639671784384355</v>
      </c>
      <c r="M224" s="230">
        <f>+L224-I224</f>
        <v>-0.11259213406156476</v>
      </c>
      <c r="N224" s="231">
        <f t="shared" si="17"/>
        <v>-0.030624321407997073</v>
      </c>
      <c r="O224" s="301">
        <f>L224/L229</f>
        <v>0.07095697433412058</v>
      </c>
      <c r="P224" s="165"/>
    </row>
    <row r="225" spans="2:16" ht="21.75" customHeight="1">
      <c r="B225" s="172"/>
      <c r="C225" s="31"/>
      <c r="D225" s="31"/>
      <c r="E225" s="31"/>
      <c r="F225" s="200" t="s">
        <v>321</v>
      </c>
      <c r="G225" s="220"/>
      <c r="H225" s="219"/>
      <c r="I225" s="210">
        <v>0.25</v>
      </c>
      <c r="J225" s="220"/>
      <c r="K225" s="219"/>
      <c r="L225" s="214">
        <v>0.25</v>
      </c>
      <c r="M225" s="513">
        <f>+L225-I225</f>
        <v>0</v>
      </c>
      <c r="N225" s="231">
        <f t="shared" si="17"/>
        <v>0</v>
      </c>
      <c r="O225" s="225">
        <f>L225/L229</f>
        <v>0.004977386910533407</v>
      </c>
      <c r="P225" s="165"/>
    </row>
    <row r="226" spans="2:16" ht="21.75" customHeight="1" thickBot="1">
      <c r="B226" s="172"/>
      <c r="C226" s="31"/>
      <c r="D226" s="31"/>
      <c r="E226" s="31"/>
      <c r="F226" s="199" t="s">
        <v>78</v>
      </c>
      <c r="G226" s="211">
        <f>+'Other Electriciy Rates PW'!$M$10*C213</f>
        <v>265.02500000000003</v>
      </c>
      <c r="H226" s="205">
        <f>'Other Electriciy Rates PW'!$K$10</f>
        <v>0.065</v>
      </c>
      <c r="I226" s="206">
        <f>+G226*H226</f>
        <v>17.226625000000002</v>
      </c>
      <c r="J226" s="211">
        <f>J224</f>
        <v>263.99756877321744</v>
      </c>
      <c r="K226" s="205">
        <f>'Other Electriciy Rates PW'!$K$24</f>
        <v>0.065</v>
      </c>
      <c r="L226" s="226">
        <f>+J226*K226</f>
        <v>17.159841970259134</v>
      </c>
      <c r="M226" s="227">
        <f>+L226-I226</f>
        <v>-0.06678302974086847</v>
      </c>
      <c r="N226" s="228">
        <f t="shared" si="17"/>
        <v>-0.003876733239440022</v>
      </c>
      <c r="O226" s="241">
        <f>L226/L229</f>
        <v>0.3416446912383584</v>
      </c>
      <c r="P226" s="165"/>
    </row>
    <row r="227" spans="2:16" ht="21.75" customHeight="1" thickBot="1">
      <c r="B227" s="172"/>
      <c r="C227" s="31"/>
      <c r="D227" s="31"/>
      <c r="E227" s="31"/>
      <c r="F227" s="233" t="s">
        <v>195</v>
      </c>
      <c r="G227" s="586"/>
      <c r="H227" s="587"/>
      <c r="I227" s="235">
        <f>SUM(I223:I226)</f>
        <v>37.8329418125</v>
      </c>
      <c r="J227" s="586"/>
      <c r="K227" s="587"/>
      <c r="L227" s="235">
        <f>SUM(L223:L226)</f>
        <v>44.44881260584744</v>
      </c>
      <c r="M227" s="235">
        <f>SUM(M223:M226)</f>
        <v>6.615870793347442</v>
      </c>
      <c r="N227" s="238">
        <f t="shared" si="17"/>
        <v>0.17487064120299411</v>
      </c>
      <c r="O227" s="375">
        <f>L227/L229</f>
        <v>0.8849557522123894</v>
      </c>
      <c r="P227" s="303"/>
    </row>
    <row r="228" spans="2:16" ht="21.75" customHeight="1" thickBot="1">
      <c r="B228" s="172"/>
      <c r="C228" s="31"/>
      <c r="D228" s="31"/>
      <c r="E228" s="31"/>
      <c r="F228" s="297" t="str">
        <f>F204</f>
        <v>HST</v>
      </c>
      <c r="G228" s="298"/>
      <c r="H228" s="302">
        <v>0.13</v>
      </c>
      <c r="I228" s="299">
        <f>I227*H228</f>
        <v>4.918282435625001</v>
      </c>
      <c r="J228" s="298"/>
      <c r="K228" s="302">
        <v>0.13</v>
      </c>
      <c r="L228" s="300">
        <f>L227*K228</f>
        <v>5.778345638760168</v>
      </c>
      <c r="M228" s="227">
        <f>+L228-I228</f>
        <v>0.8600632031351676</v>
      </c>
      <c r="N228" s="231">
        <f t="shared" si="17"/>
        <v>0.17487064120299414</v>
      </c>
      <c r="O228" s="241">
        <f>L228/L229</f>
        <v>0.11504424778761063</v>
      </c>
      <c r="P228" s="165"/>
    </row>
    <row r="229" spans="2:17" ht="21.75" customHeight="1" thickBot="1">
      <c r="B229" s="376"/>
      <c r="C229" s="377"/>
      <c r="D229" s="377"/>
      <c r="E229" s="378"/>
      <c r="F229" s="379" t="s">
        <v>79</v>
      </c>
      <c r="G229" s="600"/>
      <c r="H229" s="601"/>
      <c r="I229" s="380">
        <f>SUM(I227:I228)</f>
        <v>42.751224248125006</v>
      </c>
      <c r="J229" s="600"/>
      <c r="K229" s="601"/>
      <c r="L229" s="380">
        <f>SUM(L227:L228)</f>
        <v>50.22715824460761</v>
      </c>
      <c r="M229" s="380">
        <f>SUM(M227:M228)</f>
        <v>7.47593399648261</v>
      </c>
      <c r="N229" s="381">
        <f t="shared" si="17"/>
        <v>0.17487064120299411</v>
      </c>
      <c r="O229" s="382">
        <f>O227+O228</f>
        <v>1</v>
      </c>
      <c r="P229" s="383"/>
      <c r="Q229" s="384"/>
    </row>
    <row r="230" spans="2:16" ht="10.5" customHeight="1" thickBot="1">
      <c r="B230" s="166"/>
      <c r="C230" s="602"/>
      <c r="D230" s="602"/>
      <c r="E230" s="602"/>
      <c r="F230" s="602"/>
      <c r="G230" s="602"/>
      <c r="H230" s="602"/>
      <c r="I230" s="602"/>
      <c r="J230" s="602"/>
      <c r="K230" s="602"/>
      <c r="L230" s="602"/>
      <c r="M230" s="602"/>
      <c r="N230" s="602"/>
      <c r="O230" s="602"/>
      <c r="P230" s="167"/>
    </row>
    <row r="231" ht="21.75" customHeight="1" thickBot="1"/>
    <row r="232" spans="2:16" ht="22.5" customHeight="1">
      <c r="B232" s="174"/>
      <c r="C232" s="603" t="s">
        <v>278</v>
      </c>
      <c r="D232" s="603"/>
      <c r="E232" s="603"/>
      <c r="F232" s="603"/>
      <c r="G232" s="603"/>
      <c r="H232" s="603"/>
      <c r="I232" s="603"/>
      <c r="J232" s="603"/>
      <c r="K232" s="603"/>
      <c r="L232" s="603"/>
      <c r="M232" s="603"/>
      <c r="N232" s="603"/>
      <c r="O232" s="603"/>
      <c r="P232" s="164"/>
    </row>
    <row r="233" spans="2:16" ht="18" customHeight="1" thickBot="1">
      <c r="B233" s="172"/>
      <c r="C233" s="604"/>
      <c r="D233" s="604"/>
      <c r="E233" s="604"/>
      <c r="F233" s="604"/>
      <c r="G233" s="604"/>
      <c r="H233" s="604"/>
      <c r="I233" s="604"/>
      <c r="J233" s="604"/>
      <c r="K233" s="604"/>
      <c r="L233" s="604"/>
      <c r="M233" s="604"/>
      <c r="N233" s="604"/>
      <c r="O233" s="604"/>
      <c r="P233" s="165"/>
    </row>
    <row r="234" spans="2:16" ht="18" customHeight="1" thickBot="1">
      <c r="B234" s="172"/>
      <c r="C234" s="173"/>
      <c r="D234" s="173"/>
      <c r="E234" s="31"/>
      <c r="F234" s="37"/>
      <c r="G234" s="595" t="s">
        <v>198</v>
      </c>
      <c r="H234" s="596"/>
      <c r="I234" s="597"/>
      <c r="J234" s="595" t="s">
        <v>245</v>
      </c>
      <c r="K234" s="596"/>
      <c r="L234" s="597"/>
      <c r="M234" s="595" t="s">
        <v>73</v>
      </c>
      <c r="N234" s="596"/>
      <c r="O234" s="597"/>
      <c r="P234" s="165"/>
    </row>
    <row r="235" spans="2:16" ht="26.25" thickBot="1">
      <c r="B235" s="172"/>
      <c r="C235" s="31"/>
      <c r="D235" s="31"/>
      <c r="E235" s="33"/>
      <c r="F235" s="38"/>
      <c r="G235" s="213" t="s">
        <v>67</v>
      </c>
      <c r="H235" s="189" t="s">
        <v>68</v>
      </c>
      <c r="I235" s="190" t="s">
        <v>69</v>
      </c>
      <c r="J235" s="213" t="s">
        <v>67</v>
      </c>
      <c r="K235" s="189" t="s">
        <v>68</v>
      </c>
      <c r="L235" s="190" t="s">
        <v>69</v>
      </c>
      <c r="M235" s="215" t="s">
        <v>74</v>
      </c>
      <c r="N235" s="216" t="s">
        <v>75</v>
      </c>
      <c r="O235" s="217" t="s">
        <v>76</v>
      </c>
      <c r="P235" s="165"/>
    </row>
    <row r="236" spans="2:16" ht="18" customHeight="1" thickBot="1">
      <c r="B236" s="172"/>
      <c r="C236" s="593" t="s">
        <v>70</v>
      </c>
      <c r="D236" s="594"/>
      <c r="E236" s="31"/>
      <c r="F236" s="397" t="s">
        <v>71</v>
      </c>
      <c r="G236" s="495"/>
      <c r="H236" s="208"/>
      <c r="I236" s="500">
        <f>'2010 Existing RatesPW'!C9</f>
        <v>10.65</v>
      </c>
      <c r="J236" s="207"/>
      <c r="K236" s="208"/>
      <c r="L236" s="212">
        <f>'Rate Schedule (Part 1) PW'!$E$12</f>
        <v>16.55</v>
      </c>
      <c r="M236" s="504">
        <f aca="true" t="shared" si="18" ref="M236:M242">+L236-I236</f>
        <v>5.9</v>
      </c>
      <c r="N236" s="222">
        <f aca="true" t="shared" si="19" ref="N236:N253">+M236/I236</f>
        <v>0.5539906103286385</v>
      </c>
      <c r="O236" s="223">
        <f>L236/L253</f>
        <v>0.2059986906103569</v>
      </c>
      <c r="P236" s="165"/>
    </row>
    <row r="237" spans="2:16" ht="18" customHeight="1" thickBot="1">
      <c r="B237" s="172"/>
      <c r="C237" s="168">
        <v>500</v>
      </c>
      <c r="D237" s="169" t="s">
        <v>16</v>
      </c>
      <c r="E237" s="31"/>
      <c r="F237" s="398" t="s">
        <v>72</v>
      </c>
      <c r="G237" s="396">
        <f>+C237</f>
        <v>500</v>
      </c>
      <c r="H237" s="196">
        <f>'2010 Existing RatesPW'!B73</f>
        <v>0.0134</v>
      </c>
      <c r="I237" s="501">
        <f>+G237*H237</f>
        <v>6.7</v>
      </c>
      <c r="J237" s="201">
        <f>+C237</f>
        <v>500</v>
      </c>
      <c r="K237" s="195">
        <f>'Rate Schedule (Part 1) PW'!$E$13</f>
        <v>0.0167</v>
      </c>
      <c r="L237" s="214">
        <f>+J237*K237</f>
        <v>8.35</v>
      </c>
      <c r="M237" s="489">
        <f t="shared" si="18"/>
        <v>1.6499999999999995</v>
      </c>
      <c r="N237" s="218">
        <f t="shared" si="19"/>
        <v>0.24626865671641782</v>
      </c>
      <c r="O237" s="225">
        <f>L237/L253</f>
        <v>0.10393287411459093</v>
      </c>
      <c r="P237" s="165"/>
    </row>
    <row r="238" spans="2:16" ht="18" customHeight="1">
      <c r="B238" s="172"/>
      <c r="C238" s="369"/>
      <c r="D238" s="370"/>
      <c r="E238" s="31"/>
      <c r="F238" s="398" t="s">
        <v>246</v>
      </c>
      <c r="G238" s="396">
        <f>G237</f>
        <v>500</v>
      </c>
      <c r="H238" s="196">
        <f>'2010 Existing RatesPW'!B48</f>
        <v>0.0022</v>
      </c>
      <c r="I238" s="501">
        <f>+G238*H238</f>
        <v>1.1</v>
      </c>
      <c r="J238" s="201">
        <f>J237</f>
        <v>500</v>
      </c>
      <c r="K238" s="195">
        <f>'Rate Schedule (Part 1) PW'!$E$14</f>
        <v>0.0003</v>
      </c>
      <c r="L238" s="214">
        <f>+J238*K238</f>
        <v>0.15</v>
      </c>
      <c r="M238" s="489">
        <f t="shared" si="18"/>
        <v>-0.9500000000000001</v>
      </c>
      <c r="N238" s="218">
        <f t="shared" si="19"/>
        <v>-0.8636363636363636</v>
      </c>
      <c r="O238" s="225">
        <f>L238/L253</f>
        <v>0.0018670576188249868</v>
      </c>
      <c r="P238" s="165"/>
    </row>
    <row r="239" spans="2:16" ht="18" customHeight="1">
      <c r="B239" s="172"/>
      <c r="C239" s="63"/>
      <c r="D239" s="64"/>
      <c r="E239" s="31"/>
      <c r="F239" s="398" t="s">
        <v>170</v>
      </c>
      <c r="G239" s="496"/>
      <c r="H239" s="219"/>
      <c r="I239" s="501">
        <f>'2010 Existing RatesNF'!$B$57</f>
        <v>1</v>
      </c>
      <c r="J239" s="220"/>
      <c r="K239" s="219"/>
      <c r="L239" s="214">
        <f>'Rate Schedule (Part 1) PW'!$E$16</f>
        <v>1</v>
      </c>
      <c r="M239" s="489">
        <f t="shared" si="18"/>
        <v>0</v>
      </c>
      <c r="N239" s="218">
        <f t="shared" si="19"/>
        <v>0</v>
      </c>
      <c r="O239" s="225">
        <f>L239/L253</f>
        <v>0.012447050792166578</v>
      </c>
      <c r="P239" s="165"/>
    </row>
    <row r="240" spans="2:16" ht="18" customHeight="1">
      <c r="B240" s="172"/>
      <c r="C240" s="63"/>
      <c r="D240" s="64"/>
      <c r="E240" s="31"/>
      <c r="F240" s="398" t="s">
        <v>162</v>
      </c>
      <c r="G240" s="396">
        <f>C237</f>
        <v>500</v>
      </c>
      <c r="H240" s="196"/>
      <c r="I240" s="502">
        <f>+G240*H240</f>
        <v>0</v>
      </c>
      <c r="J240" s="201">
        <f>C237</f>
        <v>500</v>
      </c>
      <c r="K240" s="195">
        <f>'Rate Schedule (Part 1) PW'!$E$15</f>
        <v>0</v>
      </c>
      <c r="L240" s="214">
        <f>J240*K240</f>
        <v>0</v>
      </c>
      <c r="M240" s="489">
        <f t="shared" si="18"/>
        <v>0</v>
      </c>
      <c r="N240" s="218" t="e">
        <f t="shared" si="19"/>
        <v>#DIV/0!</v>
      </c>
      <c r="O240" s="225">
        <f>L240/L253</f>
        <v>0</v>
      </c>
      <c r="P240" s="165"/>
    </row>
    <row r="241" spans="2:16" ht="25.5" customHeight="1">
      <c r="B241" s="172"/>
      <c r="C241" s="31"/>
      <c r="D241" s="31"/>
      <c r="E241" s="31"/>
      <c r="F241" s="398" t="s">
        <v>286</v>
      </c>
      <c r="G241" s="497">
        <f>+C237</f>
        <v>500</v>
      </c>
      <c r="H241" s="196">
        <f>'2010 Existing RatesPW'!B22</f>
        <v>-0.0064</v>
      </c>
      <c r="I241" s="501">
        <f>+G241*H241</f>
        <v>-3.2</v>
      </c>
      <c r="J241" s="505">
        <f>+C237</f>
        <v>500</v>
      </c>
      <c r="K241" s="196">
        <f>'Rate Schedule (Part 1) PW'!$E$18</f>
        <v>-0.0064</v>
      </c>
      <c r="L241" s="214">
        <f>+J241*K241</f>
        <v>-3.2</v>
      </c>
      <c r="M241" s="489">
        <f t="shared" si="18"/>
        <v>0</v>
      </c>
      <c r="N241" s="218">
        <f t="shared" si="19"/>
        <v>0</v>
      </c>
      <c r="O241" s="225">
        <f>L241/L253</f>
        <v>-0.039830562534933056</v>
      </c>
      <c r="P241" s="165"/>
    </row>
    <row r="242" spans="2:16" ht="27.75" customHeight="1">
      <c r="B242" s="172"/>
      <c r="C242" s="31"/>
      <c r="D242" s="31"/>
      <c r="E242" s="31"/>
      <c r="F242" s="398" t="s">
        <v>294</v>
      </c>
      <c r="G242" s="498">
        <f>C237</f>
        <v>500</v>
      </c>
      <c r="H242" s="488"/>
      <c r="I242" s="503">
        <f>+G242*H242</f>
        <v>0</v>
      </c>
      <c r="J242" s="372">
        <f>C237</f>
        <v>500</v>
      </c>
      <c r="K242" s="488">
        <f>'Rate Schedule (Part 1) PW'!E20</f>
        <v>0.0001</v>
      </c>
      <c r="L242" s="229">
        <f>+J242*K242</f>
        <v>0.05</v>
      </c>
      <c r="M242" s="489">
        <f t="shared" si="18"/>
        <v>0.05</v>
      </c>
      <c r="N242" s="218" t="e">
        <f>+M242/I242</f>
        <v>#DIV/0!</v>
      </c>
      <c r="O242" s="225">
        <f>L242/L253</f>
        <v>0.000622352539608329</v>
      </c>
      <c r="P242" s="165"/>
    </row>
    <row r="243" spans="2:16" ht="26.25" customHeight="1">
      <c r="B243" s="172"/>
      <c r="C243" s="63"/>
      <c r="D243" s="64"/>
      <c r="E243" s="31"/>
      <c r="F243" s="398" t="s">
        <v>316</v>
      </c>
      <c r="G243" s="396">
        <f>C237</f>
        <v>500</v>
      </c>
      <c r="H243" s="196">
        <f>'2010 Existing RatesPW'!B35</f>
        <v>0.0007</v>
      </c>
      <c r="I243" s="502">
        <f>+G243*H243</f>
        <v>0.35</v>
      </c>
      <c r="J243" s="201">
        <f>C237</f>
        <v>500</v>
      </c>
      <c r="K243" s="195">
        <f>'Rate Schedule (Part 1) PW'!E17</f>
        <v>0.0007</v>
      </c>
      <c r="L243" s="214">
        <f>+J243*K243</f>
        <v>0.35</v>
      </c>
      <c r="M243" s="489">
        <f>+L243-I243</f>
        <v>0</v>
      </c>
      <c r="N243" s="218">
        <f>+M243/I243</f>
        <v>0</v>
      </c>
      <c r="O243" s="225">
        <f>L243/L253</f>
        <v>0.004356467777258302</v>
      </c>
      <c r="P243" s="165"/>
    </row>
    <row r="244" spans="2:16" ht="27.75" customHeight="1" thickBot="1">
      <c r="B244" s="172"/>
      <c r="C244" s="31"/>
      <c r="D244" s="31"/>
      <c r="E244" s="31"/>
      <c r="F244" s="499" t="s">
        <v>317</v>
      </c>
      <c r="G244" s="498">
        <f>C237</f>
        <v>500</v>
      </c>
      <c r="H244" s="488"/>
      <c r="I244" s="502">
        <f>+G244*H244</f>
        <v>0</v>
      </c>
      <c r="J244" s="506">
        <f>C237</f>
        <v>500</v>
      </c>
      <c r="K244" s="507">
        <f>'Rate Schedule (Part 1) PW'!E19</f>
        <v>0.0016</v>
      </c>
      <c r="L244" s="509">
        <f>+J244*K244</f>
        <v>0.8</v>
      </c>
      <c r="M244" s="489">
        <f>+L244-I244</f>
        <v>0.8</v>
      </c>
      <c r="N244" s="218" t="e">
        <f>+M244/I244</f>
        <v>#DIV/0!</v>
      </c>
      <c r="O244" s="225">
        <f>L244/L253</f>
        <v>0.009957640633733264</v>
      </c>
      <c r="P244" s="165"/>
    </row>
    <row r="245" spans="2:16" ht="18" customHeight="1" thickBot="1">
      <c r="B245" s="172"/>
      <c r="C245" s="31"/>
      <c r="D245" s="31"/>
      <c r="E245" s="31"/>
      <c r="F245" s="233" t="s">
        <v>247</v>
      </c>
      <c r="G245" s="586"/>
      <c r="H245" s="587"/>
      <c r="I245" s="235">
        <f>SUM(I236:I244)</f>
        <v>16.600000000000005</v>
      </c>
      <c r="J245" s="586"/>
      <c r="K245" s="587"/>
      <c r="L245" s="235">
        <f>SUM(L236:L244)</f>
        <v>24.05</v>
      </c>
      <c r="M245" s="237">
        <f>SUM(M236:M244)</f>
        <v>7.449999999999999</v>
      </c>
      <c r="N245" s="238">
        <f t="shared" si="19"/>
        <v>0.4487951807228914</v>
      </c>
      <c r="O245" s="240">
        <f>L245/L253</f>
        <v>0.29935157155160624</v>
      </c>
      <c r="P245" s="165"/>
    </row>
    <row r="246" spans="2:16" ht="18" customHeight="1" thickBot="1">
      <c r="B246" s="172"/>
      <c r="C246" s="31"/>
      <c r="D246" s="31"/>
      <c r="E246" s="31"/>
      <c r="F246" s="199" t="s">
        <v>248</v>
      </c>
      <c r="G246" s="372">
        <f>C237*'Other Electriciy Rates PW'!$M$10</f>
        <v>530.0500000000001</v>
      </c>
      <c r="H246" s="373">
        <f>'Other Electriciy Rates PW'!$B$10</f>
        <v>0.0103</v>
      </c>
      <c r="I246" s="210">
        <f>+G246*H246</f>
        <v>5.459515000000001</v>
      </c>
      <c r="J246" s="372">
        <f>'BILL IMPACTS PW'!C237*'Other Electriciy Rates PW'!$M$24</f>
        <v>527.9951375464349</v>
      </c>
      <c r="K246" s="494">
        <f>'Other Electriciy Rates PW'!$B$24</f>
        <v>0.010132682166659615</v>
      </c>
      <c r="L246" s="210">
        <f>+J246*K246</f>
        <v>5.350006914299751</v>
      </c>
      <c r="M246" s="374">
        <f>+L246-I246</f>
        <v>-0.1095080857002495</v>
      </c>
      <c r="N246" s="222">
        <f t="shared" si="19"/>
        <v>-0.020058207679665593</v>
      </c>
      <c r="O246" s="223">
        <f>L246/L253</f>
        <v>0.06659180780073139</v>
      </c>
      <c r="P246" s="165"/>
    </row>
    <row r="247" spans="2:16" ht="18" customHeight="1" thickBot="1">
      <c r="B247" s="172"/>
      <c r="C247" s="31"/>
      <c r="D247" s="31"/>
      <c r="E247" s="31"/>
      <c r="F247" s="233" t="s">
        <v>249</v>
      </c>
      <c r="G247" s="586"/>
      <c r="H247" s="587"/>
      <c r="I247" s="235">
        <f>SUM(I245:I246)</f>
        <v>22.059515000000005</v>
      </c>
      <c r="J247" s="586"/>
      <c r="K247" s="587"/>
      <c r="L247" s="235">
        <f>SUM(L245:L246)</f>
        <v>29.40000691429975</v>
      </c>
      <c r="M247" s="237">
        <f>SUM(M245:M246)</f>
        <v>7.34049191429975</v>
      </c>
      <c r="N247" s="238">
        <f t="shared" si="19"/>
        <v>0.3327585359106829</v>
      </c>
      <c r="O247" s="375">
        <f>L247/L253</f>
        <v>0.3659433793523376</v>
      </c>
      <c r="P247" s="165"/>
    </row>
    <row r="248" spans="2:16" ht="18" customHeight="1">
      <c r="B248" s="172"/>
      <c r="C248" s="31"/>
      <c r="D248" s="31"/>
      <c r="E248" s="31"/>
      <c r="F248" s="200" t="s">
        <v>77</v>
      </c>
      <c r="G248" s="202">
        <f>+'Other Electriciy Rates PW'!$M$10*C237</f>
        <v>530.0500000000001</v>
      </c>
      <c r="H248" s="203">
        <f>'Other Electriciy Rates PW'!$C$10+'Other Electriciy Rates PW'!$E$10+'Other Electriciy Rates PW'!D10</f>
        <v>0.0138725</v>
      </c>
      <c r="I248" s="204">
        <f>+G248*H248</f>
        <v>7.3531186250000005</v>
      </c>
      <c r="J248" s="202">
        <f>J246</f>
        <v>527.9951375464349</v>
      </c>
      <c r="K248" s="203">
        <f>'Other Electriciy Rates PW'!$C$24+'Other Electriciy Rates PW'!$E$24+'Other Electriciy Rates PW'!D24</f>
        <v>0.0135</v>
      </c>
      <c r="L248" s="229">
        <f>+J248*K248</f>
        <v>7.127934356876871</v>
      </c>
      <c r="M248" s="230">
        <f>+L248-I248</f>
        <v>-0.22518426812312953</v>
      </c>
      <c r="N248" s="231">
        <f t="shared" si="19"/>
        <v>-0.030624321407997073</v>
      </c>
      <c r="O248" s="301">
        <f>L248/L253</f>
        <v>0.08872176098327562</v>
      </c>
      <c r="P248" s="165"/>
    </row>
    <row r="249" spans="2:16" ht="21.75" customHeight="1">
      <c r="B249" s="172"/>
      <c r="C249" s="31"/>
      <c r="D249" s="31"/>
      <c r="E249" s="31"/>
      <c r="F249" s="200" t="s">
        <v>321</v>
      </c>
      <c r="G249" s="220"/>
      <c r="H249" s="219"/>
      <c r="I249" s="210">
        <v>0.25</v>
      </c>
      <c r="J249" s="220"/>
      <c r="K249" s="219"/>
      <c r="L249" s="214">
        <v>0.25</v>
      </c>
      <c r="M249" s="513">
        <f>+L249-I249</f>
        <v>0</v>
      </c>
      <c r="N249" s="231">
        <f t="shared" si="19"/>
        <v>0</v>
      </c>
      <c r="O249" s="225">
        <f>L249/L253</f>
        <v>0.0031117626980416446</v>
      </c>
      <c r="P249" s="165"/>
    </row>
    <row r="250" spans="2:16" ht="18" customHeight="1" thickBot="1">
      <c r="B250" s="172"/>
      <c r="C250" s="31"/>
      <c r="D250" s="31"/>
      <c r="E250" s="31"/>
      <c r="F250" s="199" t="s">
        <v>78</v>
      </c>
      <c r="G250" s="211">
        <f>+'Other Electriciy Rates PW'!$M$10*C237</f>
        <v>530.0500000000001</v>
      </c>
      <c r="H250" s="205">
        <f>'Other Electriciy Rates PW'!$K$10</f>
        <v>0.065</v>
      </c>
      <c r="I250" s="206">
        <f>+G250*H250</f>
        <v>34.453250000000004</v>
      </c>
      <c r="J250" s="211">
        <f>J248</f>
        <v>527.9951375464349</v>
      </c>
      <c r="K250" s="205">
        <f>'Other Electriciy Rates PW'!$K$24</f>
        <v>0.065</v>
      </c>
      <c r="L250" s="226">
        <f>+J250*K250</f>
        <v>34.31968394051827</v>
      </c>
      <c r="M250" s="227">
        <f>+L250-I250</f>
        <v>-0.13356605948173694</v>
      </c>
      <c r="N250" s="228">
        <f t="shared" si="19"/>
        <v>-0.003876733239440022</v>
      </c>
      <c r="O250" s="241">
        <f>L250/L253</f>
        <v>0.4271788491787345</v>
      </c>
      <c r="P250" s="165"/>
    </row>
    <row r="251" spans="2:16" ht="18" customHeight="1" thickBot="1">
      <c r="B251" s="172"/>
      <c r="C251" s="31"/>
      <c r="D251" s="31"/>
      <c r="E251" s="31"/>
      <c r="F251" s="233" t="s">
        <v>195</v>
      </c>
      <c r="G251" s="586"/>
      <c r="H251" s="587"/>
      <c r="I251" s="235">
        <f>SUM(I247:I250)</f>
        <v>64.11588362500001</v>
      </c>
      <c r="J251" s="586"/>
      <c r="K251" s="587"/>
      <c r="L251" s="235">
        <f>SUM(L247:L250)</f>
        <v>71.09762521169489</v>
      </c>
      <c r="M251" s="235">
        <f>SUM(M247:M250)</f>
        <v>6.981741586694883</v>
      </c>
      <c r="N251" s="238">
        <f t="shared" si="19"/>
        <v>0.10889254256448505</v>
      </c>
      <c r="O251" s="375">
        <f>L251/L253</f>
        <v>0.8849557522123894</v>
      </c>
      <c r="P251" s="303"/>
    </row>
    <row r="252" spans="2:16" ht="18" customHeight="1" thickBot="1">
      <c r="B252" s="172"/>
      <c r="C252" s="31"/>
      <c r="D252" s="31"/>
      <c r="E252" s="31"/>
      <c r="F252" s="297" t="s">
        <v>274</v>
      </c>
      <c r="G252" s="298"/>
      <c r="H252" s="302">
        <v>0.13</v>
      </c>
      <c r="I252" s="299">
        <f>I251*H252</f>
        <v>8.335064871250001</v>
      </c>
      <c r="J252" s="298"/>
      <c r="K252" s="302">
        <v>0.13</v>
      </c>
      <c r="L252" s="300">
        <f>L251*K252</f>
        <v>9.242691277520336</v>
      </c>
      <c r="M252" s="227">
        <f>+L252-I252</f>
        <v>0.9076264062703352</v>
      </c>
      <c r="N252" s="231">
        <f t="shared" si="19"/>
        <v>0.10889254256448509</v>
      </c>
      <c r="O252" s="241">
        <f>L252/L253</f>
        <v>0.11504424778761063</v>
      </c>
      <c r="P252" s="165"/>
    </row>
    <row r="253" spans="2:16" ht="18" customHeight="1" thickBot="1">
      <c r="B253" s="376"/>
      <c r="C253" s="377"/>
      <c r="D253" s="377"/>
      <c r="E253" s="378"/>
      <c r="F253" s="379" t="s">
        <v>79</v>
      </c>
      <c r="G253" s="600"/>
      <c r="H253" s="601"/>
      <c r="I253" s="380">
        <f>SUM(I251:I252)</f>
        <v>72.45094849625</v>
      </c>
      <c r="J253" s="600"/>
      <c r="K253" s="601"/>
      <c r="L253" s="380">
        <f>SUM(L251:L252)</f>
        <v>80.34031648921523</v>
      </c>
      <c r="M253" s="380">
        <f>SUM(M251:M252)</f>
        <v>7.8893679929652185</v>
      </c>
      <c r="N253" s="381">
        <f t="shared" si="19"/>
        <v>0.10889254256448505</v>
      </c>
      <c r="O253" s="382">
        <f>O251+O252</f>
        <v>1</v>
      </c>
      <c r="P253" s="383"/>
    </row>
    <row r="254" spans="2:16" ht="18" customHeight="1" thickBot="1">
      <c r="B254" s="166"/>
      <c r="C254" s="602"/>
      <c r="D254" s="602"/>
      <c r="E254" s="602"/>
      <c r="F254" s="602"/>
      <c r="G254" s="602"/>
      <c r="H254" s="602"/>
      <c r="I254" s="602"/>
      <c r="J254" s="602"/>
      <c r="K254" s="602"/>
      <c r="L254" s="602"/>
      <c r="M254" s="602"/>
      <c r="N254" s="602"/>
      <c r="O254" s="602"/>
      <c r="P254" s="167"/>
    </row>
    <row r="255" ht="18" customHeight="1" thickBot="1"/>
    <row r="256" spans="2:16" ht="6.75" customHeight="1" thickBot="1">
      <c r="B256" s="174"/>
      <c r="C256" s="592"/>
      <c r="D256" s="592"/>
      <c r="E256" s="592"/>
      <c r="F256" s="592"/>
      <c r="G256" s="592"/>
      <c r="H256" s="592"/>
      <c r="I256" s="592"/>
      <c r="J256" s="592"/>
      <c r="K256" s="592"/>
      <c r="L256" s="592"/>
      <c r="M256" s="592"/>
      <c r="N256" s="592"/>
      <c r="O256" s="592"/>
      <c r="P256" s="164"/>
    </row>
    <row r="257" spans="2:16" ht="23.25">
      <c r="B257" s="172"/>
      <c r="C257" s="603" t="s">
        <v>278</v>
      </c>
      <c r="D257" s="603"/>
      <c r="E257" s="603"/>
      <c r="F257" s="603"/>
      <c r="G257" s="603"/>
      <c r="H257" s="603"/>
      <c r="I257" s="603"/>
      <c r="J257" s="603"/>
      <c r="K257" s="603"/>
      <c r="L257" s="603"/>
      <c r="M257" s="603"/>
      <c r="N257" s="603"/>
      <c r="O257" s="603"/>
      <c r="P257" s="165"/>
    </row>
    <row r="258" spans="2:16" ht="6.75" customHeight="1" thickBot="1">
      <c r="B258" s="172"/>
      <c r="C258" s="590"/>
      <c r="D258" s="590"/>
      <c r="E258" s="590"/>
      <c r="F258" s="590"/>
      <c r="G258" s="590"/>
      <c r="H258" s="590"/>
      <c r="I258" s="590"/>
      <c r="J258" s="590"/>
      <c r="K258" s="590"/>
      <c r="L258" s="590"/>
      <c r="M258" s="590"/>
      <c r="N258" s="590"/>
      <c r="O258" s="590"/>
      <c r="P258" s="165"/>
    </row>
    <row r="259" spans="2:16" ht="21" thickBot="1">
      <c r="B259" s="172"/>
      <c r="C259" s="173"/>
      <c r="D259" s="173"/>
      <c r="E259" s="31"/>
      <c r="F259" s="37"/>
      <c r="G259" s="595" t="str">
        <f>$G$10</f>
        <v>2010 BILL</v>
      </c>
      <c r="H259" s="596"/>
      <c r="I259" s="597"/>
      <c r="J259" s="595" t="str">
        <f>$J$10</f>
        <v>2011 BILL</v>
      </c>
      <c r="K259" s="596"/>
      <c r="L259" s="597"/>
      <c r="M259" s="595" t="s">
        <v>73</v>
      </c>
      <c r="N259" s="596"/>
      <c r="O259" s="597"/>
      <c r="P259" s="165"/>
    </row>
    <row r="260" spans="2:16" ht="26.25" thickBot="1">
      <c r="B260" s="172"/>
      <c r="C260" s="31"/>
      <c r="D260" s="31"/>
      <c r="E260" s="33"/>
      <c r="F260" s="38"/>
      <c r="G260" s="188" t="s">
        <v>67</v>
      </c>
      <c r="H260" s="189" t="s">
        <v>68</v>
      </c>
      <c r="I260" s="190" t="s">
        <v>69</v>
      </c>
      <c r="J260" s="191" t="s">
        <v>67</v>
      </c>
      <c r="K260" s="189" t="s">
        <v>68</v>
      </c>
      <c r="L260" s="190" t="s">
        <v>69</v>
      </c>
      <c r="M260" s="192" t="s">
        <v>80</v>
      </c>
      <c r="N260" s="193" t="s">
        <v>81</v>
      </c>
      <c r="O260" s="194" t="s">
        <v>76</v>
      </c>
      <c r="P260" s="165"/>
    </row>
    <row r="261" spans="2:16" ht="18" customHeight="1" thickBot="1">
      <c r="B261" s="172"/>
      <c r="C261" s="593" t="s">
        <v>70</v>
      </c>
      <c r="D261" s="594"/>
      <c r="E261" s="31"/>
      <c r="F261" s="397" t="s">
        <v>71</v>
      </c>
      <c r="G261" s="495"/>
      <c r="H261" s="208"/>
      <c r="I261" s="500">
        <f>'2010 Existing RatesPW'!C9</f>
        <v>10.65</v>
      </c>
      <c r="J261" s="207"/>
      <c r="K261" s="208"/>
      <c r="L261" s="212">
        <f>'Rate Schedule (Part 1) PW'!$E$12</f>
        <v>16.55</v>
      </c>
      <c r="M261" s="504">
        <f aca="true" t="shared" si="20" ref="M261:M267">+L261-I261</f>
        <v>5.9</v>
      </c>
      <c r="N261" s="222">
        <f aca="true" t="shared" si="21" ref="N261:N279">+M261/I261</f>
        <v>0.5539906103286385</v>
      </c>
      <c r="O261" s="223">
        <f>L261/L279</f>
        <v>0.14695045531800546</v>
      </c>
      <c r="P261" s="165"/>
    </row>
    <row r="262" spans="2:16" ht="18" customHeight="1" thickBot="1">
      <c r="B262" s="172"/>
      <c r="C262" s="170">
        <v>750</v>
      </c>
      <c r="D262" s="171" t="s">
        <v>16</v>
      </c>
      <c r="E262" s="31"/>
      <c r="F262" s="398" t="s">
        <v>72</v>
      </c>
      <c r="G262" s="396">
        <f>+C262</f>
        <v>750</v>
      </c>
      <c r="H262" s="196">
        <f>'2010 Existing RatesPW'!B73</f>
        <v>0.0134</v>
      </c>
      <c r="I262" s="501">
        <f>+G262*H262</f>
        <v>10.05</v>
      </c>
      <c r="J262" s="201">
        <f>+C262</f>
        <v>750</v>
      </c>
      <c r="K262" s="195">
        <f>'Rate Schedule (Part 1) PW'!$E$13</f>
        <v>0.0167</v>
      </c>
      <c r="L262" s="214">
        <f>+J262*K262</f>
        <v>12.525</v>
      </c>
      <c r="M262" s="489">
        <f t="shared" si="20"/>
        <v>2.4749999999999996</v>
      </c>
      <c r="N262" s="218">
        <f t="shared" si="21"/>
        <v>0.24626865671641784</v>
      </c>
      <c r="O262" s="225">
        <f>L262/L279</f>
        <v>0.11121174941740293</v>
      </c>
      <c r="P262" s="165"/>
    </row>
    <row r="263" spans="2:16" ht="18" customHeight="1">
      <c r="B263" s="172"/>
      <c r="C263" s="63"/>
      <c r="D263" s="64"/>
      <c r="E263" s="31"/>
      <c r="F263" s="398" t="s">
        <v>246</v>
      </c>
      <c r="G263" s="396">
        <f>G262</f>
        <v>750</v>
      </c>
      <c r="H263" s="196">
        <f>'2010 Existing RatesPW'!B48</f>
        <v>0.0022</v>
      </c>
      <c r="I263" s="501">
        <f>+G263*H263</f>
        <v>1.6500000000000001</v>
      </c>
      <c r="J263" s="201">
        <f>J262</f>
        <v>750</v>
      </c>
      <c r="K263" s="195">
        <f>'Rate Schedule (Part 1) PW'!$E$14</f>
        <v>0.0003</v>
      </c>
      <c r="L263" s="214">
        <f>+J263*K263</f>
        <v>0.22499999999999998</v>
      </c>
      <c r="M263" s="489">
        <f t="shared" si="20"/>
        <v>-1.4250000000000003</v>
      </c>
      <c r="N263" s="218">
        <f t="shared" si="21"/>
        <v>-0.8636363636363638</v>
      </c>
      <c r="O263" s="225">
        <f>L263/L279</f>
        <v>0.001997815857797657</v>
      </c>
      <c r="P263" s="165"/>
    </row>
    <row r="264" spans="2:16" ht="18" customHeight="1">
      <c r="B264" s="172"/>
      <c r="C264" s="63"/>
      <c r="D264" s="64"/>
      <c r="E264" s="31"/>
      <c r="F264" s="398" t="s">
        <v>170</v>
      </c>
      <c r="G264" s="496"/>
      <c r="H264" s="219"/>
      <c r="I264" s="501">
        <f>'2010 Existing RatesNF'!$B$57</f>
        <v>1</v>
      </c>
      <c r="J264" s="220"/>
      <c r="K264" s="219"/>
      <c r="L264" s="214">
        <f>'Rate Schedule (Part 1) PW'!$E$16</f>
        <v>1</v>
      </c>
      <c r="M264" s="489">
        <f t="shared" si="20"/>
        <v>0</v>
      </c>
      <c r="N264" s="218">
        <f t="shared" si="21"/>
        <v>0</v>
      </c>
      <c r="O264" s="225">
        <f>L264/L279</f>
        <v>0.00887918159021181</v>
      </c>
      <c r="P264" s="165"/>
    </row>
    <row r="265" spans="2:16" ht="18" customHeight="1">
      <c r="B265" s="172"/>
      <c r="C265" s="31"/>
      <c r="D265" s="31"/>
      <c r="E265" s="31"/>
      <c r="F265" s="398" t="s">
        <v>162</v>
      </c>
      <c r="G265" s="396">
        <f>C262</f>
        <v>750</v>
      </c>
      <c r="H265" s="196"/>
      <c r="I265" s="502">
        <f>+G265*H265</f>
        <v>0</v>
      </c>
      <c r="J265" s="201">
        <f>C262</f>
        <v>750</v>
      </c>
      <c r="K265" s="195">
        <f>'Rate Schedule (Part 1) PW'!$E$15</f>
        <v>0</v>
      </c>
      <c r="L265" s="214">
        <f>J265*K265</f>
        <v>0</v>
      </c>
      <c r="M265" s="489">
        <f t="shared" si="20"/>
        <v>0</v>
      </c>
      <c r="N265" s="218" t="e">
        <f t="shared" si="21"/>
        <v>#DIV/0!</v>
      </c>
      <c r="O265" s="225">
        <f>L265/L279</f>
        <v>0</v>
      </c>
      <c r="P265" s="165"/>
    </row>
    <row r="266" spans="2:16" ht="25.5" customHeight="1">
      <c r="B266" s="172"/>
      <c r="C266" s="31"/>
      <c r="D266" s="31"/>
      <c r="E266" s="31"/>
      <c r="F266" s="398" t="s">
        <v>286</v>
      </c>
      <c r="G266" s="497">
        <f>+C262</f>
        <v>750</v>
      </c>
      <c r="H266" s="196">
        <f>'2010 Existing RatesPW'!B22</f>
        <v>-0.0064</v>
      </c>
      <c r="I266" s="501">
        <f>+G266*H266</f>
        <v>-4.8</v>
      </c>
      <c r="J266" s="505">
        <f>+C262</f>
        <v>750</v>
      </c>
      <c r="K266" s="196">
        <f>'Rate Schedule (Part 1) PW'!$E$18</f>
        <v>-0.0064</v>
      </c>
      <c r="L266" s="214">
        <f>+J266*K266</f>
        <v>-4.8</v>
      </c>
      <c r="M266" s="489">
        <f t="shared" si="20"/>
        <v>0</v>
      </c>
      <c r="N266" s="218">
        <f t="shared" si="21"/>
        <v>0</v>
      </c>
      <c r="O266" s="225">
        <f>L266/L279</f>
        <v>-0.04262007163301669</v>
      </c>
      <c r="P266" s="165"/>
    </row>
    <row r="267" spans="2:16" ht="27.75" customHeight="1">
      <c r="B267" s="172"/>
      <c r="C267" s="31"/>
      <c r="D267" s="31"/>
      <c r="E267" s="31"/>
      <c r="F267" s="398" t="s">
        <v>294</v>
      </c>
      <c r="G267" s="498">
        <f>C262</f>
        <v>750</v>
      </c>
      <c r="H267" s="488"/>
      <c r="I267" s="503">
        <f>+G267*H267</f>
        <v>0</v>
      </c>
      <c r="J267" s="372">
        <f>C262</f>
        <v>750</v>
      </c>
      <c r="K267" s="488">
        <f>'Rate Schedule (Part 1) PW'!E20</f>
        <v>0.0001</v>
      </c>
      <c r="L267" s="229">
        <f>+J267*K267</f>
        <v>0.075</v>
      </c>
      <c r="M267" s="489">
        <f t="shared" si="20"/>
        <v>0.075</v>
      </c>
      <c r="N267" s="218" t="e">
        <f>+M267/I267</f>
        <v>#DIV/0!</v>
      </c>
      <c r="O267" s="225">
        <f>L267/L279</f>
        <v>0.0006659386192658858</v>
      </c>
      <c r="P267" s="165"/>
    </row>
    <row r="268" spans="2:16" ht="26.25" customHeight="1">
      <c r="B268" s="172"/>
      <c r="C268" s="63"/>
      <c r="D268" s="64"/>
      <c r="E268" s="31"/>
      <c r="F268" s="398" t="s">
        <v>316</v>
      </c>
      <c r="G268" s="396">
        <f>C262</f>
        <v>750</v>
      </c>
      <c r="H268" s="196">
        <f>'2010 Existing RatesPW'!B35</f>
        <v>0.0007</v>
      </c>
      <c r="I268" s="502">
        <f>+G268*H268</f>
        <v>0.525</v>
      </c>
      <c r="J268" s="201">
        <f>C262</f>
        <v>750</v>
      </c>
      <c r="K268" s="195">
        <f>'Rate Schedule (Part 1) PW'!E17</f>
        <v>0.0007</v>
      </c>
      <c r="L268" s="214">
        <f>+J268*K268</f>
        <v>0.525</v>
      </c>
      <c r="M268" s="489">
        <f>+L268-I268</f>
        <v>0</v>
      </c>
      <c r="N268" s="218">
        <f>+M268/I268</f>
        <v>0</v>
      </c>
      <c r="O268" s="225">
        <f>L268/L279</f>
        <v>0.004661570334861201</v>
      </c>
      <c r="P268" s="165"/>
    </row>
    <row r="269" spans="2:16" ht="27.75" customHeight="1" thickBot="1">
      <c r="B269" s="172"/>
      <c r="C269" s="31"/>
      <c r="D269" s="31"/>
      <c r="E269" s="31"/>
      <c r="F269" s="499" t="s">
        <v>317</v>
      </c>
      <c r="G269" s="498">
        <f>C262</f>
        <v>750</v>
      </c>
      <c r="H269" s="488"/>
      <c r="I269" s="502">
        <f>+G269*H269</f>
        <v>0</v>
      </c>
      <c r="J269" s="506">
        <f>C262</f>
        <v>750</v>
      </c>
      <c r="K269" s="507">
        <f>'Rate Schedule (Part 1) PW'!E19</f>
        <v>0.0016</v>
      </c>
      <c r="L269" s="509">
        <f>+J269*K269</f>
        <v>1.2</v>
      </c>
      <c r="M269" s="489">
        <f>+L269-I269</f>
        <v>1.2</v>
      </c>
      <c r="N269" s="218" t="e">
        <f>+M269/I269</f>
        <v>#DIV/0!</v>
      </c>
      <c r="O269" s="225">
        <f>L269/L279</f>
        <v>0.010655017908254173</v>
      </c>
      <c r="P269" s="165"/>
    </row>
    <row r="270" spans="1:16" ht="18" customHeight="1" thickBot="1">
      <c r="A270" s="165"/>
      <c r="F270" s="233" t="s">
        <v>247</v>
      </c>
      <c r="G270" s="586"/>
      <c r="H270" s="587"/>
      <c r="I270" s="235">
        <f>SUM(I261:I269)</f>
        <v>19.075</v>
      </c>
      <c r="J270" s="586"/>
      <c r="K270" s="587"/>
      <c r="L270" s="235">
        <f>SUM(L261:L269)</f>
        <v>27.3</v>
      </c>
      <c r="M270" s="237">
        <f>SUM(M261:M269)</f>
        <v>8.225</v>
      </c>
      <c r="N270" s="238">
        <f t="shared" si="21"/>
        <v>0.43119266055045874</v>
      </c>
      <c r="O270" s="240">
        <f>L270/L279</f>
        <v>0.24240165741278244</v>
      </c>
      <c r="P270" s="385"/>
    </row>
    <row r="271" spans="1:16" ht="18" customHeight="1" thickBot="1">
      <c r="A271" s="165"/>
      <c r="F271" s="199" t="s">
        <v>248</v>
      </c>
      <c r="G271" s="372">
        <f>C262*'Other Electriciy Rates PW'!$M$10</f>
        <v>795.075</v>
      </c>
      <c r="H271" s="373">
        <f>'Other Electriciy Rates PW'!$B$10</f>
        <v>0.0103</v>
      </c>
      <c r="I271" s="210">
        <f>+G271*H271</f>
        <v>8.189272500000001</v>
      </c>
      <c r="J271" s="372">
        <f>'BILL IMPACTS PW'!C262*'Other Electriciy Rates PW'!$M$24</f>
        <v>791.9927063196524</v>
      </c>
      <c r="K271" s="494">
        <f>'Other Electriciy Rates PW'!$B$24</f>
        <v>0.010132682166659615</v>
      </c>
      <c r="L271" s="210">
        <f>+J271*K271</f>
        <v>8.025010371449628</v>
      </c>
      <c r="M271" s="374">
        <f>+L271-I271</f>
        <v>-0.16426212855037292</v>
      </c>
      <c r="N271" s="222">
        <f t="shared" si="21"/>
        <v>-0.020058207679665426</v>
      </c>
      <c r="O271" s="223">
        <f>L271/L279</f>
        <v>0.07125552435143438</v>
      </c>
      <c r="P271" s="385"/>
    </row>
    <row r="272" spans="1:16" ht="18" customHeight="1" thickBot="1">
      <c r="A272" s="165"/>
      <c r="F272" s="233" t="s">
        <v>249</v>
      </c>
      <c r="G272" s="586"/>
      <c r="H272" s="587"/>
      <c r="I272" s="235">
        <f>SUM(I270:I271)</f>
        <v>27.2642725</v>
      </c>
      <c r="J272" s="586"/>
      <c r="K272" s="587"/>
      <c r="L272" s="235">
        <f>SUM(L270:L271)</f>
        <v>35.32501037144963</v>
      </c>
      <c r="M272" s="237">
        <f>SUM(M270:M271)</f>
        <v>8.060737871449627</v>
      </c>
      <c r="N272" s="238">
        <f t="shared" si="21"/>
        <v>0.2956520432169839</v>
      </c>
      <c r="O272" s="375">
        <f>L272/L279</f>
        <v>0.3136571817642168</v>
      </c>
      <c r="P272" s="385"/>
    </row>
    <row r="273" spans="1:16" ht="18" customHeight="1">
      <c r="A273" s="165"/>
      <c r="F273" s="200" t="s">
        <v>77</v>
      </c>
      <c r="G273" s="202">
        <f>+'Other Electriciy Rates PW'!$M$10*C262</f>
        <v>795.075</v>
      </c>
      <c r="H273" s="203">
        <f>'Other Electriciy Rates PW'!$C$10+'Other Electriciy Rates PW'!$E$10+'Other Electriciy Rates PW'!D10</f>
        <v>0.0138725</v>
      </c>
      <c r="I273" s="204">
        <f>+G273*H273</f>
        <v>11.0296779375</v>
      </c>
      <c r="J273" s="202">
        <f>J271</f>
        <v>791.9927063196524</v>
      </c>
      <c r="K273" s="203">
        <f>'Other Electriciy Rates PW'!$C$24+'Other Electriciy Rates PW'!$E$24+'Other Electriciy Rates PW'!D24</f>
        <v>0.0135</v>
      </c>
      <c r="L273" s="229">
        <f>+J273*K273</f>
        <v>10.691901535315306</v>
      </c>
      <c r="M273" s="230">
        <f>+L273-I273</f>
        <v>-0.3377764021846943</v>
      </c>
      <c r="N273" s="231">
        <f t="shared" si="21"/>
        <v>-0.030624321407997073</v>
      </c>
      <c r="O273" s="301">
        <f>L273/L279</f>
        <v>0.09493533527672905</v>
      </c>
      <c r="P273" s="385"/>
    </row>
    <row r="274" spans="2:16" ht="21.75" customHeight="1">
      <c r="B274" s="172"/>
      <c r="C274" s="31"/>
      <c r="D274" s="31"/>
      <c r="E274" s="31"/>
      <c r="F274" s="200" t="s">
        <v>321</v>
      </c>
      <c r="G274" s="220"/>
      <c r="H274" s="219"/>
      <c r="I274" s="210">
        <v>0.25</v>
      </c>
      <c r="J274" s="220"/>
      <c r="K274" s="219"/>
      <c r="L274" s="214">
        <v>0.25</v>
      </c>
      <c r="M274" s="513">
        <f>+L274-I274</f>
        <v>0</v>
      </c>
      <c r="N274" s="231">
        <f t="shared" si="21"/>
        <v>0</v>
      </c>
      <c r="O274" s="225">
        <f>L274/L279</f>
        <v>0.0022197953975529525</v>
      </c>
      <c r="P274" s="165"/>
    </row>
    <row r="275" spans="1:16" ht="18" customHeight="1">
      <c r="A275" s="165"/>
      <c r="B275" s="25"/>
      <c r="C275" s="31"/>
      <c r="D275" s="31"/>
      <c r="E275" s="31"/>
      <c r="F275" s="197" t="s">
        <v>78</v>
      </c>
      <c r="G275" s="202">
        <v>600</v>
      </c>
      <c r="H275" s="203">
        <f>'Other Electriciy Rates PW'!$K$11</f>
        <v>0.065</v>
      </c>
      <c r="I275" s="204">
        <f>+G275*H275</f>
        <v>39</v>
      </c>
      <c r="J275" s="202">
        <v>600</v>
      </c>
      <c r="K275" s="203">
        <f>'Other Electriciy Rates PW'!$K$24</f>
        <v>0.065</v>
      </c>
      <c r="L275" s="229">
        <f>+J275*K275</f>
        <v>39</v>
      </c>
      <c r="M275" s="230">
        <f>+L275-I275</f>
        <v>0</v>
      </c>
      <c r="N275" s="231">
        <f t="shared" si="21"/>
        <v>0</v>
      </c>
      <c r="O275" s="232">
        <f>L275/L279</f>
        <v>0.3462880820182606</v>
      </c>
      <c r="P275" s="385"/>
    </row>
    <row r="276" spans="2:16" ht="18" customHeight="1" thickBot="1">
      <c r="B276" s="172"/>
      <c r="C276" s="31"/>
      <c r="D276" s="31"/>
      <c r="E276" s="31"/>
      <c r="F276" s="197" t="s">
        <v>78</v>
      </c>
      <c r="G276" s="202">
        <f>G273-G275</f>
        <v>195.07500000000005</v>
      </c>
      <c r="H276" s="203">
        <f>'Other Electriciy Rates PW'!$L$10</f>
        <v>0.075</v>
      </c>
      <c r="I276" s="204">
        <f>+G276*H276</f>
        <v>14.630625000000002</v>
      </c>
      <c r="J276" s="202">
        <f>J273-J275</f>
        <v>191.99270631965237</v>
      </c>
      <c r="K276" s="203">
        <f>'Other Electriciy Rates PW'!$L$24</f>
        <v>0.075</v>
      </c>
      <c r="L276" s="229">
        <f>+J276*K276</f>
        <v>14.399452973973927</v>
      </c>
      <c r="M276" s="230">
        <f>+L276-I276</f>
        <v>-0.23117202602607456</v>
      </c>
      <c r="N276" s="231">
        <f t="shared" si="21"/>
        <v>-0.01580055712083896</v>
      </c>
      <c r="O276" s="232">
        <f>L276/L279</f>
        <v>0.12785535775563</v>
      </c>
      <c r="P276" s="165"/>
    </row>
    <row r="277" spans="2:16" ht="18" customHeight="1" thickBot="1">
      <c r="B277" s="172"/>
      <c r="C277" s="31"/>
      <c r="D277" s="31"/>
      <c r="E277" s="31"/>
      <c r="F277" s="233" t="s">
        <v>195</v>
      </c>
      <c r="G277" s="586"/>
      <c r="H277" s="587"/>
      <c r="I277" s="235">
        <f>SUM(I272:I276)</f>
        <v>92.17457543750001</v>
      </c>
      <c r="J277" s="586"/>
      <c r="K277" s="587"/>
      <c r="L277" s="235">
        <f>SUM(L272:L276)</f>
        <v>99.66636488073885</v>
      </c>
      <c r="M277" s="235">
        <f>SUM(M272:M276)</f>
        <v>7.491789443238858</v>
      </c>
      <c r="N277" s="238">
        <f t="shared" si="21"/>
        <v>0.08127826363918268</v>
      </c>
      <c r="O277" s="375">
        <f>L277/L279</f>
        <v>0.8849557522123893</v>
      </c>
      <c r="P277" s="165"/>
    </row>
    <row r="278" spans="2:16" ht="18" customHeight="1" thickBot="1">
      <c r="B278" s="172"/>
      <c r="C278" s="31"/>
      <c r="D278" s="31"/>
      <c r="E278" s="31"/>
      <c r="F278" s="297" t="s">
        <v>274</v>
      </c>
      <c r="G278" s="298"/>
      <c r="H278" s="302">
        <v>0.13</v>
      </c>
      <c r="I278" s="299">
        <f>I277*H278</f>
        <v>11.982694806875001</v>
      </c>
      <c r="J278" s="298"/>
      <c r="K278" s="302">
        <v>0.13</v>
      </c>
      <c r="L278" s="300">
        <f>L277*K278</f>
        <v>12.95662743449605</v>
      </c>
      <c r="M278" s="227">
        <f>+L278-I278</f>
        <v>0.9739326276210498</v>
      </c>
      <c r="N278" s="228">
        <f t="shared" si="21"/>
        <v>0.08127826363918254</v>
      </c>
      <c r="O278" s="241">
        <f>L278/L279</f>
        <v>0.11504424778761062</v>
      </c>
      <c r="P278" s="165"/>
    </row>
    <row r="279" spans="2:16" ht="18" customHeight="1" thickBot="1">
      <c r="B279" s="172"/>
      <c r="C279" s="31"/>
      <c r="D279" s="31"/>
      <c r="E279" s="35"/>
      <c r="F279" s="234" t="s">
        <v>79</v>
      </c>
      <c r="G279" s="598"/>
      <c r="H279" s="599"/>
      <c r="I279" s="236">
        <f>SUM(I277:I278)</f>
        <v>104.15727024437501</v>
      </c>
      <c r="J279" s="598"/>
      <c r="K279" s="599"/>
      <c r="L279" s="236">
        <f>SUM(L277:L278)</f>
        <v>112.62299231523491</v>
      </c>
      <c r="M279" s="236">
        <f>SUM(M277:M278)</f>
        <v>8.465722070859908</v>
      </c>
      <c r="N279" s="238">
        <f t="shared" si="21"/>
        <v>0.08127826363918265</v>
      </c>
      <c r="O279" s="240">
        <f>SUM(O277:O278)</f>
        <v>0.9999999999999999</v>
      </c>
      <c r="P279" s="165"/>
    </row>
    <row r="280" spans="2:16" ht="6.75" customHeight="1" thickBot="1">
      <c r="B280" s="166"/>
      <c r="C280" s="178"/>
      <c r="D280" s="178"/>
      <c r="E280" s="178"/>
      <c r="F280" s="179"/>
      <c r="G280" s="180"/>
      <c r="H280" s="181"/>
      <c r="I280" s="182"/>
      <c r="J280" s="180"/>
      <c r="K280" s="183"/>
      <c r="L280" s="182"/>
      <c r="M280" s="187"/>
      <c r="N280" s="185"/>
      <c r="O280" s="186"/>
      <c r="P280" s="167"/>
    </row>
    <row r="281" ht="18" customHeight="1" thickBot="1"/>
    <row r="282" spans="2:16" ht="18" customHeight="1" thickBot="1">
      <c r="B282" s="174"/>
      <c r="C282" s="592"/>
      <c r="D282" s="592"/>
      <c r="E282" s="592"/>
      <c r="F282" s="592"/>
      <c r="G282" s="592"/>
      <c r="H282" s="592"/>
      <c r="I282" s="592"/>
      <c r="J282" s="592"/>
      <c r="K282" s="592"/>
      <c r="L282" s="592"/>
      <c r="M282" s="592"/>
      <c r="N282" s="592"/>
      <c r="O282" s="592"/>
      <c r="P282" s="164"/>
    </row>
    <row r="283" spans="2:16" ht="23.25">
      <c r="B283" s="172"/>
      <c r="C283" s="603" t="s">
        <v>309</v>
      </c>
      <c r="D283" s="603"/>
      <c r="E283" s="603"/>
      <c r="F283" s="603"/>
      <c r="G283" s="603"/>
      <c r="H283" s="603"/>
      <c r="I283" s="603"/>
      <c r="J283" s="603"/>
      <c r="K283" s="603"/>
      <c r="L283" s="603"/>
      <c r="M283" s="603"/>
      <c r="N283" s="603"/>
      <c r="O283" s="603"/>
      <c r="P283" s="165"/>
    </row>
    <row r="284" spans="2:16" ht="18" customHeight="1" thickBot="1">
      <c r="B284" s="172"/>
      <c r="C284" s="590"/>
      <c r="D284" s="590"/>
      <c r="E284" s="590"/>
      <c r="F284" s="590"/>
      <c r="G284" s="590"/>
      <c r="H284" s="590"/>
      <c r="I284" s="590"/>
      <c r="J284" s="590"/>
      <c r="K284" s="590"/>
      <c r="L284" s="590"/>
      <c r="M284" s="590"/>
      <c r="N284" s="590"/>
      <c r="O284" s="590"/>
      <c r="P284" s="165"/>
    </row>
    <row r="285" spans="2:16" ht="18" customHeight="1" thickBot="1">
      <c r="B285" s="172"/>
      <c r="C285" s="173"/>
      <c r="D285" s="173"/>
      <c r="E285" s="31"/>
      <c r="F285" s="37"/>
      <c r="G285" s="595" t="str">
        <f>$G$10</f>
        <v>2010 BILL</v>
      </c>
      <c r="H285" s="596"/>
      <c r="I285" s="597"/>
      <c r="J285" s="595" t="str">
        <f>$J$10</f>
        <v>2011 BILL</v>
      </c>
      <c r="K285" s="596"/>
      <c r="L285" s="597"/>
      <c r="M285" s="595" t="s">
        <v>73</v>
      </c>
      <c r="N285" s="596"/>
      <c r="O285" s="597"/>
      <c r="P285" s="165"/>
    </row>
    <row r="286" spans="2:16" ht="26.25" thickBot="1">
      <c r="B286" s="172"/>
      <c r="C286" s="31"/>
      <c r="D286" s="31"/>
      <c r="E286" s="33"/>
      <c r="F286" s="38"/>
      <c r="G286" s="188" t="s">
        <v>67</v>
      </c>
      <c r="H286" s="189" t="s">
        <v>68</v>
      </c>
      <c r="I286" s="190" t="s">
        <v>69</v>
      </c>
      <c r="J286" s="191" t="s">
        <v>67</v>
      </c>
      <c r="K286" s="189" t="s">
        <v>68</v>
      </c>
      <c r="L286" s="190" t="s">
        <v>69</v>
      </c>
      <c r="M286" s="192" t="s">
        <v>80</v>
      </c>
      <c r="N286" s="193" t="s">
        <v>81</v>
      </c>
      <c r="O286" s="194" t="s">
        <v>76</v>
      </c>
      <c r="P286" s="165"/>
    </row>
    <row r="287" spans="2:16" ht="18" customHeight="1" thickBot="1">
      <c r="B287" s="172"/>
      <c r="C287" s="593" t="s">
        <v>70</v>
      </c>
      <c r="D287" s="594"/>
      <c r="E287" s="31"/>
      <c r="F287" s="397" t="s">
        <v>71</v>
      </c>
      <c r="G287" s="495"/>
      <c r="H287" s="208"/>
      <c r="I287" s="500">
        <f>'2010 Existing RatesPW'!C9</f>
        <v>10.65</v>
      </c>
      <c r="J287" s="207"/>
      <c r="K287" s="208"/>
      <c r="L287" s="212">
        <f>'Rate Schedule (Part 1) PW'!$E$12</f>
        <v>16.55</v>
      </c>
      <c r="M287" s="504">
        <f aca="true" t="shared" si="22" ref="M287:M293">+L287-I287</f>
        <v>5.9</v>
      </c>
      <c r="N287" s="222">
        <f aca="true" t="shared" si="23" ref="N287:N305">+M287/I287</f>
        <v>0.5539906103286385</v>
      </c>
      <c r="O287" s="223">
        <f>L287/L305</f>
        <v>0.13879307732351903</v>
      </c>
      <c r="P287" s="165"/>
    </row>
    <row r="288" spans="2:16" ht="18" customHeight="1" thickBot="1">
      <c r="B288" s="172"/>
      <c r="C288" s="170">
        <v>800</v>
      </c>
      <c r="D288" s="171" t="s">
        <v>16</v>
      </c>
      <c r="E288" s="31"/>
      <c r="F288" s="398" t="s">
        <v>72</v>
      </c>
      <c r="G288" s="396">
        <f>+C288</f>
        <v>800</v>
      </c>
      <c r="H288" s="196">
        <f>'2010 Existing RatesPW'!B73</f>
        <v>0.0134</v>
      </c>
      <c r="I288" s="501">
        <f>+G288*H288</f>
        <v>10.72</v>
      </c>
      <c r="J288" s="201">
        <f>+C288</f>
        <v>800</v>
      </c>
      <c r="K288" s="195">
        <f>'Rate Schedule (Part 1) PW'!$E$13</f>
        <v>0.0167</v>
      </c>
      <c r="L288" s="214">
        <f>+J288*K288</f>
        <v>13.36</v>
      </c>
      <c r="M288" s="489">
        <f t="shared" si="22"/>
        <v>2.639999999999999</v>
      </c>
      <c r="N288" s="218">
        <f t="shared" si="23"/>
        <v>0.2462686567164178</v>
      </c>
      <c r="O288" s="225">
        <f>L288/L305</f>
        <v>0.11204081649801897</v>
      </c>
      <c r="P288" s="165"/>
    </row>
    <row r="289" spans="2:16" ht="18" customHeight="1">
      <c r="B289" s="172"/>
      <c r="C289" s="63"/>
      <c r="D289" s="64"/>
      <c r="E289" s="31"/>
      <c r="F289" s="398" t="s">
        <v>246</v>
      </c>
      <c r="G289" s="396">
        <f>G288</f>
        <v>800</v>
      </c>
      <c r="H289" s="196">
        <f>'2010 Existing RatesPW'!B48</f>
        <v>0.0022</v>
      </c>
      <c r="I289" s="501">
        <f>+G289*H289</f>
        <v>1.76</v>
      </c>
      <c r="J289" s="201">
        <f>J288</f>
        <v>800</v>
      </c>
      <c r="K289" s="195">
        <f>'Rate Schedule (Part 1) PW'!$E$14</f>
        <v>0.0003</v>
      </c>
      <c r="L289" s="214">
        <f>+J289*K289</f>
        <v>0.24</v>
      </c>
      <c r="M289" s="489">
        <f t="shared" si="22"/>
        <v>-1.52</v>
      </c>
      <c r="N289" s="218">
        <f t="shared" si="23"/>
        <v>-0.8636363636363636</v>
      </c>
      <c r="O289" s="225">
        <f>L289/L305</f>
        <v>0.0020127092784075267</v>
      </c>
      <c r="P289" s="165"/>
    </row>
    <row r="290" spans="2:16" ht="18" customHeight="1">
      <c r="B290" s="172"/>
      <c r="C290" s="63"/>
      <c r="D290" s="64"/>
      <c r="E290" s="31"/>
      <c r="F290" s="398" t="s">
        <v>170</v>
      </c>
      <c r="G290" s="496"/>
      <c r="H290" s="219"/>
      <c r="I290" s="501">
        <f>'2010 Existing RatesNF'!$B$57</f>
        <v>1</v>
      </c>
      <c r="J290" s="220"/>
      <c r="K290" s="219"/>
      <c r="L290" s="214">
        <f>'Rate Schedule (Part 1) PW'!$E$16</f>
        <v>1</v>
      </c>
      <c r="M290" s="489">
        <f t="shared" si="22"/>
        <v>0</v>
      </c>
      <c r="N290" s="218">
        <f t="shared" si="23"/>
        <v>0</v>
      </c>
      <c r="O290" s="225">
        <f>L290/L305</f>
        <v>0.008386288660031362</v>
      </c>
      <c r="P290" s="165"/>
    </row>
    <row r="291" spans="1:16" ht="18" customHeight="1">
      <c r="A291" s="165"/>
      <c r="B291" s="25"/>
      <c r="C291" s="31"/>
      <c r="D291" s="31"/>
      <c r="E291" s="31"/>
      <c r="F291" s="398" t="s">
        <v>162</v>
      </c>
      <c r="G291" s="396">
        <f>C288</f>
        <v>800</v>
      </c>
      <c r="H291" s="196"/>
      <c r="I291" s="502">
        <f>+G291*H291</f>
        <v>0</v>
      </c>
      <c r="J291" s="201">
        <f>C288</f>
        <v>800</v>
      </c>
      <c r="K291" s="195">
        <f>'Rate Schedule (Part 1) PW'!$E$15</f>
        <v>0</v>
      </c>
      <c r="L291" s="214">
        <f>J291*K291</f>
        <v>0</v>
      </c>
      <c r="M291" s="489">
        <f t="shared" si="22"/>
        <v>0</v>
      </c>
      <c r="N291" s="218" t="e">
        <f t="shared" si="23"/>
        <v>#DIV/0!</v>
      </c>
      <c r="O291" s="225">
        <f>L291/L305</f>
        <v>0</v>
      </c>
      <c r="P291" s="165"/>
    </row>
    <row r="292" spans="2:16" ht="25.5" customHeight="1">
      <c r="B292" s="172"/>
      <c r="C292" s="31"/>
      <c r="D292" s="31"/>
      <c r="E292" s="31"/>
      <c r="F292" s="398" t="s">
        <v>286</v>
      </c>
      <c r="G292" s="497">
        <f>+C288</f>
        <v>800</v>
      </c>
      <c r="H292" s="196">
        <f>'2010 Existing RatesPW'!B22</f>
        <v>-0.0064</v>
      </c>
      <c r="I292" s="501">
        <f>+G292*H292</f>
        <v>-5.12</v>
      </c>
      <c r="J292" s="505">
        <f>+C288</f>
        <v>800</v>
      </c>
      <c r="K292" s="196">
        <f>'Rate Schedule (Part 1) PW'!$E$18</f>
        <v>-0.0064</v>
      </c>
      <c r="L292" s="214">
        <f>+J292*K292</f>
        <v>-5.12</v>
      </c>
      <c r="M292" s="489">
        <f t="shared" si="22"/>
        <v>0</v>
      </c>
      <c r="N292" s="218">
        <f t="shared" si="23"/>
        <v>0</v>
      </c>
      <c r="O292" s="225">
        <f>L292/L305</f>
        <v>-0.04293779793936057</v>
      </c>
      <c r="P292" s="165"/>
    </row>
    <row r="293" spans="2:16" ht="27.75" customHeight="1">
      <c r="B293" s="172"/>
      <c r="C293" s="31"/>
      <c r="D293" s="31"/>
      <c r="E293" s="31"/>
      <c r="F293" s="398" t="s">
        <v>294</v>
      </c>
      <c r="G293" s="498">
        <f>C288</f>
        <v>800</v>
      </c>
      <c r="H293" s="488"/>
      <c r="I293" s="503">
        <f>+G293*H293</f>
        <v>0</v>
      </c>
      <c r="J293" s="372">
        <f>C288</f>
        <v>800</v>
      </c>
      <c r="K293" s="488">
        <f>'Rate Schedule (Part 1) PW'!E20</f>
        <v>0.0001</v>
      </c>
      <c r="L293" s="229">
        <f>+J293*K293</f>
        <v>0.08</v>
      </c>
      <c r="M293" s="489">
        <f t="shared" si="22"/>
        <v>0.08</v>
      </c>
      <c r="N293" s="218" t="e">
        <f>+M293/I293</f>
        <v>#DIV/0!</v>
      </c>
      <c r="O293" s="225">
        <f>L293/L305</f>
        <v>0.0006709030928025089</v>
      </c>
      <c r="P293" s="165"/>
    </row>
    <row r="294" spans="2:16" ht="26.25" customHeight="1">
      <c r="B294" s="172"/>
      <c r="C294" s="63"/>
      <c r="D294" s="64"/>
      <c r="E294" s="31"/>
      <c r="F294" s="398" t="s">
        <v>316</v>
      </c>
      <c r="G294" s="396">
        <f>C288</f>
        <v>800</v>
      </c>
      <c r="H294" s="196">
        <f>'2010 Existing RatesPW'!B35</f>
        <v>0.0007</v>
      </c>
      <c r="I294" s="502">
        <f>+G294*H294</f>
        <v>0.5599999999999999</v>
      </c>
      <c r="J294" s="201">
        <f>C288</f>
        <v>800</v>
      </c>
      <c r="K294" s="195">
        <f>'Rate Schedule (Part 1) PW'!E17</f>
        <v>0.0007</v>
      </c>
      <c r="L294" s="214">
        <f>+J294*K294</f>
        <v>0.5599999999999999</v>
      </c>
      <c r="M294" s="489">
        <f>+L294-I294</f>
        <v>0</v>
      </c>
      <c r="N294" s="218">
        <f>+M294/I294</f>
        <v>0</v>
      </c>
      <c r="O294" s="225">
        <f>L294/L305</f>
        <v>0.004696321649617562</v>
      </c>
      <c r="P294" s="165"/>
    </row>
    <row r="295" spans="2:16" ht="27.75" customHeight="1" thickBot="1">
      <c r="B295" s="172"/>
      <c r="C295" s="31"/>
      <c r="D295" s="31"/>
      <c r="E295" s="31"/>
      <c r="F295" s="499" t="s">
        <v>317</v>
      </c>
      <c r="G295" s="498">
        <f>C288</f>
        <v>800</v>
      </c>
      <c r="H295" s="488"/>
      <c r="I295" s="502">
        <f>+G295*H295</f>
        <v>0</v>
      </c>
      <c r="J295" s="506">
        <f>C288</f>
        <v>800</v>
      </c>
      <c r="K295" s="507">
        <f>'Rate Schedule (Part 1) PW'!E19</f>
        <v>0.0016</v>
      </c>
      <c r="L295" s="509">
        <f>+J295*K295</f>
        <v>1.28</v>
      </c>
      <c r="M295" s="489">
        <f>+L295-I295</f>
        <v>1.28</v>
      </c>
      <c r="N295" s="218" t="e">
        <f>+M295/I295</f>
        <v>#DIV/0!</v>
      </c>
      <c r="O295" s="225">
        <f>L295/L305</f>
        <v>0.010734449484840142</v>
      </c>
      <c r="P295" s="165"/>
    </row>
    <row r="296" spans="1:16" ht="18" customHeight="1" thickBot="1">
      <c r="A296" s="165"/>
      <c r="F296" s="233" t="s">
        <v>247</v>
      </c>
      <c r="G296" s="586"/>
      <c r="H296" s="587"/>
      <c r="I296" s="235">
        <f>SUM(I287:I295)</f>
        <v>19.57</v>
      </c>
      <c r="J296" s="586"/>
      <c r="K296" s="587"/>
      <c r="L296" s="235">
        <f>SUM(L287:L295)</f>
        <v>27.949999999999996</v>
      </c>
      <c r="M296" s="237">
        <f>SUM(M287:M295)</f>
        <v>8.379999999999999</v>
      </c>
      <c r="N296" s="238">
        <f t="shared" si="23"/>
        <v>0.42820643842616246</v>
      </c>
      <c r="O296" s="240">
        <f>L296/L305</f>
        <v>0.2343967680478765</v>
      </c>
      <c r="P296" s="385"/>
    </row>
    <row r="297" spans="1:16" ht="18" customHeight="1" thickBot="1">
      <c r="A297" s="165"/>
      <c r="F297" s="199" t="s">
        <v>248</v>
      </c>
      <c r="G297" s="372">
        <f>C288*'Other Electriciy Rates PW'!$M$10</f>
        <v>848.08</v>
      </c>
      <c r="H297" s="373">
        <f>'Other Electriciy Rates PW'!$B$10</f>
        <v>0.0103</v>
      </c>
      <c r="I297" s="210">
        <f>+G297*H297</f>
        <v>8.735224</v>
      </c>
      <c r="J297" s="372">
        <f>'BILL IMPACTS PW'!C288*'Other Electriciy Rates PW'!$M$24</f>
        <v>844.7922200742959</v>
      </c>
      <c r="K297" s="494">
        <f>'Other Electriciy Rates PW'!$B$24</f>
        <v>0.010132682166659615</v>
      </c>
      <c r="L297" s="210">
        <f>+J297*K297</f>
        <v>8.560011062879603</v>
      </c>
      <c r="M297" s="374">
        <f>+L297-I297</f>
        <v>-0.17521293712039743</v>
      </c>
      <c r="N297" s="222">
        <f t="shared" si="23"/>
        <v>-0.020058207679665388</v>
      </c>
      <c r="O297" s="223">
        <f>L297/L305</f>
        <v>0.07178672370637021</v>
      </c>
      <c r="P297" s="385"/>
    </row>
    <row r="298" spans="1:16" ht="18" customHeight="1" thickBot="1">
      <c r="A298" s="165"/>
      <c r="F298" s="233" t="s">
        <v>249</v>
      </c>
      <c r="G298" s="586"/>
      <c r="H298" s="587"/>
      <c r="I298" s="235">
        <f>SUM(I296:I297)</f>
        <v>28.305224000000003</v>
      </c>
      <c r="J298" s="586"/>
      <c r="K298" s="587"/>
      <c r="L298" s="235">
        <f>SUM(L296:L297)</f>
        <v>36.5100110628796</v>
      </c>
      <c r="M298" s="237">
        <f>SUM(M296:M297)</f>
        <v>8.204787062879602</v>
      </c>
      <c r="N298" s="238">
        <f t="shared" si="23"/>
        <v>0.2898682964981871</v>
      </c>
      <c r="O298" s="375">
        <f>L298/L305</f>
        <v>0.3061834917542467</v>
      </c>
      <c r="P298" s="385"/>
    </row>
    <row r="299" spans="1:16" ht="18" customHeight="1">
      <c r="A299" s="165"/>
      <c r="F299" s="200" t="s">
        <v>77</v>
      </c>
      <c r="G299" s="202">
        <f>+'Other Electriciy Rates PW'!$M$10*C288</f>
        <v>848.08</v>
      </c>
      <c r="H299" s="203">
        <f>'Other Electriciy Rates PW'!$C$10+'Other Electriciy Rates PW'!$E$10+'Other Electriciy Rates PW'!D10</f>
        <v>0.0138725</v>
      </c>
      <c r="I299" s="204">
        <f>+G299*H299</f>
        <v>11.7649898</v>
      </c>
      <c r="J299" s="202">
        <f>J297</f>
        <v>844.7922200742959</v>
      </c>
      <c r="K299" s="203">
        <f>'Other Electriciy Rates PW'!$C$24+'Other Electriciy Rates PW'!$E$24+'Other Electriciy Rates PW'!D24</f>
        <v>0.0135</v>
      </c>
      <c r="L299" s="229">
        <f>+J299*K299</f>
        <v>11.404694971002995</v>
      </c>
      <c r="M299" s="230">
        <f>+L299-I299</f>
        <v>-0.3602948289970058</v>
      </c>
      <c r="N299" s="231">
        <f t="shared" si="23"/>
        <v>-0.030624321407996955</v>
      </c>
      <c r="O299" s="301">
        <f>L299/L305</f>
        <v>0.09564306410643911</v>
      </c>
      <c r="P299" s="385"/>
    </row>
    <row r="300" spans="2:16" ht="21.75" customHeight="1">
      <c r="B300" s="172"/>
      <c r="C300" s="31"/>
      <c r="D300" s="31"/>
      <c r="E300" s="31"/>
      <c r="F300" s="200" t="s">
        <v>321</v>
      </c>
      <c r="G300" s="220"/>
      <c r="H300" s="219"/>
      <c r="I300" s="210">
        <v>0.25</v>
      </c>
      <c r="J300" s="220"/>
      <c r="K300" s="219"/>
      <c r="L300" s="214">
        <v>0.25</v>
      </c>
      <c r="M300" s="513">
        <f>+L300-I300</f>
        <v>0</v>
      </c>
      <c r="N300" s="231">
        <f t="shared" si="23"/>
        <v>0</v>
      </c>
      <c r="O300" s="225">
        <f>L300/L305</f>
        <v>0.0020965721650078404</v>
      </c>
      <c r="P300" s="165"/>
    </row>
    <row r="301" spans="1:16" ht="18" customHeight="1">
      <c r="A301" s="165"/>
      <c r="B301" s="25"/>
      <c r="C301" s="31"/>
      <c r="D301" s="31"/>
      <c r="E301" s="31"/>
      <c r="F301" s="197" t="s">
        <v>78</v>
      </c>
      <c r="G301" s="202">
        <v>600</v>
      </c>
      <c r="H301" s="203">
        <f>'Other Electriciy Rates PW'!$K$11</f>
        <v>0.065</v>
      </c>
      <c r="I301" s="204">
        <f>+G301*H301</f>
        <v>39</v>
      </c>
      <c r="J301" s="202">
        <v>600</v>
      </c>
      <c r="K301" s="203">
        <f>'Other Electriciy Rates PW'!$K$24</f>
        <v>0.065</v>
      </c>
      <c r="L301" s="229">
        <f>+J301*K301</f>
        <v>39</v>
      </c>
      <c r="M301" s="230">
        <f>+L301-I301</f>
        <v>0</v>
      </c>
      <c r="N301" s="231">
        <f t="shared" si="23"/>
        <v>0</v>
      </c>
      <c r="O301" s="232">
        <f>L301/L305</f>
        <v>0.3270652577412231</v>
      </c>
      <c r="P301" s="385"/>
    </row>
    <row r="302" spans="2:16" ht="18" customHeight="1" thickBot="1">
      <c r="B302" s="172"/>
      <c r="C302" s="31"/>
      <c r="D302" s="31"/>
      <c r="E302" s="31"/>
      <c r="F302" s="197" t="s">
        <v>78</v>
      </c>
      <c r="G302" s="202">
        <f>G299-G301</f>
        <v>248.08000000000004</v>
      </c>
      <c r="H302" s="203">
        <f>'Other Electriciy Rates PW'!$L$10</f>
        <v>0.075</v>
      </c>
      <c r="I302" s="204">
        <f>+G302*H302</f>
        <v>18.606</v>
      </c>
      <c r="J302" s="202">
        <f>J299-J301</f>
        <v>244.79222007429587</v>
      </c>
      <c r="K302" s="203">
        <f>'Other Electriciy Rates PW'!$L$24</f>
        <v>0.075</v>
      </c>
      <c r="L302" s="229">
        <f>+J302*K302</f>
        <v>18.359416505572188</v>
      </c>
      <c r="M302" s="230">
        <f>+L302-I302</f>
        <v>-0.24658349442781358</v>
      </c>
      <c r="N302" s="231">
        <f t="shared" si="23"/>
        <v>-0.013252901990100697</v>
      </c>
      <c r="O302" s="232">
        <f>L302/L305</f>
        <v>0.15396736644547263</v>
      </c>
      <c r="P302" s="165"/>
    </row>
    <row r="303" spans="2:16" ht="18" customHeight="1" thickBot="1">
      <c r="B303" s="172"/>
      <c r="C303" s="31"/>
      <c r="D303" s="31"/>
      <c r="E303" s="31"/>
      <c r="F303" s="233" t="s">
        <v>195</v>
      </c>
      <c r="G303" s="586"/>
      <c r="H303" s="587"/>
      <c r="I303" s="235">
        <f>SUM(I298:I302)</f>
        <v>97.9262138</v>
      </c>
      <c r="J303" s="586"/>
      <c r="K303" s="587"/>
      <c r="L303" s="235">
        <f>SUM(L298:L302)</f>
        <v>105.52412253945478</v>
      </c>
      <c r="M303" s="235">
        <f>SUM(M298:M302)</f>
        <v>7.597908739454782</v>
      </c>
      <c r="N303" s="238">
        <f t="shared" si="23"/>
        <v>0.07758809867776979</v>
      </c>
      <c r="O303" s="375">
        <f>L303/L305</f>
        <v>0.8849557522123894</v>
      </c>
      <c r="P303" s="165"/>
    </row>
    <row r="304" spans="2:16" ht="18" customHeight="1" thickBot="1">
      <c r="B304" s="172"/>
      <c r="C304" s="31"/>
      <c r="D304" s="31"/>
      <c r="E304" s="31"/>
      <c r="F304" s="297" t="s">
        <v>274</v>
      </c>
      <c r="G304" s="298"/>
      <c r="H304" s="302">
        <v>0.13</v>
      </c>
      <c r="I304" s="299">
        <f>I303*H304</f>
        <v>12.730407794</v>
      </c>
      <c r="J304" s="298"/>
      <c r="K304" s="302">
        <v>0.13</v>
      </c>
      <c r="L304" s="300">
        <f>L303*K304</f>
        <v>13.718135930129122</v>
      </c>
      <c r="M304" s="227">
        <f>+L304-I304</f>
        <v>0.9877281361291228</v>
      </c>
      <c r="N304" s="228">
        <f t="shared" si="23"/>
        <v>0.07758809867776989</v>
      </c>
      <c r="O304" s="241">
        <f>L304/L305</f>
        <v>0.11504424778761063</v>
      </c>
      <c r="P304" s="165"/>
    </row>
    <row r="305" spans="2:16" ht="18" customHeight="1" thickBot="1">
      <c r="B305" s="172"/>
      <c r="C305" s="31"/>
      <c r="D305" s="31"/>
      <c r="E305" s="35"/>
      <c r="F305" s="234" t="s">
        <v>79</v>
      </c>
      <c r="G305" s="598"/>
      <c r="H305" s="599"/>
      <c r="I305" s="236">
        <f>SUM(I303:I304)</f>
        <v>110.656621594</v>
      </c>
      <c r="J305" s="598"/>
      <c r="K305" s="599"/>
      <c r="L305" s="236">
        <f>SUM(L303:L304)</f>
        <v>119.2422584695839</v>
      </c>
      <c r="M305" s="236">
        <f>SUM(M303:M304)</f>
        <v>8.585636875583905</v>
      </c>
      <c r="N305" s="238">
        <f t="shared" si="23"/>
        <v>0.0775880986777698</v>
      </c>
      <c r="O305" s="240">
        <f>SUM(O303:O304)</f>
        <v>1</v>
      </c>
      <c r="P305" s="165"/>
    </row>
    <row r="306" spans="2:16" ht="18" customHeight="1" thickBot="1">
      <c r="B306" s="166"/>
      <c r="C306" s="178"/>
      <c r="D306" s="178"/>
      <c r="E306" s="178"/>
      <c r="F306" s="179"/>
      <c r="G306" s="180"/>
      <c r="H306" s="181"/>
      <c r="I306" s="182"/>
      <c r="J306" s="180"/>
      <c r="K306" s="183"/>
      <c r="L306" s="182"/>
      <c r="M306" s="187"/>
      <c r="N306" s="185"/>
      <c r="O306" s="186"/>
      <c r="P306" s="167"/>
    </row>
    <row r="307" ht="18" customHeight="1" thickBot="1"/>
    <row r="308" spans="2:16" ht="18" customHeight="1" thickBot="1">
      <c r="B308" s="174"/>
      <c r="C308" s="592"/>
      <c r="D308" s="592"/>
      <c r="E308" s="592"/>
      <c r="F308" s="592"/>
      <c r="G308" s="592"/>
      <c r="H308" s="592"/>
      <c r="I308" s="592"/>
      <c r="J308" s="592"/>
      <c r="K308" s="592"/>
      <c r="L308" s="592"/>
      <c r="M308" s="592"/>
      <c r="N308" s="592"/>
      <c r="O308" s="592"/>
      <c r="P308" s="164"/>
    </row>
    <row r="309" spans="2:16" ht="23.25">
      <c r="B309" s="172"/>
      <c r="C309" s="603" t="s">
        <v>278</v>
      </c>
      <c r="D309" s="603"/>
      <c r="E309" s="603"/>
      <c r="F309" s="603"/>
      <c r="G309" s="603"/>
      <c r="H309" s="603"/>
      <c r="I309" s="603"/>
      <c r="J309" s="603"/>
      <c r="K309" s="603"/>
      <c r="L309" s="603"/>
      <c r="M309" s="603"/>
      <c r="N309" s="603"/>
      <c r="O309" s="603"/>
      <c r="P309" s="165"/>
    </row>
    <row r="310" spans="2:16" ht="18" customHeight="1" thickBot="1">
      <c r="B310" s="172"/>
      <c r="C310" s="590"/>
      <c r="D310" s="590"/>
      <c r="E310" s="590"/>
      <c r="F310" s="590"/>
      <c r="G310" s="590"/>
      <c r="H310" s="590"/>
      <c r="I310" s="590"/>
      <c r="J310" s="590"/>
      <c r="K310" s="590"/>
      <c r="L310" s="590"/>
      <c r="M310" s="590"/>
      <c r="N310" s="590"/>
      <c r="O310" s="590"/>
      <c r="P310" s="165"/>
    </row>
    <row r="311" spans="2:16" ht="18" customHeight="1" thickBot="1">
      <c r="B311" s="172"/>
      <c r="C311" s="173"/>
      <c r="D311" s="173"/>
      <c r="E311" s="31"/>
      <c r="F311" s="37"/>
      <c r="G311" s="595" t="str">
        <f>$G$10</f>
        <v>2010 BILL</v>
      </c>
      <c r="H311" s="596"/>
      <c r="I311" s="597"/>
      <c r="J311" s="595" t="str">
        <f>$J$10</f>
        <v>2011 BILL</v>
      </c>
      <c r="K311" s="596"/>
      <c r="L311" s="597"/>
      <c r="M311" s="595" t="s">
        <v>73</v>
      </c>
      <c r="N311" s="596"/>
      <c r="O311" s="597"/>
      <c r="P311" s="165"/>
    </row>
    <row r="312" spans="2:16" ht="26.25" thickBot="1">
      <c r="B312" s="172"/>
      <c r="C312" s="31"/>
      <c r="D312" s="31"/>
      <c r="E312" s="33"/>
      <c r="F312" s="38"/>
      <c r="G312" s="188" t="s">
        <v>67</v>
      </c>
      <c r="H312" s="189" t="s">
        <v>68</v>
      </c>
      <c r="I312" s="190" t="s">
        <v>69</v>
      </c>
      <c r="J312" s="191" t="s">
        <v>67</v>
      </c>
      <c r="K312" s="189" t="s">
        <v>68</v>
      </c>
      <c r="L312" s="190" t="s">
        <v>69</v>
      </c>
      <c r="M312" s="192" t="s">
        <v>80</v>
      </c>
      <c r="N312" s="193" t="s">
        <v>81</v>
      </c>
      <c r="O312" s="194" t="s">
        <v>76</v>
      </c>
      <c r="P312" s="165"/>
    </row>
    <row r="313" spans="2:16" ht="18" customHeight="1" thickBot="1">
      <c r="B313" s="172"/>
      <c r="C313" s="593" t="s">
        <v>70</v>
      </c>
      <c r="D313" s="594"/>
      <c r="E313" s="31"/>
      <c r="F313" s="397" t="s">
        <v>71</v>
      </c>
      <c r="G313" s="495"/>
      <c r="H313" s="208"/>
      <c r="I313" s="500">
        <f>'2010 Existing RatesPW'!C9</f>
        <v>10.65</v>
      </c>
      <c r="J313" s="207"/>
      <c r="K313" s="208"/>
      <c r="L313" s="212">
        <f>'Rate Schedule (Part 1) PW'!$E$12</f>
        <v>16.55</v>
      </c>
      <c r="M313" s="504">
        <f aca="true" t="shared" si="24" ref="M313:M319">+L313-I313</f>
        <v>5.9</v>
      </c>
      <c r="N313" s="222">
        <f aca="true" t="shared" si="25" ref="N313:N331">+M313/I313</f>
        <v>0.5539906103286385</v>
      </c>
      <c r="O313" s="223">
        <f>L313/L331</f>
        <v>0.11357450507865251</v>
      </c>
      <c r="P313" s="165"/>
    </row>
    <row r="314" spans="2:16" ht="18" customHeight="1" thickBot="1">
      <c r="B314" s="172"/>
      <c r="C314" s="170">
        <v>1000</v>
      </c>
      <c r="D314" s="171" t="s">
        <v>16</v>
      </c>
      <c r="E314" s="31"/>
      <c r="F314" s="398" t="s">
        <v>72</v>
      </c>
      <c r="G314" s="396">
        <f>+C314</f>
        <v>1000</v>
      </c>
      <c r="H314" s="196">
        <f>'2010 Existing RatesPW'!B73</f>
        <v>0.0134</v>
      </c>
      <c r="I314" s="501">
        <f>+G314*H314</f>
        <v>13.4</v>
      </c>
      <c r="J314" s="201">
        <f>+C314</f>
        <v>1000</v>
      </c>
      <c r="K314" s="195">
        <f>'Rate Schedule (Part 1) PW'!$E$13</f>
        <v>0.0167</v>
      </c>
      <c r="L314" s="214">
        <f>+J314*K314</f>
        <v>16.7</v>
      </c>
      <c r="M314" s="489">
        <f t="shared" si="24"/>
        <v>3.299999999999999</v>
      </c>
      <c r="N314" s="218">
        <f t="shared" si="25"/>
        <v>0.24626865671641782</v>
      </c>
      <c r="O314" s="225">
        <f>L314/L331</f>
        <v>0.11460388125761309</v>
      </c>
      <c r="P314" s="165"/>
    </row>
    <row r="315" spans="2:16" ht="18" customHeight="1">
      <c r="B315" s="172"/>
      <c r="C315" s="63"/>
      <c r="D315" s="64"/>
      <c r="E315" s="31"/>
      <c r="F315" s="398" t="s">
        <v>246</v>
      </c>
      <c r="G315" s="396">
        <f>G314</f>
        <v>1000</v>
      </c>
      <c r="H315" s="196">
        <f>'2010 Existing RatesPW'!B48</f>
        <v>0.0022</v>
      </c>
      <c r="I315" s="501">
        <f>+G315*H315</f>
        <v>2.2</v>
      </c>
      <c r="J315" s="201">
        <f>J314</f>
        <v>1000</v>
      </c>
      <c r="K315" s="195">
        <f>'Rate Schedule (Part 1) PW'!$E$14</f>
        <v>0.0003</v>
      </c>
      <c r="L315" s="214">
        <f>+J315*K315</f>
        <v>0.3</v>
      </c>
      <c r="M315" s="489">
        <f t="shared" si="24"/>
        <v>-1.9000000000000001</v>
      </c>
      <c r="N315" s="218">
        <f t="shared" si="25"/>
        <v>-0.8636363636363636</v>
      </c>
      <c r="O315" s="225">
        <f>L315/L331</f>
        <v>0.002058752357921193</v>
      </c>
      <c r="P315" s="165"/>
    </row>
    <row r="316" spans="2:16" ht="18" customHeight="1">
      <c r="B316" s="172"/>
      <c r="C316" s="63"/>
      <c r="D316" s="64"/>
      <c r="E316" s="31"/>
      <c r="F316" s="398" t="s">
        <v>170</v>
      </c>
      <c r="G316" s="496"/>
      <c r="H316" s="219"/>
      <c r="I316" s="501">
        <f>'2010 Existing RatesNF'!$B$57</f>
        <v>1</v>
      </c>
      <c r="J316" s="220"/>
      <c r="K316" s="219"/>
      <c r="L316" s="214">
        <f>'Rate Schedule (Part 1) PW'!$E$16</f>
        <v>1</v>
      </c>
      <c r="M316" s="489">
        <f t="shared" si="24"/>
        <v>0</v>
      </c>
      <c r="N316" s="218">
        <f t="shared" si="25"/>
        <v>0</v>
      </c>
      <c r="O316" s="225">
        <f>L316/L331</f>
        <v>0.006862507859737311</v>
      </c>
      <c r="P316" s="165"/>
    </row>
    <row r="317" spans="1:16" ht="18" customHeight="1">
      <c r="A317" s="165"/>
      <c r="B317" s="25"/>
      <c r="C317" s="31"/>
      <c r="D317" s="31"/>
      <c r="E317" s="31"/>
      <c r="F317" s="398" t="s">
        <v>162</v>
      </c>
      <c r="G317" s="396">
        <f>C314</f>
        <v>1000</v>
      </c>
      <c r="H317" s="196"/>
      <c r="I317" s="502">
        <f>+G317*H317</f>
        <v>0</v>
      </c>
      <c r="J317" s="201">
        <f>C314</f>
        <v>1000</v>
      </c>
      <c r="K317" s="195">
        <f>'Rate Schedule (Part 1) PW'!$E$15</f>
        <v>0</v>
      </c>
      <c r="L317" s="214">
        <f>J317*K317</f>
        <v>0</v>
      </c>
      <c r="M317" s="489">
        <f t="shared" si="24"/>
        <v>0</v>
      </c>
      <c r="N317" s="218" t="e">
        <f t="shared" si="25"/>
        <v>#DIV/0!</v>
      </c>
      <c r="O317" s="225">
        <f>L317/L331</f>
        <v>0</v>
      </c>
      <c r="P317" s="165"/>
    </row>
    <row r="318" spans="2:16" ht="25.5" customHeight="1">
      <c r="B318" s="172"/>
      <c r="C318" s="31"/>
      <c r="D318" s="31"/>
      <c r="E318" s="31"/>
      <c r="F318" s="398" t="s">
        <v>286</v>
      </c>
      <c r="G318" s="497">
        <f>+C314</f>
        <v>1000</v>
      </c>
      <c r="H318" s="196">
        <f>'2010 Existing RatesPW'!B22</f>
        <v>-0.0064</v>
      </c>
      <c r="I318" s="501">
        <f>+G318*H318</f>
        <v>-6.4</v>
      </c>
      <c r="J318" s="505">
        <f>+C314</f>
        <v>1000</v>
      </c>
      <c r="K318" s="196">
        <f>'Rate Schedule (Part 1) PW'!$E$18</f>
        <v>-0.0064</v>
      </c>
      <c r="L318" s="214">
        <f>+J318*K318</f>
        <v>-6.4</v>
      </c>
      <c r="M318" s="489">
        <f t="shared" si="24"/>
        <v>0</v>
      </c>
      <c r="N318" s="218">
        <f t="shared" si="25"/>
        <v>0</v>
      </c>
      <c r="O318" s="225">
        <f>L318/L331</f>
        <v>-0.0439200503023188</v>
      </c>
      <c r="P318" s="165"/>
    </row>
    <row r="319" spans="2:16" ht="27.75" customHeight="1">
      <c r="B319" s="172"/>
      <c r="C319" s="31"/>
      <c r="D319" s="31"/>
      <c r="E319" s="31"/>
      <c r="F319" s="398" t="s">
        <v>294</v>
      </c>
      <c r="G319" s="498">
        <f>C314</f>
        <v>1000</v>
      </c>
      <c r="H319" s="488"/>
      <c r="I319" s="503">
        <f>+G319*H319</f>
        <v>0</v>
      </c>
      <c r="J319" s="372">
        <f>C314</f>
        <v>1000</v>
      </c>
      <c r="K319" s="488">
        <f>'Rate Schedule (Part 1) PW'!E20</f>
        <v>0.0001</v>
      </c>
      <c r="L319" s="229">
        <f>+J319*K319</f>
        <v>0.1</v>
      </c>
      <c r="M319" s="489">
        <f t="shared" si="24"/>
        <v>0.1</v>
      </c>
      <c r="N319" s="218" t="e">
        <f>+M319/I319</f>
        <v>#DIV/0!</v>
      </c>
      <c r="O319" s="225">
        <f>L319/L331</f>
        <v>0.0006862507859737312</v>
      </c>
      <c r="P319" s="165"/>
    </row>
    <row r="320" spans="2:16" ht="26.25" customHeight="1">
      <c r="B320" s="172"/>
      <c r="C320" s="63"/>
      <c r="D320" s="64"/>
      <c r="E320" s="31"/>
      <c r="F320" s="398" t="s">
        <v>316</v>
      </c>
      <c r="G320" s="396">
        <f>C314</f>
        <v>1000</v>
      </c>
      <c r="H320" s="196">
        <f>'2010 Existing RatesPW'!B35</f>
        <v>0.0007</v>
      </c>
      <c r="I320" s="502">
        <f>+G320*H320</f>
        <v>0.7</v>
      </c>
      <c r="J320" s="201">
        <f>C314</f>
        <v>1000</v>
      </c>
      <c r="K320" s="195">
        <f>'Rate Schedule (Part 1) PW'!E17</f>
        <v>0.0007</v>
      </c>
      <c r="L320" s="214">
        <f>+J320*K320</f>
        <v>0.7</v>
      </c>
      <c r="M320" s="489">
        <f>+L320-I320</f>
        <v>0</v>
      </c>
      <c r="N320" s="218">
        <f>+M320/I320</f>
        <v>0</v>
      </c>
      <c r="O320" s="225">
        <f>L320/L331</f>
        <v>0.004803755501816118</v>
      </c>
      <c r="P320" s="165"/>
    </row>
    <row r="321" spans="2:16" ht="27.75" customHeight="1" thickBot="1">
      <c r="B321" s="172"/>
      <c r="C321" s="31"/>
      <c r="D321" s="31"/>
      <c r="E321" s="31"/>
      <c r="F321" s="499" t="s">
        <v>317</v>
      </c>
      <c r="G321" s="498">
        <f>C314</f>
        <v>1000</v>
      </c>
      <c r="H321" s="488"/>
      <c r="I321" s="502">
        <f>+G321*H321</f>
        <v>0</v>
      </c>
      <c r="J321" s="506">
        <f>C314</f>
        <v>1000</v>
      </c>
      <c r="K321" s="507">
        <f>'Rate Schedule (Part 1) PW'!E19</f>
        <v>0.0016</v>
      </c>
      <c r="L321" s="509">
        <f>+J321*K321</f>
        <v>1.6</v>
      </c>
      <c r="M321" s="489">
        <f>+L321-I321</f>
        <v>1.6</v>
      </c>
      <c r="N321" s="218" t="e">
        <f>+M321/I321</f>
        <v>#DIV/0!</v>
      </c>
      <c r="O321" s="225">
        <f>L321/L331</f>
        <v>0.0109800125755797</v>
      </c>
      <c r="P321" s="165"/>
    </row>
    <row r="322" spans="1:16" ht="18" customHeight="1" thickBot="1">
      <c r="A322" s="165"/>
      <c r="F322" s="233" t="s">
        <v>247</v>
      </c>
      <c r="G322" s="586"/>
      <c r="H322" s="587"/>
      <c r="I322" s="235">
        <f>SUM(I313:I321)</f>
        <v>21.55</v>
      </c>
      <c r="J322" s="586"/>
      <c r="K322" s="587"/>
      <c r="L322" s="235">
        <f>SUM(L313:L321)</f>
        <v>30.55</v>
      </c>
      <c r="M322" s="237">
        <f>SUM(M313:M321)</f>
        <v>8.999999999999998</v>
      </c>
      <c r="N322" s="238">
        <f t="shared" si="25"/>
        <v>0.41763341067285376</v>
      </c>
      <c r="O322" s="240">
        <f>L322/L331</f>
        <v>0.20964961511497487</v>
      </c>
      <c r="P322" s="385"/>
    </row>
    <row r="323" spans="1:16" ht="18" customHeight="1" thickBot="1">
      <c r="A323" s="165"/>
      <c r="F323" s="199" t="s">
        <v>248</v>
      </c>
      <c r="G323" s="372">
        <f>C314*'Other Electriciy Rates PW'!$M$10</f>
        <v>1060.1000000000001</v>
      </c>
      <c r="H323" s="373">
        <f>'Other Electriciy Rates PW'!$B$10</f>
        <v>0.0103</v>
      </c>
      <c r="I323" s="210">
        <f>+G323*H323</f>
        <v>10.919030000000001</v>
      </c>
      <c r="J323" s="372">
        <f>'BILL IMPACTS PW'!C314*'Other Electriciy Rates PW'!$M$24</f>
        <v>1055.9902750928698</v>
      </c>
      <c r="K323" s="494">
        <f>'Other Electriciy Rates PW'!$B$24</f>
        <v>0.010132682166659615</v>
      </c>
      <c r="L323" s="210">
        <f>+J323*K323</f>
        <v>10.700013828599502</v>
      </c>
      <c r="M323" s="374">
        <f>+L323-I323</f>
        <v>-0.219016171400499</v>
      </c>
      <c r="N323" s="222">
        <f t="shared" si="25"/>
        <v>-0.020058207679665593</v>
      </c>
      <c r="O323" s="223">
        <f>L323/L331</f>
        <v>0.073428928998062</v>
      </c>
      <c r="P323" s="385"/>
    </row>
    <row r="324" spans="1:16" ht="18" customHeight="1" thickBot="1">
      <c r="A324" s="165"/>
      <c r="F324" s="233" t="s">
        <v>249</v>
      </c>
      <c r="G324" s="586"/>
      <c r="H324" s="587"/>
      <c r="I324" s="235">
        <f>SUM(I322:I323)</f>
        <v>32.469030000000004</v>
      </c>
      <c r="J324" s="586"/>
      <c r="K324" s="587"/>
      <c r="L324" s="235">
        <f>SUM(L322:L323)</f>
        <v>41.250013828599506</v>
      </c>
      <c r="M324" s="237">
        <f>SUM(M322:M323)</f>
        <v>8.7809838285995</v>
      </c>
      <c r="N324" s="238">
        <f t="shared" si="25"/>
        <v>0.270441828061987</v>
      </c>
      <c r="O324" s="375">
        <f>L324/L331</f>
        <v>0.2830785441130369</v>
      </c>
      <c r="P324" s="385"/>
    </row>
    <row r="325" spans="1:16" ht="18" customHeight="1">
      <c r="A325" s="165"/>
      <c r="F325" s="200" t="s">
        <v>77</v>
      </c>
      <c r="G325" s="202">
        <f>+'Other Electriciy Rates PW'!$M$10*C314</f>
        <v>1060.1000000000001</v>
      </c>
      <c r="H325" s="203">
        <f>'Other Electriciy Rates PW'!$C$10+'Other Electriciy Rates PW'!$E$10+'Other Electriciy Rates PW'!D10</f>
        <v>0.0138725</v>
      </c>
      <c r="I325" s="204">
        <f>+G325*H325</f>
        <v>14.706237250000001</v>
      </c>
      <c r="J325" s="202">
        <f>J323</f>
        <v>1055.9902750928698</v>
      </c>
      <c r="K325" s="203">
        <f>'Other Electriciy Rates PW'!$C$24+'Other Electriciy Rates PW'!$E$24+'Other Electriciy Rates PW'!D24</f>
        <v>0.0135</v>
      </c>
      <c r="L325" s="229">
        <f>+J325*K325</f>
        <v>14.255868713753742</v>
      </c>
      <c r="M325" s="230">
        <f>+L325-I325</f>
        <v>-0.45036853624625905</v>
      </c>
      <c r="N325" s="231">
        <f t="shared" si="25"/>
        <v>-0.030624321407997073</v>
      </c>
      <c r="O325" s="301">
        <f>L325/L331</f>
        <v>0.09783101109551828</v>
      </c>
      <c r="P325" s="385"/>
    </row>
    <row r="326" spans="2:16" ht="21.75" customHeight="1">
      <c r="B326" s="172"/>
      <c r="C326" s="31"/>
      <c r="D326" s="31"/>
      <c r="E326" s="31"/>
      <c r="F326" s="200" t="s">
        <v>321</v>
      </c>
      <c r="G326" s="220"/>
      <c r="H326" s="219"/>
      <c r="I326" s="210">
        <v>0.25</v>
      </c>
      <c r="J326" s="220"/>
      <c r="K326" s="219"/>
      <c r="L326" s="214">
        <v>0.25</v>
      </c>
      <c r="M326" s="513">
        <f>+L326-I326</f>
        <v>0</v>
      </c>
      <c r="N326" s="231">
        <f t="shared" si="25"/>
        <v>0</v>
      </c>
      <c r="O326" s="225">
        <f>L326/L331</f>
        <v>0.0017156269649343278</v>
      </c>
      <c r="P326" s="165"/>
    </row>
    <row r="327" spans="1:16" ht="18" customHeight="1">
      <c r="A327" s="165"/>
      <c r="B327" s="25"/>
      <c r="C327" s="31"/>
      <c r="D327" s="31"/>
      <c r="E327" s="31"/>
      <c r="F327" s="197" t="s">
        <v>78</v>
      </c>
      <c r="G327" s="202">
        <v>600</v>
      </c>
      <c r="H327" s="203">
        <f>'Other Electriciy Rates PW'!$K$11</f>
        <v>0.065</v>
      </c>
      <c r="I327" s="204">
        <f>+G327*H327</f>
        <v>39</v>
      </c>
      <c r="J327" s="202">
        <v>600</v>
      </c>
      <c r="K327" s="203">
        <f>'Other Electriciy Rates PW'!$K$24</f>
        <v>0.065</v>
      </c>
      <c r="L327" s="229">
        <f>+J327*K327</f>
        <v>39</v>
      </c>
      <c r="M327" s="230">
        <f>+L327-I327</f>
        <v>0</v>
      </c>
      <c r="N327" s="231">
        <f t="shared" si="25"/>
        <v>0</v>
      </c>
      <c r="O327" s="232">
        <f>L327/L331</f>
        <v>0.26763780652975516</v>
      </c>
      <c r="P327" s="385"/>
    </row>
    <row r="328" spans="2:16" ht="18" customHeight="1" thickBot="1">
      <c r="B328" s="172"/>
      <c r="C328" s="31"/>
      <c r="D328" s="31"/>
      <c r="E328" s="31"/>
      <c r="F328" s="197" t="s">
        <v>78</v>
      </c>
      <c r="G328" s="202">
        <f>G325-G327</f>
        <v>460.10000000000014</v>
      </c>
      <c r="H328" s="203">
        <f>'Other Electriciy Rates PW'!$L$10</f>
        <v>0.075</v>
      </c>
      <c r="I328" s="204">
        <f>+G328*H328</f>
        <v>34.50750000000001</v>
      </c>
      <c r="J328" s="202">
        <f>J325-J327</f>
        <v>455.99027509286975</v>
      </c>
      <c r="K328" s="203">
        <f>'Other Electriciy Rates PW'!$L$24</f>
        <v>0.075</v>
      </c>
      <c r="L328" s="229">
        <f>+J328*K328</f>
        <v>34.19927063196523</v>
      </c>
      <c r="M328" s="230">
        <f>+L328-I328</f>
        <v>-0.3082293680347803</v>
      </c>
      <c r="N328" s="231">
        <f t="shared" si="25"/>
        <v>-0.008932242788807656</v>
      </c>
      <c r="O328" s="232">
        <f>L328/L331</f>
        <v>0.23469276350914478</v>
      </c>
      <c r="P328" s="165"/>
    </row>
    <row r="329" spans="2:16" ht="18" customHeight="1" thickBot="1">
      <c r="B329" s="172"/>
      <c r="C329" s="31"/>
      <c r="D329" s="31"/>
      <c r="E329" s="31"/>
      <c r="F329" s="233" t="s">
        <v>195</v>
      </c>
      <c r="G329" s="586"/>
      <c r="H329" s="587"/>
      <c r="I329" s="235">
        <f>SUM(I324:I328)</f>
        <v>120.93276725000001</v>
      </c>
      <c r="J329" s="586"/>
      <c r="K329" s="587"/>
      <c r="L329" s="235">
        <f>SUM(L324:L328)</f>
        <v>128.95515317431847</v>
      </c>
      <c r="M329" s="235">
        <f>SUM(M324:M328)</f>
        <v>8.02238592431846</v>
      </c>
      <c r="N329" s="238">
        <f t="shared" si="25"/>
        <v>0.06633757009573812</v>
      </c>
      <c r="O329" s="375">
        <f>L329/L331</f>
        <v>0.8849557522123894</v>
      </c>
      <c r="P329" s="165"/>
    </row>
    <row r="330" spans="2:16" ht="18" customHeight="1" thickBot="1">
      <c r="B330" s="172"/>
      <c r="C330" s="31"/>
      <c r="D330" s="31"/>
      <c r="E330" s="31"/>
      <c r="F330" s="297" t="s">
        <v>274</v>
      </c>
      <c r="G330" s="298"/>
      <c r="H330" s="302">
        <v>0.13</v>
      </c>
      <c r="I330" s="299">
        <f>I329*H330</f>
        <v>15.721259742500003</v>
      </c>
      <c r="J330" s="298"/>
      <c r="K330" s="302">
        <v>0.13</v>
      </c>
      <c r="L330" s="300">
        <f>L329*K330</f>
        <v>16.7641699126614</v>
      </c>
      <c r="M330" s="227">
        <f>+L330-I330</f>
        <v>1.0429101701613988</v>
      </c>
      <c r="N330" s="228">
        <f t="shared" si="25"/>
        <v>0.06633757009573805</v>
      </c>
      <c r="O330" s="241">
        <f>L330/L331</f>
        <v>0.11504424778761062</v>
      </c>
      <c r="P330" s="165"/>
    </row>
    <row r="331" spans="2:16" ht="18" customHeight="1" thickBot="1">
      <c r="B331" s="172"/>
      <c r="C331" s="31"/>
      <c r="D331" s="31"/>
      <c r="E331" s="35"/>
      <c r="F331" s="234" t="s">
        <v>79</v>
      </c>
      <c r="G331" s="598"/>
      <c r="H331" s="599"/>
      <c r="I331" s="236">
        <f>SUM(I329:I330)</f>
        <v>136.6540269925</v>
      </c>
      <c r="J331" s="598"/>
      <c r="K331" s="599"/>
      <c r="L331" s="236">
        <f>SUM(L329:L330)</f>
        <v>145.71932308697987</v>
      </c>
      <c r="M331" s="236">
        <f>SUM(M329:M330)</f>
        <v>9.065296094479859</v>
      </c>
      <c r="N331" s="238">
        <f t="shared" si="25"/>
        <v>0.06633757009573812</v>
      </c>
      <c r="O331" s="240">
        <f>SUM(O329:O330)</f>
        <v>1</v>
      </c>
      <c r="P331" s="165"/>
    </row>
    <row r="332" spans="2:16" ht="18" customHeight="1" thickBot="1">
      <c r="B332" s="166"/>
      <c r="C332" s="178"/>
      <c r="D332" s="178"/>
      <c r="E332" s="178"/>
      <c r="F332" s="179"/>
      <c r="G332" s="180"/>
      <c r="H332" s="181"/>
      <c r="I332" s="182"/>
      <c r="J332" s="180"/>
      <c r="K332" s="183"/>
      <c r="L332" s="182"/>
      <c r="M332" s="187"/>
      <c r="N332" s="185"/>
      <c r="O332" s="186"/>
      <c r="P332" s="167"/>
    </row>
    <row r="333" ht="18" customHeight="1" thickBot="1"/>
    <row r="334" spans="2:16" ht="18" customHeight="1" thickBot="1">
      <c r="B334" s="174"/>
      <c r="C334" s="592"/>
      <c r="D334" s="592"/>
      <c r="E334" s="592"/>
      <c r="F334" s="592"/>
      <c r="G334" s="592"/>
      <c r="H334" s="592"/>
      <c r="I334" s="592"/>
      <c r="J334" s="592"/>
      <c r="K334" s="592"/>
      <c r="L334" s="592"/>
      <c r="M334" s="592"/>
      <c r="N334" s="592"/>
      <c r="O334" s="592"/>
      <c r="P334" s="164"/>
    </row>
    <row r="335" spans="2:16" ht="23.25">
      <c r="B335" s="172"/>
      <c r="C335" s="603" t="s">
        <v>278</v>
      </c>
      <c r="D335" s="603"/>
      <c r="E335" s="603"/>
      <c r="F335" s="603"/>
      <c r="G335" s="603"/>
      <c r="H335" s="603"/>
      <c r="I335" s="603"/>
      <c r="J335" s="603"/>
      <c r="K335" s="603"/>
      <c r="L335" s="603"/>
      <c r="M335" s="603"/>
      <c r="N335" s="603"/>
      <c r="O335" s="603"/>
      <c r="P335" s="165"/>
    </row>
    <row r="336" spans="2:16" ht="18" customHeight="1" thickBot="1">
      <c r="B336" s="172"/>
      <c r="C336" s="590"/>
      <c r="D336" s="590"/>
      <c r="E336" s="590"/>
      <c r="F336" s="590"/>
      <c r="G336" s="590"/>
      <c r="H336" s="590"/>
      <c r="I336" s="590"/>
      <c r="J336" s="590"/>
      <c r="K336" s="590"/>
      <c r="L336" s="590"/>
      <c r="M336" s="590"/>
      <c r="N336" s="590"/>
      <c r="O336" s="590"/>
      <c r="P336" s="165"/>
    </row>
    <row r="337" spans="2:16" ht="18" customHeight="1" thickBot="1">
      <c r="B337" s="172"/>
      <c r="C337" s="173"/>
      <c r="D337" s="173"/>
      <c r="E337" s="31"/>
      <c r="F337" s="37"/>
      <c r="G337" s="595" t="str">
        <f>$G$10</f>
        <v>2010 BILL</v>
      </c>
      <c r="H337" s="596"/>
      <c r="I337" s="597"/>
      <c r="J337" s="595" t="str">
        <f>$J$10</f>
        <v>2011 BILL</v>
      </c>
      <c r="K337" s="596"/>
      <c r="L337" s="597"/>
      <c r="M337" s="595" t="s">
        <v>73</v>
      </c>
      <c r="N337" s="596"/>
      <c r="O337" s="597"/>
      <c r="P337" s="165"/>
    </row>
    <row r="338" spans="2:16" ht="26.25" thickBot="1">
      <c r="B338" s="172"/>
      <c r="C338" s="31"/>
      <c r="D338" s="31"/>
      <c r="E338" s="33"/>
      <c r="F338" s="38"/>
      <c r="G338" s="188" t="s">
        <v>67</v>
      </c>
      <c r="H338" s="189" t="s">
        <v>68</v>
      </c>
      <c r="I338" s="190" t="s">
        <v>69</v>
      </c>
      <c r="J338" s="191" t="s">
        <v>67</v>
      </c>
      <c r="K338" s="189" t="s">
        <v>68</v>
      </c>
      <c r="L338" s="190" t="s">
        <v>69</v>
      </c>
      <c r="M338" s="192" t="s">
        <v>80</v>
      </c>
      <c r="N338" s="193" t="s">
        <v>81</v>
      </c>
      <c r="O338" s="194" t="s">
        <v>76</v>
      </c>
      <c r="P338" s="165"/>
    </row>
    <row r="339" spans="2:16" ht="18" customHeight="1" thickBot="1">
      <c r="B339" s="172"/>
      <c r="C339" s="593" t="s">
        <v>70</v>
      </c>
      <c r="D339" s="594"/>
      <c r="E339" s="31"/>
      <c r="F339" s="397" t="s">
        <v>71</v>
      </c>
      <c r="G339" s="495"/>
      <c r="H339" s="208"/>
      <c r="I339" s="500">
        <f>'2010 Existing RatesPW'!C9</f>
        <v>10.65</v>
      </c>
      <c r="J339" s="207"/>
      <c r="K339" s="208"/>
      <c r="L339" s="212">
        <f>'Rate Schedule (Part 1) PW'!$E$12</f>
        <v>16.55</v>
      </c>
      <c r="M339" s="504">
        <f aca="true" t="shared" si="26" ref="M339:M345">+L339-I339</f>
        <v>5.9</v>
      </c>
      <c r="N339" s="222">
        <f aca="true" t="shared" si="27" ref="N339:N357">+M339/I339</f>
        <v>0.5539906103286385</v>
      </c>
      <c r="O339" s="223">
        <f>L339/L357</f>
        <v>0.07809846162716913</v>
      </c>
      <c r="P339" s="165"/>
    </row>
    <row r="340" spans="2:16" ht="18" customHeight="1" thickBot="1">
      <c r="B340" s="172"/>
      <c r="C340" s="170">
        <v>1500</v>
      </c>
      <c r="D340" s="171" t="s">
        <v>16</v>
      </c>
      <c r="E340" s="31"/>
      <c r="F340" s="398" t="s">
        <v>72</v>
      </c>
      <c r="G340" s="396">
        <f>+C340</f>
        <v>1500</v>
      </c>
      <c r="H340" s="196">
        <f>'2010 Existing RatesPW'!B73</f>
        <v>0.0134</v>
      </c>
      <c r="I340" s="501">
        <f>+G340*H340</f>
        <v>20.1</v>
      </c>
      <c r="J340" s="201">
        <f>+C340</f>
        <v>1500</v>
      </c>
      <c r="K340" s="195">
        <f>'Rate Schedule (Part 1) PW'!$E$13</f>
        <v>0.0167</v>
      </c>
      <c r="L340" s="214">
        <f>+J340*K340</f>
        <v>25.05</v>
      </c>
      <c r="M340" s="489">
        <f t="shared" si="26"/>
        <v>4.949999999999999</v>
      </c>
      <c r="N340" s="218">
        <f t="shared" si="27"/>
        <v>0.24626865671641784</v>
      </c>
      <c r="O340" s="225">
        <f>L340/L357</f>
        <v>0.11820945400366083</v>
      </c>
      <c r="P340" s="165"/>
    </row>
    <row r="341" spans="2:16" ht="18" customHeight="1">
      <c r="B341" s="172"/>
      <c r="C341" s="63"/>
      <c r="D341" s="64"/>
      <c r="E341" s="31"/>
      <c r="F341" s="398" t="s">
        <v>246</v>
      </c>
      <c r="G341" s="396">
        <f>G340</f>
        <v>1500</v>
      </c>
      <c r="H341" s="196">
        <f>'2010 Existing RatesPW'!B48</f>
        <v>0.0022</v>
      </c>
      <c r="I341" s="501">
        <f>+G341*H341</f>
        <v>3.3000000000000003</v>
      </c>
      <c r="J341" s="201">
        <f>J340</f>
        <v>1500</v>
      </c>
      <c r="K341" s="195">
        <f>'Rate Schedule (Part 1) PW'!$E$14</f>
        <v>0.0003</v>
      </c>
      <c r="L341" s="214">
        <f>+J341*K341</f>
        <v>0.44999999999999996</v>
      </c>
      <c r="M341" s="489">
        <f t="shared" si="26"/>
        <v>-2.8500000000000005</v>
      </c>
      <c r="N341" s="218">
        <f t="shared" si="27"/>
        <v>-0.8636363636363638</v>
      </c>
      <c r="O341" s="225">
        <f>L341/L357</f>
        <v>0.002123523125814266</v>
      </c>
      <c r="P341" s="165"/>
    </row>
    <row r="342" spans="2:16" ht="18" customHeight="1">
      <c r="B342" s="172"/>
      <c r="C342" s="63"/>
      <c r="D342" s="64"/>
      <c r="E342" s="31"/>
      <c r="F342" s="398" t="s">
        <v>170</v>
      </c>
      <c r="G342" s="496"/>
      <c r="H342" s="219"/>
      <c r="I342" s="501">
        <f>'2010 Existing RatesNF'!$B$57</f>
        <v>1</v>
      </c>
      <c r="J342" s="220"/>
      <c r="K342" s="219"/>
      <c r="L342" s="214">
        <f>'Rate Schedule (Part 1) PW'!$E$16</f>
        <v>1</v>
      </c>
      <c r="M342" s="489">
        <f t="shared" si="26"/>
        <v>0</v>
      </c>
      <c r="N342" s="218">
        <f t="shared" si="27"/>
        <v>0</v>
      </c>
      <c r="O342" s="225">
        <f>L342/L357</f>
        <v>0.004718940279587258</v>
      </c>
      <c r="P342" s="165"/>
    </row>
    <row r="343" spans="1:16" ht="18" customHeight="1">
      <c r="A343" s="165"/>
      <c r="B343" s="25"/>
      <c r="C343" s="31"/>
      <c r="D343" s="31"/>
      <c r="E343" s="31"/>
      <c r="F343" s="398" t="s">
        <v>162</v>
      </c>
      <c r="G343" s="396">
        <f>C340</f>
        <v>1500</v>
      </c>
      <c r="H343" s="196"/>
      <c r="I343" s="502">
        <f>+G343*H343</f>
        <v>0</v>
      </c>
      <c r="J343" s="201">
        <f>C340</f>
        <v>1500</v>
      </c>
      <c r="K343" s="195">
        <f>'Rate Schedule (Part 1) PW'!$E$15</f>
        <v>0</v>
      </c>
      <c r="L343" s="214">
        <f>J343*K343</f>
        <v>0</v>
      </c>
      <c r="M343" s="489">
        <f t="shared" si="26"/>
        <v>0</v>
      </c>
      <c r="N343" s="218" t="e">
        <f t="shared" si="27"/>
        <v>#DIV/0!</v>
      </c>
      <c r="O343" s="225">
        <f>L343/L357</f>
        <v>0</v>
      </c>
      <c r="P343" s="165"/>
    </row>
    <row r="344" spans="2:16" ht="25.5" customHeight="1">
      <c r="B344" s="172"/>
      <c r="C344" s="31"/>
      <c r="D344" s="31"/>
      <c r="E344" s="31"/>
      <c r="F344" s="398" t="s">
        <v>286</v>
      </c>
      <c r="G344" s="497">
        <f>+C340</f>
        <v>1500</v>
      </c>
      <c r="H344" s="196">
        <f>'2010 Existing RatesPW'!B22</f>
        <v>-0.0064</v>
      </c>
      <c r="I344" s="501">
        <f>+G344*H344</f>
        <v>-9.6</v>
      </c>
      <c r="J344" s="505">
        <f>+C340</f>
        <v>1500</v>
      </c>
      <c r="K344" s="196">
        <f>'Rate Schedule (Part 1) PW'!$E$18</f>
        <v>-0.0064</v>
      </c>
      <c r="L344" s="214">
        <f>+J344*K344</f>
        <v>-9.6</v>
      </c>
      <c r="M344" s="489">
        <f t="shared" si="26"/>
        <v>0</v>
      </c>
      <c r="N344" s="218">
        <f t="shared" si="27"/>
        <v>0</v>
      </c>
      <c r="O344" s="225">
        <f>L344/L357</f>
        <v>-0.04530182668403768</v>
      </c>
      <c r="P344" s="165"/>
    </row>
    <row r="345" spans="2:16" ht="27.75" customHeight="1">
      <c r="B345" s="172"/>
      <c r="C345" s="31"/>
      <c r="D345" s="31"/>
      <c r="E345" s="31"/>
      <c r="F345" s="398" t="s">
        <v>294</v>
      </c>
      <c r="G345" s="498">
        <f>C340</f>
        <v>1500</v>
      </c>
      <c r="H345" s="488"/>
      <c r="I345" s="503">
        <f>+G345*H345</f>
        <v>0</v>
      </c>
      <c r="J345" s="372">
        <f>C340</f>
        <v>1500</v>
      </c>
      <c r="K345" s="488">
        <f>'Rate Schedule (Part 1) PW'!E20</f>
        <v>0.0001</v>
      </c>
      <c r="L345" s="229">
        <f>+J345*K345</f>
        <v>0.15</v>
      </c>
      <c r="M345" s="489">
        <f t="shared" si="26"/>
        <v>0.15</v>
      </c>
      <c r="N345" s="218" t="e">
        <f>+M345/I345</f>
        <v>#DIV/0!</v>
      </c>
      <c r="O345" s="225">
        <f>L345/L357</f>
        <v>0.0007078410419380887</v>
      </c>
      <c r="P345" s="165"/>
    </row>
    <row r="346" spans="2:16" ht="26.25" customHeight="1">
      <c r="B346" s="172"/>
      <c r="C346" s="63"/>
      <c r="D346" s="64"/>
      <c r="E346" s="31"/>
      <c r="F346" s="398" t="s">
        <v>316</v>
      </c>
      <c r="G346" s="396">
        <f>C340</f>
        <v>1500</v>
      </c>
      <c r="H346" s="196">
        <f>'2010 Existing RatesPW'!B35</f>
        <v>0.0007</v>
      </c>
      <c r="I346" s="502">
        <f>+G346*H346</f>
        <v>1.05</v>
      </c>
      <c r="J346" s="201">
        <f>C340</f>
        <v>1500</v>
      </c>
      <c r="K346" s="195">
        <f>'Rate Schedule (Part 1) PW'!E17</f>
        <v>0.0007</v>
      </c>
      <c r="L346" s="214">
        <f>+J346*K346</f>
        <v>1.05</v>
      </c>
      <c r="M346" s="489">
        <f>+L346-I346</f>
        <v>0</v>
      </c>
      <c r="N346" s="218">
        <f>+M346/I346</f>
        <v>0</v>
      </c>
      <c r="O346" s="225">
        <f>L346/L357</f>
        <v>0.004954887293566621</v>
      </c>
      <c r="P346" s="165"/>
    </row>
    <row r="347" spans="2:16" ht="27.75" customHeight="1" thickBot="1">
      <c r="B347" s="172"/>
      <c r="C347" s="31"/>
      <c r="D347" s="31"/>
      <c r="E347" s="31"/>
      <c r="F347" s="499" t="s">
        <v>317</v>
      </c>
      <c r="G347" s="498">
        <f>C340</f>
        <v>1500</v>
      </c>
      <c r="H347" s="488"/>
      <c r="I347" s="502">
        <f>+G347*H347</f>
        <v>0</v>
      </c>
      <c r="J347" s="506">
        <f>C340</f>
        <v>1500</v>
      </c>
      <c r="K347" s="507">
        <f>'Rate Schedule (Part 1) PW'!E19</f>
        <v>0.0016</v>
      </c>
      <c r="L347" s="509">
        <f>+J347*K347</f>
        <v>2.4</v>
      </c>
      <c r="M347" s="489">
        <f>+L347-I347</f>
        <v>2.4</v>
      </c>
      <c r="N347" s="218" t="e">
        <f>+M347/I347</f>
        <v>#DIV/0!</v>
      </c>
      <c r="O347" s="225">
        <f>L347/L357</f>
        <v>0.01132545667100942</v>
      </c>
      <c r="P347" s="165"/>
    </row>
    <row r="348" spans="1:16" ht="18" customHeight="1" thickBot="1">
      <c r="A348" s="165"/>
      <c r="F348" s="233" t="s">
        <v>247</v>
      </c>
      <c r="G348" s="586"/>
      <c r="H348" s="587"/>
      <c r="I348" s="235">
        <f>SUM(I339:I347)</f>
        <v>26.499999999999996</v>
      </c>
      <c r="J348" s="586"/>
      <c r="K348" s="587"/>
      <c r="L348" s="235">
        <f>SUM(L339:L347)</f>
        <v>37.05</v>
      </c>
      <c r="M348" s="237">
        <f>SUM(M339:M347)</f>
        <v>10.549999999999999</v>
      </c>
      <c r="N348" s="238">
        <f t="shared" si="27"/>
        <v>0.39811320754716983</v>
      </c>
      <c r="O348" s="240">
        <f>L348/L357</f>
        <v>0.1748367373587079</v>
      </c>
      <c r="P348" s="385"/>
    </row>
    <row r="349" spans="1:16" ht="18" customHeight="1" thickBot="1">
      <c r="A349" s="165"/>
      <c r="F349" s="199" t="s">
        <v>248</v>
      </c>
      <c r="G349" s="372">
        <f>C340*'Other Electriciy Rates PW'!$M$10</f>
        <v>1590.15</v>
      </c>
      <c r="H349" s="373">
        <f>'Other Electriciy Rates PW'!$B$10</f>
        <v>0.0103</v>
      </c>
      <c r="I349" s="210">
        <f>+G349*H349</f>
        <v>16.378545000000003</v>
      </c>
      <c r="J349" s="372">
        <f>'BILL IMPACTS PW'!C340*'Other Electriciy Rates PW'!$M$24</f>
        <v>1583.9854126393047</v>
      </c>
      <c r="K349" s="494">
        <f>'Other Electriciy Rates PW'!$B$24</f>
        <v>0.010132682166659615</v>
      </c>
      <c r="L349" s="210">
        <f>+J349*K349</f>
        <v>16.050020742899257</v>
      </c>
      <c r="M349" s="374">
        <f>+L349-I349</f>
        <v>-0.32852425710074584</v>
      </c>
      <c r="N349" s="222">
        <f t="shared" si="27"/>
        <v>-0.020058207679665426</v>
      </c>
      <c r="O349" s="223">
        <f>L349/L357</f>
        <v>0.07573908937187832</v>
      </c>
      <c r="P349" s="385"/>
    </row>
    <row r="350" spans="1:16" ht="18" customHeight="1" thickBot="1">
      <c r="A350" s="165"/>
      <c r="F350" s="233" t="s">
        <v>249</v>
      </c>
      <c r="G350" s="586"/>
      <c r="H350" s="587"/>
      <c r="I350" s="235">
        <f>SUM(I348:I349)</f>
        <v>42.878545</v>
      </c>
      <c r="J350" s="586"/>
      <c r="K350" s="587"/>
      <c r="L350" s="235">
        <f>SUM(L348:L349)</f>
        <v>53.100020742899254</v>
      </c>
      <c r="M350" s="237">
        <f>SUM(M348:M349)</f>
        <v>10.221475742899253</v>
      </c>
      <c r="N350" s="238">
        <f t="shared" si="27"/>
        <v>0.2383820566415967</v>
      </c>
      <c r="O350" s="375">
        <f>L350/L357</f>
        <v>0.2505758267305862</v>
      </c>
      <c r="P350" s="385"/>
    </row>
    <row r="351" spans="1:16" ht="18" customHeight="1">
      <c r="A351" s="165"/>
      <c r="F351" s="200" t="s">
        <v>77</v>
      </c>
      <c r="G351" s="202">
        <f>+'Other Electriciy Rates PW'!$M$10*C340</f>
        <v>1590.15</v>
      </c>
      <c r="H351" s="203">
        <f>'Other Electriciy Rates PW'!$C$10+'Other Electriciy Rates PW'!$E$10+'Other Electriciy Rates PW'!D10</f>
        <v>0.0138725</v>
      </c>
      <c r="I351" s="204">
        <f>+G351*H351</f>
        <v>22.059355875</v>
      </c>
      <c r="J351" s="202">
        <f>J349</f>
        <v>1583.9854126393047</v>
      </c>
      <c r="K351" s="203">
        <f>'Other Electriciy Rates PW'!$C$24+'Other Electriciy Rates PW'!$E$24+'Other Electriciy Rates PW'!D24</f>
        <v>0.0135</v>
      </c>
      <c r="L351" s="229">
        <f>+J351*K351</f>
        <v>21.383803070630613</v>
      </c>
      <c r="M351" s="230">
        <f>+L351-I351</f>
        <v>-0.6755528043693886</v>
      </c>
      <c r="N351" s="231">
        <f t="shared" si="27"/>
        <v>-0.030624321407997073</v>
      </c>
      <c r="O351" s="301">
        <f>L351/L357</f>
        <v>0.10090888964076049</v>
      </c>
      <c r="P351" s="385"/>
    </row>
    <row r="352" spans="2:16" ht="21.75" customHeight="1">
      <c r="B352" s="172"/>
      <c r="C352" s="31"/>
      <c r="D352" s="31"/>
      <c r="E352" s="31"/>
      <c r="F352" s="200" t="s">
        <v>321</v>
      </c>
      <c r="G352" s="220"/>
      <c r="H352" s="219"/>
      <c r="I352" s="210">
        <v>0.25</v>
      </c>
      <c r="J352" s="220"/>
      <c r="K352" s="219"/>
      <c r="L352" s="214">
        <v>0.25</v>
      </c>
      <c r="M352" s="513">
        <f>+L352-I352</f>
        <v>0</v>
      </c>
      <c r="N352" s="231">
        <f t="shared" si="27"/>
        <v>0</v>
      </c>
      <c r="O352" s="225">
        <f>L352/L357</f>
        <v>0.0011797350698968146</v>
      </c>
      <c r="P352" s="165"/>
    </row>
    <row r="353" spans="1:16" ht="18" customHeight="1">
      <c r="A353" s="165"/>
      <c r="B353" s="25"/>
      <c r="C353" s="31"/>
      <c r="D353" s="31"/>
      <c r="E353" s="31"/>
      <c r="F353" s="197" t="s">
        <v>78</v>
      </c>
      <c r="G353" s="202">
        <v>600</v>
      </c>
      <c r="H353" s="203">
        <f>'Other Electriciy Rates PW'!$K$11</f>
        <v>0.065</v>
      </c>
      <c r="I353" s="204">
        <f>+G353*H353</f>
        <v>39</v>
      </c>
      <c r="J353" s="202">
        <v>600</v>
      </c>
      <c r="K353" s="203">
        <f>'Other Electriciy Rates PW'!$K$24</f>
        <v>0.065</v>
      </c>
      <c r="L353" s="229">
        <f>+J353*K353</f>
        <v>39</v>
      </c>
      <c r="M353" s="230">
        <f>+L353-I353</f>
        <v>0</v>
      </c>
      <c r="N353" s="231">
        <f t="shared" si="27"/>
        <v>0</v>
      </c>
      <c r="O353" s="232">
        <f>L353/L357</f>
        <v>0.18403867090390308</v>
      </c>
      <c r="P353" s="385"/>
    </row>
    <row r="354" spans="2:16" ht="18" customHeight="1" thickBot="1">
      <c r="B354" s="172"/>
      <c r="C354" s="31"/>
      <c r="D354" s="31"/>
      <c r="E354" s="31"/>
      <c r="F354" s="197" t="s">
        <v>78</v>
      </c>
      <c r="G354" s="202">
        <f>G351-G353</f>
        <v>990.1500000000001</v>
      </c>
      <c r="H354" s="203">
        <f>'Other Electriciy Rates PW'!$L$10</f>
        <v>0.075</v>
      </c>
      <c r="I354" s="204">
        <f>+G354*H354</f>
        <v>74.26125</v>
      </c>
      <c r="J354" s="202">
        <f>J351-J353</f>
        <v>983.9854126393047</v>
      </c>
      <c r="K354" s="203">
        <f>'Other Electriciy Rates PW'!$L$24</f>
        <v>0.075</v>
      </c>
      <c r="L354" s="229">
        <f>+J354*K354</f>
        <v>73.79890594794786</v>
      </c>
      <c r="M354" s="230">
        <f>+L354-I354</f>
        <v>-0.46234405205214557</v>
      </c>
      <c r="N354" s="231">
        <f t="shared" si="27"/>
        <v>-0.0062259125998033365</v>
      </c>
      <c r="O354" s="232">
        <f>L354/L357</f>
        <v>0.3482526298672428</v>
      </c>
      <c r="P354" s="165"/>
    </row>
    <row r="355" spans="2:16" ht="18" customHeight="1" thickBot="1">
      <c r="B355" s="172"/>
      <c r="C355" s="31"/>
      <c r="D355" s="31"/>
      <c r="E355" s="31"/>
      <c r="F355" s="233" t="s">
        <v>195</v>
      </c>
      <c r="G355" s="586"/>
      <c r="H355" s="587"/>
      <c r="I355" s="235">
        <f>SUM(I350:I354)</f>
        <v>178.449150875</v>
      </c>
      <c r="J355" s="586"/>
      <c r="K355" s="587"/>
      <c r="L355" s="235">
        <f>SUM(L350:L354)</f>
        <v>187.53272976147773</v>
      </c>
      <c r="M355" s="235">
        <f>SUM(M350:M354)</f>
        <v>9.083578886477719</v>
      </c>
      <c r="N355" s="238">
        <f t="shared" si="27"/>
        <v>0.05090289778313701</v>
      </c>
      <c r="O355" s="375">
        <f>L355/L357</f>
        <v>0.8849557522123894</v>
      </c>
      <c r="P355" s="165"/>
    </row>
    <row r="356" spans="2:16" ht="18" customHeight="1" thickBot="1">
      <c r="B356" s="172"/>
      <c r="C356" s="31"/>
      <c r="D356" s="31"/>
      <c r="E356" s="31"/>
      <c r="F356" s="297" t="s">
        <v>274</v>
      </c>
      <c r="G356" s="298"/>
      <c r="H356" s="302">
        <v>0.13</v>
      </c>
      <c r="I356" s="299">
        <f>I355*H356</f>
        <v>23.19838961375</v>
      </c>
      <c r="J356" s="298"/>
      <c r="K356" s="302">
        <v>0.13</v>
      </c>
      <c r="L356" s="300">
        <f>L355*K356</f>
        <v>24.379254868992106</v>
      </c>
      <c r="M356" s="227">
        <f>+L356-I356</f>
        <v>1.1808652552421073</v>
      </c>
      <c r="N356" s="228">
        <f t="shared" si="27"/>
        <v>0.050902897783137176</v>
      </c>
      <c r="O356" s="241">
        <f>L356/L357</f>
        <v>0.11504424778761063</v>
      </c>
      <c r="P356" s="165"/>
    </row>
    <row r="357" spans="2:16" ht="18" customHeight="1" thickBot="1">
      <c r="B357" s="172"/>
      <c r="C357" s="31"/>
      <c r="D357" s="31"/>
      <c r="E357" s="35"/>
      <c r="F357" s="234" t="s">
        <v>79</v>
      </c>
      <c r="G357" s="598"/>
      <c r="H357" s="599"/>
      <c r="I357" s="236">
        <f>SUM(I355:I356)</f>
        <v>201.64754048875</v>
      </c>
      <c r="J357" s="598"/>
      <c r="K357" s="599"/>
      <c r="L357" s="236">
        <f>SUM(L355:L356)</f>
        <v>211.91198463046982</v>
      </c>
      <c r="M357" s="236">
        <f>SUM(M355:M356)</f>
        <v>10.264444141719826</v>
      </c>
      <c r="N357" s="238">
        <f t="shared" si="27"/>
        <v>0.05090289778313703</v>
      </c>
      <c r="O357" s="240">
        <f>SUM(O355:O356)</f>
        <v>1</v>
      </c>
      <c r="P357" s="165"/>
    </row>
    <row r="358" spans="2:16" ht="18" customHeight="1" thickBot="1">
      <c r="B358" s="166"/>
      <c r="C358" s="178"/>
      <c r="D358" s="178"/>
      <c r="E358" s="178"/>
      <c r="F358" s="179"/>
      <c r="G358" s="180"/>
      <c r="H358" s="181"/>
      <c r="I358" s="182"/>
      <c r="J358" s="180"/>
      <c r="K358" s="183"/>
      <c r="L358" s="182"/>
      <c r="M358" s="187"/>
      <c r="N358" s="185"/>
      <c r="O358" s="186"/>
      <c r="P358" s="167"/>
    </row>
    <row r="359" spans="2:16" ht="18" customHeight="1" thickBot="1">
      <c r="B359" s="25"/>
      <c r="C359" s="31"/>
      <c r="D359" s="31"/>
      <c r="E359" s="31"/>
      <c r="F359" s="49"/>
      <c r="G359" s="50"/>
      <c r="H359" s="51"/>
      <c r="I359" s="52"/>
      <c r="J359" s="50"/>
      <c r="K359" s="53"/>
      <c r="L359" s="52"/>
      <c r="M359" s="177"/>
      <c r="N359" s="175"/>
      <c r="O359" s="176"/>
      <c r="P359" s="25"/>
    </row>
    <row r="360" spans="2:16" ht="18" customHeight="1">
      <c r="B360" s="174"/>
      <c r="C360" s="592"/>
      <c r="D360" s="592"/>
      <c r="E360" s="592"/>
      <c r="F360" s="592"/>
      <c r="G360" s="592"/>
      <c r="H360" s="592"/>
      <c r="I360" s="592"/>
      <c r="J360" s="592"/>
      <c r="K360" s="592"/>
      <c r="L360" s="592"/>
      <c r="M360" s="592"/>
      <c r="N360" s="592"/>
      <c r="O360" s="592"/>
      <c r="P360" s="164"/>
    </row>
    <row r="361" spans="2:16" ht="23.25">
      <c r="B361" s="172"/>
      <c r="C361" s="591" t="s">
        <v>310</v>
      </c>
      <c r="D361" s="591"/>
      <c r="E361" s="591"/>
      <c r="F361" s="591"/>
      <c r="G361" s="591"/>
      <c r="H361" s="591"/>
      <c r="I361" s="591"/>
      <c r="J361" s="591"/>
      <c r="K361" s="591"/>
      <c r="L361" s="591"/>
      <c r="M361" s="591"/>
      <c r="N361" s="591"/>
      <c r="O361" s="591"/>
      <c r="P361" s="165"/>
    </row>
    <row r="362" spans="2:16" ht="18" customHeight="1" thickBot="1">
      <c r="B362" s="172"/>
      <c r="C362" s="590"/>
      <c r="D362" s="590"/>
      <c r="E362" s="590"/>
      <c r="F362" s="590"/>
      <c r="G362" s="590"/>
      <c r="H362" s="590"/>
      <c r="I362" s="590"/>
      <c r="J362" s="590"/>
      <c r="K362" s="590"/>
      <c r="L362" s="590"/>
      <c r="M362" s="590"/>
      <c r="N362" s="590"/>
      <c r="O362" s="590"/>
      <c r="P362" s="165"/>
    </row>
    <row r="363" spans="2:16" ht="18" customHeight="1" thickBot="1">
      <c r="B363" s="172"/>
      <c r="C363" s="173"/>
      <c r="D363" s="173"/>
      <c r="E363" s="31"/>
      <c r="F363" s="37"/>
      <c r="G363" s="595" t="str">
        <f>$G$10</f>
        <v>2010 BILL</v>
      </c>
      <c r="H363" s="596"/>
      <c r="I363" s="597"/>
      <c r="J363" s="595" t="str">
        <f>$J$10</f>
        <v>2011 BILL</v>
      </c>
      <c r="K363" s="596"/>
      <c r="L363" s="597"/>
      <c r="M363" s="595" t="s">
        <v>73</v>
      </c>
      <c r="N363" s="596"/>
      <c r="O363" s="597"/>
      <c r="P363" s="165"/>
    </row>
    <row r="364" spans="2:16" ht="26.25" thickBot="1">
      <c r="B364" s="172"/>
      <c r="C364" s="31"/>
      <c r="D364" s="31"/>
      <c r="E364" s="33"/>
      <c r="F364" s="38"/>
      <c r="G364" s="188" t="s">
        <v>67</v>
      </c>
      <c r="H364" s="189" t="s">
        <v>68</v>
      </c>
      <c r="I364" s="190" t="s">
        <v>69</v>
      </c>
      <c r="J364" s="191" t="s">
        <v>67</v>
      </c>
      <c r="K364" s="189" t="s">
        <v>68</v>
      </c>
      <c r="L364" s="190" t="s">
        <v>69</v>
      </c>
      <c r="M364" s="192" t="s">
        <v>80</v>
      </c>
      <c r="N364" s="193" t="s">
        <v>81</v>
      </c>
      <c r="O364" s="194" t="s">
        <v>76</v>
      </c>
      <c r="P364" s="165"/>
    </row>
    <row r="365" spans="2:16" ht="18" customHeight="1" thickBot="1">
      <c r="B365" s="172"/>
      <c r="C365" s="593" t="s">
        <v>70</v>
      </c>
      <c r="D365" s="594"/>
      <c r="E365" s="31"/>
      <c r="F365" s="397" t="s">
        <v>71</v>
      </c>
      <c r="G365" s="495"/>
      <c r="H365" s="208"/>
      <c r="I365" s="500">
        <f>'2010 Existing RatesPW'!C10</f>
        <v>10.35</v>
      </c>
      <c r="J365" s="207"/>
      <c r="K365" s="208"/>
      <c r="L365" s="212">
        <f>'Rate Schedule (Part 1) PW'!$E$23</f>
        <v>38.45</v>
      </c>
      <c r="M365" s="504">
        <f aca="true" t="shared" si="28" ref="M365:M371">+L365-I365</f>
        <v>28.1</v>
      </c>
      <c r="N365" s="222">
        <f aca="true" t="shared" si="29" ref="N365:N383">+M365/I365</f>
        <v>2.714975845410628</v>
      </c>
      <c r="O365" s="223">
        <f>L365/L383</f>
        <v>0.13183359616623286</v>
      </c>
      <c r="P365" s="165"/>
    </row>
    <row r="366" spans="2:16" ht="18" customHeight="1" thickBot="1">
      <c r="B366" s="172"/>
      <c r="C366" s="170">
        <v>2000</v>
      </c>
      <c r="D366" s="171" t="s">
        <v>16</v>
      </c>
      <c r="E366" s="31"/>
      <c r="F366" s="398" t="s">
        <v>72</v>
      </c>
      <c r="G366" s="396">
        <f>+C366</f>
        <v>2000</v>
      </c>
      <c r="H366" s="196">
        <f>'2010 Existing RatesPW'!B74</f>
        <v>0.0176</v>
      </c>
      <c r="I366" s="501">
        <f>+G366*H366</f>
        <v>35.2</v>
      </c>
      <c r="J366" s="201">
        <f>+C366</f>
        <v>2000</v>
      </c>
      <c r="K366" s="195">
        <f>'Rate Schedule (Part 1) PW'!$E$24</f>
        <v>0.0141</v>
      </c>
      <c r="L366" s="214">
        <f>+J366*K366</f>
        <v>28.2</v>
      </c>
      <c r="M366" s="489">
        <f t="shared" si="28"/>
        <v>-7.0000000000000036</v>
      </c>
      <c r="N366" s="218">
        <f t="shared" si="29"/>
        <v>-0.19886363636363644</v>
      </c>
      <c r="O366" s="225">
        <f>L366/L383</f>
        <v>0.09668939952894061</v>
      </c>
      <c r="P366" s="165"/>
    </row>
    <row r="367" spans="2:16" ht="18" customHeight="1">
      <c r="B367" s="172"/>
      <c r="C367" s="63"/>
      <c r="D367" s="64"/>
      <c r="E367" s="31"/>
      <c r="F367" s="398" t="s">
        <v>246</v>
      </c>
      <c r="G367" s="396">
        <f>G366</f>
        <v>2000</v>
      </c>
      <c r="H367" s="196">
        <f>'2010 Existing RatesPW'!B49</f>
        <v>0.0018</v>
      </c>
      <c r="I367" s="501">
        <f>+G367*H367</f>
        <v>3.6</v>
      </c>
      <c r="J367" s="201">
        <f>J366</f>
        <v>2000</v>
      </c>
      <c r="K367" s="195">
        <f>'Rate Schedule (Part 1) PW'!$E$25</f>
        <v>0.0003</v>
      </c>
      <c r="L367" s="214">
        <f>+J367*K367</f>
        <v>0.6</v>
      </c>
      <c r="M367" s="489">
        <f t="shared" si="28"/>
        <v>-3</v>
      </c>
      <c r="N367" s="218">
        <f t="shared" si="29"/>
        <v>-0.8333333333333333</v>
      </c>
      <c r="O367" s="225">
        <f>L367/L383</f>
        <v>0.002057221266573204</v>
      </c>
      <c r="P367" s="165"/>
    </row>
    <row r="368" spans="2:16" ht="18" customHeight="1">
      <c r="B368" s="172"/>
      <c r="C368" s="63"/>
      <c r="D368" s="64"/>
      <c r="E368" s="31"/>
      <c r="F368" s="398" t="s">
        <v>170</v>
      </c>
      <c r="G368" s="496"/>
      <c r="H368" s="219"/>
      <c r="I368" s="501">
        <f>'2010 Existing RatesNF'!$B$58</f>
        <v>1</v>
      </c>
      <c r="J368" s="220"/>
      <c r="K368" s="219"/>
      <c r="L368" s="214">
        <f>'Rate Schedule (Part 1) PW'!$E$27</f>
        <v>1</v>
      </c>
      <c r="M368" s="489">
        <f t="shared" si="28"/>
        <v>0</v>
      </c>
      <c r="N368" s="218">
        <f t="shared" si="29"/>
        <v>0</v>
      </c>
      <c r="O368" s="225">
        <f>L368/L383</f>
        <v>0.003428702110955341</v>
      </c>
      <c r="P368" s="165"/>
    </row>
    <row r="369" spans="1:16" ht="18" customHeight="1">
      <c r="A369" s="165"/>
      <c r="B369" s="25"/>
      <c r="C369" s="31"/>
      <c r="D369" s="31"/>
      <c r="E369" s="31"/>
      <c r="F369" s="398" t="s">
        <v>162</v>
      </c>
      <c r="G369" s="396">
        <f>C366</f>
        <v>2000</v>
      </c>
      <c r="H369" s="196"/>
      <c r="I369" s="502">
        <f>+G369*H369</f>
        <v>0</v>
      </c>
      <c r="J369" s="201">
        <f>C366</f>
        <v>2000</v>
      </c>
      <c r="K369" s="195">
        <f>'Rate Schedule (Part 1) PW'!$E$26</f>
        <v>0</v>
      </c>
      <c r="L369" s="214">
        <f>J369*K369</f>
        <v>0</v>
      </c>
      <c r="M369" s="489">
        <f t="shared" si="28"/>
        <v>0</v>
      </c>
      <c r="N369" s="218" t="e">
        <f t="shared" si="29"/>
        <v>#DIV/0!</v>
      </c>
      <c r="O369" s="225">
        <f>L369/L383</f>
        <v>0</v>
      </c>
      <c r="P369" s="165"/>
    </row>
    <row r="370" spans="2:16" ht="25.5" customHeight="1">
      <c r="B370" s="172"/>
      <c r="C370" s="31"/>
      <c r="D370" s="31"/>
      <c r="E370" s="31"/>
      <c r="F370" s="398" t="s">
        <v>286</v>
      </c>
      <c r="G370" s="497">
        <f>+C366</f>
        <v>2000</v>
      </c>
      <c r="H370" s="196">
        <f>'2010 Existing RatesPW'!B23</f>
        <v>-0.0065</v>
      </c>
      <c r="I370" s="501">
        <f>+G370*H370</f>
        <v>-13</v>
      </c>
      <c r="J370" s="505">
        <f>+C366</f>
        <v>2000</v>
      </c>
      <c r="K370" s="196">
        <f>'Rate Schedule (Part 1) PW'!$E$29</f>
        <v>-0.0065</v>
      </c>
      <c r="L370" s="214">
        <f>+J370*K370</f>
        <v>-13</v>
      </c>
      <c r="M370" s="489">
        <f t="shared" si="28"/>
        <v>0</v>
      </c>
      <c r="N370" s="218">
        <f t="shared" si="29"/>
        <v>0</v>
      </c>
      <c r="O370" s="225">
        <f>L370/L383</f>
        <v>-0.04457312744241943</v>
      </c>
      <c r="P370" s="165"/>
    </row>
    <row r="371" spans="2:16" ht="27.75" customHeight="1">
      <c r="B371" s="172"/>
      <c r="C371" s="31"/>
      <c r="D371" s="31"/>
      <c r="E371" s="31"/>
      <c r="F371" s="398" t="s">
        <v>294</v>
      </c>
      <c r="G371" s="498">
        <f>C366</f>
        <v>2000</v>
      </c>
      <c r="H371" s="488"/>
      <c r="I371" s="503">
        <f>+G371*H371</f>
        <v>0</v>
      </c>
      <c r="J371" s="372">
        <f>C366</f>
        <v>2000</v>
      </c>
      <c r="K371" s="488">
        <f>'Rate Schedule (Part 1) PW'!E31</f>
        <v>-0.0013</v>
      </c>
      <c r="L371" s="229">
        <f>+J371*K371</f>
        <v>-2.6</v>
      </c>
      <c r="M371" s="489">
        <f t="shared" si="28"/>
        <v>-2.6</v>
      </c>
      <c r="N371" s="218" t="e">
        <f>+M371/I371</f>
        <v>#DIV/0!</v>
      </c>
      <c r="O371" s="225">
        <f>L371/L383</f>
        <v>-0.008914625488483886</v>
      </c>
      <c r="P371" s="165"/>
    </row>
    <row r="372" spans="2:16" ht="26.25" customHeight="1">
      <c r="B372" s="172"/>
      <c r="C372" s="63"/>
      <c r="D372" s="64"/>
      <c r="E372" s="31"/>
      <c r="F372" s="398" t="s">
        <v>316</v>
      </c>
      <c r="G372" s="396">
        <f>C366</f>
        <v>2000</v>
      </c>
      <c r="H372" s="196">
        <f>'2010 Existing RatesPW'!B36</f>
        <v>0.0007</v>
      </c>
      <c r="I372" s="502">
        <f>+G372*H372</f>
        <v>1.4</v>
      </c>
      <c r="J372" s="201">
        <f>C366</f>
        <v>2000</v>
      </c>
      <c r="K372" s="195">
        <f>'Rate Schedule (Part 1) PW'!E28</f>
        <v>0.0007</v>
      </c>
      <c r="L372" s="214">
        <f>+J372*K372</f>
        <v>1.4</v>
      </c>
      <c r="M372" s="489">
        <f>+L372-I372</f>
        <v>0</v>
      </c>
      <c r="N372" s="218">
        <f>+M372/I372</f>
        <v>0</v>
      </c>
      <c r="O372" s="225">
        <f>L372/L383</f>
        <v>0.004800182955337477</v>
      </c>
      <c r="P372" s="165"/>
    </row>
    <row r="373" spans="2:16" ht="27.75" customHeight="1" thickBot="1">
      <c r="B373" s="172"/>
      <c r="C373" s="31"/>
      <c r="D373" s="31"/>
      <c r="E373" s="31"/>
      <c r="F373" s="499" t="s">
        <v>317</v>
      </c>
      <c r="G373" s="498">
        <f>C366</f>
        <v>2000</v>
      </c>
      <c r="H373" s="488"/>
      <c r="I373" s="502">
        <f>+G373*H373</f>
        <v>0</v>
      </c>
      <c r="J373" s="506">
        <f>C366</f>
        <v>2000</v>
      </c>
      <c r="K373" s="507">
        <f>'Rate Schedule (Part 1) PW'!E30</f>
        <v>0.0019</v>
      </c>
      <c r="L373" s="509">
        <f>+J373*K373</f>
        <v>3.8</v>
      </c>
      <c r="M373" s="489">
        <f>+L373-I373</f>
        <v>3.8</v>
      </c>
      <c r="N373" s="218" t="e">
        <f>+M373/I373</f>
        <v>#DIV/0!</v>
      </c>
      <c r="O373" s="225">
        <f>L373/L383</f>
        <v>0.013029068021630294</v>
      </c>
      <c r="P373" s="165"/>
    </row>
    <row r="374" spans="1:16" ht="18" customHeight="1" thickBot="1">
      <c r="A374" s="165"/>
      <c r="F374" s="233" t="s">
        <v>247</v>
      </c>
      <c r="G374" s="586"/>
      <c r="H374" s="587"/>
      <c r="I374" s="235">
        <f>SUM(I365:I373)</f>
        <v>38.550000000000004</v>
      </c>
      <c r="J374" s="586"/>
      <c r="K374" s="587"/>
      <c r="L374" s="235">
        <f>SUM(L365:L373)</f>
        <v>57.849999999999994</v>
      </c>
      <c r="M374" s="237">
        <f>SUM(M365:M373)</f>
        <v>19.299999999999997</v>
      </c>
      <c r="N374" s="238">
        <f t="shared" si="29"/>
        <v>0.5006485084306095</v>
      </c>
      <c r="O374" s="240">
        <f>L374/L383</f>
        <v>0.19835041711876644</v>
      </c>
      <c r="P374" s="385"/>
    </row>
    <row r="375" spans="1:16" ht="18" customHeight="1" thickBot="1">
      <c r="A375" s="165"/>
      <c r="F375" s="199" t="s">
        <v>248</v>
      </c>
      <c r="G375" s="372">
        <f>C366*'Other Electriciy Rates PW'!$M$11</f>
        <v>2120.2000000000003</v>
      </c>
      <c r="H375" s="373">
        <f>'Other Electriciy Rates PW'!$B$11</f>
        <v>0.0092</v>
      </c>
      <c r="I375" s="210">
        <f>+G375*H375</f>
        <v>19.505840000000003</v>
      </c>
      <c r="J375" s="372">
        <f>'BILL IMPACTS PW'!C366*'Other Electriciy Rates PW'!$M$25</f>
        <v>2111.9805501857395</v>
      </c>
      <c r="K375" s="494">
        <f>'Other Electriciy Rates PW'!$B$25</f>
        <v>0.009039845539860984</v>
      </c>
      <c r="L375" s="210">
        <f>+J375*K375</f>
        <v>19.0919779568697</v>
      </c>
      <c r="M375" s="374">
        <f>+L375-I375</f>
        <v>-0.41386204313030106</v>
      </c>
      <c r="N375" s="222">
        <f t="shared" si="29"/>
        <v>-0.021217340198130458</v>
      </c>
      <c r="O375" s="223">
        <f>L375/L383</f>
        <v>0.06546070512303198</v>
      </c>
      <c r="P375" s="385"/>
    </row>
    <row r="376" spans="1:16" ht="18" customHeight="1" thickBot="1">
      <c r="A376" s="165"/>
      <c r="F376" s="233" t="s">
        <v>249</v>
      </c>
      <c r="G376" s="586"/>
      <c r="H376" s="587"/>
      <c r="I376" s="235">
        <f>SUM(I374:I375)</f>
        <v>58.05584</v>
      </c>
      <c r="J376" s="586"/>
      <c r="K376" s="587"/>
      <c r="L376" s="235">
        <f>SUM(L374:L375)</f>
        <v>76.94197795686969</v>
      </c>
      <c r="M376" s="237">
        <f>SUM(M374:M375)</f>
        <v>18.886137956869696</v>
      </c>
      <c r="N376" s="238">
        <f t="shared" si="29"/>
        <v>0.32530987333694067</v>
      </c>
      <c r="O376" s="375">
        <f>L376/L383</f>
        <v>0.2638111222417984</v>
      </c>
      <c r="P376" s="385"/>
    </row>
    <row r="377" spans="1:16" ht="18" customHeight="1">
      <c r="A377" s="165"/>
      <c r="F377" s="200" t="s">
        <v>77</v>
      </c>
      <c r="G377" s="202">
        <f>+'Other Electriciy Rates PW'!$M$10*C366</f>
        <v>2120.2000000000003</v>
      </c>
      <c r="H377" s="203">
        <f>'Other Electriciy Rates PW'!$C$11+'Other Electriciy Rates PW'!$E$11+'Other Electriciy Rates PW'!D11</f>
        <v>0.0138725</v>
      </c>
      <c r="I377" s="204">
        <f>+G377*H377</f>
        <v>29.412474500000002</v>
      </c>
      <c r="J377" s="202">
        <f>J375</f>
        <v>2111.9805501857395</v>
      </c>
      <c r="K377" s="203">
        <f>'Other Electriciy Rates PW'!$C$25+'Other Electriciy Rates PW'!$E$25+'Other Electriciy Rates PW'!D25</f>
        <v>0.0135</v>
      </c>
      <c r="L377" s="229">
        <f>+J377*K377</f>
        <v>28.511737427507484</v>
      </c>
      <c r="M377" s="230">
        <f>+L377-I377</f>
        <v>-0.9007370724925181</v>
      </c>
      <c r="N377" s="231">
        <f t="shared" si="29"/>
        <v>-0.030624321407997073</v>
      </c>
      <c r="O377" s="301">
        <f>L377/L383</f>
        <v>0.09775825430469931</v>
      </c>
      <c r="P377" s="385"/>
    </row>
    <row r="378" spans="2:16" ht="21.75" customHeight="1">
      <c r="B378" s="172"/>
      <c r="C378" s="31"/>
      <c r="D378" s="31"/>
      <c r="E378" s="31"/>
      <c r="F378" s="200" t="s">
        <v>321</v>
      </c>
      <c r="G378" s="220"/>
      <c r="H378" s="219"/>
      <c r="I378" s="210">
        <v>0.25</v>
      </c>
      <c r="J378" s="220"/>
      <c r="K378" s="219"/>
      <c r="L378" s="214">
        <v>0.25</v>
      </c>
      <c r="M378" s="513">
        <f>+L378-I378</f>
        <v>0</v>
      </c>
      <c r="N378" s="231">
        <f t="shared" si="29"/>
        <v>0</v>
      </c>
      <c r="O378" s="225">
        <f>L378/L383</f>
        <v>0.0008571755277388352</v>
      </c>
      <c r="P378" s="165"/>
    </row>
    <row r="379" spans="1:16" ht="18" customHeight="1">
      <c r="A379" s="165"/>
      <c r="B379" s="25"/>
      <c r="C379" s="31"/>
      <c r="D379" s="31"/>
      <c r="E379" s="31"/>
      <c r="F379" s="197" t="s">
        <v>78</v>
      </c>
      <c r="G379" s="202">
        <v>600</v>
      </c>
      <c r="H379" s="203">
        <f>'Other Electriciy Rates PW'!$K$11</f>
        <v>0.065</v>
      </c>
      <c r="I379" s="204">
        <f>+G379*H379</f>
        <v>39</v>
      </c>
      <c r="J379" s="202">
        <v>600</v>
      </c>
      <c r="K379" s="203">
        <f>'Other Electriciy Rates PW'!$K$25</f>
        <v>0.065</v>
      </c>
      <c r="L379" s="229">
        <f>+J379*K379</f>
        <v>39</v>
      </c>
      <c r="M379" s="230">
        <f>+L379-I379</f>
        <v>0</v>
      </c>
      <c r="N379" s="231">
        <f t="shared" si="29"/>
        <v>0</v>
      </c>
      <c r="O379" s="232">
        <f>L379/L383</f>
        <v>0.1337193823272583</v>
      </c>
      <c r="P379" s="385"/>
    </row>
    <row r="380" spans="2:16" ht="18" customHeight="1" thickBot="1">
      <c r="B380" s="172"/>
      <c r="C380" s="31"/>
      <c r="D380" s="31"/>
      <c r="E380" s="31"/>
      <c r="F380" s="197" t="s">
        <v>78</v>
      </c>
      <c r="G380" s="202">
        <f>G377-G379</f>
        <v>1520.2000000000003</v>
      </c>
      <c r="H380" s="203">
        <f>'Other Electriciy Rates PW'!$L$11</f>
        <v>0.075</v>
      </c>
      <c r="I380" s="204">
        <f>+G380*H380</f>
        <v>114.01500000000001</v>
      </c>
      <c r="J380" s="202">
        <f>J377-J379</f>
        <v>1511.9805501857395</v>
      </c>
      <c r="K380" s="203">
        <f>'Other Electriciy Rates PW'!$L$25</f>
        <v>0.075</v>
      </c>
      <c r="L380" s="229">
        <f>+J380*K380</f>
        <v>113.39854126393045</v>
      </c>
      <c r="M380" s="230">
        <f>+L380-I380</f>
        <v>-0.6164587360695606</v>
      </c>
      <c r="N380" s="231">
        <f t="shared" si="29"/>
        <v>-0.005406821348678336</v>
      </c>
      <c r="O380" s="232">
        <f>L380/L383</f>
        <v>0.3888098178108947</v>
      </c>
      <c r="P380" s="165"/>
    </row>
    <row r="381" spans="2:16" ht="18" customHeight="1" thickBot="1">
      <c r="B381" s="172"/>
      <c r="C381" s="31"/>
      <c r="D381" s="31"/>
      <c r="E381" s="31"/>
      <c r="F381" s="233" t="s">
        <v>195</v>
      </c>
      <c r="G381" s="586"/>
      <c r="H381" s="587"/>
      <c r="I381" s="235">
        <f>SUM(I376:I380)</f>
        <v>240.7333145</v>
      </c>
      <c r="J381" s="586"/>
      <c r="K381" s="587"/>
      <c r="L381" s="235">
        <f>SUM(L376:L380)</f>
        <v>258.1022566483076</v>
      </c>
      <c r="M381" s="386">
        <f>SUM(M376:M380)</f>
        <v>17.368942148307617</v>
      </c>
      <c r="N381" s="238">
        <f t="shared" si="29"/>
        <v>0.07215013918776754</v>
      </c>
      <c r="O381" s="375">
        <f>L381/L383</f>
        <v>0.8849557522123894</v>
      </c>
      <c r="P381" s="165"/>
    </row>
    <row r="382" spans="2:16" ht="18" customHeight="1" thickBot="1">
      <c r="B382" s="172"/>
      <c r="C382" s="31"/>
      <c r="D382" s="31"/>
      <c r="E382" s="31"/>
      <c r="F382" s="297" t="s">
        <v>274</v>
      </c>
      <c r="G382" s="298"/>
      <c r="H382" s="302">
        <v>0.13</v>
      </c>
      <c r="I382" s="299">
        <f>I381*H382</f>
        <v>31.295330885000002</v>
      </c>
      <c r="J382" s="298"/>
      <c r="K382" s="302">
        <v>0.13</v>
      </c>
      <c r="L382" s="300">
        <f>L381*K382</f>
        <v>33.553293364279995</v>
      </c>
      <c r="M382" s="227">
        <f>+L382-I382</f>
        <v>2.2579624792799926</v>
      </c>
      <c r="N382" s="228">
        <f t="shared" si="29"/>
        <v>0.07215013918776761</v>
      </c>
      <c r="O382" s="241">
        <f>L382/L383</f>
        <v>0.11504424778761065</v>
      </c>
      <c r="P382" s="165"/>
    </row>
    <row r="383" spans="2:16" ht="18" customHeight="1" thickBot="1">
      <c r="B383" s="172"/>
      <c r="C383" s="31"/>
      <c r="D383" s="31"/>
      <c r="E383" s="35"/>
      <c r="F383" s="234" t="s">
        <v>79</v>
      </c>
      <c r="G383" s="598"/>
      <c r="H383" s="599"/>
      <c r="I383" s="236">
        <f>SUM(I381:I382)</f>
        <v>272.028645385</v>
      </c>
      <c r="J383" s="598"/>
      <c r="K383" s="599"/>
      <c r="L383" s="236">
        <f>SUM(L381:L382)</f>
        <v>291.6555500125876</v>
      </c>
      <c r="M383" s="387">
        <f>SUM(M381:M382)</f>
        <v>19.62690462758761</v>
      </c>
      <c r="N383" s="238">
        <f t="shared" si="29"/>
        <v>0.07215013918776754</v>
      </c>
      <c r="O383" s="240">
        <f>SUM(O381:O382)</f>
        <v>1</v>
      </c>
      <c r="P383" s="165"/>
    </row>
    <row r="384" spans="2:16" ht="18" customHeight="1" thickBot="1">
      <c r="B384" s="166"/>
      <c r="C384" s="178"/>
      <c r="D384" s="178"/>
      <c r="E384" s="178"/>
      <c r="F384" s="179"/>
      <c r="G384" s="180"/>
      <c r="H384" s="181"/>
      <c r="I384" s="182"/>
      <c r="J384" s="180"/>
      <c r="K384" s="183"/>
      <c r="L384" s="182"/>
      <c r="M384" s="187"/>
      <c r="N384" s="185"/>
      <c r="O384" s="186"/>
      <c r="P384" s="167"/>
    </row>
    <row r="385" spans="2:16" ht="18" customHeight="1" thickBot="1">
      <c r="B385" s="25"/>
      <c r="C385" s="31"/>
      <c r="D385" s="31"/>
      <c r="E385" s="31"/>
      <c r="F385" s="49"/>
      <c r="G385" s="50"/>
      <c r="H385" s="51"/>
      <c r="I385" s="52"/>
      <c r="J385" s="50"/>
      <c r="K385" s="53"/>
      <c r="L385" s="52"/>
      <c r="M385" s="177"/>
      <c r="N385" s="175"/>
      <c r="O385" s="176"/>
      <c r="P385" s="25"/>
    </row>
    <row r="386" spans="2:16" ht="18" customHeight="1">
      <c r="B386" s="174"/>
      <c r="C386" s="592"/>
      <c r="D386" s="592"/>
      <c r="E386" s="592"/>
      <c r="F386" s="592"/>
      <c r="G386" s="592"/>
      <c r="H386" s="592"/>
      <c r="I386" s="592"/>
      <c r="J386" s="592"/>
      <c r="K386" s="592"/>
      <c r="L386" s="592"/>
      <c r="M386" s="592"/>
      <c r="N386" s="592"/>
      <c r="O386" s="592"/>
      <c r="P386" s="164"/>
    </row>
    <row r="387" spans="2:16" ht="23.25">
      <c r="B387" s="172"/>
      <c r="C387" s="591" t="s">
        <v>137</v>
      </c>
      <c r="D387" s="591"/>
      <c r="E387" s="591"/>
      <c r="F387" s="591"/>
      <c r="G387" s="591"/>
      <c r="H387" s="591"/>
      <c r="I387" s="591"/>
      <c r="J387" s="591"/>
      <c r="K387" s="591"/>
      <c r="L387" s="591"/>
      <c r="M387" s="591"/>
      <c r="N387" s="591"/>
      <c r="O387" s="591"/>
      <c r="P387" s="165"/>
    </row>
    <row r="388" spans="2:16" ht="18" customHeight="1" thickBot="1">
      <c r="B388" s="172"/>
      <c r="C388" s="590"/>
      <c r="D388" s="590"/>
      <c r="E388" s="590"/>
      <c r="F388" s="590"/>
      <c r="G388" s="590"/>
      <c r="H388" s="590"/>
      <c r="I388" s="590"/>
      <c r="J388" s="590"/>
      <c r="K388" s="590"/>
      <c r="L388" s="590"/>
      <c r="M388" s="590"/>
      <c r="N388" s="590"/>
      <c r="O388" s="590"/>
      <c r="P388" s="165"/>
    </row>
    <row r="389" spans="2:16" ht="18" customHeight="1" thickBot="1">
      <c r="B389" s="172"/>
      <c r="C389" s="173"/>
      <c r="D389" s="173"/>
      <c r="E389" s="31"/>
      <c r="F389" s="37"/>
      <c r="G389" s="595" t="str">
        <f>$G$10</f>
        <v>2010 BILL</v>
      </c>
      <c r="H389" s="596"/>
      <c r="I389" s="597"/>
      <c r="J389" s="595" t="str">
        <f>$J$10</f>
        <v>2011 BILL</v>
      </c>
      <c r="K389" s="596"/>
      <c r="L389" s="597"/>
      <c r="M389" s="595" t="s">
        <v>73</v>
      </c>
      <c r="N389" s="596"/>
      <c r="O389" s="597"/>
      <c r="P389" s="165"/>
    </row>
    <row r="390" spans="2:16" ht="26.25" thickBot="1">
      <c r="B390" s="172"/>
      <c r="C390" s="31"/>
      <c r="D390" s="31"/>
      <c r="E390" s="33"/>
      <c r="F390" s="38"/>
      <c r="G390" s="188" t="s">
        <v>67</v>
      </c>
      <c r="H390" s="189" t="s">
        <v>68</v>
      </c>
      <c r="I390" s="190" t="s">
        <v>69</v>
      </c>
      <c r="J390" s="191" t="s">
        <v>67</v>
      </c>
      <c r="K390" s="189" t="s">
        <v>68</v>
      </c>
      <c r="L390" s="190" t="s">
        <v>69</v>
      </c>
      <c r="M390" s="192" t="s">
        <v>80</v>
      </c>
      <c r="N390" s="193" t="s">
        <v>81</v>
      </c>
      <c r="O390" s="194" t="s">
        <v>76</v>
      </c>
      <c r="P390" s="165"/>
    </row>
    <row r="391" spans="2:16" ht="18" customHeight="1" thickBot="1">
      <c r="B391" s="172"/>
      <c r="C391" s="593" t="s">
        <v>70</v>
      </c>
      <c r="D391" s="594"/>
      <c r="E391" s="31"/>
      <c r="F391" s="397" t="s">
        <v>71</v>
      </c>
      <c r="G391" s="495"/>
      <c r="H391" s="208"/>
      <c r="I391" s="500">
        <f>'2010 Existing RatesPW'!C10</f>
        <v>10.35</v>
      </c>
      <c r="J391" s="207"/>
      <c r="K391" s="208"/>
      <c r="L391" s="212">
        <f>'Rate Schedule (Part 1) PW'!$E$23</f>
        <v>38.45</v>
      </c>
      <c r="M391" s="504">
        <f aca="true" t="shared" si="30" ref="M391:M397">+L391-I391</f>
        <v>28.1</v>
      </c>
      <c r="N391" s="222">
        <f aca="true" t="shared" si="31" ref="N391:N409">+M391/I391</f>
        <v>2.714975845410628</v>
      </c>
      <c r="O391" s="223">
        <f>L391/L409</f>
        <v>0.07052068474984163</v>
      </c>
      <c r="P391" s="165"/>
    </row>
    <row r="392" spans="2:16" ht="18" customHeight="1" thickBot="1">
      <c r="B392" s="172"/>
      <c r="C392" s="170">
        <v>4000</v>
      </c>
      <c r="D392" s="171" t="s">
        <v>16</v>
      </c>
      <c r="E392" s="31"/>
      <c r="F392" s="398" t="s">
        <v>72</v>
      </c>
      <c r="G392" s="396">
        <f>+C392</f>
        <v>4000</v>
      </c>
      <c r="H392" s="196">
        <f>'2010 Existing RatesPW'!B74</f>
        <v>0.0176</v>
      </c>
      <c r="I392" s="501">
        <f>+G392*H392</f>
        <v>70.4</v>
      </c>
      <c r="J392" s="201">
        <f>+C392</f>
        <v>4000</v>
      </c>
      <c r="K392" s="195">
        <f>'Rate Schedule (Part 1) PW'!$E$24</f>
        <v>0.0141</v>
      </c>
      <c r="L392" s="214">
        <f>+J392*K392</f>
        <v>56.4</v>
      </c>
      <c r="M392" s="489">
        <f t="shared" si="30"/>
        <v>-14.000000000000007</v>
      </c>
      <c r="N392" s="218">
        <f t="shared" si="31"/>
        <v>-0.19886363636363644</v>
      </c>
      <c r="O392" s="225">
        <f>L392/L409</f>
        <v>0.10344256488663374</v>
      </c>
      <c r="P392" s="165"/>
    </row>
    <row r="393" spans="2:16" ht="18" customHeight="1">
      <c r="B393" s="172"/>
      <c r="C393" s="63"/>
      <c r="D393" s="64"/>
      <c r="E393" s="31"/>
      <c r="F393" s="398" t="s">
        <v>246</v>
      </c>
      <c r="G393" s="396">
        <f>G392</f>
        <v>4000</v>
      </c>
      <c r="H393" s="196">
        <f>'2010 Existing RatesPW'!B49</f>
        <v>0.0018</v>
      </c>
      <c r="I393" s="501">
        <f>+G393*H393</f>
        <v>7.2</v>
      </c>
      <c r="J393" s="201">
        <f>J392</f>
        <v>4000</v>
      </c>
      <c r="K393" s="195">
        <f>'Rate Schedule (Part 1) PW'!$E$25</f>
        <v>0.0003</v>
      </c>
      <c r="L393" s="214">
        <f>+J393*K393</f>
        <v>1.2</v>
      </c>
      <c r="M393" s="489">
        <f t="shared" si="30"/>
        <v>-6</v>
      </c>
      <c r="N393" s="218">
        <f t="shared" si="31"/>
        <v>-0.8333333333333333</v>
      </c>
      <c r="O393" s="225">
        <f>L393/L409</f>
        <v>0.0022009056358858244</v>
      </c>
      <c r="P393" s="165"/>
    </row>
    <row r="394" spans="2:16" ht="18" customHeight="1">
      <c r="B394" s="172"/>
      <c r="C394" s="63"/>
      <c r="D394" s="64"/>
      <c r="E394" s="31"/>
      <c r="F394" s="398" t="s">
        <v>170</v>
      </c>
      <c r="G394" s="496"/>
      <c r="H394" s="219"/>
      <c r="I394" s="501">
        <f>'2010 Existing RatesNF'!$B$58</f>
        <v>1</v>
      </c>
      <c r="J394" s="220"/>
      <c r="K394" s="219"/>
      <c r="L394" s="214">
        <f>'Rate Schedule (Part 1) PW'!$E$27</f>
        <v>1</v>
      </c>
      <c r="M394" s="489">
        <f t="shared" si="30"/>
        <v>0</v>
      </c>
      <c r="N394" s="218">
        <f t="shared" si="31"/>
        <v>0</v>
      </c>
      <c r="O394" s="225">
        <f>L394/L409</f>
        <v>0.0018340880299048538</v>
      </c>
      <c r="P394" s="165"/>
    </row>
    <row r="395" spans="1:16" ht="18" customHeight="1">
      <c r="A395" s="165"/>
      <c r="B395" s="25"/>
      <c r="C395" s="31"/>
      <c r="D395" s="31"/>
      <c r="E395" s="31"/>
      <c r="F395" s="398" t="s">
        <v>162</v>
      </c>
      <c r="G395" s="396">
        <f>C392</f>
        <v>4000</v>
      </c>
      <c r="H395" s="196"/>
      <c r="I395" s="502">
        <f>+G395*H395</f>
        <v>0</v>
      </c>
      <c r="J395" s="201">
        <f>C392</f>
        <v>4000</v>
      </c>
      <c r="K395" s="195">
        <f>'Rate Schedule (Part 1) PW'!$E$26</f>
        <v>0</v>
      </c>
      <c r="L395" s="214">
        <f>J395*K395</f>
        <v>0</v>
      </c>
      <c r="M395" s="489">
        <f t="shared" si="30"/>
        <v>0</v>
      </c>
      <c r="N395" s="218" t="e">
        <f t="shared" si="31"/>
        <v>#DIV/0!</v>
      </c>
      <c r="O395" s="225">
        <f>L395/L409</f>
        <v>0</v>
      </c>
      <c r="P395" s="165"/>
    </row>
    <row r="396" spans="2:16" ht="25.5" customHeight="1">
      <c r="B396" s="172"/>
      <c r="C396" s="31"/>
      <c r="D396" s="31"/>
      <c r="E396" s="31"/>
      <c r="F396" s="398" t="s">
        <v>286</v>
      </c>
      <c r="G396" s="497">
        <f>+C392</f>
        <v>4000</v>
      </c>
      <c r="H396" s="196">
        <f>'2010 Existing RatesPW'!B23</f>
        <v>-0.0065</v>
      </c>
      <c r="I396" s="501">
        <f>+G396*H396</f>
        <v>-26</v>
      </c>
      <c r="J396" s="505">
        <f>+C392</f>
        <v>4000</v>
      </c>
      <c r="K396" s="196">
        <f>'Rate Schedule (Part 1) PW'!$E$29</f>
        <v>-0.0065</v>
      </c>
      <c r="L396" s="214">
        <f>+J396*K396</f>
        <v>-26</v>
      </c>
      <c r="M396" s="489">
        <f t="shared" si="30"/>
        <v>0</v>
      </c>
      <c r="N396" s="218">
        <f t="shared" si="31"/>
        <v>0</v>
      </c>
      <c r="O396" s="225">
        <f>L396/L409</f>
        <v>-0.047686288777526196</v>
      </c>
      <c r="P396" s="165"/>
    </row>
    <row r="397" spans="2:16" ht="27.75" customHeight="1">
      <c r="B397" s="172"/>
      <c r="C397" s="31"/>
      <c r="D397" s="31"/>
      <c r="E397" s="31"/>
      <c r="F397" s="398" t="s">
        <v>294</v>
      </c>
      <c r="G397" s="498">
        <f>C392</f>
        <v>4000</v>
      </c>
      <c r="H397" s="488"/>
      <c r="I397" s="503">
        <f>+G397*H397</f>
        <v>0</v>
      </c>
      <c r="J397" s="372">
        <f>C392</f>
        <v>4000</v>
      </c>
      <c r="K397" s="488">
        <f>'Rate Schedule (Part 1) PW'!E31</f>
        <v>-0.0013</v>
      </c>
      <c r="L397" s="229">
        <f>+J397*K397</f>
        <v>-5.2</v>
      </c>
      <c r="M397" s="489">
        <f t="shared" si="30"/>
        <v>-5.2</v>
      </c>
      <c r="N397" s="218" t="e">
        <f>+M397/I397</f>
        <v>#DIV/0!</v>
      </c>
      <c r="O397" s="225">
        <f>L397/L409</f>
        <v>-0.009537257755505239</v>
      </c>
      <c r="P397" s="165"/>
    </row>
    <row r="398" spans="2:16" ht="26.25" customHeight="1">
      <c r="B398" s="172"/>
      <c r="C398" s="63"/>
      <c r="D398" s="64"/>
      <c r="E398" s="31"/>
      <c r="F398" s="398" t="s">
        <v>316</v>
      </c>
      <c r="G398" s="396">
        <f>C392</f>
        <v>4000</v>
      </c>
      <c r="H398" s="196">
        <f>'2010 Existing RatesPW'!B36</f>
        <v>0.0007</v>
      </c>
      <c r="I398" s="502">
        <f>+G398*H398</f>
        <v>2.8</v>
      </c>
      <c r="J398" s="201">
        <f>C392</f>
        <v>4000</v>
      </c>
      <c r="K398" s="195">
        <f>'Rate Schedule (Part 1) PW'!E28</f>
        <v>0.0007</v>
      </c>
      <c r="L398" s="214">
        <f>+J398*K398</f>
        <v>2.8</v>
      </c>
      <c r="M398" s="489">
        <f>+L398-I398</f>
        <v>0</v>
      </c>
      <c r="N398" s="218">
        <f>+M398/I398</f>
        <v>0</v>
      </c>
      <c r="O398" s="225">
        <f>L398/L409</f>
        <v>0.00513544648373359</v>
      </c>
      <c r="P398" s="165"/>
    </row>
    <row r="399" spans="2:16" ht="27.75" customHeight="1" thickBot="1">
      <c r="B399" s="172"/>
      <c r="C399" s="31"/>
      <c r="D399" s="31"/>
      <c r="E399" s="31"/>
      <c r="F399" s="499" t="s">
        <v>317</v>
      </c>
      <c r="G399" s="498">
        <f>C392</f>
        <v>4000</v>
      </c>
      <c r="H399" s="488"/>
      <c r="I399" s="502">
        <f>+G399*H399</f>
        <v>0</v>
      </c>
      <c r="J399" s="506">
        <f>C392</f>
        <v>4000</v>
      </c>
      <c r="K399" s="507">
        <f>'Rate Schedule (Part 1) PW'!E30</f>
        <v>0.0019</v>
      </c>
      <c r="L399" s="509">
        <f>+J399*K399</f>
        <v>7.6</v>
      </c>
      <c r="M399" s="489">
        <f>+L399-I399</f>
        <v>7.6</v>
      </c>
      <c r="N399" s="218" t="e">
        <f>+M399/I399</f>
        <v>#DIV/0!</v>
      </c>
      <c r="O399" s="225">
        <f>L399/L409</f>
        <v>0.013939069027276887</v>
      </c>
      <c r="P399" s="165"/>
    </row>
    <row r="400" spans="1:16" ht="18" customHeight="1" thickBot="1">
      <c r="A400" s="165"/>
      <c r="F400" s="233" t="s">
        <v>247</v>
      </c>
      <c r="G400" s="586"/>
      <c r="H400" s="587"/>
      <c r="I400" s="235">
        <f>SUM(I391:I399)</f>
        <v>65.75</v>
      </c>
      <c r="J400" s="586"/>
      <c r="K400" s="587"/>
      <c r="L400" s="235">
        <f>SUM(L391:L399)</f>
        <v>76.24999999999999</v>
      </c>
      <c r="M400" s="237">
        <f>SUM(M391:M399)</f>
        <v>10.499999999999993</v>
      </c>
      <c r="N400" s="238">
        <f t="shared" si="31"/>
        <v>0.1596958174904942</v>
      </c>
      <c r="O400" s="240">
        <f>L400/L409</f>
        <v>0.13984921228024508</v>
      </c>
      <c r="P400" s="385"/>
    </row>
    <row r="401" spans="1:16" ht="18" customHeight="1" thickBot="1">
      <c r="A401" s="165"/>
      <c r="F401" s="199" t="s">
        <v>248</v>
      </c>
      <c r="G401" s="372">
        <f>C392*'Other Electriciy Rates PW'!$M$11</f>
        <v>4240.400000000001</v>
      </c>
      <c r="H401" s="373">
        <f>'Other Electriciy Rates PW'!$B$11</f>
        <v>0.0092</v>
      </c>
      <c r="I401" s="210">
        <f>+G401*H401</f>
        <v>39.011680000000005</v>
      </c>
      <c r="J401" s="372">
        <f>'BILL IMPACTS PW'!C392*'Other Electriciy Rates PW'!$M$25</f>
        <v>4223.961100371479</v>
      </c>
      <c r="K401" s="494">
        <f>'Other Electriciy Rates PW'!$B$25</f>
        <v>0.009039845539860984</v>
      </c>
      <c r="L401" s="210">
        <f>+J401*K401</f>
        <v>38.1839559137394</v>
      </c>
      <c r="M401" s="374">
        <f>+L401-I401</f>
        <v>-0.8277240862606021</v>
      </c>
      <c r="N401" s="222">
        <f t="shared" si="31"/>
        <v>-0.021217340198130458</v>
      </c>
      <c r="O401" s="223">
        <f>L401/L409</f>
        <v>0.07003273647580409</v>
      </c>
      <c r="P401" s="385"/>
    </row>
    <row r="402" spans="1:16" ht="18" customHeight="1" thickBot="1">
      <c r="A402" s="165"/>
      <c r="F402" s="233" t="s">
        <v>249</v>
      </c>
      <c r="G402" s="586"/>
      <c r="H402" s="587"/>
      <c r="I402" s="235">
        <f>SUM(I400:I401)</f>
        <v>104.76168000000001</v>
      </c>
      <c r="J402" s="586"/>
      <c r="K402" s="587"/>
      <c r="L402" s="235">
        <f>SUM(L400:L401)</f>
        <v>114.4339559137394</v>
      </c>
      <c r="M402" s="237">
        <f>SUM(M400:M401)</f>
        <v>9.67227591373939</v>
      </c>
      <c r="N402" s="238">
        <f t="shared" si="31"/>
        <v>0.09232646816793497</v>
      </c>
      <c r="O402" s="375">
        <f>L402/L409</f>
        <v>0.20988194875604918</v>
      </c>
      <c r="P402" s="385"/>
    </row>
    <row r="403" spans="1:16" ht="18" customHeight="1">
      <c r="A403" s="165"/>
      <c r="F403" s="200" t="s">
        <v>77</v>
      </c>
      <c r="G403" s="202">
        <f>+'Other Electriciy Rates PW'!$M$10*C392</f>
        <v>4240.400000000001</v>
      </c>
      <c r="H403" s="203">
        <f>'Other Electriciy Rates PW'!$C$11+'Other Electriciy Rates PW'!$E$11+'Other Electriciy Rates PW'!D11</f>
        <v>0.0138725</v>
      </c>
      <c r="I403" s="204">
        <f>+G403*H403</f>
        <v>58.824949000000004</v>
      </c>
      <c r="J403" s="202">
        <f>J401</f>
        <v>4223.961100371479</v>
      </c>
      <c r="K403" s="203">
        <f>'Other Electriciy Rates PW'!$C$25+'Other Electriciy Rates PW'!$E$25+'Other Electriciy Rates PW'!D25</f>
        <v>0.0135</v>
      </c>
      <c r="L403" s="229">
        <f>+J403*K403</f>
        <v>57.02347485501497</v>
      </c>
      <c r="M403" s="230">
        <f>+L403-I403</f>
        <v>-1.8014741449850362</v>
      </c>
      <c r="N403" s="231">
        <f t="shared" si="31"/>
        <v>-0.030624321407997073</v>
      </c>
      <c r="O403" s="301">
        <f>L403/L409</f>
        <v>0.10458607265516336</v>
      </c>
      <c r="P403" s="385"/>
    </row>
    <row r="404" spans="2:16" ht="21.75" customHeight="1">
      <c r="B404" s="172"/>
      <c r="C404" s="31"/>
      <c r="D404" s="31"/>
      <c r="E404" s="31"/>
      <c r="F404" s="200" t="s">
        <v>321</v>
      </c>
      <c r="G404" s="220"/>
      <c r="H404" s="219"/>
      <c r="I404" s="210">
        <v>0.25</v>
      </c>
      <c r="J404" s="220"/>
      <c r="K404" s="219"/>
      <c r="L404" s="214">
        <v>0.25</v>
      </c>
      <c r="M404" s="513">
        <f>+L404-I404</f>
        <v>0</v>
      </c>
      <c r="N404" s="231">
        <f t="shared" si="31"/>
        <v>0</v>
      </c>
      <c r="O404" s="225">
        <f>L404/L409</f>
        <v>0.00045852200747621344</v>
      </c>
      <c r="P404" s="165"/>
    </row>
    <row r="405" spans="1:16" ht="18" customHeight="1">
      <c r="A405" s="165"/>
      <c r="B405" s="25"/>
      <c r="C405" s="31"/>
      <c r="D405" s="31"/>
      <c r="E405" s="31"/>
      <c r="F405" s="197" t="s">
        <v>78</v>
      </c>
      <c r="G405" s="202">
        <v>600</v>
      </c>
      <c r="H405" s="203">
        <f>'Other Electriciy Rates PW'!$K$11</f>
        <v>0.065</v>
      </c>
      <c r="I405" s="204">
        <f>+G405*H405</f>
        <v>39</v>
      </c>
      <c r="J405" s="202">
        <v>600</v>
      </c>
      <c r="K405" s="203">
        <f>'Other Electriciy Rates PW'!$K$25</f>
        <v>0.065</v>
      </c>
      <c r="L405" s="229">
        <f>+J405*K405</f>
        <v>39</v>
      </c>
      <c r="M405" s="230">
        <f>+L405-I405</f>
        <v>0</v>
      </c>
      <c r="N405" s="231">
        <f t="shared" si="31"/>
        <v>0</v>
      </c>
      <c r="O405" s="232">
        <f>L405/L409</f>
        <v>0.07152943316628929</v>
      </c>
      <c r="P405" s="385"/>
    </row>
    <row r="406" spans="2:16" ht="18" customHeight="1" thickBot="1">
      <c r="B406" s="172"/>
      <c r="C406" s="31"/>
      <c r="D406" s="31"/>
      <c r="E406" s="31"/>
      <c r="F406" s="197" t="s">
        <v>78</v>
      </c>
      <c r="G406" s="202">
        <f>G403-G405</f>
        <v>3640.4000000000005</v>
      </c>
      <c r="H406" s="203">
        <f>'Other Electriciy Rates PW'!$L$11</f>
        <v>0.075</v>
      </c>
      <c r="I406" s="204">
        <f>+G406*H406</f>
        <v>273.03000000000003</v>
      </c>
      <c r="J406" s="202">
        <f>J403-J405</f>
        <v>3623.961100371479</v>
      </c>
      <c r="K406" s="203">
        <f>'Other Electriciy Rates PW'!$L$25</f>
        <v>0.075</v>
      </c>
      <c r="L406" s="229">
        <f>+J406*K406</f>
        <v>271.79708252786094</v>
      </c>
      <c r="M406" s="230">
        <f>+L406-I406</f>
        <v>-1.2329174721390928</v>
      </c>
      <c r="N406" s="231">
        <f t="shared" si="31"/>
        <v>-0.004515684987507207</v>
      </c>
      <c r="O406" s="232">
        <f>L406/L409</f>
        <v>0.4984997756274114</v>
      </c>
      <c r="P406" s="165"/>
    </row>
    <row r="407" spans="2:16" ht="18" customHeight="1" thickBot="1">
      <c r="B407" s="172"/>
      <c r="C407" s="31"/>
      <c r="D407" s="31"/>
      <c r="E407" s="31"/>
      <c r="F407" s="233" t="s">
        <v>195</v>
      </c>
      <c r="G407" s="586"/>
      <c r="H407" s="587"/>
      <c r="I407" s="235">
        <f>SUM(I402:I406)</f>
        <v>475.86662900000005</v>
      </c>
      <c r="J407" s="586"/>
      <c r="K407" s="587"/>
      <c r="L407" s="235">
        <f>SUM(L402:L406)</f>
        <v>482.5045132966153</v>
      </c>
      <c r="M407" s="386">
        <f>SUM(M402:M406)</f>
        <v>6.637884296615262</v>
      </c>
      <c r="N407" s="238">
        <f t="shared" si="31"/>
        <v>0.013949043475824948</v>
      </c>
      <c r="O407" s="375">
        <f>L407/L409</f>
        <v>0.8849557522123894</v>
      </c>
      <c r="P407" s="165"/>
    </row>
    <row r="408" spans="2:16" ht="18" customHeight="1" thickBot="1">
      <c r="B408" s="172"/>
      <c r="C408" s="31"/>
      <c r="D408" s="31"/>
      <c r="E408" s="31"/>
      <c r="F408" s="297" t="s">
        <v>274</v>
      </c>
      <c r="G408" s="298"/>
      <c r="H408" s="302">
        <v>0.13</v>
      </c>
      <c r="I408" s="299">
        <f>I407*H408</f>
        <v>61.86266177000001</v>
      </c>
      <c r="J408" s="298"/>
      <c r="K408" s="302">
        <v>0.13</v>
      </c>
      <c r="L408" s="300">
        <f>L407*K408</f>
        <v>62.72558672855999</v>
      </c>
      <c r="M408" s="227">
        <f>+L408-I408</f>
        <v>0.8629249585599794</v>
      </c>
      <c r="N408" s="228">
        <f t="shared" si="31"/>
        <v>0.013949043475824872</v>
      </c>
      <c r="O408" s="241">
        <f>L408/L409</f>
        <v>0.11504424778761063</v>
      </c>
      <c r="P408" s="165"/>
    </row>
    <row r="409" spans="2:16" ht="18" customHeight="1" thickBot="1">
      <c r="B409" s="172"/>
      <c r="C409" s="31"/>
      <c r="D409" s="31"/>
      <c r="E409" s="35"/>
      <c r="F409" s="234" t="s">
        <v>79</v>
      </c>
      <c r="G409" s="598"/>
      <c r="H409" s="599"/>
      <c r="I409" s="236">
        <f>SUM(I407:I408)</f>
        <v>537.72929077</v>
      </c>
      <c r="J409" s="598"/>
      <c r="K409" s="599"/>
      <c r="L409" s="236">
        <f>SUM(L407:L408)</f>
        <v>545.2301000251753</v>
      </c>
      <c r="M409" s="387">
        <f>SUM(M407:M408)</f>
        <v>7.500809255175241</v>
      </c>
      <c r="N409" s="238">
        <f t="shared" si="31"/>
        <v>0.01394904347582494</v>
      </c>
      <c r="O409" s="240">
        <f>SUM(O407:O408)</f>
        <v>1</v>
      </c>
      <c r="P409" s="165"/>
    </row>
    <row r="410" spans="2:16" ht="18" customHeight="1" thickBot="1">
      <c r="B410" s="166"/>
      <c r="C410" s="178"/>
      <c r="D410" s="178"/>
      <c r="E410" s="178"/>
      <c r="F410" s="179"/>
      <c r="G410" s="180"/>
      <c r="H410" s="181"/>
      <c r="I410" s="182"/>
      <c r="J410" s="180"/>
      <c r="K410" s="183"/>
      <c r="L410" s="182"/>
      <c r="M410" s="187"/>
      <c r="N410" s="185"/>
      <c r="O410" s="186"/>
      <c r="P410" s="167"/>
    </row>
    <row r="411" spans="2:16" ht="18" customHeight="1" thickBot="1">
      <c r="B411" s="25"/>
      <c r="C411" s="31"/>
      <c r="D411" s="31"/>
      <c r="E411" s="31"/>
      <c r="F411" s="49"/>
      <c r="G411" s="50"/>
      <c r="H411" s="51"/>
      <c r="I411" s="52"/>
      <c r="J411" s="50"/>
      <c r="K411" s="53"/>
      <c r="L411" s="52"/>
      <c r="M411" s="177"/>
      <c r="N411" s="175"/>
      <c r="O411" s="176"/>
      <c r="P411" s="25"/>
    </row>
    <row r="412" spans="2:16" ht="18" customHeight="1">
      <c r="B412" s="174"/>
      <c r="C412" s="592"/>
      <c r="D412" s="592"/>
      <c r="E412" s="592"/>
      <c r="F412" s="592"/>
      <c r="G412" s="592"/>
      <c r="H412" s="592"/>
      <c r="I412" s="592"/>
      <c r="J412" s="592"/>
      <c r="K412" s="592"/>
      <c r="L412" s="592"/>
      <c r="M412" s="592"/>
      <c r="N412" s="592"/>
      <c r="O412" s="592"/>
      <c r="P412" s="164"/>
    </row>
    <row r="413" spans="2:16" ht="23.25">
      <c r="B413" s="172"/>
      <c r="C413" s="591" t="s">
        <v>137</v>
      </c>
      <c r="D413" s="591"/>
      <c r="E413" s="591"/>
      <c r="F413" s="591"/>
      <c r="G413" s="591"/>
      <c r="H413" s="591"/>
      <c r="I413" s="591"/>
      <c r="J413" s="591"/>
      <c r="K413" s="591"/>
      <c r="L413" s="591"/>
      <c r="M413" s="591"/>
      <c r="N413" s="591"/>
      <c r="O413" s="591"/>
      <c r="P413" s="165"/>
    </row>
    <row r="414" spans="2:16" ht="18" customHeight="1" thickBot="1">
      <c r="B414" s="172"/>
      <c r="C414" s="590"/>
      <c r="D414" s="590"/>
      <c r="E414" s="590"/>
      <c r="F414" s="590"/>
      <c r="G414" s="590"/>
      <c r="H414" s="590"/>
      <c r="I414" s="590"/>
      <c r="J414" s="590"/>
      <c r="K414" s="590"/>
      <c r="L414" s="590"/>
      <c r="M414" s="590"/>
      <c r="N414" s="590"/>
      <c r="O414" s="590"/>
      <c r="P414" s="165"/>
    </row>
    <row r="415" spans="2:16" ht="18" customHeight="1" thickBot="1">
      <c r="B415" s="172"/>
      <c r="C415" s="173"/>
      <c r="D415" s="173"/>
      <c r="E415" s="31"/>
      <c r="F415" s="37"/>
      <c r="G415" s="595" t="str">
        <f>$G$10</f>
        <v>2010 BILL</v>
      </c>
      <c r="H415" s="596"/>
      <c r="I415" s="597"/>
      <c r="J415" s="595" t="str">
        <f>$J$10</f>
        <v>2011 BILL</v>
      </c>
      <c r="K415" s="596"/>
      <c r="L415" s="597"/>
      <c r="M415" s="595" t="s">
        <v>73</v>
      </c>
      <c r="N415" s="596"/>
      <c r="O415" s="597"/>
      <c r="P415" s="165"/>
    </row>
    <row r="416" spans="2:16" ht="26.25" thickBot="1">
      <c r="B416" s="172"/>
      <c r="C416" s="31"/>
      <c r="D416" s="31"/>
      <c r="E416" s="33"/>
      <c r="F416" s="38"/>
      <c r="G416" s="188" t="s">
        <v>67</v>
      </c>
      <c r="H416" s="189" t="s">
        <v>68</v>
      </c>
      <c r="I416" s="190" t="s">
        <v>69</v>
      </c>
      <c r="J416" s="191" t="s">
        <v>67</v>
      </c>
      <c r="K416" s="189" t="s">
        <v>68</v>
      </c>
      <c r="L416" s="190" t="s">
        <v>69</v>
      </c>
      <c r="M416" s="192" t="s">
        <v>80</v>
      </c>
      <c r="N416" s="193" t="s">
        <v>81</v>
      </c>
      <c r="O416" s="194" t="s">
        <v>76</v>
      </c>
      <c r="P416" s="165"/>
    </row>
    <row r="417" spans="2:16" ht="18" customHeight="1" thickBot="1">
      <c r="B417" s="172"/>
      <c r="C417" s="593" t="s">
        <v>70</v>
      </c>
      <c r="D417" s="594"/>
      <c r="E417" s="31"/>
      <c r="F417" s="397" t="s">
        <v>71</v>
      </c>
      <c r="G417" s="495"/>
      <c r="H417" s="208"/>
      <c r="I417" s="500">
        <f>'2010 Existing RatesPW'!C10</f>
        <v>10.35</v>
      </c>
      <c r="J417" s="207"/>
      <c r="K417" s="208"/>
      <c r="L417" s="212">
        <f>'Rate Schedule (Part 1) PW'!$E$23</f>
        <v>38.45</v>
      </c>
      <c r="M417" s="504">
        <f aca="true" t="shared" si="32" ref="M417:M423">+L417-I417</f>
        <v>28.1</v>
      </c>
      <c r="N417" s="222">
        <f aca="true" t="shared" si="33" ref="N417:N435">+M417/I417</f>
        <v>2.714975845410628</v>
      </c>
      <c r="O417" s="223">
        <f>L417/L435</f>
        <v>0.0294420839927501</v>
      </c>
      <c r="P417" s="165"/>
    </row>
    <row r="418" spans="2:16" ht="18" customHeight="1" thickBot="1">
      <c r="B418" s="172"/>
      <c r="C418" s="170">
        <v>10000</v>
      </c>
      <c r="D418" s="171" t="s">
        <v>16</v>
      </c>
      <c r="E418" s="31"/>
      <c r="F418" s="398" t="s">
        <v>72</v>
      </c>
      <c r="G418" s="396">
        <f>+C418</f>
        <v>10000</v>
      </c>
      <c r="H418" s="196">
        <f>'2010 Existing RatesPW'!B74</f>
        <v>0.0176</v>
      </c>
      <c r="I418" s="501">
        <f>+G418*H418</f>
        <v>176</v>
      </c>
      <c r="J418" s="201">
        <f>+C418</f>
        <v>10000</v>
      </c>
      <c r="K418" s="195">
        <f>'Rate Schedule (Part 1) PW'!$E$24</f>
        <v>0.0141</v>
      </c>
      <c r="L418" s="214">
        <f>+J418*K418</f>
        <v>141</v>
      </c>
      <c r="M418" s="489">
        <f t="shared" si="32"/>
        <v>-35</v>
      </c>
      <c r="N418" s="218">
        <f t="shared" si="33"/>
        <v>-0.19886363636363635</v>
      </c>
      <c r="O418" s="225">
        <f>L418/L435</f>
        <v>0.1079670700384334</v>
      </c>
      <c r="P418" s="165"/>
    </row>
    <row r="419" spans="2:16" ht="18" customHeight="1">
      <c r="B419" s="172"/>
      <c r="C419" s="63"/>
      <c r="D419" s="64"/>
      <c r="E419" s="31"/>
      <c r="F419" s="398" t="s">
        <v>246</v>
      </c>
      <c r="G419" s="396">
        <f>G418</f>
        <v>10000</v>
      </c>
      <c r="H419" s="196">
        <f>'2010 Existing RatesPW'!B49</f>
        <v>0.0018</v>
      </c>
      <c r="I419" s="501">
        <f>+G419*H419</f>
        <v>18</v>
      </c>
      <c r="J419" s="201">
        <f>J418</f>
        <v>10000</v>
      </c>
      <c r="K419" s="195">
        <f>'Rate Schedule (Part 1) PW'!$E$25</f>
        <v>0.0003</v>
      </c>
      <c r="L419" s="214">
        <f>+J419*K419</f>
        <v>2.9999999999999996</v>
      </c>
      <c r="M419" s="489">
        <f t="shared" si="32"/>
        <v>-15</v>
      </c>
      <c r="N419" s="218">
        <f t="shared" si="33"/>
        <v>-0.8333333333333334</v>
      </c>
      <c r="O419" s="225">
        <f>L419/L435</f>
        <v>0.002297171702945391</v>
      </c>
      <c r="P419" s="165"/>
    </row>
    <row r="420" spans="2:16" ht="18" customHeight="1">
      <c r="B420" s="172"/>
      <c r="C420" s="63"/>
      <c r="D420" s="64"/>
      <c r="E420" s="31"/>
      <c r="F420" s="398" t="s">
        <v>170</v>
      </c>
      <c r="G420" s="496"/>
      <c r="H420" s="219"/>
      <c r="I420" s="501">
        <f>'2010 Existing RatesNF'!$B$58</f>
        <v>1</v>
      </c>
      <c r="J420" s="220"/>
      <c r="K420" s="219"/>
      <c r="L420" s="214">
        <f>'Rate Schedule (Part 1) PW'!$E$27</f>
        <v>1</v>
      </c>
      <c r="M420" s="489">
        <f t="shared" si="32"/>
        <v>0</v>
      </c>
      <c r="N420" s="218">
        <f t="shared" si="33"/>
        <v>0</v>
      </c>
      <c r="O420" s="225">
        <f>L420/L435</f>
        <v>0.0007657239009817971</v>
      </c>
      <c r="P420" s="165"/>
    </row>
    <row r="421" spans="1:16" ht="18" customHeight="1">
      <c r="A421" s="165"/>
      <c r="B421" s="25"/>
      <c r="C421" s="31"/>
      <c r="D421" s="31"/>
      <c r="E421" s="31"/>
      <c r="F421" s="398" t="s">
        <v>162</v>
      </c>
      <c r="G421" s="396">
        <f>C418</f>
        <v>10000</v>
      </c>
      <c r="H421" s="196"/>
      <c r="I421" s="502">
        <f>+G421*H421</f>
        <v>0</v>
      </c>
      <c r="J421" s="201">
        <f>C418</f>
        <v>10000</v>
      </c>
      <c r="K421" s="195">
        <f>'Rate Schedule (Part 1) PW'!$E$26</f>
        <v>0</v>
      </c>
      <c r="L421" s="214">
        <f>J421*K421</f>
        <v>0</v>
      </c>
      <c r="M421" s="489">
        <f t="shared" si="32"/>
        <v>0</v>
      </c>
      <c r="N421" s="218" t="e">
        <f t="shared" si="33"/>
        <v>#DIV/0!</v>
      </c>
      <c r="O421" s="225">
        <f>L421/L435</f>
        <v>0</v>
      </c>
      <c r="P421" s="165"/>
    </row>
    <row r="422" spans="2:16" ht="25.5" customHeight="1">
      <c r="B422" s="172"/>
      <c r="C422" s="31"/>
      <c r="D422" s="31"/>
      <c r="E422" s="31"/>
      <c r="F422" s="398" t="s">
        <v>286</v>
      </c>
      <c r="G422" s="497">
        <f>+C418</f>
        <v>10000</v>
      </c>
      <c r="H422" s="196">
        <f>'2010 Existing RatesPW'!B23</f>
        <v>-0.0065</v>
      </c>
      <c r="I422" s="501">
        <f>+G422*H422</f>
        <v>-65</v>
      </c>
      <c r="J422" s="505">
        <f>+C418</f>
        <v>10000</v>
      </c>
      <c r="K422" s="196">
        <f>'Rate Schedule (Part 1) PW'!$E$29</f>
        <v>-0.0065</v>
      </c>
      <c r="L422" s="214">
        <f>+J422*K422</f>
        <v>-65</v>
      </c>
      <c r="M422" s="489">
        <f t="shared" si="32"/>
        <v>0</v>
      </c>
      <c r="N422" s="218">
        <f t="shared" si="33"/>
        <v>0</v>
      </c>
      <c r="O422" s="225">
        <f>L422/L435</f>
        <v>-0.049772053563816816</v>
      </c>
      <c r="P422" s="165"/>
    </row>
    <row r="423" spans="2:16" ht="27.75" customHeight="1">
      <c r="B423" s="172"/>
      <c r="C423" s="31"/>
      <c r="D423" s="31"/>
      <c r="E423" s="31"/>
      <c r="F423" s="398" t="s">
        <v>294</v>
      </c>
      <c r="G423" s="498">
        <f>C418</f>
        <v>10000</v>
      </c>
      <c r="H423" s="488"/>
      <c r="I423" s="503">
        <f>+G423*H423</f>
        <v>0</v>
      </c>
      <c r="J423" s="372">
        <f>C418</f>
        <v>10000</v>
      </c>
      <c r="K423" s="488">
        <f>'Rate Schedule (Part 1) PW'!E31</f>
        <v>-0.0013</v>
      </c>
      <c r="L423" s="229">
        <f>+J423*K423</f>
        <v>-13</v>
      </c>
      <c r="M423" s="489">
        <f t="shared" si="32"/>
        <v>-13</v>
      </c>
      <c r="N423" s="218" t="e">
        <f>+M423/I423</f>
        <v>#DIV/0!</v>
      </c>
      <c r="O423" s="225">
        <f>L423/L435</f>
        <v>-0.009954410712763363</v>
      </c>
      <c r="P423" s="165"/>
    </row>
    <row r="424" spans="2:16" ht="26.25" customHeight="1">
      <c r="B424" s="172"/>
      <c r="C424" s="63"/>
      <c r="D424" s="64"/>
      <c r="E424" s="31"/>
      <c r="F424" s="398" t="s">
        <v>316</v>
      </c>
      <c r="G424" s="396">
        <f>C418</f>
        <v>10000</v>
      </c>
      <c r="H424" s="196">
        <f>'2010 Existing RatesPW'!B36</f>
        <v>0.0007</v>
      </c>
      <c r="I424" s="502">
        <f>+G424*H424</f>
        <v>7</v>
      </c>
      <c r="J424" s="201">
        <f>C418</f>
        <v>10000</v>
      </c>
      <c r="K424" s="195">
        <f>'Rate Schedule (Part 1) PW'!E28</f>
        <v>0.0007</v>
      </c>
      <c r="L424" s="214">
        <f>+J424*K424</f>
        <v>7</v>
      </c>
      <c r="M424" s="489">
        <f>+L424-I424</f>
        <v>0</v>
      </c>
      <c r="N424" s="218">
        <f>+M424/I424</f>
        <v>0</v>
      </c>
      <c r="O424" s="225">
        <f>L424/L435</f>
        <v>0.00536006730687258</v>
      </c>
      <c r="P424" s="165"/>
    </row>
    <row r="425" spans="2:16" ht="27.75" customHeight="1" thickBot="1">
      <c r="B425" s="172"/>
      <c r="C425" s="31"/>
      <c r="D425" s="31"/>
      <c r="E425" s="31"/>
      <c r="F425" s="499" t="s">
        <v>317</v>
      </c>
      <c r="G425" s="498">
        <f>C418</f>
        <v>10000</v>
      </c>
      <c r="H425" s="488"/>
      <c r="I425" s="502">
        <f>+G425*H425</f>
        <v>0</v>
      </c>
      <c r="J425" s="506">
        <f>C418</f>
        <v>10000</v>
      </c>
      <c r="K425" s="507">
        <f>'Rate Schedule (Part 1) PW'!E30</f>
        <v>0.0019</v>
      </c>
      <c r="L425" s="509">
        <f>+J425*K425</f>
        <v>19</v>
      </c>
      <c r="M425" s="489">
        <f>+L425-I425</f>
        <v>19</v>
      </c>
      <c r="N425" s="218" t="e">
        <f>+M425/I425</f>
        <v>#DIV/0!</v>
      </c>
      <c r="O425" s="225">
        <f>L425/L435</f>
        <v>0.014548754118654146</v>
      </c>
      <c r="P425" s="165"/>
    </row>
    <row r="426" spans="1:16" ht="18" customHeight="1" thickBot="1">
      <c r="A426" s="165"/>
      <c r="F426" s="233" t="s">
        <v>247</v>
      </c>
      <c r="G426" s="586"/>
      <c r="H426" s="587"/>
      <c r="I426" s="235">
        <f>SUM(I417:I425)</f>
        <v>147.35</v>
      </c>
      <c r="J426" s="586"/>
      <c r="K426" s="587"/>
      <c r="L426" s="235">
        <f>SUM(L417:L425)</f>
        <v>131.45</v>
      </c>
      <c r="M426" s="237">
        <f>SUM(M417:M425)</f>
        <v>-15.899999999999999</v>
      </c>
      <c r="N426" s="238">
        <f t="shared" si="33"/>
        <v>-0.10790634543603664</v>
      </c>
      <c r="O426" s="240">
        <f>L426/L435</f>
        <v>0.10065440678405722</v>
      </c>
      <c r="P426" s="385"/>
    </row>
    <row r="427" spans="1:16" ht="18" customHeight="1" thickBot="1">
      <c r="A427" s="165"/>
      <c r="F427" s="199" t="s">
        <v>248</v>
      </c>
      <c r="G427" s="372">
        <f>C418*'Other Electriciy Rates PW'!$M$11</f>
        <v>10601</v>
      </c>
      <c r="H427" s="373">
        <f>'Other Electriciy Rates PW'!$B$11</f>
        <v>0.0092</v>
      </c>
      <c r="I427" s="210">
        <f>+G427*H427</f>
        <v>97.5292</v>
      </c>
      <c r="J427" s="372">
        <f>'BILL IMPACTS PW'!C418*'Other Electriciy Rates PW'!$M$25</f>
        <v>10559.902750928699</v>
      </c>
      <c r="K427" s="494">
        <f>'Other Electriciy Rates PW'!$B$25</f>
        <v>0.009039845539860984</v>
      </c>
      <c r="L427" s="210">
        <f>+J427*K427</f>
        <v>95.45988978434853</v>
      </c>
      <c r="M427" s="374">
        <f>+L427-I427</f>
        <v>-2.0693102156514698</v>
      </c>
      <c r="N427" s="222">
        <f t="shared" si="33"/>
        <v>-0.021217340198130097</v>
      </c>
      <c r="O427" s="223">
        <f>L427/L435</f>
        <v>0.07309591919296377</v>
      </c>
      <c r="P427" s="385"/>
    </row>
    <row r="428" spans="1:16" ht="18" customHeight="1" thickBot="1">
      <c r="A428" s="165"/>
      <c r="F428" s="233" t="s">
        <v>249</v>
      </c>
      <c r="G428" s="586"/>
      <c r="H428" s="587"/>
      <c r="I428" s="235">
        <f>SUM(I426:I427)</f>
        <v>244.8792</v>
      </c>
      <c r="J428" s="586"/>
      <c r="K428" s="587"/>
      <c r="L428" s="235">
        <f>SUM(L426:L427)</f>
        <v>226.90988978434854</v>
      </c>
      <c r="M428" s="237">
        <f>SUM(M426:M427)</f>
        <v>-17.96931021565147</v>
      </c>
      <c r="N428" s="238">
        <f t="shared" si="33"/>
        <v>-0.07338030431188712</v>
      </c>
      <c r="O428" s="375">
        <f>L428/L435</f>
        <v>0.173750325977021</v>
      </c>
      <c r="P428" s="385"/>
    </row>
    <row r="429" spans="1:16" ht="18" customHeight="1">
      <c r="A429" s="165"/>
      <c r="F429" s="200" t="s">
        <v>77</v>
      </c>
      <c r="G429" s="202">
        <f>+'Other Electriciy Rates PW'!$M$10*C418</f>
        <v>10601</v>
      </c>
      <c r="H429" s="203">
        <f>'Other Electriciy Rates PW'!$C$11+'Other Electriciy Rates PW'!$E$11+'Other Electriciy Rates PW'!D11</f>
        <v>0.0138725</v>
      </c>
      <c r="I429" s="204">
        <f>+G429*H429</f>
        <v>147.06237249999998</v>
      </c>
      <c r="J429" s="202">
        <f>J427</f>
        <v>10559.902750928699</v>
      </c>
      <c r="K429" s="203">
        <f>'Other Electriciy Rates PW'!$C$25+'Other Electriciy Rates PW'!$E$25+'Other Electriciy Rates PW'!D25</f>
        <v>0.0135</v>
      </c>
      <c r="L429" s="229">
        <f>+J429*K429</f>
        <v>142.55868713753745</v>
      </c>
      <c r="M429" s="230">
        <f>+L429-I429</f>
        <v>-4.503685362462534</v>
      </c>
      <c r="N429" s="231">
        <f t="shared" si="33"/>
        <v>-0.030624321407996695</v>
      </c>
      <c r="O429" s="301">
        <f>L429/L435</f>
        <v>0.10916059403379871</v>
      </c>
      <c r="P429" s="385"/>
    </row>
    <row r="430" spans="2:16" ht="21.75" customHeight="1">
      <c r="B430" s="172"/>
      <c r="C430" s="31"/>
      <c r="D430" s="31"/>
      <c r="E430" s="31"/>
      <c r="F430" s="200" t="s">
        <v>321</v>
      </c>
      <c r="G430" s="220"/>
      <c r="H430" s="219"/>
      <c r="I430" s="210">
        <v>0.25</v>
      </c>
      <c r="J430" s="220"/>
      <c r="K430" s="219"/>
      <c r="L430" s="214">
        <v>0.25</v>
      </c>
      <c r="M430" s="513">
        <f>+L430-I430</f>
        <v>0</v>
      </c>
      <c r="N430" s="231">
        <f t="shared" si="33"/>
        <v>0</v>
      </c>
      <c r="O430" s="225">
        <f>L430/L435</f>
        <v>0.00019143097524544929</v>
      </c>
      <c r="P430" s="165"/>
    </row>
    <row r="431" spans="1:16" ht="18" customHeight="1">
      <c r="A431" s="165"/>
      <c r="B431" s="25"/>
      <c r="C431" s="31"/>
      <c r="D431" s="31"/>
      <c r="E431" s="31"/>
      <c r="F431" s="197" t="s">
        <v>78</v>
      </c>
      <c r="G431" s="202">
        <v>600</v>
      </c>
      <c r="H431" s="203">
        <f>'Other Electriciy Rates PW'!$K$11</f>
        <v>0.065</v>
      </c>
      <c r="I431" s="204">
        <f>+G431*H431</f>
        <v>39</v>
      </c>
      <c r="J431" s="202">
        <v>600</v>
      </c>
      <c r="K431" s="203">
        <f>'Other Electriciy Rates PW'!$K$25</f>
        <v>0.065</v>
      </c>
      <c r="L431" s="229">
        <f>+J431*K431</f>
        <v>39</v>
      </c>
      <c r="M431" s="230">
        <f>+L431-I431</f>
        <v>0</v>
      </c>
      <c r="N431" s="231">
        <f t="shared" si="33"/>
        <v>0</v>
      </c>
      <c r="O431" s="232">
        <f>L431/L435</f>
        <v>0.029863232138290088</v>
      </c>
      <c r="P431" s="385"/>
    </row>
    <row r="432" spans="2:16" ht="18" customHeight="1" thickBot="1">
      <c r="B432" s="172"/>
      <c r="C432" s="31"/>
      <c r="D432" s="31"/>
      <c r="E432" s="31"/>
      <c r="F432" s="197" t="s">
        <v>78</v>
      </c>
      <c r="G432" s="202">
        <f>G429-G431</f>
        <v>10001</v>
      </c>
      <c r="H432" s="203">
        <f>'Other Electriciy Rates PW'!$L$11</f>
        <v>0.075</v>
      </c>
      <c r="I432" s="204">
        <f>+G432*H432</f>
        <v>750.0749999999999</v>
      </c>
      <c r="J432" s="202">
        <f>J429-J431</f>
        <v>9959.902750928699</v>
      </c>
      <c r="K432" s="203">
        <f>'Other Electriciy Rates PW'!$L$25</f>
        <v>0.075</v>
      </c>
      <c r="L432" s="229">
        <f>+J432*K432</f>
        <v>746.9927063196524</v>
      </c>
      <c r="M432" s="230">
        <f>+L432-I432</f>
        <v>-3.0822936803475613</v>
      </c>
      <c r="N432" s="231">
        <f t="shared" si="33"/>
        <v>-0.0041093139757325085</v>
      </c>
      <c r="O432" s="232">
        <f>L432/L435</f>
        <v>0.5719901690880341</v>
      </c>
      <c r="P432" s="165"/>
    </row>
    <row r="433" spans="2:16" ht="18" customHeight="1" thickBot="1">
      <c r="B433" s="172"/>
      <c r="C433" s="31"/>
      <c r="D433" s="31"/>
      <c r="E433" s="31"/>
      <c r="F433" s="233" t="s">
        <v>195</v>
      </c>
      <c r="G433" s="586"/>
      <c r="H433" s="587"/>
      <c r="I433" s="235">
        <f>SUM(I428:I432)</f>
        <v>1181.2665725</v>
      </c>
      <c r="J433" s="586"/>
      <c r="K433" s="587"/>
      <c r="L433" s="235">
        <f>SUM(L428:L432)</f>
        <v>1155.7112832415382</v>
      </c>
      <c r="M433" s="386">
        <f>SUM(M428:M432)</f>
        <v>-25.555289258461563</v>
      </c>
      <c r="N433" s="238">
        <f t="shared" si="33"/>
        <v>-0.021633803794495813</v>
      </c>
      <c r="O433" s="375">
        <f>L433/L435</f>
        <v>0.8849557522123893</v>
      </c>
      <c r="P433" s="165"/>
    </row>
    <row r="434" spans="2:16" ht="18" customHeight="1" thickBot="1">
      <c r="B434" s="172"/>
      <c r="C434" s="31"/>
      <c r="D434" s="31"/>
      <c r="E434" s="31"/>
      <c r="F434" s="297" t="s">
        <v>274</v>
      </c>
      <c r="G434" s="298"/>
      <c r="H434" s="302">
        <v>0.13</v>
      </c>
      <c r="I434" s="299">
        <f>I433*H434</f>
        <v>153.564654425</v>
      </c>
      <c r="J434" s="298"/>
      <c r="K434" s="302">
        <v>0.13</v>
      </c>
      <c r="L434" s="300">
        <f>L433*K434</f>
        <v>150.24246682139997</v>
      </c>
      <c r="M434" s="227">
        <f>+L434-I434</f>
        <v>-3.322187603600014</v>
      </c>
      <c r="N434" s="228">
        <f t="shared" si="33"/>
        <v>-0.021633803794495886</v>
      </c>
      <c r="O434" s="241">
        <f>L434/L435</f>
        <v>0.11504424778761062</v>
      </c>
      <c r="P434" s="165"/>
    </row>
    <row r="435" spans="2:16" ht="18" customHeight="1" thickBot="1">
      <c r="B435" s="172"/>
      <c r="C435" s="31"/>
      <c r="D435" s="31"/>
      <c r="E435" s="35"/>
      <c r="F435" s="234" t="s">
        <v>79</v>
      </c>
      <c r="G435" s="598"/>
      <c r="H435" s="599"/>
      <c r="I435" s="236">
        <f>SUM(I433:I434)</f>
        <v>1334.831226925</v>
      </c>
      <c r="J435" s="598"/>
      <c r="K435" s="599"/>
      <c r="L435" s="236">
        <f>SUM(L433:L434)</f>
        <v>1305.9537500629383</v>
      </c>
      <c r="M435" s="387">
        <f>SUM(M433:M434)</f>
        <v>-28.877476862061577</v>
      </c>
      <c r="N435" s="238">
        <f t="shared" si="33"/>
        <v>-0.02163380379449582</v>
      </c>
      <c r="O435" s="240">
        <f>SUM(O433:O434)</f>
        <v>0.9999999999999999</v>
      </c>
      <c r="P435" s="165"/>
    </row>
    <row r="436" spans="2:16" ht="18" customHeight="1" thickBot="1">
      <c r="B436" s="166"/>
      <c r="C436" s="178"/>
      <c r="D436" s="178"/>
      <c r="E436" s="178"/>
      <c r="F436" s="179"/>
      <c r="G436" s="180"/>
      <c r="H436" s="181"/>
      <c r="I436" s="182"/>
      <c r="J436" s="180"/>
      <c r="K436" s="183"/>
      <c r="L436" s="182"/>
      <c r="M436" s="187"/>
      <c r="N436" s="185"/>
      <c r="O436" s="186"/>
      <c r="P436" s="167"/>
    </row>
    <row r="437" spans="2:16" ht="18" customHeight="1" thickBot="1">
      <c r="B437" s="25"/>
      <c r="C437" s="31"/>
      <c r="D437" s="31"/>
      <c r="E437" s="31"/>
      <c r="F437" s="49"/>
      <c r="G437" s="50"/>
      <c r="H437" s="51"/>
      <c r="I437" s="52"/>
      <c r="J437" s="50"/>
      <c r="K437" s="53"/>
      <c r="L437" s="52"/>
      <c r="M437" s="177"/>
      <c r="N437" s="175"/>
      <c r="O437" s="176"/>
      <c r="P437" s="25"/>
    </row>
    <row r="438" spans="2:16" ht="18" customHeight="1">
      <c r="B438" s="174"/>
      <c r="C438" s="592"/>
      <c r="D438" s="592"/>
      <c r="E438" s="592"/>
      <c r="F438" s="592"/>
      <c r="G438" s="592"/>
      <c r="H438" s="592"/>
      <c r="I438" s="592"/>
      <c r="J438" s="592"/>
      <c r="K438" s="592"/>
      <c r="L438" s="592"/>
      <c r="M438" s="592"/>
      <c r="N438" s="592"/>
      <c r="O438" s="592"/>
      <c r="P438" s="164"/>
    </row>
    <row r="439" spans="2:16" ht="23.25">
      <c r="B439" s="172"/>
      <c r="C439" s="591" t="s">
        <v>137</v>
      </c>
      <c r="D439" s="591"/>
      <c r="E439" s="591"/>
      <c r="F439" s="591"/>
      <c r="G439" s="591"/>
      <c r="H439" s="591"/>
      <c r="I439" s="591"/>
      <c r="J439" s="591"/>
      <c r="K439" s="591"/>
      <c r="L439" s="591"/>
      <c r="M439" s="591"/>
      <c r="N439" s="591"/>
      <c r="O439" s="591"/>
      <c r="P439" s="165"/>
    </row>
    <row r="440" spans="2:16" ht="18" customHeight="1" thickBot="1">
      <c r="B440" s="172"/>
      <c r="C440" s="590"/>
      <c r="D440" s="590"/>
      <c r="E440" s="590"/>
      <c r="F440" s="590"/>
      <c r="G440" s="590"/>
      <c r="H440" s="590"/>
      <c r="I440" s="590"/>
      <c r="J440" s="590"/>
      <c r="K440" s="590"/>
      <c r="L440" s="590"/>
      <c r="M440" s="590"/>
      <c r="N440" s="590"/>
      <c r="O440" s="590"/>
      <c r="P440" s="165"/>
    </row>
    <row r="441" spans="2:16" ht="18" customHeight="1" thickBot="1">
      <c r="B441" s="172"/>
      <c r="C441" s="173"/>
      <c r="D441" s="173"/>
      <c r="E441" s="31"/>
      <c r="F441" s="37"/>
      <c r="G441" s="595" t="str">
        <f>$G$10</f>
        <v>2010 BILL</v>
      </c>
      <c r="H441" s="596"/>
      <c r="I441" s="597"/>
      <c r="J441" s="595" t="str">
        <f>$J$10</f>
        <v>2011 BILL</v>
      </c>
      <c r="K441" s="596"/>
      <c r="L441" s="597"/>
      <c r="M441" s="595" t="s">
        <v>73</v>
      </c>
      <c r="N441" s="596"/>
      <c r="O441" s="597"/>
      <c r="P441" s="165"/>
    </row>
    <row r="442" spans="2:16" ht="26.25" thickBot="1">
      <c r="B442" s="172"/>
      <c r="C442" s="31"/>
      <c r="D442" s="31"/>
      <c r="E442" s="33"/>
      <c r="F442" s="38"/>
      <c r="G442" s="188" t="s">
        <v>67</v>
      </c>
      <c r="H442" s="189" t="s">
        <v>68</v>
      </c>
      <c r="I442" s="190" t="s">
        <v>69</v>
      </c>
      <c r="J442" s="191" t="s">
        <v>67</v>
      </c>
      <c r="K442" s="189" t="s">
        <v>68</v>
      </c>
      <c r="L442" s="190" t="s">
        <v>69</v>
      </c>
      <c r="M442" s="192" t="s">
        <v>80</v>
      </c>
      <c r="N442" s="193" t="s">
        <v>81</v>
      </c>
      <c r="O442" s="194" t="s">
        <v>76</v>
      </c>
      <c r="P442" s="165"/>
    </row>
    <row r="443" spans="2:16" ht="18" customHeight="1" thickBot="1">
      <c r="B443" s="172"/>
      <c r="C443" s="593" t="s">
        <v>70</v>
      </c>
      <c r="D443" s="594"/>
      <c r="E443" s="31"/>
      <c r="F443" s="397" t="s">
        <v>71</v>
      </c>
      <c r="G443" s="495"/>
      <c r="H443" s="208"/>
      <c r="I443" s="500">
        <f>'2010 Existing RatesPW'!C10</f>
        <v>10.35</v>
      </c>
      <c r="J443" s="207"/>
      <c r="K443" s="208"/>
      <c r="L443" s="212">
        <f>'Rate Schedule (Part 1) PW'!$E$23</f>
        <v>38.45</v>
      </c>
      <c r="M443" s="504">
        <f aca="true" t="shared" si="34" ref="M443:M449">+L443-I443</f>
        <v>28.1</v>
      </c>
      <c r="N443" s="222">
        <f aca="true" t="shared" si="35" ref="N443:N461">+M443/I443</f>
        <v>2.714975845410628</v>
      </c>
      <c r="O443" s="223">
        <f>L443/L461</f>
        <v>0.023691835762209047</v>
      </c>
      <c r="P443" s="165"/>
    </row>
    <row r="444" spans="2:16" ht="18" customHeight="1" thickBot="1">
      <c r="B444" s="172"/>
      <c r="C444" s="170">
        <v>12500</v>
      </c>
      <c r="D444" s="171" t="s">
        <v>16</v>
      </c>
      <c r="E444" s="31"/>
      <c r="F444" s="398" t="s">
        <v>72</v>
      </c>
      <c r="G444" s="396">
        <f>+C444</f>
        <v>12500</v>
      </c>
      <c r="H444" s="196">
        <f>'2010 Existing RatesPW'!B74</f>
        <v>0.0176</v>
      </c>
      <c r="I444" s="501">
        <f>+G444*H444</f>
        <v>220</v>
      </c>
      <c r="J444" s="201">
        <f>+C444</f>
        <v>12500</v>
      </c>
      <c r="K444" s="195">
        <f>'Rate Schedule (Part 1) PW'!$E$24</f>
        <v>0.0141</v>
      </c>
      <c r="L444" s="214">
        <f>+J444*K444</f>
        <v>176.25</v>
      </c>
      <c r="M444" s="489">
        <f t="shared" si="34"/>
        <v>-43.75</v>
      </c>
      <c r="N444" s="218">
        <f t="shared" si="35"/>
        <v>-0.19886363636363635</v>
      </c>
      <c r="O444" s="225">
        <f>L444/L461</f>
        <v>0.10860041750557463</v>
      </c>
      <c r="P444" s="165"/>
    </row>
    <row r="445" spans="2:16" ht="18" customHeight="1">
      <c r="B445" s="172"/>
      <c r="C445" s="63"/>
      <c r="D445" s="64"/>
      <c r="E445" s="31"/>
      <c r="F445" s="398" t="s">
        <v>246</v>
      </c>
      <c r="G445" s="396">
        <f>G444</f>
        <v>12500</v>
      </c>
      <c r="H445" s="196">
        <f>'2010 Existing RatesPW'!B49</f>
        <v>0.0018</v>
      </c>
      <c r="I445" s="501">
        <f>+G445*H445</f>
        <v>22.5</v>
      </c>
      <c r="J445" s="201">
        <f>J444</f>
        <v>12500</v>
      </c>
      <c r="K445" s="195">
        <f>'Rate Schedule (Part 1) PW'!$E$25</f>
        <v>0.0003</v>
      </c>
      <c r="L445" s="214">
        <f>+J445*K445</f>
        <v>3.7499999999999996</v>
      </c>
      <c r="M445" s="489">
        <f t="shared" si="34"/>
        <v>-18.75</v>
      </c>
      <c r="N445" s="218">
        <f t="shared" si="35"/>
        <v>-0.8333333333333334</v>
      </c>
      <c r="O445" s="225">
        <f>L445/L461</f>
        <v>0.0023106471809696727</v>
      </c>
      <c r="P445" s="165"/>
    </row>
    <row r="446" spans="2:16" ht="18" customHeight="1">
      <c r="B446" s="172"/>
      <c r="C446" s="63"/>
      <c r="D446" s="64"/>
      <c r="E446" s="31"/>
      <c r="F446" s="398" t="s">
        <v>170</v>
      </c>
      <c r="G446" s="496"/>
      <c r="H446" s="219"/>
      <c r="I446" s="501">
        <f>'2010 Existing RatesNF'!$B$58</f>
        <v>1</v>
      </c>
      <c r="J446" s="220"/>
      <c r="K446" s="219"/>
      <c r="L446" s="214">
        <f>'Rate Schedule (Part 1) PW'!$E$27</f>
        <v>1</v>
      </c>
      <c r="M446" s="489">
        <f t="shared" si="34"/>
        <v>0</v>
      </c>
      <c r="N446" s="218">
        <f t="shared" si="35"/>
        <v>0</v>
      </c>
      <c r="O446" s="225">
        <f>L446/L461</f>
        <v>0.0006161725815919128</v>
      </c>
      <c r="P446" s="165"/>
    </row>
    <row r="447" spans="1:16" ht="18" customHeight="1">
      <c r="A447" s="165"/>
      <c r="B447" s="25"/>
      <c r="C447" s="31"/>
      <c r="D447" s="31"/>
      <c r="E447" s="31"/>
      <c r="F447" s="398" t="s">
        <v>162</v>
      </c>
      <c r="G447" s="396">
        <f>C444</f>
        <v>12500</v>
      </c>
      <c r="H447" s="196"/>
      <c r="I447" s="502">
        <f>+G447*H447</f>
        <v>0</v>
      </c>
      <c r="J447" s="201">
        <f>C444</f>
        <v>12500</v>
      </c>
      <c r="K447" s="195">
        <f>'Rate Schedule (Part 1) PW'!$E$26</f>
        <v>0</v>
      </c>
      <c r="L447" s="214">
        <f>J447*K447</f>
        <v>0</v>
      </c>
      <c r="M447" s="489">
        <f t="shared" si="34"/>
        <v>0</v>
      </c>
      <c r="N447" s="218" t="e">
        <f t="shared" si="35"/>
        <v>#DIV/0!</v>
      </c>
      <c r="O447" s="225">
        <f>L447/L461</f>
        <v>0</v>
      </c>
      <c r="P447" s="165"/>
    </row>
    <row r="448" spans="2:16" ht="25.5" customHeight="1">
      <c r="B448" s="172"/>
      <c r="C448" s="31"/>
      <c r="D448" s="31"/>
      <c r="E448" s="31"/>
      <c r="F448" s="398" t="s">
        <v>286</v>
      </c>
      <c r="G448" s="497">
        <f>+C444</f>
        <v>12500</v>
      </c>
      <c r="H448" s="196">
        <f>'2010 Existing RatesPW'!B23</f>
        <v>-0.0065</v>
      </c>
      <c r="I448" s="501">
        <f>+G448*H448</f>
        <v>-81.25</v>
      </c>
      <c r="J448" s="505">
        <f>+C444</f>
        <v>12500</v>
      </c>
      <c r="K448" s="196">
        <f>'Rate Schedule (Part 1) PW'!$E$29</f>
        <v>-0.0065</v>
      </c>
      <c r="L448" s="214">
        <f>+J448*K448</f>
        <v>-81.25</v>
      </c>
      <c r="M448" s="489">
        <f t="shared" si="34"/>
        <v>0</v>
      </c>
      <c r="N448" s="218">
        <f t="shared" si="35"/>
        <v>0</v>
      </c>
      <c r="O448" s="225">
        <f>L448/L461</f>
        <v>-0.050064022254342914</v>
      </c>
      <c r="P448" s="165"/>
    </row>
    <row r="449" spans="2:16" ht="27.75" customHeight="1">
      <c r="B449" s="172"/>
      <c r="C449" s="31"/>
      <c r="D449" s="31"/>
      <c r="E449" s="31"/>
      <c r="F449" s="398" t="s">
        <v>294</v>
      </c>
      <c r="G449" s="498">
        <f>C444</f>
        <v>12500</v>
      </c>
      <c r="H449" s="488"/>
      <c r="I449" s="503">
        <f>+G449*H449</f>
        <v>0</v>
      </c>
      <c r="J449" s="372">
        <f>C444</f>
        <v>12500</v>
      </c>
      <c r="K449" s="488">
        <f>'Rate Schedule (Part 1) PW'!E31</f>
        <v>-0.0013</v>
      </c>
      <c r="L449" s="229">
        <f>+J449*K449</f>
        <v>-16.25</v>
      </c>
      <c r="M449" s="489">
        <f t="shared" si="34"/>
        <v>-16.25</v>
      </c>
      <c r="N449" s="218" t="e">
        <f>+M449/I449</f>
        <v>#DIV/0!</v>
      </c>
      <c r="O449" s="225">
        <f>L449/L461</f>
        <v>-0.010012804450868582</v>
      </c>
      <c r="P449" s="165"/>
    </row>
    <row r="450" spans="2:16" ht="26.25" customHeight="1">
      <c r="B450" s="172"/>
      <c r="C450" s="63"/>
      <c r="D450" s="64"/>
      <c r="E450" s="31"/>
      <c r="F450" s="398" t="s">
        <v>316</v>
      </c>
      <c r="G450" s="396">
        <f>C444</f>
        <v>12500</v>
      </c>
      <c r="H450" s="196">
        <f>'2010 Existing RatesPW'!B36</f>
        <v>0.0007</v>
      </c>
      <c r="I450" s="502">
        <f>+G450*H450</f>
        <v>8.75</v>
      </c>
      <c r="J450" s="201">
        <f>C444</f>
        <v>12500</v>
      </c>
      <c r="K450" s="195">
        <f>'Rate Schedule (Part 1) PW'!E28</f>
        <v>0.0007</v>
      </c>
      <c r="L450" s="214">
        <f>+J450*K450</f>
        <v>8.75</v>
      </c>
      <c r="M450" s="489">
        <f>+L450-I450</f>
        <v>0</v>
      </c>
      <c r="N450" s="218">
        <f>+M450/I450</f>
        <v>0</v>
      </c>
      <c r="O450" s="225">
        <f>L450/L461</f>
        <v>0.005391510088929237</v>
      </c>
      <c r="P450" s="165"/>
    </row>
    <row r="451" spans="2:16" ht="27.75" customHeight="1" thickBot="1">
      <c r="B451" s="172"/>
      <c r="C451" s="31"/>
      <c r="D451" s="31"/>
      <c r="E451" s="31"/>
      <c r="F451" s="499" t="s">
        <v>317</v>
      </c>
      <c r="G451" s="498">
        <f>C444</f>
        <v>12500</v>
      </c>
      <c r="H451" s="488"/>
      <c r="I451" s="502">
        <f>+G451*H451</f>
        <v>0</v>
      </c>
      <c r="J451" s="506">
        <f>C444</f>
        <v>12500</v>
      </c>
      <c r="K451" s="507">
        <f>'Rate Schedule (Part 1) PW'!E30</f>
        <v>0.0019</v>
      </c>
      <c r="L451" s="509">
        <f>+J451*K451</f>
        <v>23.75</v>
      </c>
      <c r="M451" s="489">
        <f>+L451-I451</f>
        <v>23.75</v>
      </c>
      <c r="N451" s="218" t="e">
        <f>+M451/I451</f>
        <v>#DIV/0!</v>
      </c>
      <c r="O451" s="225">
        <f>L451/L461</f>
        <v>0.014634098812807928</v>
      </c>
      <c r="P451" s="165"/>
    </row>
    <row r="452" spans="1:16" ht="18" customHeight="1" thickBot="1">
      <c r="A452" s="165"/>
      <c r="F452" s="233" t="s">
        <v>247</v>
      </c>
      <c r="G452" s="586"/>
      <c r="H452" s="587"/>
      <c r="I452" s="235">
        <f>SUM(I443:I451)</f>
        <v>181.35</v>
      </c>
      <c r="J452" s="586"/>
      <c r="K452" s="587"/>
      <c r="L452" s="235">
        <f>SUM(L443:L451)</f>
        <v>154.45</v>
      </c>
      <c r="M452" s="237">
        <f>SUM(M443:M451)</f>
        <v>-26.9</v>
      </c>
      <c r="N452" s="238">
        <f t="shared" si="35"/>
        <v>-0.14833195478356767</v>
      </c>
      <c r="O452" s="240">
        <f>L452/L461</f>
        <v>0.09516785522687092</v>
      </c>
      <c r="P452" s="385"/>
    </row>
    <row r="453" spans="1:16" ht="18" customHeight="1" thickBot="1">
      <c r="A453" s="165"/>
      <c r="F453" s="199" t="s">
        <v>248</v>
      </c>
      <c r="G453" s="372">
        <f>C444*'Other Electriciy Rates PW'!$M$11</f>
        <v>13251.25</v>
      </c>
      <c r="H453" s="373">
        <f>'Other Electriciy Rates PW'!$B$11</f>
        <v>0.0092</v>
      </c>
      <c r="I453" s="210">
        <f>+G453*H453</f>
        <v>121.9115</v>
      </c>
      <c r="J453" s="372">
        <f>'BILL IMPACTS PW'!C444*'Other Electriciy Rates PW'!$M$25</f>
        <v>13199.878438660873</v>
      </c>
      <c r="K453" s="494">
        <f>'Other Electriciy Rates PW'!$B$25</f>
        <v>0.009039845539860984</v>
      </c>
      <c r="L453" s="210">
        <f>+J453*K453</f>
        <v>119.32486223043566</v>
      </c>
      <c r="M453" s="374">
        <f>+L453-I453</f>
        <v>-2.586637769564348</v>
      </c>
      <c r="N453" s="222">
        <f t="shared" si="35"/>
        <v>-0.021217340198130184</v>
      </c>
      <c r="O453" s="223">
        <f>L453/L461</f>
        <v>0.07352470840862686</v>
      </c>
      <c r="P453" s="385"/>
    </row>
    <row r="454" spans="1:16" ht="18" customHeight="1" thickBot="1">
      <c r="A454" s="165"/>
      <c r="F454" s="233" t="s">
        <v>249</v>
      </c>
      <c r="G454" s="586"/>
      <c r="H454" s="587"/>
      <c r="I454" s="235">
        <f>SUM(I452:I453)</f>
        <v>303.2615</v>
      </c>
      <c r="J454" s="586"/>
      <c r="K454" s="587"/>
      <c r="L454" s="235">
        <f>SUM(L452:L453)</f>
        <v>273.77486223043564</v>
      </c>
      <c r="M454" s="237">
        <f>SUM(M452:M453)</f>
        <v>-29.486637769564346</v>
      </c>
      <c r="N454" s="238">
        <f t="shared" si="35"/>
        <v>-0.09723172169749324</v>
      </c>
      <c r="O454" s="375">
        <f>L454/L461</f>
        <v>0.16869256363549778</v>
      </c>
      <c r="P454" s="385"/>
    </row>
    <row r="455" spans="1:16" ht="18" customHeight="1">
      <c r="A455" s="165"/>
      <c r="F455" s="200" t="s">
        <v>77</v>
      </c>
      <c r="G455" s="202">
        <f>+'Other Electriciy Rates PW'!$M$10*C444</f>
        <v>13251.25</v>
      </c>
      <c r="H455" s="203">
        <f>'Other Electriciy Rates PW'!$C$11+'Other Electriciy Rates PW'!$E$11+'Other Electriciy Rates PW'!D11</f>
        <v>0.0138725</v>
      </c>
      <c r="I455" s="204">
        <f>+G455*H455</f>
        <v>183.827965625</v>
      </c>
      <c r="J455" s="202">
        <f>J453</f>
        <v>13199.878438660873</v>
      </c>
      <c r="K455" s="203">
        <f>'Other Electriciy Rates PW'!$C$25+'Other Electriciy Rates PW'!$E$25+'Other Electriciy Rates PW'!D25</f>
        <v>0.0135</v>
      </c>
      <c r="L455" s="229">
        <f>+J455*K455</f>
        <v>178.1983589219218</v>
      </c>
      <c r="M455" s="230">
        <f>+L455-I455</f>
        <v>-5.6296067030781956</v>
      </c>
      <c r="N455" s="231">
        <f t="shared" si="35"/>
        <v>-0.030624321407996848</v>
      </c>
      <c r="O455" s="301">
        <f>L455/L461</f>
        <v>0.10980094285236282</v>
      </c>
      <c r="P455" s="385"/>
    </row>
    <row r="456" spans="2:16" ht="21.75" customHeight="1">
      <c r="B456" s="172"/>
      <c r="C456" s="31"/>
      <c r="D456" s="31"/>
      <c r="E456" s="31"/>
      <c r="F456" s="200" t="s">
        <v>321</v>
      </c>
      <c r="G456" s="220"/>
      <c r="H456" s="219"/>
      <c r="I456" s="210">
        <v>0.25</v>
      </c>
      <c r="J456" s="220"/>
      <c r="K456" s="219"/>
      <c r="L456" s="214">
        <v>0.25</v>
      </c>
      <c r="M456" s="513">
        <f>+L456-I456</f>
        <v>0</v>
      </c>
      <c r="N456" s="231">
        <f t="shared" si="35"/>
        <v>0</v>
      </c>
      <c r="O456" s="225">
        <f>L456/L461</f>
        <v>0.0001540431453979782</v>
      </c>
      <c r="P456" s="165"/>
    </row>
    <row r="457" spans="1:16" ht="18" customHeight="1">
      <c r="A457" s="165"/>
      <c r="B457" s="25"/>
      <c r="C457" s="31"/>
      <c r="D457" s="31"/>
      <c r="E457" s="31"/>
      <c r="F457" s="197" t="s">
        <v>78</v>
      </c>
      <c r="G457" s="202">
        <v>600</v>
      </c>
      <c r="H457" s="203">
        <f>'Other Electriciy Rates PW'!$K$11</f>
        <v>0.065</v>
      </c>
      <c r="I457" s="204">
        <f>+G457*H457</f>
        <v>39</v>
      </c>
      <c r="J457" s="202">
        <v>600</v>
      </c>
      <c r="K457" s="203">
        <f>'Other Electriciy Rates PW'!$K$25</f>
        <v>0.065</v>
      </c>
      <c r="L457" s="229">
        <f>+J457*K457</f>
        <v>39</v>
      </c>
      <c r="M457" s="230">
        <f>+L457-I457</f>
        <v>0</v>
      </c>
      <c r="N457" s="231">
        <f t="shared" si="35"/>
        <v>0</v>
      </c>
      <c r="O457" s="232">
        <f>L457/L461</f>
        <v>0.024030730682084597</v>
      </c>
      <c r="P457" s="385"/>
    </row>
    <row r="458" spans="1:16" ht="18" customHeight="1" thickBot="1">
      <c r="A458" s="165"/>
      <c r="B458" s="25"/>
      <c r="C458" s="31"/>
      <c r="D458" s="31"/>
      <c r="E458" s="31"/>
      <c r="F458" s="197" t="s">
        <v>78</v>
      </c>
      <c r="G458" s="202">
        <f>G455-G457</f>
        <v>12651.25</v>
      </c>
      <c r="H458" s="203">
        <f>'Other Electriciy Rates PW'!$L$11</f>
        <v>0.075</v>
      </c>
      <c r="I458" s="204">
        <f>+G458*H458</f>
        <v>948.84375</v>
      </c>
      <c r="J458" s="202">
        <f>J455-J457</f>
        <v>12599.878438660873</v>
      </c>
      <c r="K458" s="203">
        <f>'Other Electriciy Rates PW'!$L$25</f>
        <v>0.075</v>
      </c>
      <c r="L458" s="229">
        <f>+J458*K458</f>
        <v>944.9908828995655</v>
      </c>
      <c r="M458" s="230">
        <f>+L458-I458</f>
        <v>-3.852867100434537</v>
      </c>
      <c r="N458" s="231">
        <f t="shared" si="35"/>
        <v>-0.004060591746991575</v>
      </c>
      <c r="O458" s="232">
        <f>L458/L461</f>
        <v>0.5822774718970462</v>
      </c>
      <c r="P458" s="165"/>
    </row>
    <row r="459" spans="2:16" ht="18" customHeight="1" thickBot="1">
      <c r="B459" s="172"/>
      <c r="C459" s="31"/>
      <c r="D459" s="31"/>
      <c r="E459" s="31"/>
      <c r="F459" s="233" t="s">
        <v>195</v>
      </c>
      <c r="G459" s="586"/>
      <c r="H459" s="587"/>
      <c r="I459" s="235">
        <f>SUM(I454:I458)</f>
        <v>1475.183215625</v>
      </c>
      <c r="J459" s="586"/>
      <c r="K459" s="587"/>
      <c r="L459" s="235">
        <f>SUM(L454:L458)</f>
        <v>1436.214104051923</v>
      </c>
      <c r="M459" s="386">
        <f>SUM(M454:M458)</f>
        <v>-38.96911157307708</v>
      </c>
      <c r="N459" s="238">
        <f t="shared" si="35"/>
        <v>-0.026416455366574106</v>
      </c>
      <c r="O459" s="375">
        <f>L459/L461</f>
        <v>0.8849557522123894</v>
      </c>
      <c r="P459" s="165"/>
    </row>
    <row r="460" spans="2:16" ht="18" customHeight="1" thickBot="1">
      <c r="B460" s="172"/>
      <c r="C460" s="31"/>
      <c r="D460" s="31"/>
      <c r="E460" s="31"/>
      <c r="F460" s="297" t="s">
        <v>274</v>
      </c>
      <c r="G460" s="298"/>
      <c r="H460" s="302">
        <v>0.13</v>
      </c>
      <c r="I460" s="299">
        <f>I459*H460</f>
        <v>191.77381803125002</v>
      </c>
      <c r="J460" s="298"/>
      <c r="K460" s="302">
        <v>0.13</v>
      </c>
      <c r="L460" s="300">
        <f>L459*K460</f>
        <v>186.70783352675</v>
      </c>
      <c r="M460" s="227">
        <f>+L460-I460</f>
        <v>-5.0659845045000225</v>
      </c>
      <c r="N460" s="228">
        <f t="shared" si="35"/>
        <v>-0.026416455366574117</v>
      </c>
      <c r="O460" s="241">
        <f>L460/L461</f>
        <v>0.11504424778761063</v>
      </c>
      <c r="P460" s="165"/>
    </row>
    <row r="461" spans="2:16" ht="18" customHeight="1" thickBot="1">
      <c r="B461" s="172"/>
      <c r="C461" s="31"/>
      <c r="D461" s="31"/>
      <c r="E461" s="35"/>
      <c r="F461" s="234" t="s">
        <v>79</v>
      </c>
      <c r="G461" s="598"/>
      <c r="H461" s="599"/>
      <c r="I461" s="236">
        <f>SUM(I459:I460)</f>
        <v>1666.9570336562501</v>
      </c>
      <c r="J461" s="598"/>
      <c r="K461" s="599"/>
      <c r="L461" s="236">
        <f>SUM(L459:L460)</f>
        <v>1622.921937578673</v>
      </c>
      <c r="M461" s="387">
        <f>SUM(M459:M460)</f>
        <v>-44.0350960775771</v>
      </c>
      <c r="N461" s="238">
        <f t="shared" si="35"/>
        <v>-0.026416455366574106</v>
      </c>
      <c r="O461" s="240">
        <f>SUM(O459:O460)</f>
        <v>1</v>
      </c>
      <c r="P461" s="165"/>
    </row>
    <row r="462" spans="2:16" ht="18" customHeight="1" thickBot="1">
      <c r="B462" s="166"/>
      <c r="C462" s="178"/>
      <c r="D462" s="178"/>
      <c r="E462" s="178"/>
      <c r="F462" s="179"/>
      <c r="G462" s="180"/>
      <c r="H462" s="181"/>
      <c r="I462" s="182"/>
      <c r="J462" s="180"/>
      <c r="K462" s="183"/>
      <c r="L462" s="182"/>
      <c r="M462" s="187"/>
      <c r="N462" s="185"/>
      <c r="O462" s="186"/>
      <c r="P462" s="167"/>
    </row>
    <row r="463" ht="18" customHeight="1" thickBot="1"/>
    <row r="464" spans="2:16" ht="18" customHeight="1">
      <c r="B464" s="174"/>
      <c r="C464" s="592"/>
      <c r="D464" s="592"/>
      <c r="E464" s="592"/>
      <c r="F464" s="592"/>
      <c r="G464" s="592"/>
      <c r="H464" s="592"/>
      <c r="I464" s="592"/>
      <c r="J464" s="592"/>
      <c r="K464" s="592"/>
      <c r="L464" s="592"/>
      <c r="M464" s="592"/>
      <c r="N464" s="592"/>
      <c r="O464" s="592"/>
      <c r="P464" s="164"/>
    </row>
    <row r="465" spans="2:16" ht="23.25">
      <c r="B465" s="172"/>
      <c r="C465" s="591" t="s">
        <v>137</v>
      </c>
      <c r="D465" s="591"/>
      <c r="E465" s="591"/>
      <c r="F465" s="591"/>
      <c r="G465" s="591"/>
      <c r="H465" s="591"/>
      <c r="I465" s="591"/>
      <c r="J465" s="591"/>
      <c r="K465" s="591"/>
      <c r="L465" s="591"/>
      <c r="M465" s="591"/>
      <c r="N465" s="591"/>
      <c r="O465" s="591"/>
      <c r="P465" s="165"/>
    </row>
    <row r="466" spans="2:16" ht="18" customHeight="1" thickBot="1">
      <c r="B466" s="172"/>
      <c r="C466" s="590"/>
      <c r="D466" s="590"/>
      <c r="E466" s="590"/>
      <c r="F466" s="590"/>
      <c r="G466" s="590"/>
      <c r="H466" s="590"/>
      <c r="I466" s="590"/>
      <c r="J466" s="590"/>
      <c r="K466" s="590"/>
      <c r="L466" s="590"/>
      <c r="M466" s="590"/>
      <c r="N466" s="590"/>
      <c r="O466" s="590"/>
      <c r="P466" s="165"/>
    </row>
    <row r="467" spans="2:16" ht="18" customHeight="1" thickBot="1">
      <c r="B467" s="172"/>
      <c r="C467" s="173"/>
      <c r="D467" s="173"/>
      <c r="E467" s="31"/>
      <c r="F467" s="37"/>
      <c r="G467" s="595" t="str">
        <f>$G$10</f>
        <v>2010 BILL</v>
      </c>
      <c r="H467" s="596"/>
      <c r="I467" s="597"/>
      <c r="J467" s="595" t="str">
        <f>$J$10</f>
        <v>2011 BILL</v>
      </c>
      <c r="K467" s="596"/>
      <c r="L467" s="597"/>
      <c r="M467" s="595" t="s">
        <v>73</v>
      </c>
      <c r="N467" s="596"/>
      <c r="O467" s="597"/>
      <c r="P467" s="165"/>
    </row>
    <row r="468" spans="2:16" ht="26.25" thickBot="1">
      <c r="B468" s="172"/>
      <c r="C468" s="31"/>
      <c r="D468" s="31"/>
      <c r="E468" s="33"/>
      <c r="F468" s="38"/>
      <c r="G468" s="188" t="s">
        <v>67</v>
      </c>
      <c r="H468" s="189" t="s">
        <v>68</v>
      </c>
      <c r="I468" s="190" t="s">
        <v>69</v>
      </c>
      <c r="J468" s="191" t="s">
        <v>67</v>
      </c>
      <c r="K468" s="189" t="s">
        <v>68</v>
      </c>
      <c r="L468" s="190" t="s">
        <v>69</v>
      </c>
      <c r="M468" s="192" t="s">
        <v>80</v>
      </c>
      <c r="N468" s="193" t="s">
        <v>81</v>
      </c>
      <c r="O468" s="194" t="s">
        <v>76</v>
      </c>
      <c r="P468" s="165"/>
    </row>
    <row r="469" spans="2:16" ht="18" customHeight="1" thickBot="1">
      <c r="B469" s="172"/>
      <c r="C469" s="593" t="s">
        <v>70</v>
      </c>
      <c r="D469" s="594"/>
      <c r="E469" s="31"/>
      <c r="F469" s="397" t="s">
        <v>71</v>
      </c>
      <c r="G469" s="495"/>
      <c r="H469" s="208"/>
      <c r="I469" s="500">
        <f>'2010 Existing RatesPW'!C10</f>
        <v>10.35</v>
      </c>
      <c r="J469" s="207"/>
      <c r="K469" s="208"/>
      <c r="L469" s="212">
        <f>'Rate Schedule (Part 1) PW'!$E$23</f>
        <v>38.45</v>
      </c>
      <c r="M469" s="504">
        <f aca="true" t="shared" si="36" ref="M469:M475">+L469-I469</f>
        <v>28.1</v>
      </c>
      <c r="N469" s="222">
        <f aca="true" t="shared" si="37" ref="N469:N487">+M469/I469</f>
        <v>2.714975845410628</v>
      </c>
      <c r="O469" s="223">
        <f>L469/L487</f>
        <v>0.01982071020549619</v>
      </c>
      <c r="P469" s="165"/>
    </row>
    <row r="470" spans="2:16" ht="18" customHeight="1" thickBot="1">
      <c r="B470" s="172"/>
      <c r="C470" s="170">
        <v>15000</v>
      </c>
      <c r="D470" s="171" t="s">
        <v>16</v>
      </c>
      <c r="E470" s="31"/>
      <c r="F470" s="398" t="s">
        <v>72</v>
      </c>
      <c r="G470" s="396">
        <f>+C470</f>
        <v>15000</v>
      </c>
      <c r="H470" s="196">
        <f>'2010 Existing RatesPW'!B74</f>
        <v>0.0176</v>
      </c>
      <c r="I470" s="501">
        <f>+G470*H470</f>
        <v>264</v>
      </c>
      <c r="J470" s="201">
        <f>+C470</f>
        <v>15000</v>
      </c>
      <c r="K470" s="195">
        <f>'Rate Schedule (Part 1) PW'!$E$24</f>
        <v>0.0141</v>
      </c>
      <c r="L470" s="214">
        <f>+J470*K470</f>
        <v>211.5</v>
      </c>
      <c r="M470" s="489">
        <f t="shared" si="36"/>
        <v>-52.5</v>
      </c>
      <c r="N470" s="218">
        <f t="shared" si="37"/>
        <v>-0.19886363636363635</v>
      </c>
      <c r="O470" s="225">
        <f>L470/L487</f>
        <v>0.10902679345806096</v>
      </c>
      <c r="P470" s="165"/>
    </row>
    <row r="471" spans="2:16" ht="18" customHeight="1">
      <c r="B471" s="172"/>
      <c r="C471" s="63"/>
      <c r="D471" s="64"/>
      <c r="E471" s="31"/>
      <c r="F471" s="398" t="s">
        <v>246</v>
      </c>
      <c r="G471" s="396">
        <f>G470</f>
        <v>15000</v>
      </c>
      <c r="H471" s="196">
        <f>'2010 Existing RatesPW'!B49</f>
        <v>0.0018</v>
      </c>
      <c r="I471" s="501">
        <f>+G471*H471</f>
        <v>27</v>
      </c>
      <c r="J471" s="201">
        <f>J470</f>
        <v>15000</v>
      </c>
      <c r="K471" s="195">
        <f>'Rate Schedule (Part 1) PW'!$E$25</f>
        <v>0.0003</v>
      </c>
      <c r="L471" s="214">
        <f>+J471*K471</f>
        <v>4.5</v>
      </c>
      <c r="M471" s="489">
        <f t="shared" si="36"/>
        <v>-22.5</v>
      </c>
      <c r="N471" s="218">
        <f t="shared" si="37"/>
        <v>-0.8333333333333334</v>
      </c>
      <c r="O471" s="225">
        <f>L471/L487</f>
        <v>0.002319719009745978</v>
      </c>
      <c r="P471" s="165"/>
    </row>
    <row r="472" spans="1:16" ht="18" customHeight="1">
      <c r="A472" s="165"/>
      <c r="B472" s="25"/>
      <c r="C472" s="63"/>
      <c r="D472" s="64"/>
      <c r="E472" s="31"/>
      <c r="F472" s="398" t="s">
        <v>170</v>
      </c>
      <c r="G472" s="496"/>
      <c r="H472" s="219"/>
      <c r="I472" s="501">
        <f>'2010 Existing RatesNF'!$B$58</f>
        <v>1</v>
      </c>
      <c r="J472" s="220"/>
      <c r="K472" s="219"/>
      <c r="L472" s="214">
        <f>'Rate Schedule (Part 1) PW'!$E$27</f>
        <v>1</v>
      </c>
      <c r="M472" s="489">
        <f t="shared" si="36"/>
        <v>0</v>
      </c>
      <c r="N472" s="218">
        <f t="shared" si="37"/>
        <v>0</v>
      </c>
      <c r="O472" s="225">
        <f>L472/L487</f>
        <v>0.000515493113276884</v>
      </c>
      <c r="P472" s="165"/>
    </row>
    <row r="473" spans="1:16" ht="18" customHeight="1">
      <c r="A473" s="165"/>
      <c r="B473" s="25"/>
      <c r="C473" s="31"/>
      <c r="D473" s="31"/>
      <c r="E473" s="31"/>
      <c r="F473" s="398" t="s">
        <v>162</v>
      </c>
      <c r="G473" s="396">
        <f>C470</f>
        <v>15000</v>
      </c>
      <c r="H473" s="196"/>
      <c r="I473" s="502">
        <f>+G473*H473</f>
        <v>0</v>
      </c>
      <c r="J473" s="201">
        <f>C470</f>
        <v>15000</v>
      </c>
      <c r="K473" s="195">
        <f>'Rate Schedule (Part 1) PW'!$E$26</f>
        <v>0</v>
      </c>
      <c r="L473" s="214">
        <f>J473*K473</f>
        <v>0</v>
      </c>
      <c r="M473" s="489">
        <f t="shared" si="36"/>
        <v>0</v>
      </c>
      <c r="N473" s="218" t="e">
        <f t="shared" si="37"/>
        <v>#DIV/0!</v>
      </c>
      <c r="O473" s="225">
        <f>L473/L487</f>
        <v>0</v>
      </c>
      <c r="P473" s="165"/>
    </row>
    <row r="474" spans="2:16" ht="25.5" customHeight="1">
      <c r="B474" s="172"/>
      <c r="C474" s="31"/>
      <c r="D474" s="31"/>
      <c r="E474" s="31"/>
      <c r="F474" s="398" t="s">
        <v>286</v>
      </c>
      <c r="G474" s="497">
        <f>+C470</f>
        <v>15000</v>
      </c>
      <c r="H474" s="196">
        <f>'2010 Existing RatesPW'!B23</f>
        <v>-0.0065</v>
      </c>
      <c r="I474" s="501">
        <f>+G474*H474</f>
        <v>-97.5</v>
      </c>
      <c r="J474" s="505">
        <f>+C470</f>
        <v>15000</v>
      </c>
      <c r="K474" s="196">
        <f>'Rate Schedule (Part 1) PW'!$E$29</f>
        <v>-0.0065</v>
      </c>
      <c r="L474" s="214">
        <f>+J474*K474</f>
        <v>-97.5</v>
      </c>
      <c r="M474" s="489">
        <f t="shared" si="36"/>
        <v>0</v>
      </c>
      <c r="N474" s="218">
        <f t="shared" si="37"/>
        <v>0</v>
      </c>
      <c r="O474" s="225">
        <f>L474/L487</f>
        <v>-0.050260578544496184</v>
      </c>
      <c r="P474" s="165"/>
    </row>
    <row r="475" spans="2:16" ht="27.75" customHeight="1">
      <c r="B475" s="172"/>
      <c r="C475" s="31"/>
      <c r="D475" s="31"/>
      <c r="E475" s="31"/>
      <c r="F475" s="398" t="s">
        <v>294</v>
      </c>
      <c r="G475" s="498">
        <f>C470</f>
        <v>15000</v>
      </c>
      <c r="H475" s="488"/>
      <c r="I475" s="503">
        <f>+G475*H475</f>
        <v>0</v>
      </c>
      <c r="J475" s="372">
        <f>C470</f>
        <v>15000</v>
      </c>
      <c r="K475" s="488">
        <f>'Rate Schedule (Part 1) PW'!E31</f>
        <v>-0.0013</v>
      </c>
      <c r="L475" s="229">
        <f>+J475*K475</f>
        <v>-19.5</v>
      </c>
      <c r="M475" s="489">
        <f t="shared" si="36"/>
        <v>-19.5</v>
      </c>
      <c r="N475" s="218" t="e">
        <f>+M475/I475</f>
        <v>#DIV/0!</v>
      </c>
      <c r="O475" s="225">
        <f>L475/L487</f>
        <v>-0.010052115708899237</v>
      </c>
      <c r="P475" s="165"/>
    </row>
    <row r="476" spans="2:16" ht="26.25" customHeight="1">
      <c r="B476" s="172"/>
      <c r="C476" s="63"/>
      <c r="D476" s="64"/>
      <c r="E476" s="31"/>
      <c r="F476" s="398" t="s">
        <v>316</v>
      </c>
      <c r="G476" s="396">
        <f>C470</f>
        <v>15000</v>
      </c>
      <c r="H476" s="196">
        <f>'2010 Existing RatesPW'!B36</f>
        <v>0.0007</v>
      </c>
      <c r="I476" s="502">
        <f>+G476*H476</f>
        <v>10.5</v>
      </c>
      <c r="J476" s="201">
        <f>C470</f>
        <v>15000</v>
      </c>
      <c r="K476" s="195">
        <f>'Rate Schedule (Part 1) PW'!E28</f>
        <v>0.0007</v>
      </c>
      <c r="L476" s="214">
        <f>+J476*K476</f>
        <v>10.5</v>
      </c>
      <c r="M476" s="489">
        <f>+L476-I476</f>
        <v>0</v>
      </c>
      <c r="N476" s="218">
        <f>+M476/I476</f>
        <v>0</v>
      </c>
      <c r="O476" s="225">
        <f>L476/L487</f>
        <v>0.0054126776894072815</v>
      </c>
      <c r="P476" s="165"/>
    </row>
    <row r="477" spans="2:16" ht="27.75" customHeight="1" thickBot="1">
      <c r="B477" s="172"/>
      <c r="C477" s="31"/>
      <c r="D477" s="31"/>
      <c r="E477" s="31"/>
      <c r="F477" s="499" t="s">
        <v>317</v>
      </c>
      <c r="G477" s="498">
        <f>C470</f>
        <v>15000</v>
      </c>
      <c r="H477" s="488"/>
      <c r="I477" s="502">
        <f>+G477*H477</f>
        <v>0</v>
      </c>
      <c r="J477" s="506">
        <f>C470</f>
        <v>15000</v>
      </c>
      <c r="K477" s="507">
        <f>'Rate Schedule (Part 1) PW'!E30</f>
        <v>0.0019</v>
      </c>
      <c r="L477" s="509">
        <f>+J477*K477</f>
        <v>28.5</v>
      </c>
      <c r="M477" s="489">
        <f>+L477-I477</f>
        <v>28.5</v>
      </c>
      <c r="N477" s="218" t="e">
        <f>+M477/I477</f>
        <v>#DIV/0!</v>
      </c>
      <c r="O477" s="225">
        <f>L477/L487</f>
        <v>0.014691553728391192</v>
      </c>
      <c r="P477" s="165"/>
    </row>
    <row r="478" spans="1:16" ht="18" customHeight="1" thickBot="1">
      <c r="A478" s="165"/>
      <c r="F478" s="233" t="s">
        <v>247</v>
      </c>
      <c r="G478" s="586"/>
      <c r="H478" s="587"/>
      <c r="I478" s="235">
        <f>SUM(I469:I477)</f>
        <v>215.35000000000002</v>
      </c>
      <c r="J478" s="586"/>
      <c r="K478" s="587"/>
      <c r="L478" s="235">
        <f>SUM(L469:L477)</f>
        <v>177.45</v>
      </c>
      <c r="M478" s="237">
        <f>SUM(M469:M477)</f>
        <v>-37.900000000000006</v>
      </c>
      <c r="N478" s="238">
        <f t="shared" si="37"/>
        <v>-0.175992570234502</v>
      </c>
      <c r="O478" s="240">
        <f>L478/L487</f>
        <v>0.09147425295098305</v>
      </c>
      <c r="P478" s="385"/>
    </row>
    <row r="479" spans="1:16" ht="18" customHeight="1" thickBot="1">
      <c r="A479" s="165"/>
      <c r="F479" s="199" t="s">
        <v>248</v>
      </c>
      <c r="G479" s="372">
        <f>C470*'Other Electriciy Rates PW'!$M$11</f>
        <v>15901.5</v>
      </c>
      <c r="H479" s="373">
        <f>'Other Electriciy Rates PW'!$B$11</f>
        <v>0.0092</v>
      </c>
      <c r="I479" s="210">
        <f>+G479*H479</f>
        <v>146.2938</v>
      </c>
      <c r="J479" s="372">
        <f>'BILL IMPACTS PW'!C470*'Other Electriciy Rates PW'!$M$25</f>
        <v>15839.854126393047</v>
      </c>
      <c r="K479" s="494">
        <f>'Other Electriciy Rates PW'!$B$25</f>
        <v>0.009039845539860984</v>
      </c>
      <c r="L479" s="210">
        <f>+J479*K479</f>
        <v>143.1898346765228</v>
      </c>
      <c r="M479" s="374">
        <f>+L479-I479</f>
        <v>-3.1039653234772118</v>
      </c>
      <c r="N479" s="222">
        <f t="shared" si="37"/>
        <v>-0.021217340198130145</v>
      </c>
      <c r="O479" s="223">
        <f>L479/L487</f>
        <v>0.07381337366700305</v>
      </c>
      <c r="P479" s="385"/>
    </row>
    <row r="480" spans="1:16" ht="18" customHeight="1" thickBot="1">
      <c r="A480" s="165"/>
      <c r="F480" s="233" t="s">
        <v>249</v>
      </c>
      <c r="G480" s="586"/>
      <c r="H480" s="587"/>
      <c r="I480" s="235">
        <f>SUM(I478:I479)</f>
        <v>361.64380000000006</v>
      </c>
      <c r="J480" s="586"/>
      <c r="K480" s="587"/>
      <c r="L480" s="235">
        <f>SUM(L478:L479)</f>
        <v>320.6398346765228</v>
      </c>
      <c r="M480" s="237">
        <f>SUM(M478:M479)</f>
        <v>-41.00396532347722</v>
      </c>
      <c r="N480" s="238">
        <f t="shared" si="37"/>
        <v>-0.1133821880078608</v>
      </c>
      <c r="O480" s="375">
        <f>L480/L487</f>
        <v>0.16528762661798613</v>
      </c>
      <c r="P480" s="385"/>
    </row>
    <row r="481" spans="1:16" ht="18" customHeight="1">
      <c r="A481" s="165"/>
      <c r="F481" s="200" t="s">
        <v>77</v>
      </c>
      <c r="G481" s="202">
        <f>+'Other Electriciy Rates PW'!$M$10*C470</f>
        <v>15901.5</v>
      </c>
      <c r="H481" s="203">
        <f>'Other Electriciy Rates PW'!$C$11+'Other Electriciy Rates PW'!$E$11+'Other Electriciy Rates PW'!D11</f>
        <v>0.0138725</v>
      </c>
      <c r="I481" s="204">
        <f>+G481*H481</f>
        <v>220.59355875</v>
      </c>
      <c r="J481" s="202">
        <f>J479</f>
        <v>15839.854126393047</v>
      </c>
      <c r="K481" s="203">
        <f>'Other Electriciy Rates PW'!$C$25+'Other Electriciy Rates PW'!$E$25+'Other Electriciy Rates PW'!D25</f>
        <v>0.0135</v>
      </c>
      <c r="L481" s="229">
        <f>+J481*K481</f>
        <v>213.83803070630614</v>
      </c>
      <c r="M481" s="230">
        <f>+L481-I481</f>
        <v>-6.755528043693857</v>
      </c>
      <c r="N481" s="231">
        <f t="shared" si="37"/>
        <v>-0.030624321407996948</v>
      </c>
      <c r="O481" s="301">
        <f>L481/L487</f>
        <v>0.11023203218579167</v>
      </c>
      <c r="P481" s="385"/>
    </row>
    <row r="482" spans="2:16" ht="21.75" customHeight="1">
      <c r="B482" s="172"/>
      <c r="C482" s="31"/>
      <c r="D482" s="31"/>
      <c r="E482" s="31"/>
      <c r="F482" s="200" t="s">
        <v>321</v>
      </c>
      <c r="G482" s="220"/>
      <c r="H482" s="219"/>
      <c r="I482" s="210">
        <v>0.25</v>
      </c>
      <c r="J482" s="220"/>
      <c r="K482" s="219"/>
      <c r="L482" s="214">
        <v>0.25</v>
      </c>
      <c r="M482" s="513">
        <f>+L482-I482</f>
        <v>0</v>
      </c>
      <c r="N482" s="231">
        <f t="shared" si="37"/>
        <v>0</v>
      </c>
      <c r="O482" s="225">
        <f>L482/L487</f>
        <v>0.000128873278319221</v>
      </c>
      <c r="P482" s="165"/>
    </row>
    <row r="483" spans="1:16" ht="18" customHeight="1">
      <c r="A483" s="165"/>
      <c r="B483" s="25"/>
      <c r="C483" s="31"/>
      <c r="D483" s="31"/>
      <c r="E483" s="31"/>
      <c r="F483" s="197" t="s">
        <v>78</v>
      </c>
      <c r="G483" s="202">
        <v>600</v>
      </c>
      <c r="H483" s="203">
        <f>'Other Electriciy Rates PW'!$K$11</f>
        <v>0.065</v>
      </c>
      <c r="I483" s="204">
        <f>+G483*H483</f>
        <v>39</v>
      </c>
      <c r="J483" s="202">
        <v>600</v>
      </c>
      <c r="K483" s="203">
        <f>'Other Electriciy Rates PW'!$K$25</f>
        <v>0.065</v>
      </c>
      <c r="L483" s="229">
        <f>+J483*K483</f>
        <v>39</v>
      </c>
      <c r="M483" s="230">
        <f>+L483-I483</f>
        <v>0</v>
      </c>
      <c r="N483" s="231">
        <f t="shared" si="37"/>
        <v>0</v>
      </c>
      <c r="O483" s="232">
        <f>L483/L487</f>
        <v>0.020104231417798473</v>
      </c>
      <c r="P483" s="385"/>
    </row>
    <row r="484" spans="2:16" ht="18" customHeight="1" thickBot="1">
      <c r="B484" s="172"/>
      <c r="C484" s="31"/>
      <c r="D484" s="31"/>
      <c r="E484" s="31"/>
      <c r="F484" s="197" t="s">
        <v>78</v>
      </c>
      <c r="G484" s="202">
        <f>G481-G483</f>
        <v>15301.5</v>
      </c>
      <c r="H484" s="203">
        <f>'Other Electriciy Rates PW'!$L$11</f>
        <v>0.075</v>
      </c>
      <c r="I484" s="204">
        <f>+G484*H484</f>
        <v>1147.6125</v>
      </c>
      <c r="J484" s="202">
        <f>J481-J483</f>
        <v>15239.854126393047</v>
      </c>
      <c r="K484" s="203">
        <f>'Other Electriciy Rates PW'!$L$25</f>
        <v>0.075</v>
      </c>
      <c r="L484" s="229">
        <f>+J484*K484</f>
        <v>1142.9890594794786</v>
      </c>
      <c r="M484" s="230">
        <f>+L484-I484</f>
        <v>-4.623440520521399</v>
      </c>
      <c r="N484" s="231">
        <f t="shared" si="37"/>
        <v>-0.004028747090608894</v>
      </c>
      <c r="O484" s="232">
        <f>L484/L487</f>
        <v>0.5892029887124939</v>
      </c>
      <c r="P484" s="165"/>
    </row>
    <row r="485" spans="2:16" ht="18" customHeight="1" thickBot="1">
      <c r="B485" s="172"/>
      <c r="C485" s="31"/>
      <c r="D485" s="31"/>
      <c r="E485" s="31"/>
      <c r="F485" s="233" t="s">
        <v>195</v>
      </c>
      <c r="G485" s="586"/>
      <c r="H485" s="587"/>
      <c r="I485" s="235">
        <f>SUM(I480:I484)</f>
        <v>1769.09985875</v>
      </c>
      <c r="J485" s="586"/>
      <c r="K485" s="587"/>
      <c r="L485" s="235">
        <f>SUM(L480:L484)</f>
        <v>1716.7169248623075</v>
      </c>
      <c r="M485" s="386">
        <f>SUM(M480:M484)</f>
        <v>-52.382933887692474</v>
      </c>
      <c r="N485" s="238">
        <f t="shared" si="37"/>
        <v>-0.029609936165336023</v>
      </c>
      <c r="O485" s="375">
        <f>L485/L487</f>
        <v>0.8849557522123893</v>
      </c>
      <c r="P485" s="165"/>
    </row>
    <row r="486" spans="2:16" ht="18" customHeight="1" thickBot="1">
      <c r="B486" s="172"/>
      <c r="C486" s="31"/>
      <c r="D486" s="31"/>
      <c r="E486" s="31"/>
      <c r="F486" s="297" t="s">
        <v>274</v>
      </c>
      <c r="G486" s="298"/>
      <c r="H486" s="302">
        <v>0.13</v>
      </c>
      <c r="I486" s="299">
        <f>I485*H486</f>
        <v>229.98298163750002</v>
      </c>
      <c r="J486" s="298"/>
      <c r="K486" s="302">
        <v>0.13</v>
      </c>
      <c r="L486" s="300">
        <f>L485*K486</f>
        <v>223.1732002321</v>
      </c>
      <c r="M486" s="227">
        <f>+L486-I486</f>
        <v>-6.809781405400031</v>
      </c>
      <c r="N486" s="228">
        <f t="shared" si="37"/>
        <v>-0.02960993616533606</v>
      </c>
      <c r="O486" s="241">
        <f>L486/L487</f>
        <v>0.11504424778761062</v>
      </c>
      <c r="P486" s="165"/>
    </row>
    <row r="487" spans="2:16" ht="18" customHeight="1" thickBot="1">
      <c r="B487" s="172"/>
      <c r="C487" s="31"/>
      <c r="D487" s="31"/>
      <c r="E487" s="35"/>
      <c r="F487" s="234" t="s">
        <v>79</v>
      </c>
      <c r="G487" s="598"/>
      <c r="H487" s="599"/>
      <c r="I487" s="236">
        <f>SUM(I485:I486)</f>
        <v>1999.0828403875</v>
      </c>
      <c r="J487" s="598"/>
      <c r="K487" s="599"/>
      <c r="L487" s="236">
        <f>SUM(L485:L486)</f>
        <v>1939.8901250944075</v>
      </c>
      <c r="M487" s="387">
        <f>SUM(M485:M486)</f>
        <v>-59.192715293092505</v>
      </c>
      <c r="N487" s="238">
        <f t="shared" si="37"/>
        <v>-0.029609936165336026</v>
      </c>
      <c r="O487" s="240">
        <f>SUM(O485:O486)</f>
        <v>0.9999999999999999</v>
      </c>
      <c r="P487" s="165"/>
    </row>
    <row r="488" spans="2:16" ht="18" customHeight="1" thickBot="1">
      <c r="B488" s="166"/>
      <c r="C488" s="178"/>
      <c r="D488" s="178"/>
      <c r="E488" s="178"/>
      <c r="F488" s="179"/>
      <c r="G488" s="180"/>
      <c r="H488" s="181"/>
      <c r="I488" s="182"/>
      <c r="J488" s="180"/>
      <c r="K488" s="183"/>
      <c r="L488" s="182"/>
      <c r="M488" s="187"/>
      <c r="N488" s="185"/>
      <c r="O488" s="186"/>
      <c r="P488" s="167"/>
    </row>
    <row r="489" ht="18" customHeight="1"/>
    <row r="490" ht="6.75" customHeight="1"/>
    <row r="491" ht="6.75" customHeight="1" thickBot="1"/>
    <row r="492" spans="2:16" ht="17.25" customHeight="1">
      <c r="B492" s="174"/>
      <c r="C492" s="592"/>
      <c r="D492" s="592"/>
      <c r="E492" s="592"/>
      <c r="F492" s="592"/>
      <c r="G492" s="592"/>
      <c r="H492" s="592"/>
      <c r="I492" s="592"/>
      <c r="J492" s="592"/>
      <c r="K492" s="592"/>
      <c r="L492" s="592"/>
      <c r="M492" s="592"/>
      <c r="N492" s="592"/>
      <c r="O492" s="592"/>
      <c r="P492" s="164"/>
    </row>
    <row r="493" spans="2:16" ht="23.25">
      <c r="B493" s="172"/>
      <c r="C493" s="591" t="s">
        <v>91</v>
      </c>
      <c r="D493" s="591"/>
      <c r="E493" s="591"/>
      <c r="F493" s="591"/>
      <c r="G493" s="591"/>
      <c r="H493" s="591"/>
      <c r="I493" s="591"/>
      <c r="J493" s="591"/>
      <c r="K493" s="591"/>
      <c r="L493" s="591"/>
      <c r="M493" s="591"/>
      <c r="N493" s="591"/>
      <c r="O493" s="591"/>
      <c r="P493" s="165"/>
    </row>
    <row r="494" spans="2:16" ht="17.25" customHeight="1" thickBot="1">
      <c r="B494" s="172"/>
      <c r="C494" s="590"/>
      <c r="D494" s="590"/>
      <c r="E494" s="590"/>
      <c r="F494" s="590"/>
      <c r="G494" s="590"/>
      <c r="H494" s="590"/>
      <c r="I494" s="590"/>
      <c r="J494" s="590"/>
      <c r="K494" s="590"/>
      <c r="L494" s="590"/>
      <c r="M494" s="590"/>
      <c r="N494" s="590"/>
      <c r="O494" s="590"/>
      <c r="P494" s="165"/>
    </row>
    <row r="495" spans="2:16" ht="17.25" customHeight="1" thickBot="1">
      <c r="B495" s="172"/>
      <c r="C495" s="173"/>
      <c r="D495" s="173"/>
      <c r="E495" s="31"/>
      <c r="F495" s="32"/>
      <c r="G495" s="595" t="str">
        <f>$G$10</f>
        <v>2010 BILL</v>
      </c>
      <c r="H495" s="596"/>
      <c r="I495" s="597"/>
      <c r="J495" s="595" t="str">
        <f>$J$10</f>
        <v>2011 BILL</v>
      </c>
      <c r="K495" s="596"/>
      <c r="L495" s="597"/>
      <c r="M495" s="595" t="s">
        <v>73</v>
      </c>
      <c r="N495" s="596"/>
      <c r="O495" s="597"/>
      <c r="P495" s="165"/>
    </row>
    <row r="496" spans="2:16" ht="25.5" customHeight="1" thickBot="1">
      <c r="B496" s="172"/>
      <c r="C496" s="31"/>
      <c r="D496" s="31"/>
      <c r="E496" s="33"/>
      <c r="F496" s="34"/>
      <c r="G496" s="391" t="s">
        <v>67</v>
      </c>
      <c r="H496" s="392" t="s">
        <v>68</v>
      </c>
      <c r="I496" s="393" t="s">
        <v>69</v>
      </c>
      <c r="J496" s="394" t="s">
        <v>67</v>
      </c>
      <c r="K496" s="392" t="s">
        <v>68</v>
      </c>
      <c r="L496" s="393" t="s">
        <v>69</v>
      </c>
      <c r="M496" s="192" t="s">
        <v>74</v>
      </c>
      <c r="N496" s="193" t="s">
        <v>75</v>
      </c>
      <c r="O496" s="194" t="s">
        <v>76</v>
      </c>
      <c r="P496" s="165"/>
    </row>
    <row r="497" spans="2:17" ht="17.25" customHeight="1" thickBot="1">
      <c r="B497" s="172"/>
      <c r="C497" s="593" t="s">
        <v>70</v>
      </c>
      <c r="D497" s="594"/>
      <c r="E497" s="31"/>
      <c r="F497" s="397" t="s">
        <v>71</v>
      </c>
      <c r="G497" s="395"/>
      <c r="H497" s="389"/>
      <c r="I497" s="204">
        <f>'2010 Existing RatesPW'!C11</f>
        <v>22.75</v>
      </c>
      <c r="J497" s="202"/>
      <c r="K497" s="390"/>
      <c r="L497" s="229">
        <f>+'Distribution Rate Schedule'!$C$33</f>
        <v>222.81</v>
      </c>
      <c r="M497" s="230">
        <f aca="true" t="shared" si="38" ref="M497:M503">+L497-I497</f>
        <v>200.06</v>
      </c>
      <c r="N497" s="231">
        <f aca="true" t="shared" si="39" ref="N497:N514">+M497/I497</f>
        <v>8.793846153846154</v>
      </c>
      <c r="O497" s="225">
        <f>L497/L514</f>
        <v>0.06180844004581198</v>
      </c>
      <c r="P497" s="385"/>
      <c r="Q497" s="25"/>
    </row>
    <row r="498" spans="2:16" ht="17.25" customHeight="1" thickBot="1">
      <c r="B498" s="172"/>
      <c r="C498" s="170">
        <v>30000</v>
      </c>
      <c r="D498" s="171" t="s">
        <v>16</v>
      </c>
      <c r="E498" s="31"/>
      <c r="F498" s="398" t="s">
        <v>82</v>
      </c>
      <c r="G498" s="396">
        <f>+C499</f>
        <v>100</v>
      </c>
      <c r="H498" s="196">
        <f>'2010 Existing RatesPW'!D75</f>
        <v>6.3575</v>
      </c>
      <c r="I498" s="210">
        <f>+G498*H498</f>
        <v>635.75</v>
      </c>
      <c r="J498" s="201">
        <f>G498</f>
        <v>100</v>
      </c>
      <c r="K498" s="195">
        <f>'Rate Schedule (Part 1) PW'!$E$35</f>
        <v>4.0311</v>
      </c>
      <c r="L498" s="214">
        <f>+J498*K498</f>
        <v>403.11</v>
      </c>
      <c r="M498" s="230">
        <f t="shared" si="38"/>
        <v>-232.64</v>
      </c>
      <c r="N498" s="231">
        <f t="shared" si="39"/>
        <v>-0.3659300039323633</v>
      </c>
      <c r="O498" s="225">
        <f>L498/L514</f>
        <v>0.11182442559520339</v>
      </c>
      <c r="P498" s="165"/>
    </row>
    <row r="499" spans="2:16" ht="17.25" customHeight="1" thickBot="1">
      <c r="B499" s="172"/>
      <c r="C499" s="170">
        <v>100</v>
      </c>
      <c r="D499" s="171" t="s">
        <v>17</v>
      </c>
      <c r="E499" s="31"/>
      <c r="F499" s="398" t="s">
        <v>250</v>
      </c>
      <c r="G499" s="333">
        <f>G498</f>
        <v>100</v>
      </c>
      <c r="H499" s="399">
        <f>'2010 Existing RatesPW'!D50</f>
        <v>0.7962</v>
      </c>
      <c r="I499" s="210">
        <f>G499*H499</f>
        <v>79.62</v>
      </c>
      <c r="J499" s="201">
        <f>+C499</f>
        <v>100</v>
      </c>
      <c r="K499" s="195">
        <f>'Rate Schedule (Part 1) PW'!$E$36</f>
        <v>0.1042</v>
      </c>
      <c r="L499" s="214">
        <f>+J499*K499</f>
        <v>10.42</v>
      </c>
      <c r="M499" s="230">
        <f t="shared" si="38"/>
        <v>-69.2</v>
      </c>
      <c r="N499" s="231">
        <f t="shared" si="39"/>
        <v>-0.8691283597086159</v>
      </c>
      <c r="O499" s="225">
        <f>L499/L514</f>
        <v>0.002890552243065216</v>
      </c>
      <c r="P499" s="165"/>
    </row>
    <row r="500" spans="2:16" ht="17.25" customHeight="1">
      <c r="B500" s="172"/>
      <c r="C500" s="369"/>
      <c r="D500" s="388"/>
      <c r="E500" s="31"/>
      <c r="F500" s="199" t="s">
        <v>170</v>
      </c>
      <c r="G500" s="220"/>
      <c r="H500" s="219"/>
      <c r="I500" s="210">
        <f>'2010 Existing RatesNF'!$B$58</f>
        <v>1</v>
      </c>
      <c r="J500" s="220"/>
      <c r="K500" s="219"/>
      <c r="L500" s="210">
        <f>'2010 Existing RatesNF'!$B$58</f>
        <v>1</v>
      </c>
      <c r="M500" s="230">
        <f t="shared" si="38"/>
        <v>0</v>
      </c>
      <c r="N500" s="231">
        <f t="shared" si="39"/>
        <v>0</v>
      </c>
      <c r="O500" s="225">
        <f>L500/L514</f>
        <v>0.0002774042459755486</v>
      </c>
      <c r="P500" s="165"/>
    </row>
    <row r="501" spans="2:16" ht="17.25" customHeight="1">
      <c r="B501" s="172"/>
      <c r="C501" s="63"/>
      <c r="D501" s="64"/>
      <c r="E501" s="31"/>
      <c r="F501" s="199" t="s">
        <v>251</v>
      </c>
      <c r="G501" s="201">
        <f>G499</f>
        <v>100</v>
      </c>
      <c r="H501" s="196"/>
      <c r="I501" s="210">
        <f>+G501*H501</f>
        <v>0</v>
      </c>
      <c r="J501" s="201">
        <f>G501</f>
        <v>100</v>
      </c>
      <c r="K501" s="195">
        <f>'Rate Schedule (Part 1) PW'!$E$37</f>
        <v>0</v>
      </c>
      <c r="L501" s="214">
        <f>+J501*K501</f>
        <v>0</v>
      </c>
      <c r="M501" s="230">
        <f t="shared" si="38"/>
        <v>0</v>
      </c>
      <c r="N501" s="231" t="e">
        <f t="shared" si="39"/>
        <v>#DIV/0!</v>
      </c>
      <c r="O501" s="225">
        <f>L501/L514</f>
        <v>0</v>
      </c>
      <c r="P501" s="165"/>
    </row>
    <row r="502" spans="2:16" ht="27.75" customHeight="1">
      <c r="B502" s="172"/>
      <c r="C502" s="31"/>
      <c r="D502" s="31"/>
      <c r="E502" s="31"/>
      <c r="F502" s="199" t="s">
        <v>295</v>
      </c>
      <c r="G502" s="201">
        <f>+C499</f>
        <v>100</v>
      </c>
      <c r="H502" s="196">
        <f>'2010 Existing RatesPW'!D24</f>
        <v>-1.9651</v>
      </c>
      <c r="I502" s="210">
        <f>+G502*H502</f>
        <v>-196.51000000000002</v>
      </c>
      <c r="J502" s="201">
        <f>+C499</f>
        <v>100</v>
      </c>
      <c r="K502" s="195">
        <f>'Rate Schedule (Part 1) PW'!$E$40</f>
        <v>-1.9651</v>
      </c>
      <c r="L502" s="214">
        <f>+J502*K502</f>
        <v>-196.51000000000002</v>
      </c>
      <c r="M502" s="230">
        <f t="shared" si="38"/>
        <v>0</v>
      </c>
      <c r="N502" s="231">
        <f t="shared" si="39"/>
        <v>0</v>
      </c>
      <c r="O502" s="225">
        <f>L502/L514</f>
        <v>-0.05451270837665506</v>
      </c>
      <c r="P502" s="165"/>
    </row>
    <row r="503" spans="2:16" ht="27.75" customHeight="1">
      <c r="B503" s="172"/>
      <c r="C503" s="31"/>
      <c r="D503" s="31"/>
      <c r="E503" s="31"/>
      <c r="F503" s="199" t="s">
        <v>296</v>
      </c>
      <c r="G503" s="372">
        <f>C499</f>
        <v>100</v>
      </c>
      <c r="H503" s="488"/>
      <c r="I503" s="299">
        <f>+G503*H503</f>
        <v>0</v>
      </c>
      <c r="J503" s="372">
        <f>C499</f>
        <v>100</v>
      </c>
      <c r="K503" s="488">
        <f>'Rate Schedule (Part 1) PW'!E42</f>
        <v>-0.6119</v>
      </c>
      <c r="L503" s="229">
        <f>+J503*K503</f>
        <v>-61.19</v>
      </c>
      <c r="M503" s="224">
        <f t="shared" si="38"/>
        <v>-61.19</v>
      </c>
      <c r="N503" s="218" t="e">
        <f>+M503/I503</f>
        <v>#DIV/0!</v>
      </c>
      <c r="O503" s="225">
        <f>L503/L514</f>
        <v>-0.016974365811243817</v>
      </c>
      <c r="P503" s="165"/>
    </row>
    <row r="504" spans="2:16" ht="26.25" customHeight="1">
      <c r="B504" s="172"/>
      <c r="C504" s="63"/>
      <c r="D504" s="64"/>
      <c r="E504" s="31"/>
      <c r="F504" s="199" t="s">
        <v>318</v>
      </c>
      <c r="G504" s="201">
        <f>C499</f>
        <v>100</v>
      </c>
      <c r="H504" s="196">
        <f>'2010 Existing RatesPW'!D37</f>
        <v>0.3116</v>
      </c>
      <c r="I504" s="206">
        <f>+G504*H504</f>
        <v>31.16</v>
      </c>
      <c r="J504" s="201">
        <f>C499</f>
        <v>100</v>
      </c>
      <c r="K504" s="195">
        <f>'Rate Schedule (Part 1) PW'!E39</f>
        <v>0.3116</v>
      </c>
      <c r="L504" s="214">
        <f>+J504*K504</f>
        <v>31.16</v>
      </c>
      <c r="M504" s="224">
        <f>+L504-I504</f>
        <v>0</v>
      </c>
      <c r="N504" s="218">
        <f>+M504/I504</f>
        <v>0</v>
      </c>
      <c r="O504" s="225">
        <f>L504/L514</f>
        <v>0.008643916304598095</v>
      </c>
      <c r="P504" s="165"/>
    </row>
    <row r="505" spans="2:16" ht="27.75" customHeight="1" thickBot="1">
      <c r="B505" s="172"/>
      <c r="C505" s="31"/>
      <c r="D505" s="31"/>
      <c r="E505" s="31"/>
      <c r="F505" s="199" t="s">
        <v>319</v>
      </c>
      <c r="G505" s="372">
        <f>C499</f>
        <v>100</v>
      </c>
      <c r="H505" s="488"/>
      <c r="I505" s="206">
        <f>+G505*H505</f>
        <v>0</v>
      </c>
      <c r="J505" s="372">
        <f>C499</f>
        <v>100</v>
      </c>
      <c r="K505" s="488">
        <f>'Rate Schedule (Part 1) PW'!E41</f>
        <v>0.6442</v>
      </c>
      <c r="L505" s="214">
        <f>+J505*K505</f>
        <v>64.42</v>
      </c>
      <c r="M505" s="224">
        <f>+L505-I505</f>
        <v>64.42</v>
      </c>
      <c r="N505" s="218" t="e">
        <f>+M505/I505</f>
        <v>#DIV/0!</v>
      </c>
      <c r="O505" s="225">
        <f>L505/L514</f>
        <v>0.01787038152574484</v>
      </c>
      <c r="P505" s="165"/>
    </row>
    <row r="506" spans="2:16" ht="17.25" customHeight="1" thickBot="1">
      <c r="B506" s="172"/>
      <c r="C506" s="31"/>
      <c r="D506" s="31"/>
      <c r="E506" s="31"/>
      <c r="F506" s="233" t="s">
        <v>247</v>
      </c>
      <c r="G506" s="586"/>
      <c r="H506" s="587"/>
      <c r="I506" s="235">
        <f>SUM(I497:I505)</f>
        <v>573.77</v>
      </c>
      <c r="J506" s="586"/>
      <c r="K506" s="587"/>
      <c r="L506" s="235">
        <f>SUM(L497:L505)</f>
        <v>475.2200000000001</v>
      </c>
      <c r="M506" s="237">
        <f>SUM(M497:M505)</f>
        <v>-98.54999999999997</v>
      </c>
      <c r="N506" s="238">
        <f t="shared" si="39"/>
        <v>-0.1717587186503302</v>
      </c>
      <c r="O506" s="240">
        <f>SUM(O497:O505)</f>
        <v>0.13182804577250024</v>
      </c>
      <c r="P506" s="165"/>
    </row>
    <row r="507" spans="2:16" ht="17.25" customHeight="1" thickBot="1">
      <c r="B507" s="172"/>
      <c r="C507" s="31"/>
      <c r="D507" s="31"/>
      <c r="E507" s="31"/>
      <c r="F507" s="199" t="s">
        <v>252</v>
      </c>
      <c r="G507" s="372">
        <f>C499</f>
        <v>100</v>
      </c>
      <c r="H507" s="373">
        <f>'Other Electriciy Rates PW'!$G$12</f>
        <v>3.7002</v>
      </c>
      <c r="I507" s="210">
        <f>+G507*H507</f>
        <v>370.02000000000004</v>
      </c>
      <c r="J507" s="372">
        <f>C499</f>
        <v>100</v>
      </c>
      <c r="K507" s="494">
        <f>'Other Electriciy Rates PW'!$G$26</f>
        <v>3.6656054700065805</v>
      </c>
      <c r="L507" s="210">
        <f>+J507*K507</f>
        <v>366.56054700065806</v>
      </c>
      <c r="M507" s="374">
        <f>+L507-I507</f>
        <v>-3.459452999341977</v>
      </c>
      <c r="N507" s="222">
        <f t="shared" si="39"/>
        <v>-0.00934936759997291</v>
      </c>
      <c r="O507" s="225">
        <f>L507/L514</f>
        <v>0.10168545214510219</v>
      </c>
      <c r="P507" s="165"/>
    </row>
    <row r="508" spans="2:16" ht="17.25" customHeight="1" thickBot="1">
      <c r="B508" s="172"/>
      <c r="C508" s="31"/>
      <c r="D508" s="31"/>
      <c r="E508" s="31"/>
      <c r="F508" s="233" t="s">
        <v>249</v>
      </c>
      <c r="G508" s="586"/>
      <c r="H508" s="587"/>
      <c r="I508" s="235">
        <f>SUM(I506:I507)</f>
        <v>943.79</v>
      </c>
      <c r="J508" s="586"/>
      <c r="K508" s="587"/>
      <c r="L508" s="235">
        <f>SUM(L506:L507)</f>
        <v>841.7805470006581</v>
      </c>
      <c r="M508" s="237">
        <f>SUM(M506:M507)</f>
        <v>-102.00945299934195</v>
      </c>
      <c r="N508" s="238">
        <f t="shared" si="39"/>
        <v>-0.10808490553973019</v>
      </c>
      <c r="O508" s="375">
        <f>L508/L514</f>
        <v>0.2335134979176024</v>
      </c>
      <c r="P508" s="165"/>
    </row>
    <row r="509" spans="2:16" ht="17.25" customHeight="1">
      <c r="B509" s="172"/>
      <c r="C509" s="31"/>
      <c r="D509" s="31"/>
      <c r="E509" s="31"/>
      <c r="F509" s="197" t="s">
        <v>77</v>
      </c>
      <c r="G509" s="202">
        <f>C498*'Other Electriciy Rates PW'!$M$12</f>
        <v>31803</v>
      </c>
      <c r="H509" s="203">
        <f>'Other Electriciy Rates PW'!$C$12+'Other Electriciy Rates PW'!$E$12+'Other Electriciy Rates PW'!D12</f>
        <v>0.0138725</v>
      </c>
      <c r="I509" s="204">
        <f>+G509*H509</f>
        <v>441.1871175</v>
      </c>
      <c r="J509" s="202">
        <f>C498*'Other Electriciy Rates PW'!$M$26</f>
        <v>31679.708252786095</v>
      </c>
      <c r="K509" s="203">
        <f>'Other Electriciy Rates PW'!$C$26+'Other Electriciy Rates PW'!$E$26+'Other Electriciy Rates PW'!D26</f>
        <v>0.0135</v>
      </c>
      <c r="L509" s="229">
        <f>+J509*K509</f>
        <v>427.6760614126123</v>
      </c>
      <c r="M509" s="230">
        <f>+L509-I509</f>
        <v>-13.511056087387715</v>
      </c>
      <c r="N509" s="231">
        <f t="shared" si="39"/>
        <v>-0.030624321407996948</v>
      </c>
      <c r="O509" s="225">
        <f>L509/L514</f>
        <v>0.11863915533795812</v>
      </c>
      <c r="P509" s="165"/>
    </row>
    <row r="510" spans="2:16" ht="21.75" customHeight="1">
      <c r="B510" s="172"/>
      <c r="C510" s="31"/>
      <c r="D510" s="31"/>
      <c r="E510" s="31"/>
      <c r="F510" s="200" t="s">
        <v>321</v>
      </c>
      <c r="G510" s="220"/>
      <c r="H510" s="219"/>
      <c r="I510" s="210">
        <v>0.25</v>
      </c>
      <c r="J510" s="220"/>
      <c r="K510" s="219"/>
      <c r="L510" s="214">
        <v>0.25</v>
      </c>
      <c r="M510" s="513">
        <f>+L510-I510</f>
        <v>0</v>
      </c>
      <c r="N510" s="231">
        <f t="shared" si="39"/>
        <v>0</v>
      </c>
      <c r="O510" s="225">
        <f>L510/L514</f>
        <v>6.935106149388715E-05</v>
      </c>
      <c r="P510" s="165"/>
    </row>
    <row r="511" spans="2:16" ht="17.25" customHeight="1" thickBot="1">
      <c r="B511" s="172"/>
      <c r="C511" s="31"/>
      <c r="D511" s="31"/>
      <c r="E511" s="31"/>
      <c r="F511" s="197" t="s">
        <v>78</v>
      </c>
      <c r="G511" s="202">
        <f>G509</f>
        <v>31803</v>
      </c>
      <c r="H511" s="203">
        <f>+'Other Electriciy Rates PW'!$K$12</f>
        <v>0.06062</v>
      </c>
      <c r="I511" s="204">
        <f>+G511*H511</f>
        <v>1927.89786</v>
      </c>
      <c r="J511" s="202">
        <f>J509</f>
        <v>31679.708252786095</v>
      </c>
      <c r="K511" s="203">
        <f>'Other Electriciy Rates PW'!$K$26</f>
        <v>0.06062</v>
      </c>
      <c r="L511" s="229">
        <f>+J511*K511</f>
        <v>1920.423914283893</v>
      </c>
      <c r="M511" s="230">
        <f>+L511-I511</f>
        <v>-7.473945716106982</v>
      </c>
      <c r="N511" s="231">
        <f t="shared" si="39"/>
        <v>-0.0038767332394398645</v>
      </c>
      <c r="O511" s="225">
        <f>L511/L514</f>
        <v>0.5327337478953349</v>
      </c>
      <c r="P511" s="165"/>
    </row>
    <row r="512" spans="2:16" ht="17.25" customHeight="1" thickBot="1">
      <c r="B512" s="172"/>
      <c r="C512" s="31"/>
      <c r="D512" s="31"/>
      <c r="E512" s="31"/>
      <c r="F512" s="233" t="s">
        <v>195</v>
      </c>
      <c r="G512" s="586"/>
      <c r="H512" s="587"/>
      <c r="I512" s="235">
        <f>SUM(I508:I511)</f>
        <v>3313.1249775</v>
      </c>
      <c r="J512" s="586"/>
      <c r="K512" s="587"/>
      <c r="L512" s="235">
        <f>SUM(L508:L511)</f>
        <v>3190.1305226971635</v>
      </c>
      <c r="M512" s="235">
        <f>SUM(M508:M511)</f>
        <v>-122.99445480283664</v>
      </c>
      <c r="N512" s="238">
        <f t="shared" si="39"/>
        <v>-0.037123397287489326</v>
      </c>
      <c r="O512" s="375">
        <f>L512/L514</f>
        <v>0.8849557522123893</v>
      </c>
      <c r="P512" s="165"/>
    </row>
    <row r="513" spans="2:16" ht="17.25" customHeight="1" thickBot="1">
      <c r="B513" s="172"/>
      <c r="C513" s="31"/>
      <c r="D513" s="31"/>
      <c r="E513" s="31"/>
      <c r="F513" s="297" t="s">
        <v>274</v>
      </c>
      <c r="G513" s="298"/>
      <c r="H513" s="302">
        <v>0.13</v>
      </c>
      <c r="I513" s="299">
        <f>I512*H513</f>
        <v>430.706247075</v>
      </c>
      <c r="J513" s="298"/>
      <c r="K513" s="302">
        <v>0.13</v>
      </c>
      <c r="L513" s="300">
        <f>L512*K513</f>
        <v>414.7169679506313</v>
      </c>
      <c r="M513" s="227">
        <f>+L513-I513</f>
        <v>-15.98927912436875</v>
      </c>
      <c r="N513" s="228">
        <f t="shared" si="39"/>
        <v>-0.03712339728748929</v>
      </c>
      <c r="O513" s="241">
        <f>L513/L514</f>
        <v>0.11504424778761062</v>
      </c>
      <c r="P513" s="165"/>
    </row>
    <row r="514" spans="2:16" ht="17.25" customHeight="1" thickBot="1">
      <c r="B514" s="172"/>
      <c r="C514" s="31"/>
      <c r="D514" s="31"/>
      <c r="E514" s="35"/>
      <c r="F514" s="239" t="s">
        <v>79</v>
      </c>
      <c r="G514" s="586"/>
      <c r="H514" s="587"/>
      <c r="I514" s="235">
        <f>SUM(I512:I513)</f>
        <v>3743.8312245750003</v>
      </c>
      <c r="J514" s="586"/>
      <c r="K514" s="587"/>
      <c r="L514" s="235">
        <f>SUM(L512:L513)</f>
        <v>3604.847490647795</v>
      </c>
      <c r="M514" s="235">
        <f>SUM(M512:M513)</f>
        <v>-138.98373392720538</v>
      </c>
      <c r="N514" s="238">
        <f t="shared" si="39"/>
        <v>-0.03712339728748932</v>
      </c>
      <c r="O514" s="240">
        <f>O512+O513</f>
        <v>0.9999999999999999</v>
      </c>
      <c r="P514" s="165"/>
    </row>
    <row r="515" spans="2:16" ht="17.25" customHeight="1" thickBot="1">
      <c r="B515" s="166"/>
      <c r="C515" s="178"/>
      <c r="D515" s="178"/>
      <c r="E515" s="178"/>
      <c r="F515" s="179"/>
      <c r="G515" s="180"/>
      <c r="H515" s="181"/>
      <c r="I515" s="182"/>
      <c r="J515" s="180"/>
      <c r="K515" s="183"/>
      <c r="L515" s="182"/>
      <c r="M515" s="184"/>
      <c r="N515" s="185"/>
      <c r="O515" s="186"/>
      <c r="P515" s="167"/>
    </row>
    <row r="516" spans="2:16" ht="17.25" customHeight="1" thickBot="1">
      <c r="B516" s="25"/>
      <c r="C516" s="31"/>
      <c r="D516" s="31"/>
      <c r="E516" s="31"/>
      <c r="F516" s="49"/>
      <c r="G516" s="50"/>
      <c r="H516" s="51"/>
      <c r="I516" s="52"/>
      <c r="J516" s="50"/>
      <c r="K516" s="53"/>
      <c r="L516" s="52"/>
      <c r="M516" s="54"/>
      <c r="N516" s="175"/>
      <c r="O516" s="176"/>
      <c r="P516" s="25"/>
    </row>
    <row r="517" spans="2:16" ht="17.25" customHeight="1">
      <c r="B517" s="174"/>
      <c r="C517" s="592"/>
      <c r="D517" s="592"/>
      <c r="E517" s="592"/>
      <c r="F517" s="592"/>
      <c r="G517" s="592"/>
      <c r="H517" s="592"/>
      <c r="I517" s="592"/>
      <c r="J517" s="592"/>
      <c r="K517" s="592"/>
      <c r="L517" s="592"/>
      <c r="M517" s="592"/>
      <c r="N517" s="592"/>
      <c r="O517" s="592"/>
      <c r="P517" s="164"/>
    </row>
    <row r="518" spans="2:16" ht="23.25">
      <c r="B518" s="172"/>
      <c r="C518" s="591" t="s">
        <v>311</v>
      </c>
      <c r="D518" s="591"/>
      <c r="E518" s="591"/>
      <c r="F518" s="591"/>
      <c r="G518" s="591"/>
      <c r="H518" s="591"/>
      <c r="I518" s="591"/>
      <c r="J518" s="591"/>
      <c r="K518" s="591"/>
      <c r="L518" s="591"/>
      <c r="M518" s="591"/>
      <c r="N518" s="591"/>
      <c r="O518" s="591"/>
      <c r="P518" s="165"/>
    </row>
    <row r="519" spans="2:17" ht="17.25" customHeight="1" thickBot="1">
      <c r="B519" s="172"/>
      <c r="C519" s="590"/>
      <c r="D519" s="590"/>
      <c r="E519" s="590"/>
      <c r="F519" s="590"/>
      <c r="G519" s="590"/>
      <c r="H519" s="590"/>
      <c r="I519" s="590"/>
      <c r="J519" s="590"/>
      <c r="K519" s="590"/>
      <c r="L519" s="590"/>
      <c r="M519" s="590"/>
      <c r="N519" s="590"/>
      <c r="O519" s="590"/>
      <c r="P519" s="165"/>
      <c r="Q519" s="25"/>
    </row>
    <row r="520" spans="2:17" ht="17.25" customHeight="1" thickBot="1">
      <c r="B520" s="172"/>
      <c r="C520" s="173"/>
      <c r="D520" s="173"/>
      <c r="E520" s="31"/>
      <c r="F520" s="32"/>
      <c r="G520" s="595" t="str">
        <f>$G$10</f>
        <v>2010 BILL</v>
      </c>
      <c r="H520" s="596"/>
      <c r="I520" s="597"/>
      <c r="J520" s="595" t="str">
        <f>$J$10</f>
        <v>2011 BILL</v>
      </c>
      <c r="K520" s="596"/>
      <c r="L520" s="597"/>
      <c r="M520" s="595" t="s">
        <v>73</v>
      </c>
      <c r="N520" s="596"/>
      <c r="O520" s="597"/>
      <c r="P520" s="165"/>
      <c r="Q520" s="25"/>
    </row>
    <row r="521" spans="2:17" ht="26.25" thickBot="1">
      <c r="B521" s="172"/>
      <c r="C521" s="31"/>
      <c r="D521" s="31"/>
      <c r="E521" s="33"/>
      <c r="F521" s="34"/>
      <c r="G521" s="391" t="s">
        <v>67</v>
      </c>
      <c r="H521" s="392" t="s">
        <v>68</v>
      </c>
      <c r="I521" s="393" t="s">
        <v>69</v>
      </c>
      <c r="J521" s="394" t="s">
        <v>67</v>
      </c>
      <c r="K521" s="392" t="s">
        <v>68</v>
      </c>
      <c r="L521" s="393" t="s">
        <v>69</v>
      </c>
      <c r="M521" s="192" t="s">
        <v>74</v>
      </c>
      <c r="N521" s="193" t="s">
        <v>75</v>
      </c>
      <c r="O521" s="194" t="s">
        <v>76</v>
      </c>
      <c r="P521" s="165"/>
      <c r="Q521" s="25"/>
    </row>
    <row r="522" spans="2:17" ht="17.25" customHeight="1" thickBot="1">
      <c r="B522" s="172"/>
      <c r="C522" s="593" t="s">
        <v>70</v>
      </c>
      <c r="D522" s="594"/>
      <c r="E522" s="31"/>
      <c r="F522" s="397" t="s">
        <v>71</v>
      </c>
      <c r="G522" s="395"/>
      <c r="H522" s="389"/>
      <c r="I522" s="204">
        <f>'2010 Existing RatesPW'!C11</f>
        <v>22.75</v>
      </c>
      <c r="J522" s="202"/>
      <c r="K522" s="390"/>
      <c r="L522" s="229">
        <f>+'Distribution Rate Schedule'!$C$33</f>
        <v>222.81</v>
      </c>
      <c r="M522" s="230">
        <f aca="true" t="shared" si="40" ref="M522:M528">+L522-I522</f>
        <v>200.06</v>
      </c>
      <c r="N522" s="231">
        <f aca="true" t="shared" si="41" ref="N522:N539">+M522/I522</f>
        <v>8.793846153846154</v>
      </c>
      <c r="O522" s="225">
        <f>L522/L539</f>
        <v>0.03514516839143174</v>
      </c>
      <c r="P522" s="165"/>
      <c r="Q522" s="25"/>
    </row>
    <row r="523" spans="2:17" ht="17.25" customHeight="1" thickBot="1">
      <c r="B523" s="172"/>
      <c r="C523" s="170">
        <v>55000</v>
      </c>
      <c r="D523" s="171" t="s">
        <v>16</v>
      </c>
      <c r="E523" s="31"/>
      <c r="F523" s="398" t="s">
        <v>82</v>
      </c>
      <c r="G523" s="396">
        <f>+C524</f>
        <v>175</v>
      </c>
      <c r="H523" s="196">
        <f>'2010 Existing RatesPW'!D75</f>
        <v>6.3575</v>
      </c>
      <c r="I523" s="210">
        <f>+G523*H523</f>
        <v>1112.5625</v>
      </c>
      <c r="J523" s="201">
        <f>G523</f>
        <v>175</v>
      </c>
      <c r="K523" s="195">
        <f>'Rate Schedule (Part 1) PW'!$E$35</f>
        <v>4.0311</v>
      </c>
      <c r="L523" s="214">
        <f>+J523*K523</f>
        <v>705.4425000000001</v>
      </c>
      <c r="M523" s="230">
        <f t="shared" si="40"/>
        <v>-407.1199999999999</v>
      </c>
      <c r="N523" s="231">
        <f t="shared" si="41"/>
        <v>-0.36593000393236325</v>
      </c>
      <c r="O523" s="225">
        <f>L523/L539</f>
        <v>0.11127371057390865</v>
      </c>
      <c r="P523" s="165"/>
      <c r="Q523" s="25"/>
    </row>
    <row r="524" spans="2:16" ht="17.25" customHeight="1" thickBot="1">
      <c r="B524" s="172"/>
      <c r="C524" s="170">
        <v>175</v>
      </c>
      <c r="D524" s="171" t="s">
        <v>17</v>
      </c>
      <c r="E524" s="31"/>
      <c r="F524" s="398" t="s">
        <v>250</v>
      </c>
      <c r="G524" s="333">
        <f>G523</f>
        <v>175</v>
      </c>
      <c r="H524" s="399">
        <f>'2010 Existing RatesPW'!D50</f>
        <v>0.7962</v>
      </c>
      <c r="I524" s="210">
        <f>G524*H524</f>
        <v>139.335</v>
      </c>
      <c r="J524" s="201">
        <f>+C524</f>
        <v>175</v>
      </c>
      <c r="K524" s="195">
        <f>'Rate Schedule (Part 1) PW'!$E$36</f>
        <v>0.1042</v>
      </c>
      <c r="L524" s="214">
        <f>+J524*K524</f>
        <v>18.235</v>
      </c>
      <c r="M524" s="230">
        <f t="shared" si="40"/>
        <v>-121.10000000000001</v>
      </c>
      <c r="N524" s="231">
        <f t="shared" si="41"/>
        <v>-0.8691283597086159</v>
      </c>
      <c r="O524" s="225">
        <f>L524/L539</f>
        <v>0.0028763167973509165</v>
      </c>
      <c r="P524" s="165"/>
    </row>
    <row r="525" spans="2:16" ht="17.25" customHeight="1">
      <c r="B525" s="172"/>
      <c r="C525" s="369"/>
      <c r="D525" s="388"/>
      <c r="E525" s="31"/>
      <c r="F525" s="199" t="s">
        <v>170</v>
      </c>
      <c r="G525" s="220"/>
      <c r="H525" s="219"/>
      <c r="I525" s="210">
        <f>'2010 Existing RatesNF'!$B$58</f>
        <v>1</v>
      </c>
      <c r="J525" s="220"/>
      <c r="K525" s="219"/>
      <c r="L525" s="210">
        <f>'2010 Existing RatesNF'!$B$58</f>
        <v>1</v>
      </c>
      <c r="M525" s="230">
        <f t="shared" si="40"/>
        <v>0</v>
      </c>
      <c r="N525" s="231">
        <f t="shared" si="41"/>
        <v>0</v>
      </c>
      <c r="O525" s="225">
        <f>L525/L539</f>
        <v>0.00015773604591998446</v>
      </c>
      <c r="P525" s="165"/>
    </row>
    <row r="526" spans="2:16" ht="17.25" customHeight="1">
      <c r="B526" s="172"/>
      <c r="C526" s="63"/>
      <c r="D526" s="64"/>
      <c r="E526" s="31"/>
      <c r="F526" s="199" t="s">
        <v>251</v>
      </c>
      <c r="G526" s="201">
        <f>G524</f>
        <v>175</v>
      </c>
      <c r="H526" s="196"/>
      <c r="I526" s="210">
        <f>+G526*H526</f>
        <v>0</v>
      </c>
      <c r="J526" s="201">
        <f>G526</f>
        <v>175</v>
      </c>
      <c r="K526" s="195">
        <f>'Rate Schedule (Part 1) PW'!$E$37</f>
        <v>0</v>
      </c>
      <c r="L526" s="214">
        <f>+J526*K526</f>
        <v>0</v>
      </c>
      <c r="M526" s="230">
        <f t="shared" si="40"/>
        <v>0</v>
      </c>
      <c r="N526" s="231" t="e">
        <f t="shared" si="41"/>
        <v>#DIV/0!</v>
      </c>
      <c r="O526" s="225">
        <f>L526/L539</f>
        <v>0</v>
      </c>
      <c r="P526" s="165"/>
    </row>
    <row r="527" spans="2:16" ht="27" customHeight="1">
      <c r="B527" s="172"/>
      <c r="C527" s="31"/>
      <c r="D527" s="31"/>
      <c r="E527" s="31"/>
      <c r="F527" s="199" t="s">
        <v>295</v>
      </c>
      <c r="G527" s="201">
        <f>+C524</f>
        <v>175</v>
      </c>
      <c r="H527" s="196">
        <f>'2010 Existing RatesPW'!D24</f>
        <v>-1.9651</v>
      </c>
      <c r="I527" s="210">
        <f>+G527*H527</f>
        <v>-343.8925</v>
      </c>
      <c r="J527" s="201">
        <f>+C524</f>
        <v>175</v>
      </c>
      <c r="K527" s="195">
        <f>'Rate Schedule (Part 1) PW'!$E$40</f>
        <v>-1.9651</v>
      </c>
      <c r="L527" s="214">
        <f>+J527*K527</f>
        <v>-343.8925</v>
      </c>
      <c r="M527" s="230">
        <f t="shared" si="40"/>
        <v>0</v>
      </c>
      <c r="N527" s="231">
        <f t="shared" si="41"/>
        <v>0</v>
      </c>
      <c r="O527" s="225">
        <f>L527/L539</f>
        <v>-0.05424424317153825</v>
      </c>
      <c r="P527" s="165"/>
    </row>
    <row r="528" spans="2:16" ht="29.25" customHeight="1">
      <c r="B528" s="172"/>
      <c r="C528" s="31"/>
      <c r="D528" s="31"/>
      <c r="E528" s="31"/>
      <c r="F528" s="199" t="s">
        <v>296</v>
      </c>
      <c r="G528" s="372">
        <f>C524</f>
        <v>175</v>
      </c>
      <c r="H528" s="488"/>
      <c r="I528" s="299">
        <f>+G528*H528</f>
        <v>0</v>
      </c>
      <c r="J528" s="372">
        <f>C524</f>
        <v>175</v>
      </c>
      <c r="K528" s="488">
        <f>'Rate Schedule (Part 1) PW'!E42</f>
        <v>-0.6119</v>
      </c>
      <c r="L528" s="229">
        <f>+J528*K528</f>
        <v>-107.0825</v>
      </c>
      <c r="M528" s="224">
        <f t="shared" si="40"/>
        <v>-107.0825</v>
      </c>
      <c r="N528" s="218" t="e">
        <f>+M528/I528</f>
        <v>#DIV/0!</v>
      </c>
      <c r="O528" s="225">
        <f>L528/L539</f>
        <v>-0.016890770137226736</v>
      </c>
      <c r="P528" s="165"/>
    </row>
    <row r="529" spans="2:16" ht="26.25" customHeight="1">
      <c r="B529" s="172"/>
      <c r="C529" s="63"/>
      <c r="D529" s="64"/>
      <c r="E529" s="31"/>
      <c r="F529" s="199" t="s">
        <v>318</v>
      </c>
      <c r="G529" s="201">
        <f>C524</f>
        <v>175</v>
      </c>
      <c r="H529" s="196">
        <f>'2010 Existing RatesPW'!D37</f>
        <v>0.3116</v>
      </c>
      <c r="I529" s="206">
        <f>+G529*H529</f>
        <v>54.53</v>
      </c>
      <c r="J529" s="201">
        <f>C524</f>
        <v>175</v>
      </c>
      <c r="K529" s="195">
        <f>'Rate Schedule (Part 1) PW'!E39</f>
        <v>0.3116</v>
      </c>
      <c r="L529" s="214">
        <f>+J529*K529</f>
        <v>54.53</v>
      </c>
      <c r="M529" s="224">
        <f>+L529-I529</f>
        <v>0</v>
      </c>
      <c r="N529" s="218">
        <f>+M529/I529</f>
        <v>0</v>
      </c>
      <c r="O529" s="225">
        <f>L529/L539</f>
        <v>0.008601346584016753</v>
      </c>
      <c r="P529" s="165"/>
    </row>
    <row r="530" spans="2:16" ht="27.75" customHeight="1" thickBot="1">
      <c r="B530" s="172"/>
      <c r="C530" s="31"/>
      <c r="D530" s="31"/>
      <c r="E530" s="31"/>
      <c r="F530" s="199" t="s">
        <v>319</v>
      </c>
      <c r="G530" s="372">
        <f>C524</f>
        <v>175</v>
      </c>
      <c r="H530" s="488"/>
      <c r="I530" s="206">
        <f>+G530*H530</f>
        <v>0</v>
      </c>
      <c r="J530" s="372">
        <f>C524</f>
        <v>175</v>
      </c>
      <c r="K530" s="488">
        <f>'Rate Schedule (Part 1) PW'!E41</f>
        <v>0.6442</v>
      </c>
      <c r="L530" s="214">
        <f>+J530*K530</f>
        <v>112.735</v>
      </c>
      <c r="M530" s="224">
        <f>+L530-I530</f>
        <v>112.735</v>
      </c>
      <c r="N530" s="218" t="e">
        <f>+M530/I530</f>
        <v>#DIV/0!</v>
      </c>
      <c r="O530" s="225">
        <f>L530/L539</f>
        <v>0.01778237313678945</v>
      </c>
      <c r="P530" s="165"/>
    </row>
    <row r="531" spans="2:16" ht="17.25" customHeight="1" thickBot="1">
      <c r="B531" s="172"/>
      <c r="C531" s="31"/>
      <c r="D531" s="31"/>
      <c r="E531" s="31"/>
      <c r="F531" s="233" t="s">
        <v>247</v>
      </c>
      <c r="G531" s="586"/>
      <c r="H531" s="587"/>
      <c r="I531" s="235">
        <f>SUM(I522:I530)</f>
        <v>986.2850000000001</v>
      </c>
      <c r="J531" s="586"/>
      <c r="K531" s="587"/>
      <c r="L531" s="235">
        <f>SUM(L522:L530)</f>
        <v>663.7775</v>
      </c>
      <c r="M531" s="237">
        <f>SUM(M522:M530)</f>
        <v>-322.5074999999999</v>
      </c>
      <c r="N531" s="238">
        <f t="shared" si="41"/>
        <v>-0.32699219799550827</v>
      </c>
      <c r="O531" s="240">
        <f>SUM(O522:O530)</f>
        <v>0.10470163822065251</v>
      </c>
      <c r="P531" s="165"/>
    </row>
    <row r="532" spans="2:16" ht="17.25" customHeight="1" thickBot="1">
      <c r="B532" s="172"/>
      <c r="C532" s="31"/>
      <c r="D532" s="31"/>
      <c r="E532" s="31"/>
      <c r="F532" s="199" t="s">
        <v>252</v>
      </c>
      <c r="G532" s="372">
        <f>C524</f>
        <v>175</v>
      </c>
      <c r="H532" s="373">
        <f>'Other Electriciy Rates PW'!$G$12</f>
        <v>3.7002</v>
      </c>
      <c r="I532" s="210">
        <f>+G532*H532</f>
        <v>647.5350000000001</v>
      </c>
      <c r="J532" s="372">
        <f>C524</f>
        <v>175</v>
      </c>
      <c r="K532" s="494">
        <f>'Other Electriciy Rates PW'!$G$26</f>
        <v>3.6656054700065805</v>
      </c>
      <c r="L532" s="210">
        <f>+J532*K532</f>
        <v>641.4809572511516</v>
      </c>
      <c r="M532" s="374">
        <f>+L532-I532</f>
        <v>-6.054042748848474</v>
      </c>
      <c r="N532" s="222">
        <f t="shared" si="41"/>
        <v>-0.009349367599972933</v>
      </c>
      <c r="O532" s="225">
        <f>L532/L539</f>
        <v>0.10118466972976324</v>
      </c>
      <c r="P532" s="165"/>
    </row>
    <row r="533" spans="2:16" ht="17.25" customHeight="1" thickBot="1">
      <c r="B533" s="172"/>
      <c r="C533" s="31"/>
      <c r="D533" s="31"/>
      <c r="E533" s="31"/>
      <c r="F533" s="233" t="s">
        <v>249</v>
      </c>
      <c r="G533" s="586"/>
      <c r="H533" s="587"/>
      <c r="I533" s="235">
        <f>SUM(I531:I532)</f>
        <v>1633.8200000000002</v>
      </c>
      <c r="J533" s="586"/>
      <c r="K533" s="587"/>
      <c r="L533" s="235">
        <f>SUM(L531:L532)</f>
        <v>1305.2584572511516</v>
      </c>
      <c r="M533" s="237">
        <f>SUM(M531:M532)</f>
        <v>-328.56154274884835</v>
      </c>
      <c r="N533" s="238">
        <f t="shared" si="41"/>
        <v>-0.20110020855960162</v>
      </c>
      <c r="O533" s="375">
        <f>L533/L539</f>
        <v>0.20588630795041574</v>
      </c>
      <c r="P533" s="165"/>
    </row>
    <row r="534" spans="2:16" ht="17.25" customHeight="1">
      <c r="B534" s="172"/>
      <c r="C534" s="31"/>
      <c r="D534" s="31"/>
      <c r="E534" s="31"/>
      <c r="F534" s="197" t="s">
        <v>77</v>
      </c>
      <c r="G534" s="202">
        <f>C523*'Other Electriciy Rates PW'!$M$12</f>
        <v>58305.5</v>
      </c>
      <c r="H534" s="203">
        <f>'Other Electriciy Rates PW'!$C$12+'Other Electriciy Rates PW'!$E$12+'Other Electriciy Rates PW'!D12</f>
        <v>0.0138725</v>
      </c>
      <c r="I534" s="204">
        <f>+G534*H534</f>
        <v>808.84304875</v>
      </c>
      <c r="J534" s="202">
        <f>C523*'Other Electriciy Rates PW'!$M$26</f>
        <v>58079.46513010784</v>
      </c>
      <c r="K534" s="203">
        <f>'Other Electriciy Rates PW'!$C$26+'Other Electriciy Rates PW'!$E$26+'Other Electriciy Rates PW'!D26</f>
        <v>0.0135</v>
      </c>
      <c r="L534" s="229">
        <f>+J534*K534</f>
        <v>784.0727792564559</v>
      </c>
      <c r="M534" s="230">
        <f>+L534-I534</f>
        <v>-24.770269493544106</v>
      </c>
      <c r="N534" s="231">
        <f t="shared" si="41"/>
        <v>-0.030624321407996903</v>
      </c>
      <c r="O534" s="225">
        <f>L534/L539</f>
        <v>0.12367653991340616</v>
      </c>
      <c r="P534" s="165"/>
    </row>
    <row r="535" spans="2:16" ht="21.75" customHeight="1">
      <c r="B535" s="172"/>
      <c r="C535" s="31"/>
      <c r="D535" s="31"/>
      <c r="E535" s="31"/>
      <c r="F535" s="200" t="s">
        <v>321</v>
      </c>
      <c r="G535" s="220"/>
      <c r="H535" s="219"/>
      <c r="I535" s="210">
        <v>0.25</v>
      </c>
      <c r="J535" s="220"/>
      <c r="K535" s="219"/>
      <c r="L535" s="214">
        <v>0.25</v>
      </c>
      <c r="M535" s="513">
        <f>+L535-I535</f>
        <v>0</v>
      </c>
      <c r="N535" s="231">
        <f t="shared" si="41"/>
        <v>0</v>
      </c>
      <c r="O535" s="225">
        <f>L535/L539</f>
        <v>3.9434011479996115E-05</v>
      </c>
      <c r="P535" s="165"/>
    </row>
    <row r="536" spans="2:16" ht="17.25" customHeight="1" thickBot="1">
      <c r="B536" s="172"/>
      <c r="C536" s="31"/>
      <c r="D536" s="31"/>
      <c r="E536" s="31"/>
      <c r="F536" s="197" t="s">
        <v>78</v>
      </c>
      <c r="G536" s="202">
        <f>G534</f>
        <v>58305.5</v>
      </c>
      <c r="H536" s="203">
        <f>+'Other Electriciy Rates PW'!$K$12</f>
        <v>0.06062</v>
      </c>
      <c r="I536" s="204">
        <f>+G536*H536</f>
        <v>3534.47941</v>
      </c>
      <c r="J536" s="202">
        <f>J534</f>
        <v>58079.46513010784</v>
      </c>
      <c r="K536" s="203">
        <f>'Other Electriciy Rates PW'!$K$26</f>
        <v>0.06062</v>
      </c>
      <c r="L536" s="229">
        <f>+J536*K536</f>
        <v>3520.7771761871372</v>
      </c>
      <c r="M536" s="230">
        <f>+L536-I536</f>
        <v>-13.702233812862687</v>
      </c>
      <c r="N536" s="231">
        <f t="shared" si="41"/>
        <v>-0.0038767332394398324</v>
      </c>
      <c r="O536" s="225">
        <f>L536/L539</f>
        <v>0.5553534703370875</v>
      </c>
      <c r="P536" s="165"/>
    </row>
    <row r="537" spans="2:16" ht="17.25" customHeight="1" thickBot="1">
      <c r="B537" s="172"/>
      <c r="C537" s="31"/>
      <c r="D537" s="31"/>
      <c r="E537" s="31"/>
      <c r="F537" s="233" t="s">
        <v>195</v>
      </c>
      <c r="G537" s="586"/>
      <c r="H537" s="587"/>
      <c r="I537" s="235">
        <f>SUM(I533:I536)</f>
        <v>5977.3924587500005</v>
      </c>
      <c r="J537" s="586"/>
      <c r="K537" s="587"/>
      <c r="L537" s="235">
        <f>SUM(L533:L536)</f>
        <v>5610.358412694744</v>
      </c>
      <c r="M537" s="235">
        <f>SUM(M533:M536)</f>
        <v>-367.03404605525515</v>
      </c>
      <c r="N537" s="238">
        <f t="shared" si="41"/>
        <v>-0.06140370547662011</v>
      </c>
      <c r="O537" s="375">
        <f>L537/L539</f>
        <v>0.8849557522123893</v>
      </c>
      <c r="P537" s="165"/>
    </row>
    <row r="538" spans="2:16" ht="17.25" customHeight="1" thickBot="1">
      <c r="B538" s="172"/>
      <c r="C538" s="31"/>
      <c r="D538" s="31"/>
      <c r="E538" s="31"/>
      <c r="F538" s="297" t="s">
        <v>274</v>
      </c>
      <c r="G538" s="298"/>
      <c r="H538" s="302">
        <v>0.13</v>
      </c>
      <c r="I538" s="299">
        <f>I537*H538</f>
        <v>777.0610196375001</v>
      </c>
      <c r="J538" s="298"/>
      <c r="K538" s="302">
        <v>0.13</v>
      </c>
      <c r="L538" s="300">
        <f>L537*K538</f>
        <v>729.3465936503168</v>
      </c>
      <c r="M538" s="227">
        <f>+L538-I538</f>
        <v>-47.71442598718329</v>
      </c>
      <c r="N538" s="228">
        <f t="shared" si="41"/>
        <v>-0.06140370547662027</v>
      </c>
      <c r="O538" s="241">
        <f>L538/L539</f>
        <v>0.11504424778761062</v>
      </c>
      <c r="P538" s="165"/>
    </row>
    <row r="539" spans="2:16" ht="17.25" customHeight="1" thickBot="1">
      <c r="B539" s="172"/>
      <c r="C539" s="31"/>
      <c r="D539" s="31"/>
      <c r="E539" s="35"/>
      <c r="F539" s="239" t="s">
        <v>79</v>
      </c>
      <c r="G539" s="586"/>
      <c r="H539" s="587"/>
      <c r="I539" s="235">
        <f>SUM(I537:I538)</f>
        <v>6754.453478387501</v>
      </c>
      <c r="J539" s="586"/>
      <c r="K539" s="587"/>
      <c r="L539" s="235">
        <f>SUM(L537:L538)</f>
        <v>6339.7050063450615</v>
      </c>
      <c r="M539" s="235">
        <f>SUM(M537:M538)</f>
        <v>-414.74847204243844</v>
      </c>
      <c r="N539" s="238">
        <f t="shared" si="41"/>
        <v>-0.06140370547662013</v>
      </c>
      <c r="O539" s="240">
        <f>O537+O538</f>
        <v>0.9999999999999999</v>
      </c>
      <c r="P539" s="165"/>
    </row>
    <row r="540" spans="2:16" ht="17.25" customHeight="1" thickBot="1">
      <c r="B540" s="166"/>
      <c r="C540" s="178"/>
      <c r="D540" s="178"/>
      <c r="E540" s="178"/>
      <c r="F540" s="179"/>
      <c r="G540" s="180"/>
      <c r="H540" s="181"/>
      <c r="I540" s="182"/>
      <c r="J540" s="180"/>
      <c r="K540" s="183"/>
      <c r="L540" s="182"/>
      <c r="M540" s="184"/>
      <c r="N540" s="185"/>
      <c r="O540" s="186"/>
      <c r="P540" s="167"/>
    </row>
    <row r="541" spans="2:16" ht="17.25" customHeight="1" thickBot="1">
      <c r="B541" s="25"/>
      <c r="C541" s="31"/>
      <c r="D541" s="31"/>
      <c r="E541" s="31"/>
      <c r="F541" s="49"/>
      <c r="G541" s="50"/>
      <c r="H541" s="51"/>
      <c r="I541" s="52"/>
      <c r="J541" s="50"/>
      <c r="K541" s="53"/>
      <c r="L541" s="52"/>
      <c r="M541" s="54"/>
      <c r="N541" s="175"/>
      <c r="O541" s="176"/>
      <c r="P541" s="25"/>
    </row>
    <row r="542" spans="2:16" ht="17.25" customHeight="1">
      <c r="B542" s="174"/>
      <c r="C542" s="592"/>
      <c r="D542" s="592"/>
      <c r="E542" s="592"/>
      <c r="F542" s="592"/>
      <c r="G542" s="592"/>
      <c r="H542" s="592"/>
      <c r="I542" s="592"/>
      <c r="J542" s="592"/>
      <c r="K542" s="592"/>
      <c r="L542" s="592"/>
      <c r="M542" s="592"/>
      <c r="N542" s="592"/>
      <c r="O542" s="592"/>
      <c r="P542" s="164"/>
    </row>
    <row r="543" spans="2:16" ht="23.25">
      <c r="B543" s="172"/>
      <c r="C543" s="591" t="s">
        <v>91</v>
      </c>
      <c r="D543" s="591"/>
      <c r="E543" s="591"/>
      <c r="F543" s="591"/>
      <c r="G543" s="591"/>
      <c r="H543" s="591"/>
      <c r="I543" s="591"/>
      <c r="J543" s="591"/>
      <c r="K543" s="591"/>
      <c r="L543" s="591"/>
      <c r="M543" s="591"/>
      <c r="N543" s="591"/>
      <c r="O543" s="591"/>
      <c r="P543" s="165"/>
    </row>
    <row r="544" spans="2:17" ht="17.25" customHeight="1" thickBot="1">
      <c r="B544" s="172"/>
      <c r="C544" s="590"/>
      <c r="D544" s="590"/>
      <c r="E544" s="590"/>
      <c r="F544" s="590"/>
      <c r="G544" s="590"/>
      <c r="H544" s="590"/>
      <c r="I544" s="590"/>
      <c r="J544" s="590"/>
      <c r="K544" s="590"/>
      <c r="L544" s="590"/>
      <c r="M544" s="590"/>
      <c r="N544" s="590"/>
      <c r="O544" s="590"/>
      <c r="P544" s="165"/>
      <c r="Q544" s="25"/>
    </row>
    <row r="545" spans="2:17" ht="17.25" customHeight="1" thickBot="1">
      <c r="B545" s="172"/>
      <c r="C545" s="173"/>
      <c r="D545" s="173"/>
      <c r="E545" s="31"/>
      <c r="F545" s="32"/>
      <c r="G545" s="595" t="str">
        <f>$G$10</f>
        <v>2010 BILL</v>
      </c>
      <c r="H545" s="596"/>
      <c r="I545" s="597"/>
      <c r="J545" s="595" t="str">
        <f>$J$10</f>
        <v>2011 BILL</v>
      </c>
      <c r="K545" s="596"/>
      <c r="L545" s="597"/>
      <c r="M545" s="595" t="s">
        <v>73</v>
      </c>
      <c r="N545" s="596"/>
      <c r="O545" s="597"/>
      <c r="P545" s="165"/>
      <c r="Q545" s="25"/>
    </row>
    <row r="546" spans="2:17" ht="26.25" thickBot="1">
      <c r="B546" s="172"/>
      <c r="C546" s="31"/>
      <c r="D546" s="31"/>
      <c r="E546" s="33"/>
      <c r="F546" s="34"/>
      <c r="G546" s="391" t="s">
        <v>67</v>
      </c>
      <c r="H546" s="392" t="s">
        <v>68</v>
      </c>
      <c r="I546" s="393" t="s">
        <v>69</v>
      </c>
      <c r="J546" s="394" t="s">
        <v>67</v>
      </c>
      <c r="K546" s="392" t="s">
        <v>68</v>
      </c>
      <c r="L546" s="393" t="s">
        <v>69</v>
      </c>
      <c r="M546" s="192" t="s">
        <v>74</v>
      </c>
      <c r="N546" s="193" t="s">
        <v>75</v>
      </c>
      <c r="O546" s="194" t="s">
        <v>76</v>
      </c>
      <c r="P546" s="165"/>
      <c r="Q546" s="25"/>
    </row>
    <row r="547" spans="2:17" ht="17.25" customHeight="1" thickBot="1">
      <c r="B547" s="172"/>
      <c r="C547" s="593" t="s">
        <v>70</v>
      </c>
      <c r="D547" s="594"/>
      <c r="E547" s="31"/>
      <c r="F547" s="397" t="s">
        <v>71</v>
      </c>
      <c r="G547" s="395"/>
      <c r="H547" s="389"/>
      <c r="I547" s="204">
        <f>'2010 Existing RatesPW'!C11</f>
        <v>22.75</v>
      </c>
      <c r="J547" s="202"/>
      <c r="K547" s="390"/>
      <c r="L547" s="229">
        <f>+'Distribution Rate Schedule'!$C$33</f>
        <v>222.81</v>
      </c>
      <c r="M547" s="230">
        <f aca="true" t="shared" si="42" ref="M547:M553">+L547-I547</f>
        <v>200.06</v>
      </c>
      <c r="N547" s="231">
        <f aca="true" t="shared" si="43" ref="N547:N564">+M547/I547</f>
        <v>8.793846153846154</v>
      </c>
      <c r="O547" s="225">
        <f>L547/L564</f>
        <v>0.010395292069793876</v>
      </c>
      <c r="P547" s="165"/>
      <c r="Q547" s="25"/>
    </row>
    <row r="548" spans="2:17" ht="17.25" customHeight="1" thickBot="1">
      <c r="B548" s="172"/>
      <c r="C548" s="170">
        <v>200000</v>
      </c>
      <c r="D548" s="171" t="s">
        <v>16</v>
      </c>
      <c r="E548" s="31"/>
      <c r="F548" s="398" t="s">
        <v>82</v>
      </c>
      <c r="G548" s="396">
        <f>+C549</f>
        <v>500</v>
      </c>
      <c r="H548" s="196">
        <f>'2010 Existing RatesPW'!D75</f>
        <v>6.3575</v>
      </c>
      <c r="I548" s="210">
        <f>+G548*H548</f>
        <v>3178.75</v>
      </c>
      <c r="J548" s="201">
        <f>G548</f>
        <v>500</v>
      </c>
      <c r="K548" s="195">
        <f>'Rate Schedule (Part 1) PW'!$E$35</f>
        <v>4.0311</v>
      </c>
      <c r="L548" s="214">
        <f>+J548*K548</f>
        <v>2015.5500000000002</v>
      </c>
      <c r="M548" s="230">
        <f t="shared" si="42"/>
        <v>-1163.1999999999998</v>
      </c>
      <c r="N548" s="231">
        <f t="shared" si="43"/>
        <v>-0.3659300039323633</v>
      </c>
      <c r="O548" s="225">
        <f>L548/L564</f>
        <v>0.0940363131424669</v>
      </c>
      <c r="P548" s="165"/>
      <c r="Q548" s="25"/>
    </row>
    <row r="549" spans="2:16" ht="17.25" customHeight="1" thickBot="1">
      <c r="B549" s="172"/>
      <c r="C549" s="170">
        <v>500</v>
      </c>
      <c r="D549" s="171" t="s">
        <v>17</v>
      </c>
      <c r="E549" s="31"/>
      <c r="F549" s="398" t="s">
        <v>250</v>
      </c>
      <c r="G549" s="333">
        <f>G548</f>
        <v>500</v>
      </c>
      <c r="H549" s="399">
        <f>'2010 Existing RatesPW'!D50</f>
        <v>0.7962</v>
      </c>
      <c r="I549" s="210">
        <f>G549*H549</f>
        <v>398.1</v>
      </c>
      <c r="J549" s="201">
        <f>+C549</f>
        <v>500</v>
      </c>
      <c r="K549" s="195">
        <f>'Rate Schedule (Part 1) PW'!$E$36</f>
        <v>0.1042</v>
      </c>
      <c r="L549" s="214">
        <f>+J549*K549</f>
        <v>52.1</v>
      </c>
      <c r="M549" s="230">
        <f t="shared" si="42"/>
        <v>-346</v>
      </c>
      <c r="N549" s="231">
        <f t="shared" si="43"/>
        <v>-0.8691283597086159</v>
      </c>
      <c r="O549" s="225">
        <f>L549/L564</f>
        <v>0.0024307469002121133</v>
      </c>
      <c r="P549" s="165"/>
    </row>
    <row r="550" spans="2:16" ht="17.25" customHeight="1">
      <c r="B550" s="172"/>
      <c r="C550" s="369"/>
      <c r="D550" s="388"/>
      <c r="E550" s="31"/>
      <c r="F550" s="199" t="s">
        <v>170</v>
      </c>
      <c r="G550" s="220"/>
      <c r="H550" s="219"/>
      <c r="I550" s="210">
        <f>'2010 Existing RatesNF'!$B$58</f>
        <v>1</v>
      </c>
      <c r="J550" s="220"/>
      <c r="K550" s="219"/>
      <c r="L550" s="210">
        <f>'2010 Existing RatesNF'!$B$58</f>
        <v>1</v>
      </c>
      <c r="M550" s="230">
        <f t="shared" si="42"/>
        <v>0</v>
      </c>
      <c r="N550" s="231">
        <f t="shared" si="43"/>
        <v>0</v>
      </c>
      <c r="O550" s="225">
        <f>L550/L564</f>
        <v>4.665541075263173E-05</v>
      </c>
      <c r="P550" s="165"/>
    </row>
    <row r="551" spans="2:16" ht="17.25" customHeight="1">
      <c r="B551" s="172"/>
      <c r="C551" s="63"/>
      <c r="D551" s="64"/>
      <c r="E551" s="31"/>
      <c r="F551" s="199" t="s">
        <v>251</v>
      </c>
      <c r="G551" s="201">
        <f>G549</f>
        <v>500</v>
      </c>
      <c r="H551" s="196"/>
      <c r="I551" s="210">
        <f>+G551*H551</f>
        <v>0</v>
      </c>
      <c r="J551" s="201">
        <f>G551</f>
        <v>500</v>
      </c>
      <c r="K551" s="195">
        <f>'Rate Schedule (Part 1) PW'!$E$37</f>
        <v>0</v>
      </c>
      <c r="L551" s="214">
        <f>+J551*K551</f>
        <v>0</v>
      </c>
      <c r="M551" s="230">
        <f t="shared" si="42"/>
        <v>0</v>
      </c>
      <c r="N551" s="231" t="e">
        <f t="shared" si="43"/>
        <v>#DIV/0!</v>
      </c>
      <c r="O551" s="225">
        <f>L551/L564</f>
        <v>0</v>
      </c>
      <c r="P551" s="165"/>
    </row>
    <row r="552" spans="2:16" ht="32.25" customHeight="1">
      <c r="B552" s="172"/>
      <c r="C552" s="31"/>
      <c r="D552" s="31"/>
      <c r="E552" s="31"/>
      <c r="F552" s="199" t="s">
        <v>295</v>
      </c>
      <c r="G552" s="201">
        <f>+C549</f>
        <v>500</v>
      </c>
      <c r="H552" s="196">
        <f>'2010 Existing RatesPW'!D24</f>
        <v>-1.9651</v>
      </c>
      <c r="I552" s="210">
        <f>+G552*H552</f>
        <v>-982.5500000000001</v>
      </c>
      <c r="J552" s="201">
        <f>+C549</f>
        <v>500</v>
      </c>
      <c r="K552" s="195">
        <f>'Rate Schedule (Part 1) PW'!$E$40</f>
        <v>-1.9651</v>
      </c>
      <c r="L552" s="214">
        <f>+J552*K552</f>
        <v>-982.5500000000001</v>
      </c>
      <c r="M552" s="230">
        <f t="shared" si="42"/>
        <v>0</v>
      </c>
      <c r="N552" s="231">
        <f t="shared" si="43"/>
        <v>0</v>
      </c>
      <c r="O552" s="225">
        <f>L552/L564</f>
        <v>-0.04584127383499831</v>
      </c>
      <c r="P552" s="165"/>
    </row>
    <row r="553" spans="2:16" ht="29.25" customHeight="1">
      <c r="B553" s="172"/>
      <c r="C553" s="31"/>
      <c r="D553" s="31"/>
      <c r="E553" s="31"/>
      <c r="F553" s="199" t="s">
        <v>296</v>
      </c>
      <c r="G553" s="372">
        <f>C549</f>
        <v>500</v>
      </c>
      <c r="H553" s="488"/>
      <c r="I553" s="299">
        <f>+G553*H553</f>
        <v>0</v>
      </c>
      <c r="J553" s="372">
        <f>C549</f>
        <v>500</v>
      </c>
      <c r="K553" s="488">
        <f>'Rate Schedule (Part 1) PW'!E42</f>
        <v>-0.6119</v>
      </c>
      <c r="L553" s="229">
        <f>+J553*K553</f>
        <v>-305.95</v>
      </c>
      <c r="M553" s="224">
        <f t="shared" si="42"/>
        <v>-305.95</v>
      </c>
      <c r="N553" s="218" t="e">
        <f>+M553/I553</f>
        <v>#DIV/0!</v>
      </c>
      <c r="O553" s="225">
        <f>L553/L564</f>
        <v>-0.014274222919767678</v>
      </c>
      <c r="P553" s="165"/>
    </row>
    <row r="554" spans="2:16" ht="26.25" customHeight="1">
      <c r="B554" s="172"/>
      <c r="C554" s="63"/>
      <c r="D554" s="64"/>
      <c r="E554" s="31"/>
      <c r="F554" s="199" t="s">
        <v>318</v>
      </c>
      <c r="G554" s="201">
        <f>C549</f>
        <v>500</v>
      </c>
      <c r="H554" s="196">
        <f>'2010 Existing RatesPW'!D37</f>
        <v>0.3116</v>
      </c>
      <c r="I554" s="206">
        <f>+G554*H554</f>
        <v>155.79999999999998</v>
      </c>
      <c r="J554" s="201">
        <f>C549</f>
        <v>500</v>
      </c>
      <c r="K554" s="195">
        <f>'Rate Schedule (Part 1) PW'!E39</f>
        <v>0.3116</v>
      </c>
      <c r="L554" s="214">
        <f>+J554*K554</f>
        <v>155.79999999999998</v>
      </c>
      <c r="M554" s="224">
        <f>+L554-I554</f>
        <v>0</v>
      </c>
      <c r="N554" s="218">
        <f>+M554/I554</f>
        <v>0</v>
      </c>
      <c r="O554" s="225">
        <f>L554/L564</f>
        <v>0.007268912995260023</v>
      </c>
      <c r="P554" s="165"/>
    </row>
    <row r="555" spans="2:16" ht="27.75" customHeight="1" thickBot="1">
      <c r="B555" s="172"/>
      <c r="C555" s="31"/>
      <c r="D555" s="31"/>
      <c r="E555" s="31"/>
      <c r="F555" s="199" t="s">
        <v>319</v>
      </c>
      <c r="G555" s="372">
        <f>C549</f>
        <v>500</v>
      </c>
      <c r="H555" s="488"/>
      <c r="I555" s="206">
        <f>+G555*H555</f>
        <v>0</v>
      </c>
      <c r="J555" s="372">
        <f>C549</f>
        <v>500</v>
      </c>
      <c r="K555" s="488">
        <f>'Rate Schedule (Part 1) PW'!E41</f>
        <v>0.6442</v>
      </c>
      <c r="L555" s="214">
        <f>+J555*K555</f>
        <v>322.1</v>
      </c>
      <c r="M555" s="224">
        <f>+L555-I555</f>
        <v>322.1</v>
      </c>
      <c r="N555" s="218" t="e">
        <f>+M555/I555</f>
        <v>#DIV/0!</v>
      </c>
      <c r="O555" s="225">
        <f>L555/L564</f>
        <v>0.015027707803422682</v>
      </c>
      <c r="P555" s="165"/>
    </row>
    <row r="556" spans="2:16" ht="17.25" customHeight="1" thickBot="1">
      <c r="B556" s="172"/>
      <c r="C556" s="31"/>
      <c r="D556" s="31"/>
      <c r="E556" s="31"/>
      <c r="F556" s="233" t="s">
        <v>247</v>
      </c>
      <c r="G556" s="586"/>
      <c r="H556" s="587"/>
      <c r="I556" s="235">
        <f>SUM(I547:I555)</f>
        <v>2773.85</v>
      </c>
      <c r="J556" s="586"/>
      <c r="K556" s="587"/>
      <c r="L556" s="235">
        <f>SUM(L547:L555)</f>
        <v>1480.8599999999997</v>
      </c>
      <c r="M556" s="237">
        <f>SUM(M547:M555)</f>
        <v>-1292.9899999999998</v>
      </c>
      <c r="N556" s="238">
        <f t="shared" si="43"/>
        <v>-0.46613551561908534</v>
      </c>
      <c r="O556" s="240">
        <f>SUM(O547:O555)</f>
        <v>0.06909013156714224</v>
      </c>
      <c r="P556" s="165"/>
    </row>
    <row r="557" spans="2:16" ht="17.25" customHeight="1" thickBot="1">
      <c r="B557" s="172"/>
      <c r="C557" s="31"/>
      <c r="D557" s="31"/>
      <c r="E557" s="31"/>
      <c r="F557" s="199" t="s">
        <v>252</v>
      </c>
      <c r="G557" s="372">
        <f>C549</f>
        <v>500</v>
      </c>
      <c r="H557" s="373">
        <f>'Other Electriciy Rates PW'!$G$12</f>
        <v>3.7002</v>
      </c>
      <c r="I557" s="210">
        <f>+G557*H557</f>
        <v>1850.1000000000001</v>
      </c>
      <c r="J557" s="372">
        <f>C549</f>
        <v>500</v>
      </c>
      <c r="K557" s="494">
        <f>'Other Electriciy Rates PW'!$G$26</f>
        <v>3.6656054700065805</v>
      </c>
      <c r="L557" s="210">
        <f>+J557*K557</f>
        <v>1832.8027350032903</v>
      </c>
      <c r="M557" s="374">
        <f>+L557-I557</f>
        <v>-17.297264996709828</v>
      </c>
      <c r="N557" s="222">
        <f t="shared" si="43"/>
        <v>-0.009349367599972881</v>
      </c>
      <c r="O557" s="225">
        <f>L557/L564</f>
        <v>0.08551016443012535</v>
      </c>
      <c r="P557" s="165"/>
    </row>
    <row r="558" spans="2:16" ht="17.25" customHeight="1" thickBot="1">
      <c r="B558" s="172"/>
      <c r="C558" s="31"/>
      <c r="D558" s="31"/>
      <c r="E558" s="31"/>
      <c r="F558" s="233" t="s">
        <v>249</v>
      </c>
      <c r="G558" s="586"/>
      <c r="H558" s="587"/>
      <c r="I558" s="235">
        <f>SUM(I556:I557)</f>
        <v>4623.95</v>
      </c>
      <c r="J558" s="586"/>
      <c r="K558" s="587"/>
      <c r="L558" s="235">
        <f>SUM(L556:L557)</f>
        <v>3313.66273500329</v>
      </c>
      <c r="M558" s="237">
        <f>SUM(M556:M557)</f>
        <v>-1310.2872649967096</v>
      </c>
      <c r="N558" s="238">
        <f t="shared" si="43"/>
        <v>-0.2833696871715113</v>
      </c>
      <c r="O558" s="375">
        <f>L558/L564</f>
        <v>0.15460029599726757</v>
      </c>
      <c r="P558" s="165"/>
    </row>
    <row r="559" spans="2:16" ht="17.25" customHeight="1">
      <c r="B559" s="172"/>
      <c r="C559" s="31"/>
      <c r="D559" s="31"/>
      <c r="E559" s="31"/>
      <c r="F559" s="197" t="s">
        <v>77</v>
      </c>
      <c r="G559" s="202">
        <f>C548*'Other Electriciy Rates PW'!$M$12</f>
        <v>212020</v>
      </c>
      <c r="H559" s="203">
        <f>'Other Electriciy Rates PW'!$C$12+'Other Electriciy Rates PW'!$E$12+'Other Electriciy Rates PW'!D12</f>
        <v>0.0138725</v>
      </c>
      <c r="I559" s="204">
        <f>+G559*H559</f>
        <v>2941.24745</v>
      </c>
      <c r="J559" s="202">
        <f>C548*'Other Electriciy Rates PW'!$M$26</f>
        <v>211198.05501857397</v>
      </c>
      <c r="K559" s="203">
        <f>'Other Electriciy Rates PW'!$C$26+'Other Electriciy Rates PW'!$E$26+'Other Electriciy Rates PW'!D26</f>
        <v>0.0135</v>
      </c>
      <c r="L559" s="229">
        <f>+J559*K559</f>
        <v>2851.1737427507487</v>
      </c>
      <c r="M559" s="230">
        <f>+L559-I559</f>
        <v>-90.07370724925113</v>
      </c>
      <c r="N559" s="231">
        <f t="shared" si="43"/>
        <v>-0.030624321407996848</v>
      </c>
      <c r="O559" s="225">
        <f>L559/L564</f>
        <v>0.13302268209515455</v>
      </c>
      <c r="P559" s="165"/>
    </row>
    <row r="560" spans="2:16" ht="21.75" customHeight="1">
      <c r="B560" s="172"/>
      <c r="C560" s="31"/>
      <c r="D560" s="31"/>
      <c r="E560" s="31"/>
      <c r="F560" s="200" t="s">
        <v>321</v>
      </c>
      <c r="G560" s="220"/>
      <c r="H560" s="219"/>
      <c r="I560" s="210">
        <v>0.25</v>
      </c>
      <c r="J560" s="220"/>
      <c r="K560" s="219"/>
      <c r="L560" s="214">
        <v>0.25</v>
      </c>
      <c r="M560" s="513">
        <f>+L560-I560</f>
        <v>0</v>
      </c>
      <c r="N560" s="231">
        <f t="shared" si="43"/>
        <v>0</v>
      </c>
      <c r="O560" s="225">
        <f>L560/L564</f>
        <v>1.1663852688157932E-05</v>
      </c>
      <c r="P560" s="165"/>
    </row>
    <row r="561" spans="2:16" ht="17.25" customHeight="1" thickBot="1">
      <c r="B561" s="172"/>
      <c r="C561" s="31"/>
      <c r="D561" s="31"/>
      <c r="E561" s="31"/>
      <c r="F561" s="197" t="s">
        <v>78</v>
      </c>
      <c r="G561" s="202">
        <f>G559</f>
        <v>212020</v>
      </c>
      <c r="H561" s="203">
        <f>+'Other Electriciy Rates PW'!$K$12</f>
        <v>0.06062</v>
      </c>
      <c r="I561" s="204">
        <f>+G561*H561</f>
        <v>12852.6524</v>
      </c>
      <c r="J561" s="202">
        <f>J559</f>
        <v>211198.05501857397</v>
      </c>
      <c r="K561" s="203">
        <f>'Other Electriciy Rates PW'!$K$26</f>
        <v>0.06062</v>
      </c>
      <c r="L561" s="229">
        <f>+J561*K561</f>
        <v>12802.826095225953</v>
      </c>
      <c r="M561" s="230">
        <f>+L561-I561</f>
        <v>-49.82630477404746</v>
      </c>
      <c r="N561" s="231">
        <f t="shared" si="43"/>
        <v>-0.0038767332394399347</v>
      </c>
      <c r="O561" s="225">
        <f>L561/L564</f>
        <v>0.5973211102672791</v>
      </c>
      <c r="P561" s="165"/>
    </row>
    <row r="562" spans="2:16" ht="17.25" customHeight="1" thickBot="1">
      <c r="B562" s="172"/>
      <c r="C562" s="31"/>
      <c r="D562" s="31"/>
      <c r="E562" s="31"/>
      <c r="F562" s="233" t="s">
        <v>195</v>
      </c>
      <c r="G562" s="586"/>
      <c r="H562" s="587"/>
      <c r="I562" s="235">
        <f>SUM(I558:I561)</f>
        <v>20418.09985</v>
      </c>
      <c r="J562" s="586"/>
      <c r="K562" s="587"/>
      <c r="L562" s="235">
        <f>SUM(L558:L561)</f>
        <v>18967.912572979993</v>
      </c>
      <c r="M562" s="235">
        <f>SUM(M558:M561)</f>
        <v>-1450.1872770200082</v>
      </c>
      <c r="N562" s="238">
        <f t="shared" si="43"/>
        <v>-0.07102459522059827</v>
      </c>
      <c r="O562" s="375">
        <f>L562/L564</f>
        <v>0.8849557522123893</v>
      </c>
      <c r="P562" s="165"/>
    </row>
    <row r="563" spans="2:16" ht="17.25" customHeight="1" thickBot="1">
      <c r="B563" s="172"/>
      <c r="C563" s="31"/>
      <c r="D563" s="31"/>
      <c r="E563" s="31"/>
      <c r="F563" s="297" t="s">
        <v>274</v>
      </c>
      <c r="G563" s="298"/>
      <c r="H563" s="302">
        <v>0.13</v>
      </c>
      <c r="I563" s="299">
        <f>I562*H563</f>
        <v>2654.3529805</v>
      </c>
      <c r="J563" s="298"/>
      <c r="K563" s="302">
        <v>0.13</v>
      </c>
      <c r="L563" s="300">
        <f>L562*K563</f>
        <v>2465.828634487399</v>
      </c>
      <c r="M563" s="227">
        <f>+L563-I563</f>
        <v>-188.52434601260074</v>
      </c>
      <c r="N563" s="228">
        <f t="shared" si="43"/>
        <v>-0.07102459522059815</v>
      </c>
      <c r="O563" s="241">
        <f>L563/L564</f>
        <v>0.11504424778761062</v>
      </c>
      <c r="P563" s="165"/>
    </row>
    <row r="564" spans="2:16" ht="17.25" customHeight="1" thickBot="1">
      <c r="B564" s="172"/>
      <c r="C564" s="31"/>
      <c r="D564" s="31"/>
      <c r="E564" s="35"/>
      <c r="F564" s="239" t="s">
        <v>79</v>
      </c>
      <c r="G564" s="586"/>
      <c r="H564" s="587"/>
      <c r="I564" s="235">
        <f>SUM(I562:I563)</f>
        <v>23072.4528305</v>
      </c>
      <c r="J564" s="586"/>
      <c r="K564" s="587"/>
      <c r="L564" s="235">
        <f>SUM(L562:L563)</f>
        <v>21433.741207467392</v>
      </c>
      <c r="M564" s="235">
        <f>SUM(M562:M563)</f>
        <v>-1638.711623032609</v>
      </c>
      <c r="N564" s="238">
        <f t="shared" si="43"/>
        <v>-0.07102459522059826</v>
      </c>
      <c r="O564" s="240">
        <f>O562+O563</f>
        <v>0.9999999999999999</v>
      </c>
      <c r="P564" s="165"/>
    </row>
    <row r="565" spans="2:16" ht="17.25" customHeight="1" thickBot="1">
      <c r="B565" s="166"/>
      <c r="C565" s="178"/>
      <c r="D565" s="178"/>
      <c r="E565" s="178"/>
      <c r="F565" s="179"/>
      <c r="G565" s="180"/>
      <c r="H565" s="181"/>
      <c r="I565" s="182"/>
      <c r="J565" s="180"/>
      <c r="K565" s="183"/>
      <c r="L565" s="182"/>
      <c r="M565" s="184"/>
      <c r="N565" s="185"/>
      <c r="O565" s="186"/>
      <c r="P565" s="167"/>
    </row>
    <row r="566" spans="2:16" ht="17.25" customHeight="1" thickBot="1">
      <c r="B566" s="25"/>
      <c r="C566" s="31"/>
      <c r="D566" s="31"/>
      <c r="E566" s="31"/>
      <c r="F566" s="49"/>
      <c r="G566" s="50"/>
      <c r="H566" s="51"/>
      <c r="I566" s="52"/>
      <c r="J566" s="50"/>
      <c r="K566" s="53"/>
      <c r="L566" s="52"/>
      <c r="M566" s="54"/>
      <c r="N566" s="175"/>
      <c r="O566" s="176"/>
      <c r="P566" s="25"/>
    </row>
    <row r="567" spans="2:16" ht="17.25" customHeight="1">
      <c r="B567" s="174"/>
      <c r="C567" s="592"/>
      <c r="D567" s="592"/>
      <c r="E567" s="592"/>
      <c r="F567" s="592"/>
      <c r="G567" s="592"/>
      <c r="H567" s="592"/>
      <c r="I567" s="592"/>
      <c r="J567" s="592"/>
      <c r="K567" s="592"/>
      <c r="L567" s="592"/>
      <c r="M567" s="592"/>
      <c r="N567" s="592"/>
      <c r="O567" s="592"/>
      <c r="P567" s="164"/>
    </row>
    <row r="568" spans="2:16" ht="23.25">
      <c r="B568" s="172"/>
      <c r="C568" s="591" t="s">
        <v>91</v>
      </c>
      <c r="D568" s="591"/>
      <c r="E568" s="591"/>
      <c r="F568" s="591"/>
      <c r="G568" s="591"/>
      <c r="H568" s="591"/>
      <c r="I568" s="591"/>
      <c r="J568" s="591"/>
      <c r="K568" s="591"/>
      <c r="L568" s="591"/>
      <c r="M568" s="591"/>
      <c r="N568" s="591"/>
      <c r="O568" s="591"/>
      <c r="P568" s="165"/>
    </row>
    <row r="569" spans="2:17" ht="17.25" customHeight="1" thickBot="1">
      <c r="B569" s="172"/>
      <c r="C569" s="590"/>
      <c r="D569" s="590"/>
      <c r="E569" s="590"/>
      <c r="F569" s="590"/>
      <c r="G569" s="590"/>
      <c r="H569" s="590"/>
      <c r="I569" s="590"/>
      <c r="J569" s="590"/>
      <c r="K569" s="590"/>
      <c r="L569" s="590"/>
      <c r="M569" s="590"/>
      <c r="N569" s="590"/>
      <c r="O569" s="590"/>
      <c r="P569" s="165"/>
      <c r="Q569" s="25"/>
    </row>
    <row r="570" spans="2:17" ht="17.25" customHeight="1" thickBot="1">
      <c r="B570" s="172"/>
      <c r="C570" s="173"/>
      <c r="D570" s="173"/>
      <c r="E570" s="31"/>
      <c r="F570" s="32"/>
      <c r="G570" s="595" t="str">
        <f>$G$10</f>
        <v>2010 BILL</v>
      </c>
      <c r="H570" s="596"/>
      <c r="I570" s="597"/>
      <c r="J570" s="595" t="str">
        <f>$J$10</f>
        <v>2011 BILL</v>
      </c>
      <c r="K570" s="596"/>
      <c r="L570" s="597"/>
      <c r="M570" s="595" t="s">
        <v>73</v>
      </c>
      <c r="N570" s="596"/>
      <c r="O570" s="597"/>
      <c r="P570" s="165"/>
      <c r="Q570" s="25"/>
    </row>
    <row r="571" spans="2:17" ht="26.25" thickBot="1">
      <c r="B571" s="172"/>
      <c r="C571" s="31"/>
      <c r="D571" s="31"/>
      <c r="E571" s="33"/>
      <c r="F571" s="34"/>
      <c r="G571" s="391" t="s">
        <v>67</v>
      </c>
      <c r="H571" s="392" t="s">
        <v>68</v>
      </c>
      <c r="I571" s="393" t="s">
        <v>69</v>
      </c>
      <c r="J571" s="394" t="s">
        <v>67</v>
      </c>
      <c r="K571" s="392" t="s">
        <v>68</v>
      </c>
      <c r="L571" s="393" t="s">
        <v>69</v>
      </c>
      <c r="M571" s="192" t="s">
        <v>74</v>
      </c>
      <c r="N571" s="193" t="s">
        <v>75</v>
      </c>
      <c r="O571" s="194" t="s">
        <v>76</v>
      </c>
      <c r="P571" s="165"/>
      <c r="Q571" s="25"/>
    </row>
    <row r="572" spans="2:17" ht="17.25" customHeight="1" thickBot="1">
      <c r="B572" s="172"/>
      <c r="C572" s="593" t="s">
        <v>70</v>
      </c>
      <c r="D572" s="594"/>
      <c r="E572" s="31"/>
      <c r="F572" s="397" t="s">
        <v>71</v>
      </c>
      <c r="G572" s="395"/>
      <c r="H572" s="389"/>
      <c r="I572" s="204">
        <f>'2010 Existing RatesPW'!C11</f>
        <v>22.75</v>
      </c>
      <c r="J572" s="202"/>
      <c r="K572" s="390"/>
      <c r="L572" s="229">
        <f>+'Distribution Rate Schedule'!$C$33</f>
        <v>222.81</v>
      </c>
      <c r="M572" s="230">
        <f aca="true" t="shared" si="44" ref="M572:M578">+L572-I572</f>
        <v>200.06</v>
      </c>
      <c r="N572" s="231">
        <f aca="true" t="shared" si="45" ref="N572:N589">+M572/I572</f>
        <v>8.793846153846154</v>
      </c>
      <c r="O572" s="225">
        <f>L572/L589</f>
        <v>0.0026220529265035095</v>
      </c>
      <c r="P572" s="165"/>
      <c r="Q572" s="25"/>
    </row>
    <row r="573" spans="2:17" ht="17.25" customHeight="1" thickBot="1">
      <c r="B573" s="172"/>
      <c r="C573" s="170">
        <v>800000</v>
      </c>
      <c r="D573" s="171" t="s">
        <v>16</v>
      </c>
      <c r="E573" s="31"/>
      <c r="F573" s="398" t="s">
        <v>82</v>
      </c>
      <c r="G573" s="396">
        <f>+C574</f>
        <v>2000</v>
      </c>
      <c r="H573" s="196">
        <f>'2010 Existing RatesPW'!D75</f>
        <v>6.3575</v>
      </c>
      <c r="I573" s="210">
        <f>+G573*H573</f>
        <v>12715</v>
      </c>
      <c r="J573" s="201">
        <f>G573</f>
        <v>2000</v>
      </c>
      <c r="K573" s="195">
        <f>'Rate Schedule (Part 1) PW'!$E$35</f>
        <v>4.0311</v>
      </c>
      <c r="L573" s="214">
        <f>+J573*K573</f>
        <v>8062.200000000001</v>
      </c>
      <c r="M573" s="230">
        <f t="shared" si="44"/>
        <v>-4652.799999999999</v>
      </c>
      <c r="N573" s="231">
        <f t="shared" si="45"/>
        <v>-0.3659300039323633</v>
      </c>
      <c r="O573" s="225">
        <f>L573/L589</f>
        <v>0.09487686865067364</v>
      </c>
      <c r="P573" s="165"/>
      <c r="Q573" s="25"/>
    </row>
    <row r="574" spans="2:16" ht="17.25" customHeight="1" thickBot="1">
      <c r="B574" s="172"/>
      <c r="C574" s="170">
        <v>2000</v>
      </c>
      <c r="D574" s="171" t="s">
        <v>17</v>
      </c>
      <c r="E574" s="31"/>
      <c r="F574" s="398" t="s">
        <v>250</v>
      </c>
      <c r="G574" s="333">
        <f>G573</f>
        <v>2000</v>
      </c>
      <c r="H574" s="399">
        <f>'2010 Existing RatesPW'!D50</f>
        <v>0.7962</v>
      </c>
      <c r="I574" s="210">
        <f>G574*H574</f>
        <v>1592.4</v>
      </c>
      <c r="J574" s="201">
        <f>+C574</f>
        <v>2000</v>
      </c>
      <c r="K574" s="195">
        <f>'Rate Schedule (Part 1) PW'!$E$36</f>
        <v>0.1042</v>
      </c>
      <c r="L574" s="214">
        <f>+J574*K574</f>
        <v>208.4</v>
      </c>
      <c r="M574" s="230">
        <f t="shared" si="44"/>
        <v>-1384</v>
      </c>
      <c r="N574" s="231">
        <f t="shared" si="45"/>
        <v>-0.8691283597086159</v>
      </c>
      <c r="O574" s="225">
        <f>L574/L589</f>
        <v>0.002452474439582296</v>
      </c>
      <c r="P574" s="165"/>
    </row>
    <row r="575" spans="2:16" ht="17.25" customHeight="1">
      <c r="B575" s="172"/>
      <c r="C575" s="369"/>
      <c r="D575" s="388"/>
      <c r="E575" s="31"/>
      <c r="F575" s="199" t="s">
        <v>170</v>
      </c>
      <c r="G575" s="220"/>
      <c r="H575" s="219"/>
      <c r="I575" s="210">
        <f>'2010 Existing RatesNF'!$B$58</f>
        <v>1</v>
      </c>
      <c r="J575" s="220"/>
      <c r="K575" s="219"/>
      <c r="L575" s="210">
        <f>'2010 Existing RatesNF'!$B$58</f>
        <v>1</v>
      </c>
      <c r="M575" s="230">
        <f t="shared" si="44"/>
        <v>0</v>
      </c>
      <c r="N575" s="231">
        <f t="shared" si="45"/>
        <v>0</v>
      </c>
      <c r="O575" s="225">
        <f>L575/L589</f>
        <v>1.1768111514310442E-05</v>
      </c>
      <c r="P575" s="165"/>
    </row>
    <row r="576" spans="2:16" ht="17.25" customHeight="1">
      <c r="B576" s="172"/>
      <c r="C576" s="63"/>
      <c r="D576" s="64"/>
      <c r="E576" s="31"/>
      <c r="F576" s="199" t="s">
        <v>251</v>
      </c>
      <c r="G576" s="201">
        <f>G574</f>
        <v>2000</v>
      </c>
      <c r="H576" s="196"/>
      <c r="I576" s="210">
        <f>+G576*H576</f>
        <v>0</v>
      </c>
      <c r="J576" s="201">
        <f>G576</f>
        <v>2000</v>
      </c>
      <c r="K576" s="195">
        <f>'Rate Schedule (Part 1) PW'!$E$37</f>
        <v>0</v>
      </c>
      <c r="L576" s="214">
        <f>+J576*K576</f>
        <v>0</v>
      </c>
      <c r="M576" s="230">
        <f t="shared" si="44"/>
        <v>0</v>
      </c>
      <c r="N576" s="231" t="e">
        <f t="shared" si="45"/>
        <v>#DIV/0!</v>
      </c>
      <c r="O576" s="225">
        <f>L576/L589</f>
        <v>0</v>
      </c>
      <c r="P576" s="165"/>
    </row>
    <row r="577" spans="2:16" ht="30.75" customHeight="1">
      <c r="B577" s="172"/>
      <c r="C577" s="31"/>
      <c r="D577" s="31"/>
      <c r="E577" s="31"/>
      <c r="F577" s="199" t="s">
        <v>295</v>
      </c>
      <c r="G577" s="201">
        <f>+C574</f>
        <v>2000</v>
      </c>
      <c r="H577" s="196">
        <f>'2010 Existing RatesPW'!D24</f>
        <v>-1.9651</v>
      </c>
      <c r="I577" s="210">
        <f>+G577*H577</f>
        <v>-3930.2000000000003</v>
      </c>
      <c r="J577" s="201">
        <f>+C574</f>
        <v>2000</v>
      </c>
      <c r="K577" s="195">
        <f>'Rate Schedule (Part 1) PW'!$E$40</f>
        <v>-1.9651</v>
      </c>
      <c r="L577" s="214">
        <f>+J577*K577</f>
        <v>-3930.2000000000003</v>
      </c>
      <c r="M577" s="230">
        <f t="shared" si="44"/>
        <v>0</v>
      </c>
      <c r="N577" s="231">
        <f t="shared" si="45"/>
        <v>0</v>
      </c>
      <c r="O577" s="225">
        <f>L577/L589</f>
        <v>-0.046251031873542896</v>
      </c>
      <c r="P577" s="165"/>
    </row>
    <row r="578" spans="2:16" ht="29.25" customHeight="1">
      <c r="B578" s="172"/>
      <c r="C578" s="31"/>
      <c r="D578" s="31"/>
      <c r="E578" s="31"/>
      <c r="F578" s="199" t="s">
        <v>296</v>
      </c>
      <c r="G578" s="372">
        <f>C574</f>
        <v>2000</v>
      </c>
      <c r="H578" s="488"/>
      <c r="I578" s="299">
        <f>+G578*H578</f>
        <v>0</v>
      </c>
      <c r="J578" s="372">
        <f>C574</f>
        <v>2000</v>
      </c>
      <c r="K578" s="488">
        <f>'Rate Schedule (Part 1) PW'!E42</f>
        <v>-0.6119</v>
      </c>
      <c r="L578" s="229">
        <f>+J578*K578</f>
        <v>-1223.8</v>
      </c>
      <c r="M578" s="224">
        <f t="shared" si="44"/>
        <v>-1223.8</v>
      </c>
      <c r="N578" s="218" t="e">
        <f>+M578/I578</f>
        <v>#DIV/0!</v>
      </c>
      <c r="O578" s="225">
        <f>L578/L589</f>
        <v>-0.014401814871213118</v>
      </c>
      <c r="P578" s="165"/>
    </row>
    <row r="579" spans="2:16" ht="26.25" customHeight="1">
      <c r="B579" s="172"/>
      <c r="C579" s="63"/>
      <c r="D579" s="64"/>
      <c r="E579" s="31"/>
      <c r="F579" s="199" t="s">
        <v>318</v>
      </c>
      <c r="G579" s="201">
        <f>C574</f>
        <v>2000</v>
      </c>
      <c r="H579" s="196">
        <f>'2010 Existing RatesPW'!D37</f>
        <v>0.3116</v>
      </c>
      <c r="I579" s="206">
        <f>+G579*H579</f>
        <v>623.1999999999999</v>
      </c>
      <c r="J579" s="201">
        <f>C574</f>
        <v>2000</v>
      </c>
      <c r="K579" s="195">
        <f>'Rate Schedule (Part 1) PW'!E39</f>
        <v>0.3116</v>
      </c>
      <c r="L579" s="214">
        <f>+J579*K579</f>
        <v>623.1999999999999</v>
      </c>
      <c r="M579" s="224">
        <f>+L579-I579</f>
        <v>0</v>
      </c>
      <c r="N579" s="218">
        <f>+M579/I579</f>
        <v>0</v>
      </c>
      <c r="O579" s="225">
        <f>L579/L589</f>
        <v>0.0073338870957182665</v>
      </c>
      <c r="P579" s="165"/>
    </row>
    <row r="580" spans="2:16" ht="27.75" customHeight="1" thickBot="1">
      <c r="B580" s="172"/>
      <c r="C580" s="31"/>
      <c r="D580" s="31"/>
      <c r="E580" s="31"/>
      <c r="F580" s="199" t="s">
        <v>319</v>
      </c>
      <c r="G580" s="372">
        <f>C574</f>
        <v>2000</v>
      </c>
      <c r="H580" s="488"/>
      <c r="I580" s="206">
        <f>+G580*H580</f>
        <v>0</v>
      </c>
      <c r="J580" s="372">
        <f>C574</f>
        <v>2000</v>
      </c>
      <c r="K580" s="488">
        <f>'Rate Schedule (Part 1) PW'!E41</f>
        <v>0.6442</v>
      </c>
      <c r="L580" s="214">
        <f>+J580*K580</f>
        <v>1288.4</v>
      </c>
      <c r="M580" s="224">
        <f>+L580-I580</f>
        <v>1288.4</v>
      </c>
      <c r="N580" s="218" t="e">
        <f>+M580/I580</f>
        <v>#DIV/0!</v>
      </c>
      <c r="O580" s="225">
        <f>L580/L589</f>
        <v>0.015162034875037573</v>
      </c>
      <c r="P580" s="165"/>
    </row>
    <row r="581" spans="2:16" ht="17.25" customHeight="1" thickBot="1">
      <c r="B581" s="172"/>
      <c r="C581" s="31"/>
      <c r="D581" s="31"/>
      <c r="E581" s="31"/>
      <c r="F581" s="233" t="s">
        <v>247</v>
      </c>
      <c r="G581" s="586"/>
      <c r="H581" s="587"/>
      <c r="I581" s="235">
        <f>SUM(I572:I580)</f>
        <v>11024.15</v>
      </c>
      <c r="J581" s="586"/>
      <c r="K581" s="587"/>
      <c r="L581" s="235">
        <f>SUM(L572:L580)</f>
        <v>5252.009999999998</v>
      </c>
      <c r="M581" s="237">
        <f>SUM(M572:M580)</f>
        <v>-5772.139999999999</v>
      </c>
      <c r="N581" s="238">
        <f t="shared" si="45"/>
        <v>-0.523590480898754</v>
      </c>
      <c r="O581" s="240">
        <f>SUM(O572:O580)</f>
        <v>0.06180623935427358</v>
      </c>
      <c r="P581" s="165"/>
    </row>
    <row r="582" spans="2:16" ht="17.25" customHeight="1" thickBot="1">
      <c r="B582" s="172"/>
      <c r="C582" s="31"/>
      <c r="D582" s="31"/>
      <c r="E582" s="31"/>
      <c r="F582" s="199" t="s">
        <v>252</v>
      </c>
      <c r="G582" s="372">
        <f>C574</f>
        <v>2000</v>
      </c>
      <c r="H582" s="373">
        <f>'Other Electriciy Rates PW'!$G$12</f>
        <v>3.7002</v>
      </c>
      <c r="I582" s="210">
        <f>+G582*H582</f>
        <v>7400.400000000001</v>
      </c>
      <c r="J582" s="372">
        <f>C574</f>
        <v>2000</v>
      </c>
      <c r="K582" s="494">
        <f>'Other Electriciy Rates PW'!$G$26</f>
        <v>3.6656054700065805</v>
      </c>
      <c r="L582" s="210">
        <f>+J582*K582</f>
        <v>7331.210940013161</v>
      </c>
      <c r="M582" s="374">
        <f>+L582-I582</f>
        <v>-69.18905998683931</v>
      </c>
      <c r="N582" s="222">
        <f t="shared" si="45"/>
        <v>-0.009349367599972881</v>
      </c>
      <c r="O582" s="225">
        <f>L582/L589</f>
        <v>0.08627450787700755</v>
      </c>
      <c r="P582" s="165"/>
    </row>
    <row r="583" spans="2:16" ht="17.25" customHeight="1" thickBot="1">
      <c r="B583" s="172"/>
      <c r="C583" s="31"/>
      <c r="D583" s="31"/>
      <c r="E583" s="31"/>
      <c r="F583" s="233" t="s">
        <v>249</v>
      </c>
      <c r="G583" s="586"/>
      <c r="H583" s="587"/>
      <c r="I583" s="235">
        <f>SUM(I581:I582)</f>
        <v>18424.55</v>
      </c>
      <c r="J583" s="586"/>
      <c r="K583" s="587"/>
      <c r="L583" s="235">
        <f>SUM(L581:L582)</f>
        <v>12583.22094001316</v>
      </c>
      <c r="M583" s="237">
        <f>SUM(M581:M582)</f>
        <v>-5841.329059986839</v>
      </c>
      <c r="N583" s="238">
        <f t="shared" si="45"/>
        <v>-0.31704052799047133</v>
      </c>
      <c r="O583" s="375">
        <f>L583/L589</f>
        <v>0.14808074723128112</v>
      </c>
      <c r="P583" s="165"/>
    </row>
    <row r="584" spans="2:16" ht="17.25" customHeight="1">
      <c r="B584" s="172"/>
      <c r="C584" s="31"/>
      <c r="D584" s="31"/>
      <c r="E584" s="31"/>
      <c r="F584" s="197" t="s">
        <v>77</v>
      </c>
      <c r="G584" s="202">
        <f>C573*'Other Electriciy Rates PW'!$M$12</f>
        <v>848080</v>
      </c>
      <c r="H584" s="203">
        <f>'Other Electriciy Rates PW'!$C$12+'Other Electriciy Rates PW'!$E$12+'Other Electriciy Rates PW'!D12</f>
        <v>0.0138725</v>
      </c>
      <c r="I584" s="204">
        <f>+G584*H584</f>
        <v>11764.9898</v>
      </c>
      <c r="J584" s="202">
        <f>C573*'Other Electriciy Rates PW'!$M$26</f>
        <v>844792.2200742959</v>
      </c>
      <c r="K584" s="203">
        <f>'Other Electriciy Rates PW'!$C$26+'Other Electriciy Rates PW'!$E$26+'Other Electriciy Rates PW'!D26</f>
        <v>0.0135</v>
      </c>
      <c r="L584" s="229">
        <f>+J584*K584</f>
        <v>11404.694971002995</v>
      </c>
      <c r="M584" s="230">
        <f>+L584-I584</f>
        <v>-360.2948289970045</v>
      </c>
      <c r="N584" s="231">
        <f t="shared" si="45"/>
        <v>-0.030624321407996848</v>
      </c>
      <c r="O584" s="225">
        <f>L584/L589</f>
        <v>0.13421172220545874</v>
      </c>
      <c r="P584" s="165"/>
    </row>
    <row r="585" spans="2:16" ht="21.75" customHeight="1">
      <c r="B585" s="172"/>
      <c r="C585" s="31"/>
      <c r="D585" s="31"/>
      <c r="E585" s="31"/>
      <c r="F585" s="200" t="s">
        <v>321</v>
      </c>
      <c r="G585" s="220"/>
      <c r="H585" s="219"/>
      <c r="I585" s="210">
        <v>0.25</v>
      </c>
      <c r="J585" s="220"/>
      <c r="K585" s="219"/>
      <c r="L585" s="214">
        <v>0.25</v>
      </c>
      <c r="M585" s="513">
        <f>+L585-I585</f>
        <v>0</v>
      </c>
      <c r="N585" s="231">
        <f t="shared" si="45"/>
        <v>0</v>
      </c>
      <c r="O585" s="225">
        <f>L585/L589</f>
        <v>2.9420278785776105E-06</v>
      </c>
      <c r="P585" s="165"/>
    </row>
    <row r="586" spans="2:16" ht="17.25" customHeight="1" thickBot="1">
      <c r="B586" s="172"/>
      <c r="C586" s="31"/>
      <c r="D586" s="31"/>
      <c r="E586" s="31"/>
      <c r="F586" s="197" t="s">
        <v>78</v>
      </c>
      <c r="G586" s="202">
        <f>G584</f>
        <v>848080</v>
      </c>
      <c r="H586" s="203">
        <f>+'Other Electriciy Rates PW'!$K$12</f>
        <v>0.06062</v>
      </c>
      <c r="I586" s="204">
        <f>+G586*H586</f>
        <v>51410.6096</v>
      </c>
      <c r="J586" s="202">
        <f>J584</f>
        <v>844792.2200742959</v>
      </c>
      <c r="K586" s="203">
        <f>'Other Electriciy Rates PW'!$K$26</f>
        <v>0.06062</v>
      </c>
      <c r="L586" s="229">
        <f>+J586*K586</f>
        <v>51211.30438090381</v>
      </c>
      <c r="M586" s="230">
        <f>+L586-I586</f>
        <v>-199.30521909618983</v>
      </c>
      <c r="N586" s="231">
        <f t="shared" si="45"/>
        <v>-0.0038767332394399347</v>
      </c>
      <c r="O586" s="225">
        <f>L586/L589</f>
        <v>0.6026603407477709</v>
      </c>
      <c r="P586" s="165"/>
    </row>
    <row r="587" spans="2:16" ht="17.25" customHeight="1" thickBot="1">
      <c r="B587" s="172"/>
      <c r="C587" s="31"/>
      <c r="D587" s="31"/>
      <c r="E587" s="31"/>
      <c r="F587" s="233" t="s">
        <v>195</v>
      </c>
      <c r="G587" s="586"/>
      <c r="H587" s="587"/>
      <c r="I587" s="235">
        <f>SUM(I583:I586)</f>
        <v>81600.3994</v>
      </c>
      <c r="J587" s="586"/>
      <c r="K587" s="587"/>
      <c r="L587" s="235">
        <f>SUM(L583:L586)</f>
        <v>75199.47029191998</v>
      </c>
      <c r="M587" s="235">
        <f>SUM(M583:M586)</f>
        <v>-6400.929108080033</v>
      </c>
      <c r="N587" s="238">
        <f t="shared" si="45"/>
        <v>-0.07844237473278878</v>
      </c>
      <c r="O587" s="375">
        <f>L587/L589</f>
        <v>0.8849557522123894</v>
      </c>
      <c r="P587" s="165"/>
    </row>
    <row r="588" spans="2:16" ht="17.25" customHeight="1" thickBot="1">
      <c r="B588" s="172"/>
      <c r="C588" s="31"/>
      <c r="D588" s="31"/>
      <c r="E588" s="31"/>
      <c r="F588" s="297" t="s">
        <v>274</v>
      </c>
      <c r="G588" s="298"/>
      <c r="H588" s="302">
        <v>0.13</v>
      </c>
      <c r="I588" s="299">
        <f>I587*H588</f>
        <v>10608.051922</v>
      </c>
      <c r="J588" s="298"/>
      <c r="K588" s="302">
        <v>0.13</v>
      </c>
      <c r="L588" s="300">
        <f>L587*K588</f>
        <v>9775.931137949598</v>
      </c>
      <c r="M588" s="227">
        <f>+L588-I588</f>
        <v>-832.120784050403</v>
      </c>
      <c r="N588" s="228">
        <f t="shared" si="45"/>
        <v>-0.07844237473278866</v>
      </c>
      <c r="O588" s="241">
        <f>L588/L589</f>
        <v>0.11504424778761063</v>
      </c>
      <c r="P588" s="165"/>
    </row>
    <row r="589" spans="2:16" ht="17.25" customHeight="1" thickBot="1">
      <c r="B589" s="172"/>
      <c r="C589" s="31"/>
      <c r="D589" s="31"/>
      <c r="E589" s="35"/>
      <c r="F589" s="239" t="s">
        <v>79</v>
      </c>
      <c r="G589" s="586"/>
      <c r="H589" s="587"/>
      <c r="I589" s="235">
        <f>SUM(I587:I588)</f>
        <v>92208.451322</v>
      </c>
      <c r="J589" s="586"/>
      <c r="K589" s="587"/>
      <c r="L589" s="235">
        <f>SUM(L587:L588)</f>
        <v>84975.40142986957</v>
      </c>
      <c r="M589" s="235">
        <f>SUM(M587:M588)</f>
        <v>-7233.049892130436</v>
      </c>
      <c r="N589" s="238">
        <f t="shared" si="45"/>
        <v>-0.07844237473278877</v>
      </c>
      <c r="O589" s="240">
        <f>O587+O588</f>
        <v>1</v>
      </c>
      <c r="P589" s="165"/>
    </row>
    <row r="590" spans="2:16" ht="17.25" customHeight="1" thickBot="1">
      <c r="B590" s="166"/>
      <c r="C590" s="178"/>
      <c r="D590" s="178"/>
      <c r="E590" s="178"/>
      <c r="F590" s="179"/>
      <c r="G590" s="180"/>
      <c r="H590" s="181"/>
      <c r="I590" s="182"/>
      <c r="J590" s="180"/>
      <c r="K590" s="183"/>
      <c r="L590" s="182"/>
      <c r="M590" s="184"/>
      <c r="N590" s="185"/>
      <c r="O590" s="186"/>
      <c r="P590" s="167"/>
    </row>
    <row r="591" spans="2:16" ht="17.25" customHeight="1" thickBot="1">
      <c r="B591" s="25"/>
      <c r="C591" s="31"/>
      <c r="D591" s="31"/>
      <c r="E591" s="31"/>
      <c r="F591" s="49"/>
      <c r="G591" s="50"/>
      <c r="H591" s="51"/>
      <c r="I591" s="52"/>
      <c r="J591" s="50"/>
      <c r="K591" s="53"/>
      <c r="L591" s="52"/>
      <c r="M591" s="54"/>
      <c r="N591" s="175"/>
      <c r="O591" s="176"/>
      <c r="P591" s="25"/>
    </row>
    <row r="592" spans="2:16" ht="17.25" customHeight="1">
      <c r="B592" s="174"/>
      <c r="C592" s="592"/>
      <c r="D592" s="592"/>
      <c r="E592" s="592"/>
      <c r="F592" s="592"/>
      <c r="G592" s="592"/>
      <c r="H592" s="592"/>
      <c r="I592" s="592"/>
      <c r="J592" s="592"/>
      <c r="K592" s="592"/>
      <c r="L592" s="592"/>
      <c r="M592" s="592"/>
      <c r="N592" s="592"/>
      <c r="O592" s="592"/>
      <c r="P592" s="164"/>
    </row>
    <row r="593" spans="2:16" ht="23.25">
      <c r="B593" s="172"/>
      <c r="C593" s="591" t="s">
        <v>91</v>
      </c>
      <c r="D593" s="591"/>
      <c r="E593" s="591"/>
      <c r="F593" s="591"/>
      <c r="G593" s="591"/>
      <c r="H593" s="591"/>
      <c r="I593" s="591"/>
      <c r="J593" s="591"/>
      <c r="K593" s="591"/>
      <c r="L593" s="591"/>
      <c r="M593" s="591"/>
      <c r="N593" s="591"/>
      <c r="O593" s="591"/>
      <c r="P593" s="165"/>
    </row>
    <row r="594" spans="2:17" ht="17.25" customHeight="1" thickBot="1">
      <c r="B594" s="172"/>
      <c r="C594" s="590"/>
      <c r="D594" s="590"/>
      <c r="E594" s="590"/>
      <c r="F594" s="590"/>
      <c r="G594" s="590"/>
      <c r="H594" s="590"/>
      <c r="I594" s="590"/>
      <c r="J594" s="590"/>
      <c r="K594" s="590"/>
      <c r="L594" s="590"/>
      <c r="M594" s="590"/>
      <c r="N594" s="590"/>
      <c r="O594" s="590"/>
      <c r="P594" s="165"/>
      <c r="Q594" s="25"/>
    </row>
    <row r="595" spans="2:17" ht="17.25" customHeight="1" thickBot="1">
      <c r="B595" s="172"/>
      <c r="C595" s="173"/>
      <c r="D595" s="173"/>
      <c r="E595" s="31"/>
      <c r="F595" s="32"/>
      <c r="G595" s="595" t="str">
        <f>$G$10</f>
        <v>2010 BILL</v>
      </c>
      <c r="H595" s="596"/>
      <c r="I595" s="597"/>
      <c r="J595" s="595" t="str">
        <f>$J$10</f>
        <v>2011 BILL</v>
      </c>
      <c r="K595" s="596"/>
      <c r="L595" s="597"/>
      <c r="M595" s="595" t="s">
        <v>73</v>
      </c>
      <c r="N595" s="596"/>
      <c r="O595" s="597"/>
      <c r="P595" s="165"/>
      <c r="Q595" s="25"/>
    </row>
    <row r="596" spans="2:17" ht="26.25" thickBot="1">
      <c r="B596" s="172"/>
      <c r="C596" s="31"/>
      <c r="D596" s="31"/>
      <c r="E596" s="33"/>
      <c r="F596" s="34"/>
      <c r="G596" s="391" t="s">
        <v>67</v>
      </c>
      <c r="H596" s="392" t="s">
        <v>68</v>
      </c>
      <c r="I596" s="393" t="s">
        <v>69</v>
      </c>
      <c r="J596" s="394" t="s">
        <v>67</v>
      </c>
      <c r="K596" s="392" t="s">
        <v>68</v>
      </c>
      <c r="L596" s="393" t="s">
        <v>69</v>
      </c>
      <c r="M596" s="192" t="s">
        <v>74</v>
      </c>
      <c r="N596" s="193" t="s">
        <v>75</v>
      </c>
      <c r="O596" s="194" t="s">
        <v>76</v>
      </c>
      <c r="P596" s="165"/>
      <c r="Q596" s="25"/>
    </row>
    <row r="597" spans="2:17" ht="17.25" customHeight="1" thickBot="1">
      <c r="B597" s="172"/>
      <c r="C597" s="593" t="s">
        <v>70</v>
      </c>
      <c r="D597" s="594"/>
      <c r="E597" s="31"/>
      <c r="F597" s="397" t="s">
        <v>71</v>
      </c>
      <c r="G597" s="395"/>
      <c r="H597" s="389"/>
      <c r="I597" s="204">
        <f>'2010 Existing RatesPW'!C11</f>
        <v>22.75</v>
      </c>
      <c r="J597" s="202"/>
      <c r="K597" s="390"/>
      <c r="L597" s="229">
        <f>+'Distribution Rate Schedule'!$C$33</f>
        <v>222.81</v>
      </c>
      <c r="M597" s="230">
        <f aca="true" t="shared" si="46" ref="M597:M603">+L597-I597</f>
        <v>200.06</v>
      </c>
      <c r="N597" s="231">
        <f aca="true" t="shared" si="47" ref="N597:N614">+M597/I597</f>
        <v>8.793846153846154</v>
      </c>
      <c r="O597" s="225">
        <f>L597/L614</f>
        <v>0.0013129825066873423</v>
      </c>
      <c r="P597" s="165"/>
      <c r="Q597" s="25"/>
    </row>
    <row r="598" spans="2:17" ht="17.25" customHeight="1" thickBot="1">
      <c r="B598" s="172"/>
      <c r="C598" s="170">
        <v>1600000</v>
      </c>
      <c r="D598" s="171" t="s">
        <v>16</v>
      </c>
      <c r="E598" s="31"/>
      <c r="F598" s="398" t="s">
        <v>82</v>
      </c>
      <c r="G598" s="396">
        <f>+C599</f>
        <v>4000</v>
      </c>
      <c r="H598" s="196">
        <f>'2010 Existing RatesPW'!D75</f>
        <v>6.3575</v>
      </c>
      <c r="I598" s="210">
        <f>+G598*H598</f>
        <v>25430</v>
      </c>
      <c r="J598" s="201">
        <f>G598</f>
        <v>4000</v>
      </c>
      <c r="K598" s="195">
        <f>'Rate Schedule (Part 1) PW'!$E$35</f>
        <v>4.0311</v>
      </c>
      <c r="L598" s="214">
        <f>+J598*K598</f>
        <v>16124.400000000001</v>
      </c>
      <c r="M598" s="230">
        <f t="shared" si="46"/>
        <v>-9305.599999999999</v>
      </c>
      <c r="N598" s="231">
        <f t="shared" si="47"/>
        <v>-0.3659300039323633</v>
      </c>
      <c r="O598" s="225">
        <f>L598/L614</f>
        <v>0.09501842435630979</v>
      </c>
      <c r="P598" s="165"/>
      <c r="Q598" s="25"/>
    </row>
    <row r="599" spans="2:16" ht="17.25" customHeight="1" thickBot="1">
      <c r="B599" s="172"/>
      <c r="C599" s="170">
        <v>4000</v>
      </c>
      <c r="D599" s="171" t="s">
        <v>17</v>
      </c>
      <c r="E599" s="31"/>
      <c r="F599" s="398" t="s">
        <v>250</v>
      </c>
      <c r="G599" s="333">
        <f>G598</f>
        <v>4000</v>
      </c>
      <c r="H599" s="399">
        <f>'2010 Existing RatesPW'!D50</f>
        <v>0.7962</v>
      </c>
      <c r="I599" s="210">
        <f>G599*H599</f>
        <v>3184.8</v>
      </c>
      <c r="J599" s="201">
        <f>+C599</f>
        <v>4000</v>
      </c>
      <c r="K599" s="195">
        <f>'Rate Schedule (Part 1) PW'!$E$36</f>
        <v>0.1042</v>
      </c>
      <c r="L599" s="214">
        <f>+J599*K599</f>
        <v>416.8</v>
      </c>
      <c r="M599" s="230">
        <f t="shared" si="46"/>
        <v>-2768</v>
      </c>
      <c r="N599" s="231">
        <f t="shared" si="47"/>
        <v>-0.8691283597086159</v>
      </c>
      <c r="O599" s="225">
        <f>L599/L614</f>
        <v>0.002456133516391923</v>
      </c>
      <c r="P599" s="165"/>
    </row>
    <row r="600" spans="2:16" ht="17.25" customHeight="1">
      <c r="B600" s="172"/>
      <c r="C600" s="369"/>
      <c r="D600" s="388"/>
      <c r="E600" s="31"/>
      <c r="F600" s="199" t="s">
        <v>170</v>
      </c>
      <c r="G600" s="220"/>
      <c r="H600" s="219"/>
      <c r="I600" s="210">
        <f>'2010 Existing RatesNF'!$B$58</f>
        <v>1</v>
      </c>
      <c r="J600" s="220"/>
      <c r="K600" s="219"/>
      <c r="L600" s="210">
        <f>'2010 Existing RatesNF'!$B$58</f>
        <v>1</v>
      </c>
      <c r="M600" s="230">
        <f t="shared" si="46"/>
        <v>0</v>
      </c>
      <c r="N600" s="231">
        <f t="shared" si="47"/>
        <v>0</v>
      </c>
      <c r="O600" s="225">
        <f>L600/L614</f>
        <v>5.892834732226302E-06</v>
      </c>
      <c r="P600" s="165"/>
    </row>
    <row r="601" spans="2:16" ht="17.25" customHeight="1">
      <c r="B601" s="172"/>
      <c r="C601" s="63"/>
      <c r="D601" s="64"/>
      <c r="E601" s="31"/>
      <c r="F601" s="199" t="s">
        <v>251</v>
      </c>
      <c r="G601" s="201">
        <f>G599</f>
        <v>4000</v>
      </c>
      <c r="H601" s="196"/>
      <c r="I601" s="210">
        <f>+G601*H601</f>
        <v>0</v>
      </c>
      <c r="J601" s="201">
        <f>G601</f>
        <v>4000</v>
      </c>
      <c r="K601" s="195">
        <f>'Rate Schedule (Part 1) PW'!$E$37</f>
        <v>0</v>
      </c>
      <c r="L601" s="214">
        <f>+J601*K601</f>
        <v>0</v>
      </c>
      <c r="M601" s="230">
        <f t="shared" si="46"/>
        <v>0</v>
      </c>
      <c r="N601" s="231" t="e">
        <f t="shared" si="47"/>
        <v>#DIV/0!</v>
      </c>
      <c r="O601" s="225">
        <f>L601/L614</f>
        <v>0</v>
      </c>
      <c r="P601" s="165"/>
    </row>
    <row r="602" spans="2:16" ht="25.5" customHeight="1">
      <c r="B602" s="172"/>
      <c r="C602" s="31"/>
      <c r="D602" s="31"/>
      <c r="E602" s="31"/>
      <c r="F602" s="199" t="s">
        <v>295</v>
      </c>
      <c r="G602" s="201">
        <f>+C599</f>
        <v>4000</v>
      </c>
      <c r="H602" s="196">
        <f>'2010 Existing RatesPW'!D24</f>
        <v>-1.9651</v>
      </c>
      <c r="I602" s="210">
        <f>+G602*H602</f>
        <v>-7860.400000000001</v>
      </c>
      <c r="J602" s="201">
        <f>+C599</f>
        <v>4000</v>
      </c>
      <c r="K602" s="195">
        <f>'Rate Schedule (Part 1) PW'!$E$40</f>
        <v>-1.9651</v>
      </c>
      <c r="L602" s="214">
        <f>+J602*K602</f>
        <v>-7860.400000000001</v>
      </c>
      <c r="M602" s="230">
        <f t="shared" si="46"/>
        <v>0</v>
      </c>
      <c r="N602" s="231">
        <f t="shared" si="47"/>
        <v>0</v>
      </c>
      <c r="O602" s="225">
        <f>L602/L614</f>
        <v>-0.046320038129191624</v>
      </c>
      <c r="P602" s="165"/>
    </row>
    <row r="603" spans="2:16" ht="29.25" customHeight="1">
      <c r="B603" s="172"/>
      <c r="C603" s="31"/>
      <c r="D603" s="31"/>
      <c r="E603" s="31"/>
      <c r="F603" s="199" t="s">
        <v>296</v>
      </c>
      <c r="G603" s="372">
        <f>C599</f>
        <v>4000</v>
      </c>
      <c r="H603" s="488"/>
      <c r="I603" s="299">
        <f>+G603*H603</f>
        <v>0</v>
      </c>
      <c r="J603" s="372">
        <f>C599</f>
        <v>4000</v>
      </c>
      <c r="K603" s="488">
        <f>'Rate Schedule (Part 1) PW'!E42</f>
        <v>-0.6119</v>
      </c>
      <c r="L603" s="229">
        <f>+J603*K603</f>
        <v>-2447.6</v>
      </c>
      <c r="M603" s="224">
        <f t="shared" si="46"/>
        <v>-2447.6</v>
      </c>
      <c r="N603" s="218" t="e">
        <f>+M603/I603</f>
        <v>#DIV/0!</v>
      </c>
      <c r="O603" s="225">
        <f>L603/L614</f>
        <v>-0.014423302290597096</v>
      </c>
      <c r="P603" s="165"/>
    </row>
    <row r="604" spans="2:16" ht="26.25" customHeight="1">
      <c r="B604" s="172"/>
      <c r="C604" s="63"/>
      <c r="D604" s="64"/>
      <c r="E604" s="31"/>
      <c r="F604" s="199" t="s">
        <v>318</v>
      </c>
      <c r="G604" s="201">
        <f>C599</f>
        <v>4000</v>
      </c>
      <c r="H604" s="196">
        <f>'2010 Existing RatesPW'!D37</f>
        <v>0.3116</v>
      </c>
      <c r="I604" s="206">
        <f>+G604*H604</f>
        <v>1246.3999999999999</v>
      </c>
      <c r="J604" s="201">
        <f>C599</f>
        <v>4000</v>
      </c>
      <c r="K604" s="195">
        <f>'Rate Schedule (Part 1) PW'!E39</f>
        <v>0.3116</v>
      </c>
      <c r="L604" s="214">
        <f>+J604*K604</f>
        <v>1246.3999999999999</v>
      </c>
      <c r="M604" s="224">
        <f>+L604-I604</f>
        <v>0</v>
      </c>
      <c r="N604" s="218">
        <f>+M604/I604</f>
        <v>0</v>
      </c>
      <c r="O604" s="225">
        <f>L604/L614</f>
        <v>0.007344829210246861</v>
      </c>
      <c r="P604" s="165"/>
    </row>
    <row r="605" spans="2:16" ht="27.75" customHeight="1" thickBot="1">
      <c r="B605" s="172"/>
      <c r="C605" s="31"/>
      <c r="D605" s="31"/>
      <c r="E605" s="31"/>
      <c r="F605" s="199" t="s">
        <v>319</v>
      </c>
      <c r="G605" s="372">
        <f>C599</f>
        <v>4000</v>
      </c>
      <c r="H605" s="488"/>
      <c r="I605" s="206">
        <f>+G605*H605</f>
        <v>0</v>
      </c>
      <c r="J605" s="372">
        <f>C599</f>
        <v>4000</v>
      </c>
      <c r="K605" s="488">
        <f>'Rate Schedule (Part 1) PW'!E41</f>
        <v>0.6442</v>
      </c>
      <c r="L605" s="214">
        <f>+J605*K605</f>
        <v>2576.8</v>
      </c>
      <c r="M605" s="224">
        <f>+L605-I605</f>
        <v>2576.8</v>
      </c>
      <c r="N605" s="218" t="e">
        <f>+M605/I605</f>
        <v>#DIV/0!</v>
      </c>
      <c r="O605" s="225">
        <f>L605/L614</f>
        <v>0.015184656538000735</v>
      </c>
      <c r="P605" s="165"/>
    </row>
    <row r="606" spans="2:16" ht="17.25" customHeight="1" thickBot="1">
      <c r="B606" s="172"/>
      <c r="C606" s="31"/>
      <c r="D606" s="31"/>
      <c r="E606" s="31"/>
      <c r="F606" s="233" t="s">
        <v>247</v>
      </c>
      <c r="G606" s="586"/>
      <c r="H606" s="587"/>
      <c r="I606" s="235">
        <f>SUM(I597:I605)</f>
        <v>22024.55</v>
      </c>
      <c r="J606" s="586"/>
      <c r="K606" s="587"/>
      <c r="L606" s="235">
        <f>SUM(L597:L605)</f>
        <v>10280.21</v>
      </c>
      <c r="M606" s="237">
        <f>SUM(M597:M605)</f>
        <v>-11744.34</v>
      </c>
      <c r="N606" s="238">
        <f t="shared" si="47"/>
        <v>-0.5332385905727927</v>
      </c>
      <c r="O606" s="240">
        <f>SUM(O597:O605)</f>
        <v>0.06057957854258017</v>
      </c>
      <c r="P606" s="165"/>
    </row>
    <row r="607" spans="2:16" ht="17.25" customHeight="1" thickBot="1">
      <c r="B607" s="172"/>
      <c r="C607" s="31"/>
      <c r="D607" s="31"/>
      <c r="E607" s="31"/>
      <c r="F607" s="199" t="s">
        <v>252</v>
      </c>
      <c r="G607" s="372">
        <f>C599</f>
        <v>4000</v>
      </c>
      <c r="H607" s="373">
        <f>'Other Electriciy Rates PW'!$G$12</f>
        <v>3.7002</v>
      </c>
      <c r="I607" s="210">
        <f>+G607*H607</f>
        <v>14800.800000000001</v>
      </c>
      <c r="J607" s="372">
        <f>C599</f>
        <v>4000</v>
      </c>
      <c r="K607" s="494">
        <f>'Other Electriciy Rates PW'!$G$26</f>
        <v>3.6656054700065805</v>
      </c>
      <c r="L607" s="210">
        <f>+J607*K607</f>
        <v>14662.421880026322</v>
      </c>
      <c r="M607" s="374">
        <f>+L607-I607</f>
        <v>-138.37811997367862</v>
      </c>
      <c r="N607" s="222">
        <f t="shared" si="47"/>
        <v>-0.009349367599972881</v>
      </c>
      <c r="O607" s="225">
        <f>L607/L614</f>
        <v>0.08640322891317398</v>
      </c>
      <c r="P607" s="165"/>
    </row>
    <row r="608" spans="2:16" ht="17.25" customHeight="1" thickBot="1">
      <c r="B608" s="172"/>
      <c r="C608" s="31"/>
      <c r="D608" s="31"/>
      <c r="E608" s="31"/>
      <c r="F608" s="233" t="s">
        <v>249</v>
      </c>
      <c r="G608" s="586"/>
      <c r="H608" s="587"/>
      <c r="I608" s="235">
        <f>SUM(I606:I607)</f>
        <v>36825.35</v>
      </c>
      <c r="J608" s="586"/>
      <c r="K608" s="587"/>
      <c r="L608" s="235">
        <f>SUM(L606:L607)</f>
        <v>24942.63188002632</v>
      </c>
      <c r="M608" s="237">
        <f>SUM(M606:M607)</f>
        <v>-11882.718119973679</v>
      </c>
      <c r="N608" s="238">
        <f t="shared" si="47"/>
        <v>-0.32267766959373584</v>
      </c>
      <c r="O608" s="375">
        <f>L608/L614</f>
        <v>0.14698280745575412</v>
      </c>
      <c r="P608" s="165"/>
    </row>
    <row r="609" spans="2:16" ht="17.25" customHeight="1">
      <c r="B609" s="172"/>
      <c r="C609" s="31"/>
      <c r="D609" s="31"/>
      <c r="E609" s="31"/>
      <c r="F609" s="197" t="s">
        <v>77</v>
      </c>
      <c r="G609" s="202">
        <f>C598*'Other Electriciy Rates PW'!$M$12</f>
        <v>1696160</v>
      </c>
      <c r="H609" s="203">
        <f>'Other Electriciy Rates PW'!$C$12+'Other Electriciy Rates PW'!$E$12+'Other Electriciy Rates PW'!D12</f>
        <v>0.0138725</v>
      </c>
      <c r="I609" s="204">
        <f>+G609*H609</f>
        <v>23529.9796</v>
      </c>
      <c r="J609" s="202">
        <f>C598*'Other Electriciy Rates PW'!$M$26</f>
        <v>1689584.4401485918</v>
      </c>
      <c r="K609" s="203">
        <f>'Other Electriciy Rates PW'!$C$26+'Other Electriciy Rates PW'!$E$26+'Other Electriciy Rates PW'!D26</f>
        <v>0.0135</v>
      </c>
      <c r="L609" s="229">
        <f>+J609*K609</f>
        <v>22809.38994200599</v>
      </c>
      <c r="M609" s="230">
        <f>+L609-I609</f>
        <v>-720.589657994009</v>
      </c>
      <c r="N609" s="231">
        <f t="shared" si="47"/>
        <v>-0.030624321407996848</v>
      </c>
      <c r="O609" s="225">
        <f>L609/L614</f>
        <v>0.13441196527114616</v>
      </c>
      <c r="P609" s="165"/>
    </row>
    <row r="610" spans="2:16" ht="21.75" customHeight="1">
      <c r="B610" s="172"/>
      <c r="C610" s="31"/>
      <c r="D610" s="31"/>
      <c r="E610" s="31"/>
      <c r="F610" s="200" t="s">
        <v>321</v>
      </c>
      <c r="G610" s="220"/>
      <c r="H610" s="219"/>
      <c r="I610" s="210">
        <v>0.25</v>
      </c>
      <c r="J610" s="220"/>
      <c r="K610" s="219"/>
      <c r="L610" s="214">
        <v>0.25</v>
      </c>
      <c r="M610" s="513">
        <f>+L610-I610</f>
        <v>0</v>
      </c>
      <c r="N610" s="231">
        <f t="shared" si="47"/>
        <v>0</v>
      </c>
      <c r="O610" s="225">
        <f>L610/L614</f>
        <v>1.4732086830565754E-06</v>
      </c>
      <c r="P610" s="165"/>
    </row>
    <row r="611" spans="2:16" ht="17.25" customHeight="1" thickBot="1">
      <c r="B611" s="172"/>
      <c r="C611" s="31"/>
      <c r="D611" s="31"/>
      <c r="E611" s="31"/>
      <c r="F611" s="197" t="s">
        <v>78</v>
      </c>
      <c r="G611" s="202">
        <f>G609</f>
        <v>1696160</v>
      </c>
      <c r="H611" s="203">
        <f>+'Other Electriciy Rates PW'!$K$12</f>
        <v>0.06062</v>
      </c>
      <c r="I611" s="204">
        <f>+G611*H611</f>
        <v>102821.2192</v>
      </c>
      <c r="J611" s="202">
        <f>J609</f>
        <v>1689584.4401485918</v>
      </c>
      <c r="K611" s="203">
        <f>'Other Electriciy Rates PW'!$K$26</f>
        <v>0.06062</v>
      </c>
      <c r="L611" s="229">
        <f>+J611*K611</f>
        <v>102422.60876180763</v>
      </c>
      <c r="M611" s="230">
        <f>+L611-I611</f>
        <v>-398.61043819237966</v>
      </c>
      <c r="N611" s="231">
        <f t="shared" si="47"/>
        <v>-0.0038767332394399347</v>
      </c>
      <c r="O611" s="225">
        <f>L611/L614</f>
        <v>0.6035595062768059</v>
      </c>
      <c r="P611" s="165"/>
    </row>
    <row r="612" spans="2:16" ht="17.25" customHeight="1" thickBot="1">
      <c r="B612" s="172"/>
      <c r="C612" s="31"/>
      <c r="D612" s="31"/>
      <c r="E612" s="31"/>
      <c r="F612" s="233" t="s">
        <v>195</v>
      </c>
      <c r="G612" s="586"/>
      <c r="H612" s="587"/>
      <c r="I612" s="235">
        <f>SUM(I608:I611)</f>
        <v>163176.7988</v>
      </c>
      <c r="J612" s="586"/>
      <c r="K612" s="587"/>
      <c r="L612" s="235">
        <f>SUM(L608:L611)</f>
        <v>150174.88058383996</v>
      </c>
      <c r="M612" s="235">
        <f>SUM(M608:M611)</f>
        <v>-13001.918216160067</v>
      </c>
      <c r="N612" s="238">
        <f t="shared" si="47"/>
        <v>-0.07967994415735571</v>
      </c>
      <c r="O612" s="375">
        <f>L612/L614</f>
        <v>0.8849557522123894</v>
      </c>
      <c r="P612" s="165"/>
    </row>
    <row r="613" spans="2:16" ht="17.25" customHeight="1" thickBot="1">
      <c r="B613" s="172"/>
      <c r="C613" s="31"/>
      <c r="D613" s="31"/>
      <c r="E613" s="31"/>
      <c r="F613" s="297" t="s">
        <v>274</v>
      </c>
      <c r="G613" s="298"/>
      <c r="H613" s="302">
        <v>0.13</v>
      </c>
      <c r="I613" s="299">
        <f>I612*H613</f>
        <v>21212.983844</v>
      </c>
      <c r="J613" s="298"/>
      <c r="K613" s="302">
        <v>0.13</v>
      </c>
      <c r="L613" s="300">
        <f>L612*K613</f>
        <v>19522.734475899197</v>
      </c>
      <c r="M613" s="227">
        <f>+L613-I613</f>
        <v>-1690.2493681008018</v>
      </c>
      <c r="N613" s="228">
        <f t="shared" si="47"/>
        <v>-0.07967994415735538</v>
      </c>
      <c r="O613" s="241">
        <f>L613/L614</f>
        <v>0.11504424778761063</v>
      </c>
      <c r="P613" s="165"/>
    </row>
    <row r="614" spans="2:16" ht="17.25" customHeight="1" thickBot="1">
      <c r="B614" s="172"/>
      <c r="C614" s="31"/>
      <c r="D614" s="31"/>
      <c r="E614" s="35"/>
      <c r="F614" s="239" t="s">
        <v>79</v>
      </c>
      <c r="G614" s="586"/>
      <c r="H614" s="587"/>
      <c r="I614" s="235">
        <f>SUM(I612:I613)</f>
        <v>184389.782644</v>
      </c>
      <c r="J614" s="586"/>
      <c r="K614" s="587"/>
      <c r="L614" s="235">
        <f>SUM(L612:L613)</f>
        <v>169697.61505973915</v>
      </c>
      <c r="M614" s="235">
        <f>SUM(M612:M613)</f>
        <v>-14692.16758426087</v>
      </c>
      <c r="N614" s="238">
        <f t="shared" si="47"/>
        <v>-0.07967994415735567</v>
      </c>
      <c r="O614" s="240">
        <f>O612+O613</f>
        <v>1</v>
      </c>
      <c r="P614" s="165"/>
    </row>
    <row r="615" spans="2:16" ht="17.25" customHeight="1" thickBot="1">
      <c r="B615" s="166"/>
      <c r="C615" s="178"/>
      <c r="D615" s="178"/>
      <c r="E615" s="178"/>
      <c r="F615" s="179"/>
      <c r="G615" s="180"/>
      <c r="H615" s="181"/>
      <c r="I615" s="182"/>
      <c r="J615" s="180"/>
      <c r="K615" s="183"/>
      <c r="L615" s="182"/>
      <c r="M615" s="184"/>
      <c r="N615" s="185"/>
      <c r="O615" s="186"/>
      <c r="P615" s="167"/>
    </row>
    <row r="616" spans="2:16" ht="18" customHeight="1" thickBot="1">
      <c r="B616" s="25"/>
      <c r="C616" s="31"/>
      <c r="D616" s="31"/>
      <c r="E616" s="31"/>
      <c r="F616" s="49"/>
      <c r="G616" s="50"/>
      <c r="H616" s="51"/>
      <c r="I616" s="52"/>
      <c r="J616" s="50"/>
      <c r="K616" s="53"/>
      <c r="L616" s="52"/>
      <c r="M616" s="54"/>
      <c r="N616" s="175"/>
      <c r="O616" s="176"/>
      <c r="P616" s="25"/>
    </row>
    <row r="617" spans="2:16" ht="17.25" customHeight="1">
      <c r="B617" s="174"/>
      <c r="C617" s="592"/>
      <c r="D617" s="592"/>
      <c r="E617" s="592"/>
      <c r="F617" s="592"/>
      <c r="G617" s="592"/>
      <c r="H617" s="592"/>
      <c r="I617" s="592"/>
      <c r="J617" s="592"/>
      <c r="K617" s="592"/>
      <c r="L617" s="592"/>
      <c r="M617" s="592"/>
      <c r="N617" s="592"/>
      <c r="O617" s="592"/>
      <c r="P617" s="164"/>
    </row>
    <row r="618" spans="2:16" ht="23.25">
      <c r="B618" s="172"/>
      <c r="C618" s="591" t="s">
        <v>91</v>
      </c>
      <c r="D618" s="591"/>
      <c r="E618" s="591"/>
      <c r="F618" s="591"/>
      <c r="G618" s="591"/>
      <c r="H618" s="591"/>
      <c r="I618" s="591"/>
      <c r="J618" s="591"/>
      <c r="K618" s="591"/>
      <c r="L618" s="591"/>
      <c r="M618" s="591"/>
      <c r="N618" s="591"/>
      <c r="O618" s="591"/>
      <c r="P618" s="165"/>
    </row>
    <row r="619" spans="2:17" ht="17.25" customHeight="1" thickBot="1">
      <c r="B619" s="172"/>
      <c r="C619" s="590"/>
      <c r="D619" s="590"/>
      <c r="E619" s="590"/>
      <c r="F619" s="590"/>
      <c r="G619" s="590"/>
      <c r="H619" s="590"/>
      <c r="I619" s="590"/>
      <c r="J619" s="590"/>
      <c r="K619" s="590"/>
      <c r="L619" s="590"/>
      <c r="M619" s="590"/>
      <c r="N619" s="590"/>
      <c r="O619" s="590"/>
      <c r="P619" s="165"/>
      <c r="Q619" s="25"/>
    </row>
    <row r="620" spans="2:17" ht="17.25" customHeight="1" thickBot="1">
      <c r="B620" s="172"/>
      <c r="C620" s="173"/>
      <c r="D620" s="173"/>
      <c r="E620" s="31"/>
      <c r="F620" s="32"/>
      <c r="G620" s="595" t="str">
        <f>$G$10</f>
        <v>2010 BILL</v>
      </c>
      <c r="H620" s="596"/>
      <c r="I620" s="597"/>
      <c r="J620" s="595" t="str">
        <f>$J$10</f>
        <v>2011 BILL</v>
      </c>
      <c r="K620" s="596"/>
      <c r="L620" s="597"/>
      <c r="M620" s="595" t="s">
        <v>73</v>
      </c>
      <c r="N620" s="596"/>
      <c r="O620" s="597"/>
      <c r="P620" s="165"/>
      <c r="Q620" s="25"/>
    </row>
    <row r="621" spans="2:17" ht="26.25" thickBot="1">
      <c r="B621" s="172"/>
      <c r="C621" s="31"/>
      <c r="D621" s="31"/>
      <c r="E621" s="33"/>
      <c r="F621" s="34"/>
      <c r="G621" s="391" t="s">
        <v>67</v>
      </c>
      <c r="H621" s="392" t="s">
        <v>68</v>
      </c>
      <c r="I621" s="393" t="s">
        <v>69</v>
      </c>
      <c r="J621" s="394" t="s">
        <v>67</v>
      </c>
      <c r="K621" s="392" t="s">
        <v>68</v>
      </c>
      <c r="L621" s="393" t="s">
        <v>69</v>
      </c>
      <c r="M621" s="192" t="s">
        <v>74</v>
      </c>
      <c r="N621" s="193" t="s">
        <v>75</v>
      </c>
      <c r="O621" s="194" t="s">
        <v>76</v>
      </c>
      <c r="P621" s="165"/>
      <c r="Q621" s="25"/>
    </row>
    <row r="622" spans="2:17" ht="17.25" customHeight="1" thickBot="1">
      <c r="B622" s="172"/>
      <c r="C622" s="593" t="s">
        <v>70</v>
      </c>
      <c r="D622" s="594"/>
      <c r="E622" s="31"/>
      <c r="F622" s="397" t="s">
        <v>71</v>
      </c>
      <c r="G622" s="395"/>
      <c r="H622" s="389"/>
      <c r="I622" s="204">
        <f>'2010 Existing RatesPW'!C11</f>
        <v>22.75</v>
      </c>
      <c r="J622" s="202"/>
      <c r="K622" s="390"/>
      <c r="L622" s="229">
        <f>+'Distribution Rate Schedule'!$C$33</f>
        <v>222.81</v>
      </c>
      <c r="M622" s="230">
        <f aca="true" t="shared" si="48" ref="M622:M628">+L622-I622</f>
        <v>200.06</v>
      </c>
      <c r="N622" s="231">
        <f aca="true" t="shared" si="49" ref="N622:N639">+M622/I622</f>
        <v>8.793846153846154</v>
      </c>
      <c r="O622" s="225">
        <f>L622/L639</f>
        <v>0.0008904208541975364</v>
      </c>
      <c r="P622" s="165"/>
      <c r="Q622" s="25"/>
    </row>
    <row r="623" spans="2:17" ht="17.25" customHeight="1" thickBot="1">
      <c r="B623" s="172"/>
      <c r="C623" s="170">
        <v>2400000</v>
      </c>
      <c r="D623" s="171" t="s">
        <v>16</v>
      </c>
      <c r="E623" s="31"/>
      <c r="F623" s="398" t="s">
        <v>82</v>
      </c>
      <c r="G623" s="396">
        <f>+C624</f>
        <v>5400</v>
      </c>
      <c r="H623" s="196">
        <f>'2010 Existing RatesPW'!D75</f>
        <v>6.3575</v>
      </c>
      <c r="I623" s="210">
        <f>+G623*H623</f>
        <v>34330.5</v>
      </c>
      <c r="J623" s="201">
        <f>G623</f>
        <v>5400</v>
      </c>
      <c r="K623" s="195">
        <f>'Rate Schedule (Part 1) PW'!$E$35</f>
        <v>4.0311</v>
      </c>
      <c r="L623" s="214">
        <f>+J623*K623</f>
        <v>21767.940000000002</v>
      </c>
      <c r="M623" s="230">
        <f t="shared" si="48"/>
        <v>-12562.559999999998</v>
      </c>
      <c r="N623" s="231">
        <f t="shared" si="49"/>
        <v>-0.3659300039323633</v>
      </c>
      <c r="O623" s="225">
        <f>L623/L639</f>
        <v>0.08699173164992918</v>
      </c>
      <c r="P623" s="165"/>
      <c r="Q623" s="25"/>
    </row>
    <row r="624" spans="2:16" ht="17.25" customHeight="1" thickBot="1">
      <c r="B624" s="172"/>
      <c r="C624" s="170">
        <v>5400</v>
      </c>
      <c r="D624" s="171" t="s">
        <v>17</v>
      </c>
      <c r="E624" s="31"/>
      <c r="F624" s="398" t="s">
        <v>250</v>
      </c>
      <c r="G624" s="333">
        <f>G623</f>
        <v>5400</v>
      </c>
      <c r="H624" s="399">
        <f>'2010 Existing RatesPW'!D50</f>
        <v>0.7962</v>
      </c>
      <c r="I624" s="210">
        <f>G624*H624</f>
        <v>4299.4800000000005</v>
      </c>
      <c r="J624" s="201">
        <f>+C624</f>
        <v>5400</v>
      </c>
      <c r="K624" s="195">
        <f>'Rate Schedule (Part 1) PW'!$E$36</f>
        <v>0.1042</v>
      </c>
      <c r="L624" s="214">
        <f>+J624*K624</f>
        <v>562.68</v>
      </c>
      <c r="M624" s="230">
        <f t="shared" si="48"/>
        <v>-3736.8000000000006</v>
      </c>
      <c r="N624" s="231">
        <f t="shared" si="49"/>
        <v>-0.869128359708616</v>
      </c>
      <c r="O624" s="225">
        <f>L624/L639</f>
        <v>0.0022486513452711714</v>
      </c>
      <c r="P624" s="165"/>
    </row>
    <row r="625" spans="2:16" ht="17.25" customHeight="1">
      <c r="B625" s="172"/>
      <c r="C625" s="369"/>
      <c r="D625" s="388"/>
      <c r="E625" s="31"/>
      <c r="F625" s="199" t="s">
        <v>170</v>
      </c>
      <c r="G625" s="220"/>
      <c r="H625" s="219"/>
      <c r="I625" s="210">
        <f>'2010 Existing RatesNF'!$B$58</f>
        <v>1</v>
      </c>
      <c r="J625" s="220"/>
      <c r="K625" s="219"/>
      <c r="L625" s="210">
        <f>'2010 Existing RatesNF'!$B$58</f>
        <v>1</v>
      </c>
      <c r="M625" s="230">
        <f t="shared" si="48"/>
        <v>0</v>
      </c>
      <c r="N625" s="231">
        <f t="shared" si="49"/>
        <v>0</v>
      </c>
      <c r="O625" s="225">
        <f>L625/L639</f>
        <v>3.9963235680514176E-06</v>
      </c>
      <c r="P625" s="165"/>
    </row>
    <row r="626" spans="2:16" ht="17.25" customHeight="1">
      <c r="B626" s="172"/>
      <c r="C626" s="63"/>
      <c r="D626" s="64"/>
      <c r="E626" s="31"/>
      <c r="F626" s="199" t="s">
        <v>251</v>
      </c>
      <c r="G626" s="201">
        <f>G624</f>
        <v>5400</v>
      </c>
      <c r="H626" s="196"/>
      <c r="I626" s="210">
        <f>+G626*H626</f>
        <v>0</v>
      </c>
      <c r="J626" s="201">
        <f>G626</f>
        <v>5400</v>
      </c>
      <c r="K626" s="195">
        <f>'Rate Schedule (Part 1) PW'!$E$37</f>
        <v>0</v>
      </c>
      <c r="L626" s="214">
        <f>+J626*K626</f>
        <v>0</v>
      </c>
      <c r="M626" s="230">
        <f t="shared" si="48"/>
        <v>0</v>
      </c>
      <c r="N626" s="231" t="e">
        <f t="shared" si="49"/>
        <v>#DIV/0!</v>
      </c>
      <c r="O626" s="225">
        <f>L626/L639</f>
        <v>0</v>
      </c>
      <c r="P626" s="165"/>
    </row>
    <row r="627" spans="2:16" ht="31.5" customHeight="1">
      <c r="B627" s="172"/>
      <c r="C627" s="31"/>
      <c r="D627" s="31"/>
      <c r="E627" s="31"/>
      <c r="F627" s="199" t="s">
        <v>295</v>
      </c>
      <c r="G627" s="201">
        <f>+C624</f>
        <v>5400</v>
      </c>
      <c r="H627" s="196">
        <f>'2010 Existing RatesPW'!D24</f>
        <v>-1.9651</v>
      </c>
      <c r="I627" s="210">
        <f>+G627*H627</f>
        <v>-10611.54</v>
      </c>
      <c r="J627" s="201">
        <f>+C624</f>
        <v>5400</v>
      </c>
      <c r="K627" s="195">
        <f>'Rate Schedule (Part 1) PW'!$E$40</f>
        <v>-1.9651</v>
      </c>
      <c r="L627" s="214">
        <f>+J627*K627</f>
        <v>-10611.54</v>
      </c>
      <c r="M627" s="230">
        <f t="shared" si="48"/>
        <v>0</v>
      </c>
      <c r="N627" s="231">
        <f t="shared" si="49"/>
        <v>0</v>
      </c>
      <c r="O627" s="225">
        <f>L627/L639</f>
        <v>-0.042407147395320345</v>
      </c>
      <c r="P627" s="165"/>
    </row>
    <row r="628" spans="2:16" ht="29.25" customHeight="1">
      <c r="B628" s="172"/>
      <c r="C628" s="31"/>
      <c r="D628" s="31"/>
      <c r="E628" s="31"/>
      <c r="F628" s="199" t="s">
        <v>296</v>
      </c>
      <c r="G628" s="372">
        <f>C624</f>
        <v>5400</v>
      </c>
      <c r="H628" s="488"/>
      <c r="I628" s="299">
        <f>+G628*H628</f>
        <v>0</v>
      </c>
      <c r="J628" s="372">
        <f>C624</f>
        <v>5400</v>
      </c>
      <c r="K628" s="488">
        <f>'Rate Schedule (Part 1) PW'!E42</f>
        <v>-0.6119</v>
      </c>
      <c r="L628" s="229">
        <f>+J628*K628</f>
        <v>-3304.26</v>
      </c>
      <c r="M628" s="224">
        <f t="shared" si="48"/>
        <v>-3304.26</v>
      </c>
      <c r="N628" s="218" t="e">
        <f>+M628/I628</f>
        <v>#DIV/0!</v>
      </c>
      <c r="O628" s="225">
        <f>L628/L639</f>
        <v>-0.01320489211296958</v>
      </c>
      <c r="P628" s="165"/>
    </row>
    <row r="629" spans="2:16" ht="26.25" customHeight="1">
      <c r="B629" s="172"/>
      <c r="C629" s="63"/>
      <c r="D629" s="64"/>
      <c r="E629" s="31"/>
      <c r="F629" s="199" t="s">
        <v>318</v>
      </c>
      <c r="G629" s="201">
        <f>C624</f>
        <v>5400</v>
      </c>
      <c r="H629" s="196">
        <f>'2010 Existing RatesPW'!D37</f>
        <v>0.3116</v>
      </c>
      <c r="I629" s="206">
        <f>+G629*H629</f>
        <v>1682.6399999999999</v>
      </c>
      <c r="J629" s="201">
        <f>C624</f>
        <v>5400</v>
      </c>
      <c r="K629" s="195">
        <f>'Rate Schedule (Part 1) PW'!E39</f>
        <v>0.3116</v>
      </c>
      <c r="L629" s="214">
        <f>+J629*K629</f>
        <v>1682.6399999999999</v>
      </c>
      <c r="M629" s="224">
        <f>+L629-I629</f>
        <v>0</v>
      </c>
      <c r="N629" s="218">
        <f>+M629/I629</f>
        <v>0</v>
      </c>
      <c r="O629" s="225">
        <f>L629/L639</f>
        <v>0.006724373888546037</v>
      </c>
      <c r="P629" s="165"/>
    </row>
    <row r="630" spans="2:16" ht="27.75" customHeight="1" thickBot="1">
      <c r="B630" s="172"/>
      <c r="C630" s="31"/>
      <c r="D630" s="31"/>
      <c r="E630" s="31"/>
      <c r="F630" s="199" t="s">
        <v>319</v>
      </c>
      <c r="G630" s="372">
        <f>C624</f>
        <v>5400</v>
      </c>
      <c r="H630" s="488"/>
      <c r="I630" s="206">
        <f>+G630*H630</f>
        <v>0</v>
      </c>
      <c r="J630" s="372">
        <f>C624</f>
        <v>5400</v>
      </c>
      <c r="K630" s="488">
        <f>'Rate Schedule (Part 1) PW'!E41</f>
        <v>0.6442</v>
      </c>
      <c r="L630" s="214">
        <f>+J630*K630</f>
        <v>3478.68</v>
      </c>
      <c r="M630" s="224">
        <f>+L630-I630</f>
        <v>3478.68</v>
      </c>
      <c r="N630" s="218" t="e">
        <f>+M630/I630</f>
        <v>#DIV/0!</v>
      </c>
      <c r="O630" s="225">
        <f>L630/L639</f>
        <v>0.013901930869709105</v>
      </c>
      <c r="P630" s="165"/>
    </row>
    <row r="631" spans="2:16" ht="17.25" customHeight="1" thickBot="1">
      <c r="B631" s="172"/>
      <c r="C631" s="31"/>
      <c r="D631" s="31"/>
      <c r="E631" s="31"/>
      <c r="F631" s="233" t="s">
        <v>247</v>
      </c>
      <c r="G631" s="586"/>
      <c r="H631" s="587"/>
      <c r="I631" s="235">
        <f>SUM(I622:I630)</f>
        <v>29724.83</v>
      </c>
      <c r="J631" s="586"/>
      <c r="K631" s="587"/>
      <c r="L631" s="235">
        <f>SUM(L622:L630)</f>
        <v>13799.950000000003</v>
      </c>
      <c r="M631" s="237">
        <f>SUM(M622:M630)</f>
        <v>-15924.879999999997</v>
      </c>
      <c r="N631" s="238">
        <f t="shared" si="49"/>
        <v>-0.5357433499199153</v>
      </c>
      <c r="O631" s="240">
        <f>SUM(O622:O630)</f>
        <v>0.05514906542293116</v>
      </c>
      <c r="P631" s="165"/>
    </row>
    <row r="632" spans="2:16" ht="17.25" customHeight="1" thickBot="1">
      <c r="B632" s="172"/>
      <c r="C632" s="31"/>
      <c r="D632" s="31"/>
      <c r="E632" s="31"/>
      <c r="F632" s="199" t="s">
        <v>252</v>
      </c>
      <c r="G632" s="372">
        <f>C624</f>
        <v>5400</v>
      </c>
      <c r="H632" s="373">
        <f>'Other Electriciy Rates PW'!$G$12</f>
        <v>3.7002</v>
      </c>
      <c r="I632" s="210">
        <f>+G632*H632</f>
        <v>19981.08</v>
      </c>
      <c r="J632" s="372">
        <f>C624</f>
        <v>5400</v>
      </c>
      <c r="K632" s="494">
        <f>'Other Electriciy Rates PW'!$G$26</f>
        <v>3.6656054700065805</v>
      </c>
      <c r="L632" s="210">
        <f>+J632*K632</f>
        <v>19794.269538035536</v>
      </c>
      <c r="M632" s="374">
        <f>+L632-I632</f>
        <v>-186.8104619644655</v>
      </c>
      <c r="N632" s="222">
        <f t="shared" si="49"/>
        <v>-0.009349367599972848</v>
      </c>
      <c r="O632" s="225">
        <f>L632/L639</f>
        <v>0.07910430586721366</v>
      </c>
      <c r="P632" s="165"/>
    </row>
    <row r="633" spans="2:16" ht="17.25" customHeight="1" thickBot="1">
      <c r="B633" s="172"/>
      <c r="C633" s="31"/>
      <c r="D633" s="31"/>
      <c r="E633" s="31"/>
      <c r="F633" s="233" t="s">
        <v>249</v>
      </c>
      <c r="G633" s="586"/>
      <c r="H633" s="587"/>
      <c r="I633" s="235">
        <f>SUM(I631:I632)</f>
        <v>49705.91</v>
      </c>
      <c r="J633" s="586"/>
      <c r="K633" s="587"/>
      <c r="L633" s="235">
        <f>SUM(L631:L632)</f>
        <v>33594.21953803554</v>
      </c>
      <c r="M633" s="237">
        <f>SUM(M631:M632)</f>
        <v>-16111.690461964463</v>
      </c>
      <c r="N633" s="238">
        <f t="shared" si="49"/>
        <v>-0.32414033787862373</v>
      </c>
      <c r="O633" s="375">
        <f>L633/L639</f>
        <v>0.13425337129014484</v>
      </c>
      <c r="P633" s="165"/>
    </row>
    <row r="634" spans="2:16" ht="17.25" customHeight="1">
      <c r="B634" s="172"/>
      <c r="C634" s="31"/>
      <c r="D634" s="31"/>
      <c r="E634" s="31"/>
      <c r="F634" s="197" t="s">
        <v>77</v>
      </c>
      <c r="G634" s="202">
        <f>C623*'Other Electriciy Rates PW'!$M$12</f>
        <v>2544240</v>
      </c>
      <c r="H634" s="203">
        <f>'Other Electriciy Rates PW'!$C$12+'Other Electriciy Rates PW'!$E$12+'Other Electriciy Rates PW'!D12</f>
        <v>0.0138725</v>
      </c>
      <c r="I634" s="204">
        <f>+G634*H634</f>
        <v>35294.9694</v>
      </c>
      <c r="J634" s="202">
        <f>C623*'Other Electriciy Rates PW'!$M$26</f>
        <v>2534376.6602228875</v>
      </c>
      <c r="K634" s="203">
        <f>'Other Electriciy Rates PW'!$C$26+'Other Electriciy Rates PW'!$E$26+'Other Electriciy Rates PW'!D26</f>
        <v>0.0135</v>
      </c>
      <c r="L634" s="229">
        <f>+J634*K634</f>
        <v>34214.084913008985</v>
      </c>
      <c r="M634" s="230">
        <f>+L634-I634</f>
        <v>-1080.8844869910172</v>
      </c>
      <c r="N634" s="231">
        <f t="shared" si="49"/>
        <v>-0.030624321407996945</v>
      </c>
      <c r="O634" s="225">
        <f>L634/L639</f>
        <v>0.13673055389717023</v>
      </c>
      <c r="P634" s="165"/>
    </row>
    <row r="635" spans="2:16" ht="21.75" customHeight="1">
      <c r="B635" s="172"/>
      <c r="C635" s="31"/>
      <c r="D635" s="31"/>
      <c r="E635" s="31"/>
      <c r="F635" s="200" t="s">
        <v>321</v>
      </c>
      <c r="G635" s="220"/>
      <c r="H635" s="219"/>
      <c r="I635" s="210">
        <v>0.25</v>
      </c>
      <c r="J635" s="220"/>
      <c r="K635" s="219"/>
      <c r="L635" s="214">
        <v>0.25</v>
      </c>
      <c r="M635" s="513">
        <f>+L635-I635</f>
        <v>0</v>
      </c>
      <c r="N635" s="231">
        <f t="shared" si="49"/>
        <v>0</v>
      </c>
      <c r="O635" s="225">
        <f>L635/L639</f>
        <v>9.990808920128544E-07</v>
      </c>
      <c r="P635" s="165"/>
    </row>
    <row r="636" spans="2:16" ht="17.25" customHeight="1" thickBot="1">
      <c r="B636" s="172"/>
      <c r="C636" s="31"/>
      <c r="D636" s="31"/>
      <c r="E636" s="31"/>
      <c r="F636" s="197" t="s">
        <v>78</v>
      </c>
      <c r="G636" s="202">
        <f>G634</f>
        <v>2544240</v>
      </c>
      <c r="H636" s="203">
        <f>+'Other Electriciy Rates PW'!$K$12</f>
        <v>0.06062</v>
      </c>
      <c r="I636" s="204">
        <f>+G636*H636</f>
        <v>154231.8288</v>
      </c>
      <c r="J636" s="202">
        <f>J634</f>
        <v>2534376.6602228875</v>
      </c>
      <c r="K636" s="203">
        <f>'Other Electriciy Rates PW'!$K$26</f>
        <v>0.06062</v>
      </c>
      <c r="L636" s="229">
        <f>+J636*K636</f>
        <v>153633.91314271145</v>
      </c>
      <c r="M636" s="230">
        <f>+L636-I636</f>
        <v>-597.9156572885404</v>
      </c>
      <c r="N636" s="231">
        <f t="shared" si="49"/>
        <v>-0.003876733239439747</v>
      </c>
      <c r="O636" s="225">
        <f>L636/L639</f>
        <v>0.6139708279441822</v>
      </c>
      <c r="P636" s="165"/>
    </row>
    <row r="637" spans="2:16" ht="17.25" customHeight="1" thickBot="1">
      <c r="B637" s="172"/>
      <c r="C637" s="31"/>
      <c r="D637" s="31"/>
      <c r="E637" s="31"/>
      <c r="F637" s="233" t="s">
        <v>195</v>
      </c>
      <c r="G637" s="586"/>
      <c r="H637" s="587"/>
      <c r="I637" s="235">
        <f>SUM(I633:I636)</f>
        <v>239232.9582</v>
      </c>
      <c r="J637" s="586"/>
      <c r="K637" s="587"/>
      <c r="L637" s="235">
        <f>SUM(L633:L636)</f>
        <v>221442.46759375598</v>
      </c>
      <c r="M637" s="235">
        <f>SUM(M633:M636)</f>
        <v>-17790.49060624402</v>
      </c>
      <c r="N637" s="238">
        <f t="shared" si="49"/>
        <v>-0.07436471437756949</v>
      </c>
      <c r="O637" s="375">
        <f>L637/L639</f>
        <v>0.8849557522123893</v>
      </c>
      <c r="P637" s="165"/>
    </row>
    <row r="638" spans="2:16" ht="17.25" customHeight="1" thickBot="1">
      <c r="B638" s="172"/>
      <c r="C638" s="31"/>
      <c r="D638" s="31"/>
      <c r="E638" s="31"/>
      <c r="F638" s="297" t="s">
        <v>274</v>
      </c>
      <c r="G638" s="298"/>
      <c r="H638" s="302">
        <v>0.13</v>
      </c>
      <c r="I638" s="299">
        <f>I637*H638</f>
        <v>31100.284566</v>
      </c>
      <c r="J638" s="298"/>
      <c r="K638" s="302">
        <v>0.13</v>
      </c>
      <c r="L638" s="300">
        <f>L637*K638</f>
        <v>28787.520787188278</v>
      </c>
      <c r="M638" s="227">
        <f>+L638-I638</f>
        <v>-2312.763778811721</v>
      </c>
      <c r="N638" s="228">
        <f t="shared" si="49"/>
        <v>-0.07436471437756943</v>
      </c>
      <c r="O638" s="241">
        <f>L638/L639</f>
        <v>0.11504424778761062</v>
      </c>
      <c r="P638" s="165"/>
    </row>
    <row r="639" spans="2:16" ht="17.25" customHeight="1" thickBot="1">
      <c r="B639" s="172"/>
      <c r="C639" s="31"/>
      <c r="D639" s="31"/>
      <c r="E639" s="35"/>
      <c r="F639" s="239" t="s">
        <v>79</v>
      </c>
      <c r="G639" s="586"/>
      <c r="H639" s="587"/>
      <c r="I639" s="235">
        <f>SUM(I637:I638)</f>
        <v>270333.242766</v>
      </c>
      <c r="J639" s="586"/>
      <c r="K639" s="587"/>
      <c r="L639" s="235">
        <f>SUM(L637:L638)</f>
        <v>250229.98838094427</v>
      </c>
      <c r="M639" s="235">
        <f>SUM(M637:M638)</f>
        <v>-20103.25438505574</v>
      </c>
      <c r="N639" s="238">
        <f t="shared" si="49"/>
        <v>-0.07436471437756949</v>
      </c>
      <c r="O639" s="240">
        <f>O637+O638</f>
        <v>0.9999999999999999</v>
      </c>
      <c r="P639" s="165"/>
    </row>
    <row r="640" spans="2:16" ht="17.25" customHeight="1" thickBot="1">
      <c r="B640" s="166"/>
      <c r="C640" s="178"/>
      <c r="D640" s="178"/>
      <c r="E640" s="178"/>
      <c r="F640" s="179"/>
      <c r="G640" s="180"/>
      <c r="H640" s="181"/>
      <c r="I640" s="182"/>
      <c r="J640" s="180"/>
      <c r="K640" s="183"/>
      <c r="L640" s="182"/>
      <c r="M640" s="184"/>
      <c r="N640" s="185"/>
      <c r="O640" s="186"/>
      <c r="P640" s="167"/>
    </row>
    <row r="641" spans="2:16" ht="17.25" customHeight="1">
      <c r="B641" s="25"/>
      <c r="C641" s="31"/>
      <c r="D641" s="31"/>
      <c r="E641" s="31"/>
      <c r="F641" s="49"/>
      <c r="G641" s="50"/>
      <c r="H641" s="51"/>
      <c r="I641" s="52"/>
      <c r="J641" s="50"/>
      <c r="K641" s="53"/>
      <c r="L641" s="52"/>
      <c r="M641" s="54"/>
      <c r="N641" s="175"/>
      <c r="O641" s="176"/>
      <c r="P641" s="25"/>
    </row>
    <row r="642" spans="3:15" s="25" customFormat="1" ht="17.25" customHeight="1" thickBot="1">
      <c r="C642" s="31"/>
      <c r="D642" s="31"/>
      <c r="E642" s="31"/>
      <c r="F642" s="49"/>
      <c r="G642" s="50"/>
      <c r="H642" s="51"/>
      <c r="I642" s="52"/>
      <c r="J642" s="50"/>
      <c r="K642" s="53"/>
      <c r="L642" s="52"/>
      <c r="M642" s="54"/>
      <c r="N642" s="175"/>
      <c r="O642" s="176"/>
    </row>
    <row r="643" spans="2:16" ht="17.25" customHeight="1">
      <c r="B643" s="174"/>
      <c r="C643" s="592"/>
      <c r="D643" s="592"/>
      <c r="E643" s="592"/>
      <c r="F643" s="592"/>
      <c r="G643" s="592"/>
      <c r="H643" s="592"/>
      <c r="I643" s="592"/>
      <c r="J643" s="592"/>
      <c r="K643" s="592"/>
      <c r="L643" s="592"/>
      <c r="M643" s="592"/>
      <c r="N643" s="592"/>
      <c r="O643" s="592"/>
      <c r="P643" s="164"/>
    </row>
    <row r="644" spans="2:16" ht="23.25">
      <c r="B644" s="172"/>
      <c r="C644" s="591" t="s">
        <v>84</v>
      </c>
      <c r="D644" s="591"/>
      <c r="E644" s="591"/>
      <c r="F644" s="591"/>
      <c r="G644" s="591"/>
      <c r="H644" s="591"/>
      <c r="I644" s="591"/>
      <c r="J644" s="591"/>
      <c r="K644" s="591"/>
      <c r="L644" s="591"/>
      <c r="M644" s="591"/>
      <c r="N644" s="591"/>
      <c r="O644" s="591"/>
      <c r="P644" s="165"/>
    </row>
    <row r="645" spans="2:17" ht="17.25" customHeight="1" thickBot="1">
      <c r="B645" s="172"/>
      <c r="C645" s="590"/>
      <c r="D645" s="590"/>
      <c r="E645" s="590"/>
      <c r="F645" s="590"/>
      <c r="G645" s="590"/>
      <c r="H645" s="590"/>
      <c r="I645" s="590"/>
      <c r="J645" s="590"/>
      <c r="K645" s="590"/>
      <c r="L645" s="590"/>
      <c r="M645" s="590"/>
      <c r="N645" s="590"/>
      <c r="O645" s="590"/>
      <c r="P645" s="165"/>
      <c r="Q645" s="25"/>
    </row>
    <row r="646" spans="2:17" ht="17.25" customHeight="1" thickBot="1">
      <c r="B646" s="172"/>
      <c r="C646" s="173"/>
      <c r="D646" s="173"/>
      <c r="E646" s="31"/>
      <c r="F646" s="32"/>
      <c r="G646" s="595" t="str">
        <f>$G$10</f>
        <v>2010 BILL</v>
      </c>
      <c r="H646" s="596"/>
      <c r="I646" s="597"/>
      <c r="J646" s="595" t="str">
        <f>$J$10</f>
        <v>2011 BILL</v>
      </c>
      <c r="K646" s="596"/>
      <c r="L646" s="597"/>
      <c r="M646" s="595" t="s">
        <v>73</v>
      </c>
      <c r="N646" s="596"/>
      <c r="O646" s="597"/>
      <c r="P646" s="165"/>
      <c r="Q646" s="25"/>
    </row>
    <row r="647" spans="2:17" ht="26.25" thickBot="1">
      <c r="B647" s="172"/>
      <c r="C647" s="31"/>
      <c r="D647" s="31"/>
      <c r="E647" s="33"/>
      <c r="F647" s="34"/>
      <c r="G647" s="391" t="s">
        <v>67</v>
      </c>
      <c r="H647" s="392" t="s">
        <v>68</v>
      </c>
      <c r="I647" s="393" t="s">
        <v>69</v>
      </c>
      <c r="J647" s="394" t="s">
        <v>67</v>
      </c>
      <c r="K647" s="392" t="s">
        <v>68</v>
      </c>
      <c r="L647" s="393" t="s">
        <v>69</v>
      </c>
      <c r="M647" s="192" t="s">
        <v>74</v>
      </c>
      <c r="N647" s="193" t="s">
        <v>75</v>
      </c>
      <c r="O647" s="194" t="s">
        <v>76</v>
      </c>
      <c r="P647" s="165"/>
      <c r="Q647" s="25"/>
    </row>
    <row r="648" spans="2:17" ht="17.25" customHeight="1" thickBot="1">
      <c r="B648" s="172"/>
      <c r="C648" s="593" t="s">
        <v>139</v>
      </c>
      <c r="D648" s="594"/>
      <c r="E648" s="31"/>
      <c r="F648" s="397" t="s">
        <v>71</v>
      </c>
      <c r="G648" s="395">
        <f>C649</f>
        <v>2740.691155746333</v>
      </c>
      <c r="H648" s="389">
        <f>'2010 Existing RatesPW'!B14</f>
        <v>0.59</v>
      </c>
      <c r="I648" s="210">
        <f>+G648*H648</f>
        <v>1617.0077818903364</v>
      </c>
      <c r="J648" s="395">
        <f>G648</f>
        <v>2740.691155746333</v>
      </c>
      <c r="K648" s="389">
        <f>'Rate Schedule (Part 1) PW'!$E$67</f>
        <v>0.8005</v>
      </c>
      <c r="L648" s="210">
        <f aca="true" t="shared" si="50" ref="L648:L655">+J648*K648</f>
        <v>2193.9232701749397</v>
      </c>
      <c r="M648" s="230">
        <f aca="true" t="shared" si="51" ref="M648:M653">+L648-I648</f>
        <v>576.9154882846033</v>
      </c>
      <c r="N648" s="231">
        <f aca="true" t="shared" si="52" ref="N648:N664">+M648/I648</f>
        <v>0.35677966101694925</v>
      </c>
      <c r="O648" s="225">
        <f>L648/L664</f>
        <v>0.1308718820416126</v>
      </c>
      <c r="P648" s="165"/>
      <c r="Q648" s="25"/>
    </row>
    <row r="649" spans="2:17" ht="17.25" customHeight="1" thickBot="1">
      <c r="B649" s="172"/>
      <c r="C649" s="170">
        <f>'Forecast Data For 2011'!E20</f>
        <v>2740.691155746333</v>
      </c>
      <c r="D649" s="171" t="s">
        <v>138</v>
      </c>
      <c r="E649" s="31"/>
      <c r="F649" s="398" t="s">
        <v>82</v>
      </c>
      <c r="G649" s="396">
        <f>C651</f>
        <v>379.3451636006967</v>
      </c>
      <c r="H649" s="196">
        <f>'2010 Existing RatesPW'!D78</f>
        <v>0.7961000000000001</v>
      </c>
      <c r="I649" s="210">
        <f>+G649*H649</f>
        <v>301.99668474251473</v>
      </c>
      <c r="J649" s="201">
        <f>G649</f>
        <v>379.3451636006967</v>
      </c>
      <c r="K649" s="195">
        <f>'Rate Schedule (Part 1) PW'!$E$68</f>
        <v>3.1398</v>
      </c>
      <c r="L649" s="210">
        <f t="shared" si="50"/>
        <v>1191.0679446734675</v>
      </c>
      <c r="M649" s="230">
        <f t="shared" si="51"/>
        <v>889.0712599309528</v>
      </c>
      <c r="N649" s="231">
        <f t="shared" si="52"/>
        <v>2.9439768873257117</v>
      </c>
      <c r="O649" s="225">
        <f>L649/L664</f>
        <v>0.07104956936184127</v>
      </c>
      <c r="P649" s="165"/>
      <c r="Q649" s="25"/>
    </row>
    <row r="650" spans="2:16" ht="17.25" customHeight="1" thickBot="1">
      <c r="B650" s="172"/>
      <c r="C650" s="170">
        <f>'Forecast Data For 2011'!E22/12</f>
        <v>142859.36677756583</v>
      </c>
      <c r="D650" s="171" t="s">
        <v>16</v>
      </c>
      <c r="E650" s="31"/>
      <c r="F650" s="398" t="s">
        <v>250</v>
      </c>
      <c r="G650" s="333">
        <f>G649</f>
        <v>379.3451636006967</v>
      </c>
      <c r="H650" s="399">
        <f>'2010 Existing RatesPW'!D53</f>
        <v>0.6741</v>
      </c>
      <c r="I650" s="210">
        <f>G650*H650</f>
        <v>255.71657478322967</v>
      </c>
      <c r="J650" s="201">
        <f>G650</f>
        <v>379.3451636006967</v>
      </c>
      <c r="K650" s="195">
        <f>'Rate Schedule (Part 1) PW'!$E$69</f>
        <v>0.0801</v>
      </c>
      <c r="L650" s="210">
        <f t="shared" si="50"/>
        <v>30.38554760441581</v>
      </c>
      <c r="M650" s="230">
        <f t="shared" si="51"/>
        <v>-225.33102717881386</v>
      </c>
      <c r="N650" s="231">
        <f t="shared" si="52"/>
        <v>-0.8811748998664886</v>
      </c>
      <c r="O650" s="225">
        <f>L650/L664</f>
        <v>0.0018125582858409728</v>
      </c>
      <c r="P650" s="165"/>
    </row>
    <row r="651" spans="2:16" ht="17.25" customHeight="1" thickBot="1">
      <c r="B651" s="172"/>
      <c r="C651" s="170">
        <f>'Forecast Data For 2011'!E21/12</f>
        <v>379.3451636006967</v>
      </c>
      <c r="D651" s="171" t="s">
        <v>17</v>
      </c>
      <c r="E651" s="31"/>
      <c r="F651" s="199" t="s">
        <v>251</v>
      </c>
      <c r="G651" s="201">
        <f>G650</f>
        <v>379.3451636006967</v>
      </c>
      <c r="H651" s="196"/>
      <c r="I651" s="210">
        <f>+G651*H651</f>
        <v>0</v>
      </c>
      <c r="J651" s="201">
        <f>G651</f>
        <v>379.3451636006967</v>
      </c>
      <c r="K651" s="195">
        <f>'Rate Schedule (Part 1) PW'!$E$70</f>
        <v>0</v>
      </c>
      <c r="L651" s="214">
        <f t="shared" si="50"/>
        <v>0</v>
      </c>
      <c r="M651" s="230">
        <f t="shared" si="51"/>
        <v>0</v>
      </c>
      <c r="N651" s="231" t="e">
        <f t="shared" si="52"/>
        <v>#DIV/0!</v>
      </c>
      <c r="O651" s="225">
        <f>L651/L664</f>
        <v>0</v>
      </c>
      <c r="P651" s="165"/>
    </row>
    <row r="652" spans="2:16" ht="30.75" customHeight="1">
      <c r="B652" s="172"/>
      <c r="C652" s="63"/>
      <c r="D652" s="64"/>
      <c r="E652" s="31"/>
      <c r="F652" s="199" t="s">
        <v>295</v>
      </c>
      <c r="G652" s="201">
        <f>G651</f>
        <v>379.3451636006967</v>
      </c>
      <c r="H652" s="196">
        <f>'2010 Existing RatesPW'!D27</f>
        <v>-2.1909</v>
      </c>
      <c r="I652" s="210">
        <f>+G652*H652</f>
        <v>-831.1073189327665</v>
      </c>
      <c r="J652" s="201">
        <f>J651</f>
        <v>379.3451636006967</v>
      </c>
      <c r="K652" s="195">
        <f>'Rate Schedule (Part 1) PW'!$E$72</f>
        <v>-2.1909</v>
      </c>
      <c r="L652" s="214">
        <f t="shared" si="50"/>
        <v>-831.1073189327665</v>
      </c>
      <c r="M652" s="230">
        <f t="shared" si="51"/>
        <v>0</v>
      </c>
      <c r="N652" s="231">
        <f t="shared" si="52"/>
        <v>0</v>
      </c>
      <c r="O652" s="225">
        <f>L652/L664</f>
        <v>-0.04957720285204728</v>
      </c>
      <c r="P652" s="165"/>
    </row>
    <row r="653" spans="2:16" ht="29.25" customHeight="1">
      <c r="B653" s="172"/>
      <c r="C653" s="31"/>
      <c r="D653" s="31"/>
      <c r="E653" s="31"/>
      <c r="F653" s="199" t="s">
        <v>296</v>
      </c>
      <c r="G653" s="372">
        <f>C651</f>
        <v>379.3451636006967</v>
      </c>
      <c r="H653" s="488"/>
      <c r="I653" s="299">
        <f>+G653*H653</f>
        <v>0</v>
      </c>
      <c r="J653" s="372">
        <f>C651</f>
        <v>379.3451636006967</v>
      </c>
      <c r="K653" s="488">
        <f>'Rate Schedule (Part 1) PW'!E74</f>
        <v>-0.6329</v>
      </c>
      <c r="L653" s="229">
        <f t="shared" si="50"/>
        <v>-240.08755404288095</v>
      </c>
      <c r="M653" s="224">
        <f t="shared" si="51"/>
        <v>-240.08755404288095</v>
      </c>
      <c r="N653" s="218" t="e">
        <f>+M653/I653</f>
        <v>#DIV/0!</v>
      </c>
      <c r="O653" s="225">
        <f>L653/L664</f>
        <v>-0.014321699614341469</v>
      </c>
      <c r="P653" s="165"/>
    </row>
    <row r="654" spans="2:16" ht="26.25" customHeight="1">
      <c r="B654" s="172"/>
      <c r="C654" s="63"/>
      <c r="D654" s="64"/>
      <c r="E654" s="31"/>
      <c r="F654" s="199" t="s">
        <v>318</v>
      </c>
      <c r="G654" s="201">
        <f>C651</f>
        <v>379.3451636006967</v>
      </c>
      <c r="H654" s="196">
        <f>'2010 Existing RatesPW'!D40</f>
        <v>0</v>
      </c>
      <c r="I654" s="206">
        <f>+G654*H654</f>
        <v>0</v>
      </c>
      <c r="J654" s="201">
        <f>C651</f>
        <v>379.3451636006967</v>
      </c>
      <c r="K654" s="195">
        <f>'Rate Schedule (Part 1) PW'!E71</f>
        <v>0</v>
      </c>
      <c r="L654" s="214">
        <f t="shared" si="50"/>
        <v>0</v>
      </c>
      <c r="M654" s="224">
        <f>+L654-I654</f>
        <v>0</v>
      </c>
      <c r="N654" s="218" t="e">
        <f>+M654/I654</f>
        <v>#DIV/0!</v>
      </c>
      <c r="O654" s="225">
        <f>L654/L664</f>
        <v>0</v>
      </c>
      <c r="P654" s="165"/>
    </row>
    <row r="655" spans="2:16" ht="27.75" customHeight="1" thickBot="1">
      <c r="B655" s="172"/>
      <c r="C655" s="31"/>
      <c r="D655" s="31"/>
      <c r="E655" s="31"/>
      <c r="F655" s="199" t="s">
        <v>319</v>
      </c>
      <c r="G655" s="372">
        <f>C651</f>
        <v>379.3451636006967</v>
      </c>
      <c r="H655" s="488"/>
      <c r="I655" s="206">
        <f>+G655*H655</f>
        <v>0</v>
      </c>
      <c r="J655" s="372">
        <f>C651</f>
        <v>379.3451636006967</v>
      </c>
      <c r="K655" s="488">
        <f>'Rate Schedule (Part 1) PW'!E73</f>
        <v>0.6613</v>
      </c>
      <c r="L655" s="214">
        <f t="shared" si="50"/>
        <v>250.86095668914072</v>
      </c>
      <c r="M655" s="224">
        <f>+L655-I655</f>
        <v>250.86095668914072</v>
      </c>
      <c r="N655" s="218" t="e">
        <f>+M655/I655</f>
        <v>#DIV/0!</v>
      </c>
      <c r="O655" s="225">
        <f>L655/L664</f>
        <v>0.01496435448722391</v>
      </c>
      <c r="P655" s="165"/>
    </row>
    <row r="656" spans="2:16" ht="17.25" customHeight="1" thickBot="1">
      <c r="B656" s="172"/>
      <c r="C656" s="31"/>
      <c r="D656" s="31"/>
      <c r="E656" s="31"/>
      <c r="F656" s="233" t="s">
        <v>247</v>
      </c>
      <c r="G656" s="586"/>
      <c r="H656" s="587"/>
      <c r="I656" s="235">
        <f>SUM(I648:I655)</f>
        <v>1343.6137224833144</v>
      </c>
      <c r="J656" s="586"/>
      <c r="K656" s="587"/>
      <c r="L656" s="235">
        <f>SUM(L648:L655)</f>
        <v>2595.042846166316</v>
      </c>
      <c r="M656" s="237">
        <f>SUM(M648:M655)</f>
        <v>1251.4291236830018</v>
      </c>
      <c r="N656" s="238">
        <f t="shared" si="52"/>
        <v>0.9313905497854444</v>
      </c>
      <c r="O656" s="240">
        <f>SUM(O648:O655)</f>
        <v>0.15479946171013</v>
      </c>
      <c r="P656" s="165"/>
    </row>
    <row r="657" spans="2:16" ht="17.25" customHeight="1" thickBot="1">
      <c r="B657" s="172"/>
      <c r="C657" s="31"/>
      <c r="D657" s="31"/>
      <c r="E657" s="31"/>
      <c r="F657" s="199" t="s">
        <v>252</v>
      </c>
      <c r="G657" s="372">
        <f>G652</f>
        <v>379.3451636006967</v>
      </c>
      <c r="H657" s="373">
        <f>'Other Electriciy Rates PW'!$G$15</f>
        <v>2.824</v>
      </c>
      <c r="I657" s="210">
        <f>+G657*H657</f>
        <v>1071.2707420083675</v>
      </c>
      <c r="J657" s="372">
        <f>G657</f>
        <v>379.3451636006967</v>
      </c>
      <c r="K657" s="494">
        <f>'Other Electriciy Rates PW'!$G$29</f>
        <v>2.790111290450164</v>
      </c>
      <c r="L657" s="210">
        <f>+J657*K657</f>
        <v>1058.4152239399684</v>
      </c>
      <c r="M657" s="374">
        <f>+L657-I657</f>
        <v>-12.855518068399078</v>
      </c>
      <c r="N657" s="222">
        <f t="shared" si="52"/>
        <v>-0.012000251257024124</v>
      </c>
      <c r="O657" s="225">
        <f>L657/L664</f>
        <v>0.0631365710102858</v>
      </c>
      <c r="P657" s="165"/>
    </row>
    <row r="658" spans="2:16" ht="17.25" customHeight="1" thickBot="1">
      <c r="B658" s="172"/>
      <c r="C658" s="31"/>
      <c r="D658" s="31"/>
      <c r="E658" s="31"/>
      <c r="F658" s="233" t="s">
        <v>249</v>
      </c>
      <c r="G658" s="586"/>
      <c r="H658" s="587"/>
      <c r="I658" s="235">
        <f>SUM(I656:I657)</f>
        <v>2414.8844644916817</v>
      </c>
      <c r="J658" s="586"/>
      <c r="K658" s="587"/>
      <c r="L658" s="235">
        <f>SUM(L656:L657)</f>
        <v>3653.458070106284</v>
      </c>
      <c r="M658" s="237">
        <f>SUM(M656:M657)</f>
        <v>1238.5736056146027</v>
      </c>
      <c r="N658" s="238">
        <f t="shared" si="52"/>
        <v>0.5128914545712293</v>
      </c>
      <c r="O658" s="375">
        <f>L658/L664</f>
        <v>0.21793603272041578</v>
      </c>
      <c r="P658" s="165"/>
    </row>
    <row r="659" spans="2:16" ht="17.25" customHeight="1">
      <c r="B659" s="172"/>
      <c r="C659" s="31"/>
      <c r="D659" s="31"/>
      <c r="E659" s="31"/>
      <c r="F659" s="197" t="s">
        <v>77</v>
      </c>
      <c r="G659" s="202">
        <f>C650*'Other Electriciy Rates PW'!$M$15</f>
        <v>151445.21472089755</v>
      </c>
      <c r="H659" s="203">
        <f>'Other Electriciy Rates PW'!$C$15+'Other Electriciy Rates PW'!$E$15+'Other Electriciy Rates PW'!D15</f>
        <v>0.0138725</v>
      </c>
      <c r="I659" s="204">
        <f>+G659*H659</f>
        <v>2100.9237412156513</v>
      </c>
      <c r="J659" s="202">
        <f>C650*'Other Electriciy Rates PW'!$M$29</f>
        <v>150858.1020230349</v>
      </c>
      <c r="K659" s="203">
        <f>'Other Electriciy Rates PW'!$C$29+'Other Electriciy Rates PW'!$E$29+'Other Electriciy Rates PW'!D29</f>
        <v>0.0135</v>
      </c>
      <c r="L659" s="229">
        <f>+J659*K659</f>
        <v>2036.5843773109711</v>
      </c>
      <c r="M659" s="230">
        <f>+L659-I659</f>
        <v>-64.33936390468011</v>
      </c>
      <c r="N659" s="231">
        <f t="shared" si="52"/>
        <v>-0.030624321407997236</v>
      </c>
      <c r="O659" s="225">
        <f>L659/L664</f>
        <v>0.12148630447498726</v>
      </c>
      <c r="P659" s="165"/>
    </row>
    <row r="660" spans="2:16" ht="21.75" customHeight="1">
      <c r="B660" s="172"/>
      <c r="C660" s="31"/>
      <c r="D660" s="31"/>
      <c r="E660" s="31"/>
      <c r="F660" s="200" t="s">
        <v>321</v>
      </c>
      <c r="G660" s="220"/>
      <c r="H660" s="219"/>
      <c r="I660" s="210">
        <v>0.25</v>
      </c>
      <c r="J660" s="220"/>
      <c r="K660" s="219"/>
      <c r="L660" s="214">
        <v>0.25</v>
      </c>
      <c r="M660" s="513">
        <f>+L660-I660</f>
        <v>0</v>
      </c>
      <c r="N660" s="231">
        <f t="shared" si="52"/>
        <v>0</v>
      </c>
      <c r="O660" s="225">
        <f>L660/L664</f>
        <v>1.491299671013302E-05</v>
      </c>
      <c r="P660" s="165"/>
    </row>
    <row r="661" spans="2:16" ht="17.25" customHeight="1" thickBot="1">
      <c r="B661" s="172"/>
      <c r="C661" s="31"/>
      <c r="D661" s="31"/>
      <c r="E661" s="31"/>
      <c r="F661" s="197" t="s">
        <v>78</v>
      </c>
      <c r="G661" s="202">
        <f>G659</f>
        <v>151445.21472089755</v>
      </c>
      <c r="H661" s="203">
        <f>'Other Electriciy Rates PW'!$K$15</f>
        <v>0.06062</v>
      </c>
      <c r="I661" s="204">
        <f>+G661*H661</f>
        <v>9180.60891638081</v>
      </c>
      <c r="J661" s="202">
        <f>J659</f>
        <v>150858.1020230349</v>
      </c>
      <c r="K661" s="203">
        <f>'Other Electriciy Rates PW'!$K$29</f>
        <v>0.06062</v>
      </c>
      <c r="L661" s="229">
        <f>+J661*K661</f>
        <v>9145.018144636377</v>
      </c>
      <c r="M661" s="230">
        <f>+L661-I661</f>
        <v>-35.59077174443337</v>
      </c>
      <c r="N661" s="231">
        <f t="shared" si="52"/>
        <v>-0.00387673323944007</v>
      </c>
      <c r="O661" s="225">
        <f>L661/L664</f>
        <v>0.5455185020202762</v>
      </c>
      <c r="P661" s="165"/>
    </row>
    <row r="662" spans="2:16" ht="17.25" customHeight="1" thickBot="1">
      <c r="B662" s="172"/>
      <c r="C662" s="31"/>
      <c r="D662" s="31"/>
      <c r="E662" s="31"/>
      <c r="F662" s="233" t="s">
        <v>195</v>
      </c>
      <c r="G662" s="586"/>
      <c r="H662" s="587"/>
      <c r="I662" s="235">
        <f>SUM(I658:I661)</f>
        <v>13696.667122088144</v>
      </c>
      <c r="J662" s="586"/>
      <c r="K662" s="587"/>
      <c r="L662" s="235">
        <f>SUM(L658:L661)</f>
        <v>14835.310592053633</v>
      </c>
      <c r="M662" s="235">
        <f>SUM(M658:M661)</f>
        <v>1138.6434699654892</v>
      </c>
      <c r="N662" s="238">
        <f t="shared" si="52"/>
        <v>0.08313288625736097</v>
      </c>
      <c r="O662" s="375">
        <f>L662/L664</f>
        <v>0.8849557522123894</v>
      </c>
      <c r="P662" s="165"/>
    </row>
    <row r="663" spans="2:16" ht="17.25" customHeight="1" thickBot="1">
      <c r="B663" s="172"/>
      <c r="C663" s="31"/>
      <c r="D663" s="31"/>
      <c r="E663" s="31"/>
      <c r="F663" s="297" t="s">
        <v>274</v>
      </c>
      <c r="G663" s="298"/>
      <c r="H663" s="302">
        <v>0.13</v>
      </c>
      <c r="I663" s="299">
        <f>I662*H663</f>
        <v>1780.5667258714586</v>
      </c>
      <c r="J663" s="298"/>
      <c r="K663" s="302">
        <v>0.13</v>
      </c>
      <c r="L663" s="300">
        <f>L662*K663</f>
        <v>1928.5903769669724</v>
      </c>
      <c r="M663" s="227">
        <f>+L663-I663</f>
        <v>148.02365109551374</v>
      </c>
      <c r="N663" s="228">
        <f t="shared" si="52"/>
        <v>0.08313288625736105</v>
      </c>
      <c r="O663" s="241">
        <f>L663/L664</f>
        <v>0.11504424778761063</v>
      </c>
      <c r="P663" s="165"/>
    </row>
    <row r="664" spans="2:16" ht="17.25" customHeight="1" thickBot="1">
      <c r="B664" s="172"/>
      <c r="C664" s="31"/>
      <c r="D664" s="31"/>
      <c r="E664" s="35"/>
      <c r="F664" s="412" t="s">
        <v>79</v>
      </c>
      <c r="G664" s="588"/>
      <c r="H664" s="589"/>
      <c r="I664" s="413">
        <f>SUM(I662:I663)</f>
        <v>15477.233847959602</v>
      </c>
      <c r="J664" s="588"/>
      <c r="K664" s="589"/>
      <c r="L664" s="413">
        <f>SUM(L662:L663)</f>
        <v>16763.900969020604</v>
      </c>
      <c r="M664" s="413">
        <f>SUM(M662:M663)</f>
        <v>1286.667121061003</v>
      </c>
      <c r="N664" s="414">
        <f t="shared" si="52"/>
        <v>0.08313288625736098</v>
      </c>
      <c r="O664" s="371">
        <f>O662+O663</f>
        <v>1</v>
      </c>
      <c r="P664" s="165"/>
    </row>
    <row r="665" spans="2:16" ht="17.25" customHeight="1" thickBot="1">
      <c r="B665" s="166"/>
      <c r="C665" s="178"/>
      <c r="D665" s="178"/>
      <c r="E665" s="178"/>
      <c r="F665" s="275"/>
      <c r="G665" s="276"/>
      <c r="H665" s="277"/>
      <c r="I665" s="278"/>
      <c r="J665" s="276"/>
      <c r="K665" s="279"/>
      <c r="L665" s="278"/>
      <c r="M665" s="415"/>
      <c r="N665" s="280"/>
      <c r="O665" s="281"/>
      <c r="P665" s="167"/>
    </row>
    <row r="666" spans="2:16" ht="17.25" customHeight="1" thickBot="1">
      <c r="B666" s="25"/>
      <c r="C666" s="31"/>
      <c r="D666" s="31"/>
      <c r="E666" s="31"/>
      <c r="F666" s="49"/>
      <c r="G666" s="50"/>
      <c r="H666" s="51"/>
      <c r="I666" s="52"/>
      <c r="J666" s="50"/>
      <c r="K666" s="53"/>
      <c r="L666" s="52"/>
      <c r="M666" s="54"/>
      <c r="N666" s="175"/>
      <c r="O666" s="176"/>
      <c r="P666" s="25"/>
    </row>
    <row r="667" spans="2:16" ht="17.25" customHeight="1">
      <c r="B667" s="174"/>
      <c r="C667" s="592"/>
      <c r="D667" s="592"/>
      <c r="E667" s="592"/>
      <c r="F667" s="592"/>
      <c r="G667" s="592"/>
      <c r="H667" s="592"/>
      <c r="I667" s="592"/>
      <c r="J667" s="592"/>
      <c r="K667" s="592"/>
      <c r="L667" s="592"/>
      <c r="M667" s="592"/>
      <c r="N667" s="592"/>
      <c r="O667" s="592"/>
      <c r="P667" s="164"/>
    </row>
    <row r="668" spans="2:16" ht="23.25">
      <c r="B668" s="172"/>
      <c r="C668" s="591" t="s">
        <v>312</v>
      </c>
      <c r="D668" s="591"/>
      <c r="E668" s="591"/>
      <c r="F668" s="591"/>
      <c r="G668" s="591"/>
      <c r="H668" s="591"/>
      <c r="I668" s="591"/>
      <c r="J668" s="591"/>
      <c r="K668" s="591"/>
      <c r="L668" s="591"/>
      <c r="M668" s="591"/>
      <c r="N668" s="591"/>
      <c r="O668" s="591"/>
      <c r="P668" s="165"/>
    </row>
    <row r="669" spans="2:17" ht="17.25" customHeight="1" thickBot="1">
      <c r="B669" s="172"/>
      <c r="C669" s="590"/>
      <c r="D669" s="590"/>
      <c r="E669" s="590"/>
      <c r="F669" s="590"/>
      <c r="G669" s="590"/>
      <c r="H669" s="590"/>
      <c r="I669" s="590"/>
      <c r="J669" s="590"/>
      <c r="K669" s="590"/>
      <c r="L669" s="590"/>
      <c r="M669" s="590"/>
      <c r="N669" s="590"/>
      <c r="O669" s="590"/>
      <c r="P669" s="165"/>
      <c r="Q669" s="25"/>
    </row>
    <row r="670" spans="2:17" ht="17.25" customHeight="1" thickBot="1">
      <c r="B670" s="172"/>
      <c r="C670" s="173"/>
      <c r="D670" s="173"/>
      <c r="E670" s="31"/>
      <c r="F670" s="32"/>
      <c r="G670" s="595" t="str">
        <f>$G$10</f>
        <v>2010 BILL</v>
      </c>
      <c r="H670" s="596"/>
      <c r="I670" s="597"/>
      <c r="J670" s="595" t="str">
        <f>$J$10</f>
        <v>2011 BILL</v>
      </c>
      <c r="K670" s="596"/>
      <c r="L670" s="597"/>
      <c r="M670" s="595" t="s">
        <v>73</v>
      </c>
      <c r="N670" s="596"/>
      <c r="O670" s="597"/>
      <c r="P670" s="165"/>
      <c r="Q670" s="25"/>
    </row>
    <row r="671" spans="2:17" ht="26.25" thickBot="1">
      <c r="B671" s="172"/>
      <c r="C671" s="31"/>
      <c r="D671" s="31"/>
      <c r="E671" s="33"/>
      <c r="F671" s="34"/>
      <c r="G671" s="391" t="s">
        <v>67</v>
      </c>
      <c r="H671" s="392" t="s">
        <v>68</v>
      </c>
      <c r="I671" s="393" t="s">
        <v>69</v>
      </c>
      <c r="J671" s="394" t="s">
        <v>67</v>
      </c>
      <c r="K671" s="392" t="s">
        <v>68</v>
      </c>
      <c r="L671" s="393" t="s">
        <v>69</v>
      </c>
      <c r="M671" s="192" t="s">
        <v>74</v>
      </c>
      <c r="N671" s="193" t="s">
        <v>75</v>
      </c>
      <c r="O671" s="194" t="s">
        <v>76</v>
      </c>
      <c r="P671" s="165"/>
      <c r="Q671" s="25"/>
    </row>
    <row r="672" spans="2:17" ht="17.25" customHeight="1" thickBot="1">
      <c r="B672" s="172"/>
      <c r="C672" s="593" t="s">
        <v>139</v>
      </c>
      <c r="D672" s="594"/>
      <c r="E672" s="31"/>
      <c r="F672" s="397" t="s">
        <v>71</v>
      </c>
      <c r="G672" s="395">
        <f>C673</f>
        <v>1</v>
      </c>
      <c r="H672" s="389">
        <f>'2010 Existing RatesPW'!B14</f>
        <v>0.59</v>
      </c>
      <c r="I672" s="210">
        <f>+G672*H672</f>
        <v>0.59</v>
      </c>
      <c r="J672" s="395">
        <f>G672</f>
        <v>1</v>
      </c>
      <c r="K672" s="389">
        <f>'Rate Schedule (Part 1) PW'!$E$67</f>
        <v>0.8005</v>
      </c>
      <c r="L672" s="210">
        <f aca="true" t="shared" si="53" ref="L672:L679">+J672*K672</f>
        <v>0.8005</v>
      </c>
      <c r="M672" s="230">
        <f aca="true" t="shared" si="54" ref="M672:M677">+L672-I672</f>
        <v>0.21050000000000002</v>
      </c>
      <c r="N672" s="231">
        <f aca="true" t="shared" si="55" ref="N672:N688">+M672/I672</f>
        <v>0.3567796610169492</v>
      </c>
      <c r="O672" s="225">
        <f>L672/L688</f>
        <v>0.1250963803309803</v>
      </c>
      <c r="P672" s="165"/>
      <c r="Q672" s="25"/>
    </row>
    <row r="673" spans="2:17" ht="17.25" customHeight="1" thickBot="1">
      <c r="B673" s="172"/>
      <c r="C673" s="170">
        <v>1</v>
      </c>
      <c r="D673" s="171" t="s">
        <v>138</v>
      </c>
      <c r="E673" s="31"/>
      <c r="F673" s="398" t="s">
        <v>82</v>
      </c>
      <c r="G673" s="396">
        <f>C675</f>
        <v>0.13841222598370267</v>
      </c>
      <c r="H673" s="196">
        <f>'2010 Existing RatesPW'!D78</f>
        <v>0.7961000000000001</v>
      </c>
      <c r="I673" s="210">
        <f>+G673*H673</f>
        <v>0.11018997310562571</v>
      </c>
      <c r="J673" s="201">
        <f>G673</f>
        <v>0.13841222598370267</v>
      </c>
      <c r="K673" s="195">
        <f>'Rate Schedule (Part 1) PW'!$E$68</f>
        <v>3.1398</v>
      </c>
      <c r="L673" s="210">
        <f t="shared" si="53"/>
        <v>0.4345867071436297</v>
      </c>
      <c r="M673" s="230">
        <f t="shared" si="54"/>
        <v>0.32439673403800395</v>
      </c>
      <c r="N673" s="231">
        <f t="shared" si="55"/>
        <v>2.9439768873257126</v>
      </c>
      <c r="O673" s="225">
        <f>L673/L688</f>
        <v>0.06791408370222093</v>
      </c>
      <c r="P673" s="165"/>
      <c r="Q673" s="25"/>
    </row>
    <row r="674" spans="2:16" ht="17.25" customHeight="1" thickBot="1">
      <c r="B674" s="172"/>
      <c r="C674" s="294">
        <f>C650/C649</f>
        <v>52.125306595760144</v>
      </c>
      <c r="D674" s="171" t="s">
        <v>16</v>
      </c>
      <c r="E674" s="31"/>
      <c r="F674" s="398" t="s">
        <v>250</v>
      </c>
      <c r="G674" s="333">
        <f>G673</f>
        <v>0.13841222598370267</v>
      </c>
      <c r="H674" s="399">
        <f>'2010 Existing RatesPW'!D53</f>
        <v>0.6741</v>
      </c>
      <c r="I674" s="210">
        <f>G674*H674</f>
        <v>0.09330368153561398</v>
      </c>
      <c r="J674" s="201">
        <f>G674</f>
        <v>0.13841222598370267</v>
      </c>
      <c r="K674" s="195">
        <f>'Rate Schedule (Part 1) PW'!$E$69</f>
        <v>0.0801</v>
      </c>
      <c r="L674" s="210">
        <f t="shared" si="53"/>
        <v>0.011086819301294584</v>
      </c>
      <c r="M674" s="230">
        <f t="shared" si="54"/>
        <v>-0.0822168622343194</v>
      </c>
      <c r="N674" s="231">
        <f t="shared" si="55"/>
        <v>-0.8811748998664887</v>
      </c>
      <c r="O674" s="225">
        <f>L674/L688</f>
        <v>0.0017325683497509067</v>
      </c>
      <c r="P674" s="165"/>
    </row>
    <row r="675" spans="2:16" ht="17.25" customHeight="1" thickBot="1">
      <c r="B675" s="172"/>
      <c r="C675" s="294">
        <f>C651/C649</f>
        <v>0.13841222598370267</v>
      </c>
      <c r="D675" s="171" t="s">
        <v>17</v>
      </c>
      <c r="E675" s="31"/>
      <c r="F675" s="199" t="s">
        <v>251</v>
      </c>
      <c r="G675" s="201">
        <f>G674</f>
        <v>0.13841222598370267</v>
      </c>
      <c r="H675" s="196"/>
      <c r="I675" s="210">
        <f>+G675*H675</f>
        <v>0</v>
      </c>
      <c r="J675" s="201">
        <f>G675</f>
        <v>0.13841222598370267</v>
      </c>
      <c r="K675" s="195">
        <f>'Rate Schedule (Part 1) PW'!$E$70</f>
        <v>0</v>
      </c>
      <c r="L675" s="214">
        <f t="shared" si="53"/>
        <v>0</v>
      </c>
      <c r="M675" s="230">
        <f t="shared" si="54"/>
        <v>0</v>
      </c>
      <c r="N675" s="231" t="e">
        <f t="shared" si="55"/>
        <v>#DIV/0!</v>
      </c>
      <c r="O675" s="225">
        <f>L675/L688</f>
        <v>0</v>
      </c>
      <c r="P675" s="165"/>
    </row>
    <row r="676" spans="2:16" ht="32.25" customHeight="1">
      <c r="B676" s="172"/>
      <c r="C676" s="63"/>
      <c r="D676" s="64"/>
      <c r="E676" s="31"/>
      <c r="F676" s="199" t="s">
        <v>295</v>
      </c>
      <c r="G676" s="201">
        <f>G675</f>
        <v>0.13841222598370267</v>
      </c>
      <c r="H676" s="196">
        <f>'2010 Existing RatesPW'!D27</f>
        <v>-2.1909</v>
      </c>
      <c r="I676" s="210">
        <f>+G676*H676</f>
        <v>-0.3032473459076942</v>
      </c>
      <c r="J676" s="201">
        <f>J675</f>
        <v>0.13841222598370267</v>
      </c>
      <c r="K676" s="195">
        <f>'Rate Schedule (Part 1) PW'!$E$72</f>
        <v>-2.1909</v>
      </c>
      <c r="L676" s="214">
        <f t="shared" si="53"/>
        <v>-0.3032473459076942</v>
      </c>
      <c r="M676" s="230">
        <f t="shared" si="54"/>
        <v>0</v>
      </c>
      <c r="N676" s="231">
        <f t="shared" si="55"/>
        <v>0</v>
      </c>
      <c r="O676" s="225">
        <f>L676/L688</f>
        <v>-0.047389313326707386</v>
      </c>
      <c r="P676" s="165"/>
    </row>
    <row r="677" spans="2:16" ht="29.25" customHeight="1">
      <c r="B677" s="172"/>
      <c r="C677" s="31"/>
      <c r="D677" s="31"/>
      <c r="E677" s="31"/>
      <c r="F677" s="199" t="s">
        <v>296</v>
      </c>
      <c r="G677" s="372">
        <f>C675</f>
        <v>0.13841222598370267</v>
      </c>
      <c r="H677" s="488"/>
      <c r="I677" s="299">
        <f>+G677*H677</f>
        <v>0</v>
      </c>
      <c r="J677" s="372">
        <f>C675</f>
        <v>0.13841222598370267</v>
      </c>
      <c r="K677" s="488">
        <f>'Rate Schedule (Part 1) PW'!E74</f>
        <v>-0.6329</v>
      </c>
      <c r="L677" s="229">
        <f t="shared" si="53"/>
        <v>-0.08760109782508542</v>
      </c>
      <c r="M677" s="224">
        <f t="shared" si="54"/>
        <v>-0.08760109782508542</v>
      </c>
      <c r="N677" s="218" t="e">
        <f>+M677/I677</f>
        <v>#DIV/0!</v>
      </c>
      <c r="O677" s="225">
        <f>L677/L688</f>
        <v>-0.013689669270378886</v>
      </c>
      <c r="P677" s="165"/>
    </row>
    <row r="678" spans="2:16" ht="26.25" customHeight="1">
      <c r="B678" s="172"/>
      <c r="C678" s="63"/>
      <c r="D678" s="64"/>
      <c r="E678" s="31"/>
      <c r="F678" s="199" t="s">
        <v>318</v>
      </c>
      <c r="G678" s="201">
        <f>C675</f>
        <v>0.13841222598370267</v>
      </c>
      <c r="H678" s="196">
        <f>'2010 Existing RatesPW'!D40</f>
        <v>0</v>
      </c>
      <c r="I678" s="206">
        <f>+G678*H678</f>
        <v>0</v>
      </c>
      <c r="J678" s="201">
        <f>C675</f>
        <v>0.13841222598370267</v>
      </c>
      <c r="K678" s="195">
        <f>'Rate Schedule (Part 1) PW'!E71</f>
        <v>0</v>
      </c>
      <c r="L678" s="214">
        <f t="shared" si="53"/>
        <v>0</v>
      </c>
      <c r="M678" s="224">
        <f>+L678-I678</f>
        <v>0</v>
      </c>
      <c r="N678" s="218" t="e">
        <f>+M678/I678</f>
        <v>#DIV/0!</v>
      </c>
      <c r="O678" s="225">
        <f>L678/L688</f>
        <v>0</v>
      </c>
      <c r="P678" s="165"/>
    </row>
    <row r="679" spans="2:16" ht="27.75" customHeight="1" thickBot="1">
      <c r="B679" s="172"/>
      <c r="C679" s="31"/>
      <c r="D679" s="31"/>
      <c r="E679" s="31"/>
      <c r="F679" s="199" t="s">
        <v>319</v>
      </c>
      <c r="G679" s="372">
        <f>C675</f>
        <v>0.13841222598370267</v>
      </c>
      <c r="H679" s="488"/>
      <c r="I679" s="206">
        <f>+G679*H679</f>
        <v>0</v>
      </c>
      <c r="J679" s="372">
        <f>C675</f>
        <v>0.13841222598370267</v>
      </c>
      <c r="K679" s="488">
        <f>'Rate Schedule (Part 1) PW'!E73</f>
        <v>0.6613</v>
      </c>
      <c r="L679" s="214">
        <f t="shared" si="53"/>
        <v>0.09153200504302259</v>
      </c>
      <c r="M679" s="224">
        <f>+L679-I679</f>
        <v>0.09153200504302259</v>
      </c>
      <c r="N679" s="218" t="e">
        <f>+M679/I679</f>
        <v>#DIV/0!</v>
      </c>
      <c r="O679" s="225">
        <f>L679/L688</f>
        <v>0.01430396316716947</v>
      </c>
      <c r="P679" s="165"/>
    </row>
    <row r="680" spans="2:16" ht="17.25" customHeight="1" thickBot="1">
      <c r="B680" s="172"/>
      <c r="C680" s="31"/>
      <c r="D680" s="31"/>
      <c r="E680" s="31"/>
      <c r="F680" s="233" t="s">
        <v>247</v>
      </c>
      <c r="G680" s="586"/>
      <c r="H680" s="587"/>
      <c r="I680" s="235">
        <f>SUM(I672:I679)</f>
        <v>0.49024630873354547</v>
      </c>
      <c r="J680" s="586"/>
      <c r="K680" s="587"/>
      <c r="L680" s="235">
        <f>SUM(L672:L679)</f>
        <v>0.9468570877551673</v>
      </c>
      <c r="M680" s="237">
        <f>SUM(M672:M679)</f>
        <v>0.4566107790216217</v>
      </c>
      <c r="N680" s="238">
        <f t="shared" si="55"/>
        <v>0.9313905497854446</v>
      </c>
      <c r="O680" s="240">
        <f>SUM(O672:O679)</f>
        <v>0.14796801295303538</v>
      </c>
      <c r="P680" s="165"/>
    </row>
    <row r="681" spans="2:16" ht="17.25" customHeight="1" thickBot="1">
      <c r="B681" s="172"/>
      <c r="C681" s="31"/>
      <c r="D681" s="31"/>
      <c r="E681" s="31"/>
      <c r="F681" s="199" t="s">
        <v>252</v>
      </c>
      <c r="G681" s="372">
        <f>G676</f>
        <v>0.13841222598370267</v>
      </c>
      <c r="H681" s="373">
        <f>'Other Electriciy Rates PW'!$G$15</f>
        <v>2.824</v>
      </c>
      <c r="I681" s="210">
        <f>+G681*H681</f>
        <v>0.39087612617797635</v>
      </c>
      <c r="J681" s="372">
        <f>G681</f>
        <v>0.13841222598370267</v>
      </c>
      <c r="K681" s="494">
        <f>'Other Electriciy Rates PW'!$G$29</f>
        <v>2.790111290450164</v>
      </c>
      <c r="L681" s="210">
        <f>+J681*K681</f>
        <v>0.3861855144534684</v>
      </c>
      <c r="M681" s="374">
        <f>+L681-I681</f>
        <v>-0.004690611724507965</v>
      </c>
      <c r="N681" s="222">
        <f t="shared" si="55"/>
        <v>-0.012000251257024083</v>
      </c>
      <c r="O681" s="225">
        <f>L681/L688</f>
        <v>0.06035029355950828</v>
      </c>
      <c r="P681" s="165"/>
    </row>
    <row r="682" spans="2:16" ht="17.25" customHeight="1" thickBot="1">
      <c r="B682" s="172"/>
      <c r="C682" s="31"/>
      <c r="D682" s="31"/>
      <c r="E682" s="31"/>
      <c r="F682" s="233" t="s">
        <v>249</v>
      </c>
      <c r="G682" s="586"/>
      <c r="H682" s="587"/>
      <c r="I682" s="235">
        <f>SUM(I680:I681)</f>
        <v>0.8811224349115219</v>
      </c>
      <c r="J682" s="586"/>
      <c r="K682" s="587"/>
      <c r="L682" s="235">
        <f>SUM(L680:L681)</f>
        <v>1.3330426022086357</v>
      </c>
      <c r="M682" s="237">
        <f>SUM(M680:M681)</f>
        <v>0.45192016729711376</v>
      </c>
      <c r="N682" s="238">
        <f t="shared" si="55"/>
        <v>0.5128914545712293</v>
      </c>
      <c r="O682" s="375">
        <f>L682/L688</f>
        <v>0.20831830651254366</v>
      </c>
      <c r="P682" s="165"/>
    </row>
    <row r="683" spans="2:16" ht="17.25" customHeight="1">
      <c r="B683" s="172"/>
      <c r="C683" s="31"/>
      <c r="D683" s="31"/>
      <c r="E683" s="31"/>
      <c r="F683" s="197" t="s">
        <v>77</v>
      </c>
      <c r="G683" s="202">
        <f>C674*'Other Electriciy Rates PW'!$M$15</f>
        <v>55.25803752216533</v>
      </c>
      <c r="H683" s="203">
        <f>'Other Electriciy Rates PW'!$C$15+'Other Electriciy Rates PW'!$E$15+'Other Electriciy Rates PW'!D15</f>
        <v>0.0138725</v>
      </c>
      <c r="I683" s="204">
        <f>+G683*H683</f>
        <v>0.7665671255262385</v>
      </c>
      <c r="J683" s="202">
        <f>C674*'Other Electriciy Rates PW'!$M$29</f>
        <v>55.04381685135694</v>
      </c>
      <c r="K683" s="203">
        <f>'Other Electriciy Rates PW'!$C$29+'Other Electriciy Rates PW'!$E$29+'Other Electriciy Rates PW'!D29</f>
        <v>0.0135</v>
      </c>
      <c r="L683" s="229">
        <f>+J683*K683</f>
        <v>0.7430915274933186</v>
      </c>
      <c r="M683" s="230">
        <f>+L683-I683</f>
        <v>-0.023475598032919875</v>
      </c>
      <c r="N683" s="231">
        <f t="shared" si="55"/>
        <v>-0.030624321407996955</v>
      </c>
      <c r="O683" s="225">
        <f>L683/L688</f>
        <v>0.11612499730672493</v>
      </c>
      <c r="P683" s="165"/>
    </row>
    <row r="684" spans="2:16" ht="21.75" customHeight="1">
      <c r="B684" s="172"/>
      <c r="C684" s="31"/>
      <c r="D684" s="31"/>
      <c r="E684" s="31"/>
      <c r="F684" s="200" t="s">
        <v>321</v>
      </c>
      <c r="G684" s="220"/>
      <c r="H684" s="219"/>
      <c r="I684" s="210">
        <v>0.25</v>
      </c>
      <c r="J684" s="220"/>
      <c r="K684" s="219"/>
      <c r="L684" s="214">
        <v>0.25</v>
      </c>
      <c r="M684" s="513">
        <f>+L684-I684</f>
        <v>0</v>
      </c>
      <c r="N684" s="231">
        <f t="shared" si="55"/>
        <v>0</v>
      </c>
      <c r="O684" s="225">
        <f>L684/L688</f>
        <v>0.03906820122766406</v>
      </c>
      <c r="P684" s="165"/>
    </row>
    <row r="685" spans="2:16" ht="17.25" customHeight="1" thickBot="1">
      <c r="B685" s="172"/>
      <c r="C685" s="31"/>
      <c r="D685" s="31"/>
      <c r="E685" s="31"/>
      <c r="F685" s="197" t="s">
        <v>78</v>
      </c>
      <c r="G685" s="202">
        <f>G683</f>
        <v>55.25803752216533</v>
      </c>
      <c r="H685" s="203">
        <f>'Other Electriciy Rates PW'!$K$15</f>
        <v>0.06062</v>
      </c>
      <c r="I685" s="204">
        <f>+G685*H685</f>
        <v>3.3497422345936623</v>
      </c>
      <c r="J685" s="202">
        <f>J683</f>
        <v>55.04381685135694</v>
      </c>
      <c r="K685" s="203">
        <f>'Other Electriciy Rates PW'!$K$29</f>
        <v>0.06062</v>
      </c>
      <c r="L685" s="229">
        <f>+J685*K685</f>
        <v>3.3367561775292574</v>
      </c>
      <c r="M685" s="230">
        <f>+L685-I685</f>
        <v>-0.012986057064404921</v>
      </c>
      <c r="N685" s="231">
        <f t="shared" si="55"/>
        <v>-0.003876733239439895</v>
      </c>
      <c r="O685" s="225">
        <f>L685/L688</f>
        <v>0.5214442471654567</v>
      </c>
      <c r="P685" s="165"/>
    </row>
    <row r="686" spans="2:16" ht="17.25" customHeight="1" thickBot="1">
      <c r="B686" s="172"/>
      <c r="C686" s="31"/>
      <c r="D686" s="31"/>
      <c r="E686" s="31"/>
      <c r="F686" s="233" t="s">
        <v>195</v>
      </c>
      <c r="G686" s="586"/>
      <c r="H686" s="587"/>
      <c r="I686" s="235">
        <f>SUM(I682:I685)</f>
        <v>5.247431795031423</v>
      </c>
      <c r="J686" s="586"/>
      <c r="K686" s="587"/>
      <c r="L686" s="235">
        <f>SUM(L682:L685)</f>
        <v>5.662890307231212</v>
      </c>
      <c r="M686" s="235">
        <f>SUM(M682:M685)</f>
        <v>0.41545851219978897</v>
      </c>
      <c r="N686" s="238">
        <f t="shared" si="55"/>
        <v>0.07917368503830188</v>
      </c>
      <c r="O686" s="375">
        <f>L686/L688</f>
        <v>0.8849557522123893</v>
      </c>
      <c r="P686" s="165"/>
    </row>
    <row r="687" spans="2:16" ht="17.25" customHeight="1" thickBot="1">
      <c r="B687" s="172"/>
      <c r="C687" s="31"/>
      <c r="D687" s="31"/>
      <c r="E687" s="31"/>
      <c r="F687" s="297" t="s">
        <v>274</v>
      </c>
      <c r="G687" s="298"/>
      <c r="H687" s="302">
        <v>0.13</v>
      </c>
      <c r="I687" s="299">
        <f>I686*H687</f>
        <v>0.6821661333540849</v>
      </c>
      <c r="J687" s="298"/>
      <c r="K687" s="302">
        <v>0.13</v>
      </c>
      <c r="L687" s="300">
        <f>L686*K687</f>
        <v>0.7361757399400576</v>
      </c>
      <c r="M687" s="227">
        <f>+L687-I687</f>
        <v>0.05400960658597265</v>
      </c>
      <c r="N687" s="228">
        <f t="shared" si="55"/>
        <v>0.07917368503830201</v>
      </c>
      <c r="O687" s="241">
        <f>L687/L688</f>
        <v>0.11504424778761062</v>
      </c>
      <c r="P687" s="165"/>
    </row>
    <row r="688" spans="2:16" ht="17.25" customHeight="1" thickBot="1">
      <c r="B688" s="172"/>
      <c r="C688" s="31"/>
      <c r="D688" s="31"/>
      <c r="E688" s="35"/>
      <c r="F688" s="412" t="s">
        <v>79</v>
      </c>
      <c r="G688" s="588"/>
      <c r="H688" s="589"/>
      <c r="I688" s="413">
        <f>SUM(I686:I687)</f>
        <v>5.929597928385507</v>
      </c>
      <c r="J688" s="588"/>
      <c r="K688" s="589"/>
      <c r="L688" s="413">
        <f>SUM(L686:L687)</f>
        <v>6.39906604717127</v>
      </c>
      <c r="M688" s="413">
        <f>SUM(M686:M687)</f>
        <v>0.4694681187857616</v>
      </c>
      <c r="N688" s="414">
        <f t="shared" si="55"/>
        <v>0.07917368503830191</v>
      </c>
      <c r="O688" s="371">
        <f>O686+O687</f>
        <v>0.9999999999999999</v>
      </c>
      <c r="P688" s="165"/>
    </row>
    <row r="689" spans="2:16" ht="17.25" customHeight="1" thickBot="1">
      <c r="B689" s="166"/>
      <c r="C689" s="178"/>
      <c r="D689" s="178"/>
      <c r="E689" s="178"/>
      <c r="F689" s="275"/>
      <c r="G689" s="276"/>
      <c r="H689" s="277"/>
      <c r="I689" s="278"/>
      <c r="J689" s="276"/>
      <c r="K689" s="279"/>
      <c r="L689" s="278"/>
      <c r="M689" s="415"/>
      <c r="N689" s="280"/>
      <c r="O689" s="281"/>
      <c r="P689" s="167"/>
    </row>
    <row r="690" ht="17.25" customHeight="1" thickBot="1"/>
    <row r="691" spans="2:16" ht="17.25" customHeight="1">
      <c r="B691" s="174"/>
      <c r="C691" s="592"/>
      <c r="D691" s="592"/>
      <c r="E691" s="592"/>
      <c r="F691" s="592"/>
      <c r="G691" s="592"/>
      <c r="H691" s="592"/>
      <c r="I691" s="592"/>
      <c r="J691" s="592"/>
      <c r="K691" s="592"/>
      <c r="L691" s="592"/>
      <c r="M691" s="592"/>
      <c r="N691" s="592"/>
      <c r="O691" s="592"/>
      <c r="P691" s="164"/>
    </row>
    <row r="692" spans="2:16" ht="23.25">
      <c r="B692" s="172"/>
      <c r="C692" s="591" t="s">
        <v>83</v>
      </c>
      <c r="D692" s="591"/>
      <c r="E692" s="591"/>
      <c r="F692" s="591"/>
      <c r="G692" s="591"/>
      <c r="H692" s="591"/>
      <c r="I692" s="591"/>
      <c r="J692" s="591"/>
      <c r="K692" s="591"/>
      <c r="L692" s="591"/>
      <c r="M692" s="591"/>
      <c r="N692" s="591"/>
      <c r="O692" s="591"/>
      <c r="P692" s="165"/>
    </row>
    <row r="693" spans="2:17" ht="17.25" customHeight="1" thickBot="1">
      <c r="B693" s="172"/>
      <c r="C693" s="590"/>
      <c r="D693" s="590"/>
      <c r="E693" s="590"/>
      <c r="F693" s="590"/>
      <c r="G693" s="590"/>
      <c r="H693" s="590"/>
      <c r="I693" s="590"/>
      <c r="J693" s="590"/>
      <c r="K693" s="590"/>
      <c r="L693" s="590"/>
      <c r="M693" s="590"/>
      <c r="N693" s="590"/>
      <c r="O693" s="590"/>
      <c r="P693" s="165"/>
      <c r="Q693" s="25"/>
    </row>
    <row r="694" spans="2:17" ht="17.25" customHeight="1" thickBot="1">
      <c r="B694" s="172"/>
      <c r="C694" s="173"/>
      <c r="D694" s="173"/>
      <c r="E694" s="31"/>
      <c r="F694" s="32"/>
      <c r="G694" s="595" t="str">
        <f>$G$10</f>
        <v>2010 BILL</v>
      </c>
      <c r="H694" s="596"/>
      <c r="I694" s="597"/>
      <c r="J694" s="595" t="str">
        <f>$J$10</f>
        <v>2011 BILL</v>
      </c>
      <c r="K694" s="596"/>
      <c r="L694" s="597"/>
      <c r="M694" s="595" t="s">
        <v>73</v>
      </c>
      <c r="N694" s="596"/>
      <c r="O694" s="597"/>
      <c r="P694" s="165"/>
      <c r="Q694" s="25"/>
    </row>
    <row r="695" spans="2:17" ht="26.25" thickBot="1">
      <c r="B695" s="172"/>
      <c r="C695" s="31"/>
      <c r="D695" s="31"/>
      <c r="E695" s="33"/>
      <c r="F695" s="34"/>
      <c r="G695" s="391" t="s">
        <v>67</v>
      </c>
      <c r="H695" s="392" t="s">
        <v>68</v>
      </c>
      <c r="I695" s="393" t="s">
        <v>69</v>
      </c>
      <c r="J695" s="394" t="s">
        <v>67</v>
      </c>
      <c r="K695" s="392" t="s">
        <v>68</v>
      </c>
      <c r="L695" s="393" t="s">
        <v>69</v>
      </c>
      <c r="M695" s="192" t="s">
        <v>74</v>
      </c>
      <c r="N695" s="193" t="s">
        <v>75</v>
      </c>
      <c r="O695" s="194" t="s">
        <v>76</v>
      </c>
      <c r="P695" s="165"/>
      <c r="Q695" s="25"/>
    </row>
    <row r="696" spans="2:17" ht="17.25" customHeight="1" thickBot="1">
      <c r="B696" s="172"/>
      <c r="C696" s="593" t="s">
        <v>139</v>
      </c>
      <c r="D696" s="594"/>
      <c r="E696" s="31"/>
      <c r="F696" s="397" t="s">
        <v>71</v>
      </c>
      <c r="G696" s="395">
        <f>C697</f>
        <v>540.0471698113208</v>
      </c>
      <c r="H696" s="389">
        <f>'2010 Existing RatesPW'!B13</f>
        <v>1.04</v>
      </c>
      <c r="I696" s="210">
        <f>+G696*H696</f>
        <v>561.6490566037737</v>
      </c>
      <c r="J696" s="395">
        <f>G696</f>
        <v>540.0471698113208</v>
      </c>
      <c r="K696" s="389">
        <f>'Rate Schedule (Part 1) PW'!$E$57</f>
        <v>7.1862</v>
      </c>
      <c r="L696" s="210">
        <f aca="true" t="shared" si="56" ref="L696:L703">+J696*K696</f>
        <v>3880.886971698114</v>
      </c>
      <c r="M696" s="230">
        <f aca="true" t="shared" si="57" ref="M696:M701">+L696-I696</f>
        <v>3319.23791509434</v>
      </c>
      <c r="N696" s="231">
        <f aca="true" t="shared" si="58" ref="N696:N712">+M696/I696</f>
        <v>5.909807692307692</v>
      </c>
      <c r="O696" s="225">
        <f>L696/L712</f>
        <v>0.5142944377291327</v>
      </c>
      <c r="P696" s="165"/>
      <c r="Q696" s="25"/>
    </row>
    <row r="697" spans="2:17" ht="17.25" customHeight="1" thickBot="1">
      <c r="B697" s="172"/>
      <c r="C697" s="170">
        <f>'Forecast Data For 2011'!E17</f>
        <v>540.0471698113208</v>
      </c>
      <c r="D697" s="171" t="s">
        <v>138</v>
      </c>
      <c r="E697" s="31"/>
      <c r="F697" s="398" t="s">
        <v>82</v>
      </c>
      <c r="G697" s="396">
        <f>C699</f>
        <v>64.80566037735849</v>
      </c>
      <c r="H697" s="196">
        <f>'2010 Existing RatesPW'!D77</f>
        <v>0.927</v>
      </c>
      <c r="I697" s="210">
        <f>+G697*H697</f>
        <v>60.07484716981133</v>
      </c>
      <c r="J697" s="201">
        <f>G697</f>
        <v>64.80566037735849</v>
      </c>
      <c r="K697" s="195">
        <f>'Rate Schedule (Part 1) PW'!$E$58</f>
        <v>8.9771</v>
      </c>
      <c r="L697" s="210">
        <f t="shared" si="56"/>
        <v>581.7668937735849</v>
      </c>
      <c r="M697" s="230">
        <f t="shared" si="57"/>
        <v>521.6920466037736</v>
      </c>
      <c r="N697" s="231">
        <f t="shared" si="58"/>
        <v>8.68403451995685</v>
      </c>
      <c r="O697" s="225">
        <f>L697/L712</f>
        <v>0.0770956432652283</v>
      </c>
      <c r="P697" s="165"/>
      <c r="Q697" s="25"/>
    </row>
    <row r="698" spans="2:16" ht="17.25" customHeight="1" thickBot="1">
      <c r="B698" s="172"/>
      <c r="C698" s="170">
        <f>C697*C722</f>
        <v>23529.85518867925</v>
      </c>
      <c r="D698" s="171" t="s">
        <v>16</v>
      </c>
      <c r="E698" s="31"/>
      <c r="F698" s="398" t="s">
        <v>250</v>
      </c>
      <c r="G698" s="333">
        <f>G697</f>
        <v>64.80566037735849</v>
      </c>
      <c r="H698" s="399">
        <f>'2010 Existing RatesPW'!D52</f>
        <v>0.6051</v>
      </c>
      <c r="I698" s="210">
        <f>G698*H698</f>
        <v>39.21390509433962</v>
      </c>
      <c r="J698" s="201">
        <f>G698</f>
        <v>64.80566037735849</v>
      </c>
      <c r="K698" s="195">
        <f>'Rate Schedule (Part 1) PW'!$E$59</f>
        <v>0.0871</v>
      </c>
      <c r="L698" s="210">
        <f t="shared" si="56"/>
        <v>5.644573018867924</v>
      </c>
      <c r="M698" s="230">
        <f t="shared" si="57"/>
        <v>-33.5693320754717</v>
      </c>
      <c r="N698" s="231">
        <f t="shared" si="58"/>
        <v>-0.8560568501074203</v>
      </c>
      <c r="O698" s="225">
        <f>L698/L712</f>
        <v>0.0007480177928731311</v>
      </c>
      <c r="P698" s="165"/>
    </row>
    <row r="699" spans="2:16" ht="17.25" customHeight="1" thickBot="1">
      <c r="B699" s="172"/>
      <c r="C699" s="170">
        <f>C723*C697</f>
        <v>64.80566037735849</v>
      </c>
      <c r="D699" s="171" t="s">
        <v>17</v>
      </c>
      <c r="E699" s="31"/>
      <c r="F699" s="199" t="s">
        <v>251</v>
      </c>
      <c r="G699" s="201">
        <f>G698</f>
        <v>64.80566037735849</v>
      </c>
      <c r="H699" s="196"/>
      <c r="I699" s="210">
        <f>+G699*H699</f>
        <v>0</v>
      </c>
      <c r="J699" s="201">
        <f>G699</f>
        <v>64.80566037735849</v>
      </c>
      <c r="K699" s="195">
        <f>'Rate Schedule (Part 1) PW'!$E$60</f>
        <v>0</v>
      </c>
      <c r="L699" s="214">
        <f t="shared" si="56"/>
        <v>0</v>
      </c>
      <c r="M699" s="230">
        <f t="shared" si="57"/>
        <v>0</v>
      </c>
      <c r="N699" s="231" t="e">
        <f t="shared" si="58"/>
        <v>#DIV/0!</v>
      </c>
      <c r="O699" s="225">
        <f>L699/L712</f>
        <v>0</v>
      </c>
      <c r="P699" s="165"/>
    </row>
    <row r="700" spans="2:16" ht="29.25" customHeight="1">
      <c r="B700" s="172"/>
      <c r="C700" s="63"/>
      <c r="D700" s="64"/>
      <c r="E700" s="31"/>
      <c r="F700" s="199" t="s">
        <v>295</v>
      </c>
      <c r="G700" s="201">
        <f>G699</f>
        <v>64.80566037735849</v>
      </c>
      <c r="H700" s="196">
        <f>'2010 Existing RatesPW'!D26</f>
        <v>-2.2732</v>
      </c>
      <c r="I700" s="210">
        <f>+G700*H700</f>
        <v>-147.31622716981133</v>
      </c>
      <c r="J700" s="201">
        <f>J699</f>
        <v>64.80566037735849</v>
      </c>
      <c r="K700" s="195">
        <f>'Rate Schedule (Part 1) PW'!$E$62</f>
        <v>-2.2732</v>
      </c>
      <c r="L700" s="214">
        <f t="shared" si="56"/>
        <v>-147.31622716981133</v>
      </c>
      <c r="M700" s="230">
        <f t="shared" si="57"/>
        <v>0</v>
      </c>
      <c r="N700" s="231">
        <f t="shared" si="58"/>
        <v>0</v>
      </c>
      <c r="O700" s="225">
        <f>L700/L712</f>
        <v>-0.019522319710208975</v>
      </c>
      <c r="P700" s="165"/>
    </row>
    <row r="701" spans="2:16" ht="29.25" customHeight="1">
      <c r="B701" s="172"/>
      <c r="C701" s="31"/>
      <c r="D701" s="31"/>
      <c r="E701" s="31"/>
      <c r="F701" s="199" t="s">
        <v>296</v>
      </c>
      <c r="G701" s="372">
        <f>C699</f>
        <v>64.80566037735849</v>
      </c>
      <c r="H701" s="488"/>
      <c r="I701" s="299">
        <f>+G701*H701</f>
        <v>0</v>
      </c>
      <c r="J701" s="372">
        <f>C699</f>
        <v>64.80566037735849</v>
      </c>
      <c r="K701" s="488">
        <f>'Rate Schedule (Part 1) PW'!E64</f>
        <v>2.1482</v>
      </c>
      <c r="L701" s="229">
        <f t="shared" si="56"/>
        <v>139.21551962264152</v>
      </c>
      <c r="M701" s="224">
        <f t="shared" si="57"/>
        <v>139.21551962264152</v>
      </c>
      <c r="N701" s="218" t="e">
        <f>+M701/I701</f>
        <v>#DIV/0!</v>
      </c>
      <c r="O701" s="225">
        <f>L701/L712</f>
        <v>0.018448815415040877</v>
      </c>
      <c r="P701" s="165"/>
    </row>
    <row r="702" spans="2:16" ht="26.25" customHeight="1">
      <c r="B702" s="172"/>
      <c r="C702" s="63"/>
      <c r="D702" s="64"/>
      <c r="E702" s="31"/>
      <c r="F702" s="199" t="s">
        <v>318</v>
      </c>
      <c r="G702" s="201">
        <f>C699</f>
        <v>64.80566037735849</v>
      </c>
      <c r="H702" s="196">
        <f>'2010 Existing RatesPW'!D39</f>
        <v>0.2799</v>
      </c>
      <c r="I702" s="206">
        <f>+G702*H702</f>
        <v>18.13910433962264</v>
      </c>
      <c r="J702" s="201">
        <f>C699</f>
        <v>64.80566037735849</v>
      </c>
      <c r="K702" s="195">
        <f>'Rate Schedule (Part 1) PW'!E61</f>
        <v>0.2799</v>
      </c>
      <c r="L702" s="214">
        <f t="shared" si="56"/>
        <v>18.13910433962264</v>
      </c>
      <c r="M702" s="224">
        <f>+L702-I702</f>
        <v>0</v>
      </c>
      <c r="N702" s="218">
        <f>+M702/I702</f>
        <v>0</v>
      </c>
      <c r="O702" s="225">
        <f>L702/L712</f>
        <v>0.0024037908177404065</v>
      </c>
      <c r="P702" s="165"/>
    </row>
    <row r="703" spans="2:16" ht="27.75" customHeight="1" thickBot="1">
      <c r="B703" s="172"/>
      <c r="C703" s="31"/>
      <c r="D703" s="31"/>
      <c r="E703" s="31"/>
      <c r="F703" s="199" t="s">
        <v>319</v>
      </c>
      <c r="G703" s="372">
        <f>C699</f>
        <v>64.80566037735849</v>
      </c>
      <c r="H703" s="488"/>
      <c r="I703" s="206">
        <f>+G703*H703</f>
        <v>0</v>
      </c>
      <c r="J703" s="372">
        <f>C699</f>
        <v>64.80566037735849</v>
      </c>
      <c r="K703" s="488">
        <f>'Rate Schedule (Part 1) PW'!E63</f>
        <v>0.978</v>
      </c>
      <c r="L703" s="214">
        <f t="shared" si="56"/>
        <v>63.37993584905661</v>
      </c>
      <c r="M703" s="224">
        <f>+L703-I703</f>
        <v>63.37993584905661</v>
      </c>
      <c r="N703" s="218" t="e">
        <f>+M703/I703</f>
        <v>#DIV/0!</v>
      </c>
      <c r="O703" s="225">
        <f>L703/L712</f>
        <v>0.008399097605395204</v>
      </c>
      <c r="P703" s="165"/>
    </row>
    <row r="704" spans="2:16" ht="17.25" customHeight="1" thickBot="1">
      <c r="B704" s="172"/>
      <c r="C704" s="31"/>
      <c r="D704" s="31"/>
      <c r="E704" s="31"/>
      <c r="F704" s="233" t="s">
        <v>247</v>
      </c>
      <c r="G704" s="586"/>
      <c r="H704" s="587"/>
      <c r="I704" s="235">
        <f>SUM(I696:I703)</f>
        <v>531.7606860377359</v>
      </c>
      <c r="J704" s="586"/>
      <c r="K704" s="587"/>
      <c r="L704" s="235">
        <f>SUM(L696:L703)</f>
        <v>4541.716771132076</v>
      </c>
      <c r="M704" s="237">
        <f>SUM(M696:M703)</f>
        <v>4009.9560850943403</v>
      </c>
      <c r="N704" s="238">
        <f t="shared" si="58"/>
        <v>7.54090362522546</v>
      </c>
      <c r="O704" s="240">
        <f>SUM(O696:O703)</f>
        <v>0.6018674829152018</v>
      </c>
      <c r="P704" s="165"/>
    </row>
    <row r="705" spans="2:16" ht="17.25" customHeight="1" thickBot="1">
      <c r="B705" s="172"/>
      <c r="C705" s="31"/>
      <c r="D705" s="31"/>
      <c r="E705" s="31"/>
      <c r="F705" s="199" t="s">
        <v>252</v>
      </c>
      <c r="G705" s="372">
        <f>G700</f>
        <v>64.80566037735849</v>
      </c>
      <c r="H705" s="373">
        <f>'Other Electriciy Rates PW'!$G$14</f>
        <v>2.8598</v>
      </c>
      <c r="I705" s="210">
        <f>+G705*H705</f>
        <v>185.33122754716982</v>
      </c>
      <c r="J705" s="372">
        <f>G705</f>
        <v>64.80566037735849</v>
      </c>
      <c r="K705" s="494">
        <f>'Other Electriciy Rates PW'!$G$28</f>
        <v>2.861367432444399</v>
      </c>
      <c r="L705" s="210">
        <f>+J705*K705</f>
        <v>185.43280604182598</v>
      </c>
      <c r="M705" s="374">
        <f>+L705-I705</f>
        <v>0.10157849465616664</v>
      </c>
      <c r="N705" s="222">
        <f t="shared" si="58"/>
        <v>0.0005480916303234071</v>
      </c>
      <c r="O705" s="225">
        <f>L705/L712</f>
        <v>0.024573521830265413</v>
      </c>
      <c r="P705" s="165"/>
    </row>
    <row r="706" spans="2:16" ht="17.25" customHeight="1" thickBot="1">
      <c r="B706" s="172"/>
      <c r="C706" s="31"/>
      <c r="D706" s="31"/>
      <c r="E706" s="31"/>
      <c r="F706" s="233" t="s">
        <v>249</v>
      </c>
      <c r="G706" s="586"/>
      <c r="H706" s="587"/>
      <c r="I706" s="235">
        <f>SUM(I704:I705)</f>
        <v>717.0919135849058</v>
      </c>
      <c r="J706" s="586"/>
      <c r="K706" s="587"/>
      <c r="L706" s="235">
        <f>SUM(L704:L705)</f>
        <v>4727.149577173902</v>
      </c>
      <c r="M706" s="237">
        <f>SUM(M704:M705)</f>
        <v>4010.0576635889965</v>
      </c>
      <c r="N706" s="238">
        <f t="shared" si="58"/>
        <v>5.592111119398635</v>
      </c>
      <c r="O706" s="375">
        <f>L706/L712</f>
        <v>0.6264410047454672</v>
      </c>
      <c r="P706" s="165"/>
    </row>
    <row r="707" spans="2:16" ht="17.25" customHeight="1">
      <c r="B707" s="172"/>
      <c r="C707" s="31"/>
      <c r="D707" s="31"/>
      <c r="E707" s="31"/>
      <c r="F707" s="197" t="s">
        <v>77</v>
      </c>
      <c r="G707" s="202">
        <f>C698*'Other Electriciy Rates PW'!$M$14</f>
        <v>24943.99948551887</v>
      </c>
      <c r="H707" s="203">
        <f>'Other Electriciy Rates PW'!$C$14+'Other Electriciy Rates PW'!$E$14+'Other Electriciy Rates PW'!D14</f>
        <v>0.0138725</v>
      </c>
      <c r="I707" s="204">
        <f>+G707*H707</f>
        <v>346.0356328628605</v>
      </c>
      <c r="J707" s="202">
        <f>C698*'Other Electriciy Rates PW'!$M$28</f>
        <v>24847.29825358879</v>
      </c>
      <c r="K707" s="203">
        <f>'Other Electriciy Rates PW'!$C$28+'Other Electriciy Rates PW'!$E$28+'Other Electriciy Rates PW'!D28</f>
        <v>0.0135</v>
      </c>
      <c r="L707" s="229">
        <f>+J707*K707</f>
        <v>335.43852642344865</v>
      </c>
      <c r="M707" s="230">
        <f>+L707-I707</f>
        <v>-10.597106439411846</v>
      </c>
      <c r="N707" s="231">
        <f t="shared" si="58"/>
        <v>-0.030624321407996875</v>
      </c>
      <c r="O707" s="225">
        <f>L707/L712</f>
        <v>0.04445225269319075</v>
      </c>
      <c r="P707" s="165"/>
    </row>
    <row r="708" spans="2:16" ht="21.75" customHeight="1">
      <c r="B708" s="172"/>
      <c r="C708" s="31"/>
      <c r="D708" s="31"/>
      <c r="E708" s="31"/>
      <c r="F708" s="200" t="s">
        <v>321</v>
      </c>
      <c r="G708" s="220"/>
      <c r="H708" s="219"/>
      <c r="I708" s="210">
        <v>0.25</v>
      </c>
      <c r="J708" s="220"/>
      <c r="K708" s="219"/>
      <c r="L708" s="214">
        <v>0.25</v>
      </c>
      <c r="M708" s="513">
        <f>+L708-I708</f>
        <v>0</v>
      </c>
      <c r="N708" s="231">
        <f t="shared" si="58"/>
        <v>0</v>
      </c>
      <c r="O708" s="225">
        <f>L708/L712</f>
        <v>3.312995466498339E-05</v>
      </c>
      <c r="P708" s="165"/>
    </row>
    <row r="709" spans="2:16" ht="17.25" customHeight="1" thickBot="1">
      <c r="B709" s="172"/>
      <c r="C709" s="31"/>
      <c r="D709" s="31"/>
      <c r="E709" s="31"/>
      <c r="F709" s="197" t="s">
        <v>78</v>
      </c>
      <c r="G709" s="202">
        <f>G707</f>
        <v>24943.99948551887</v>
      </c>
      <c r="H709" s="203">
        <f>'Other Electriciy Rates PW'!$K$14</f>
        <v>0.065</v>
      </c>
      <c r="I709" s="204">
        <f>+G709*H709</f>
        <v>1621.3599665587267</v>
      </c>
      <c r="J709" s="202">
        <f>J707</f>
        <v>24847.29825358879</v>
      </c>
      <c r="K709" s="203">
        <f>'Other Electriciy Rates PW'!$K$28</f>
        <v>0.065</v>
      </c>
      <c r="L709" s="229">
        <f>+J709*K709</f>
        <v>1615.0743864832714</v>
      </c>
      <c r="M709" s="230">
        <f>+L709-I709</f>
        <v>-6.2855800754553</v>
      </c>
      <c r="N709" s="231">
        <f t="shared" si="58"/>
        <v>-0.0038767332394398506</v>
      </c>
      <c r="O709" s="225">
        <f>L709/L712</f>
        <v>0.2140293648190666</v>
      </c>
      <c r="P709" s="165"/>
    </row>
    <row r="710" spans="2:16" ht="17.25" customHeight="1" thickBot="1">
      <c r="B710" s="172"/>
      <c r="C710" s="31"/>
      <c r="D710" s="31"/>
      <c r="E710" s="31"/>
      <c r="F710" s="233" t="s">
        <v>195</v>
      </c>
      <c r="G710" s="586"/>
      <c r="H710" s="587"/>
      <c r="I710" s="235">
        <f>SUM(I706:I709)</f>
        <v>2684.737513006493</v>
      </c>
      <c r="J710" s="586"/>
      <c r="K710" s="587"/>
      <c r="L710" s="235">
        <f>SUM(L706:L709)</f>
        <v>6677.912490080622</v>
      </c>
      <c r="M710" s="235">
        <f>SUM(M706:M709)</f>
        <v>3993.17497707413</v>
      </c>
      <c r="N710" s="238">
        <f t="shared" si="58"/>
        <v>1.4873614115826126</v>
      </c>
      <c r="O710" s="375">
        <f>L710/L712</f>
        <v>0.8849557522123894</v>
      </c>
      <c r="P710" s="165"/>
    </row>
    <row r="711" spans="2:16" ht="17.25" customHeight="1" thickBot="1">
      <c r="B711" s="172"/>
      <c r="C711" s="31"/>
      <c r="D711" s="31"/>
      <c r="E711" s="31"/>
      <c r="F711" s="297" t="s">
        <v>274</v>
      </c>
      <c r="G711" s="298"/>
      <c r="H711" s="302">
        <v>0.13</v>
      </c>
      <c r="I711" s="299">
        <f>I710*H711</f>
        <v>349.0158766908441</v>
      </c>
      <c r="J711" s="298"/>
      <c r="K711" s="302">
        <v>0.13</v>
      </c>
      <c r="L711" s="300">
        <f>L710*K711</f>
        <v>868.1286237104808</v>
      </c>
      <c r="M711" s="227">
        <f>+L711-I711</f>
        <v>519.1127470196368</v>
      </c>
      <c r="N711" s="228">
        <f t="shared" si="58"/>
        <v>1.4873614115826121</v>
      </c>
      <c r="O711" s="241">
        <f>L711/L712</f>
        <v>0.11504424778761062</v>
      </c>
      <c r="P711" s="165"/>
    </row>
    <row r="712" spans="2:16" ht="17.25" customHeight="1" thickBot="1">
      <c r="B712" s="172"/>
      <c r="C712" s="31"/>
      <c r="D712" s="31"/>
      <c r="E712" s="35"/>
      <c r="F712" s="412" t="s">
        <v>79</v>
      </c>
      <c r="G712" s="588"/>
      <c r="H712" s="589"/>
      <c r="I712" s="413">
        <f>SUM(I710:I711)</f>
        <v>3033.753389697337</v>
      </c>
      <c r="J712" s="588"/>
      <c r="K712" s="589"/>
      <c r="L712" s="413">
        <f>SUM(L710:L711)</f>
        <v>7546.041113791102</v>
      </c>
      <c r="M712" s="413">
        <f>SUM(M710:M711)</f>
        <v>4512.287724093767</v>
      </c>
      <c r="N712" s="414">
        <f t="shared" si="58"/>
        <v>1.4873614115826126</v>
      </c>
      <c r="O712" s="371">
        <f>O710+O711</f>
        <v>1</v>
      </c>
      <c r="P712" s="165"/>
    </row>
    <row r="713" spans="2:16" ht="17.25" customHeight="1" thickBot="1">
      <c r="B713" s="166"/>
      <c r="C713" s="178"/>
      <c r="D713" s="178"/>
      <c r="E713" s="178"/>
      <c r="F713" s="275"/>
      <c r="G713" s="276"/>
      <c r="H713" s="277"/>
      <c r="I713" s="278"/>
      <c r="J713" s="276"/>
      <c r="K713" s="279"/>
      <c r="L713" s="278"/>
      <c r="M713" s="415"/>
      <c r="N713" s="280"/>
      <c r="O713" s="281"/>
      <c r="P713" s="167"/>
    </row>
    <row r="714" ht="17.25" customHeight="1" thickBot="1"/>
    <row r="715" spans="2:16" ht="17.25" customHeight="1">
      <c r="B715" s="174"/>
      <c r="C715" s="592"/>
      <c r="D715" s="592"/>
      <c r="E715" s="592"/>
      <c r="F715" s="592"/>
      <c r="G715" s="592"/>
      <c r="H715" s="592"/>
      <c r="I715" s="592"/>
      <c r="J715" s="592"/>
      <c r="K715" s="592"/>
      <c r="L715" s="592"/>
      <c r="M715" s="592"/>
      <c r="N715" s="592"/>
      <c r="O715" s="592"/>
      <c r="P715" s="164"/>
    </row>
    <row r="716" spans="2:16" ht="23.25">
      <c r="B716" s="172"/>
      <c r="C716" s="591" t="s">
        <v>313</v>
      </c>
      <c r="D716" s="591"/>
      <c r="E716" s="591"/>
      <c r="F716" s="591"/>
      <c r="G716" s="591"/>
      <c r="H716" s="591"/>
      <c r="I716" s="591"/>
      <c r="J716" s="591"/>
      <c r="K716" s="591"/>
      <c r="L716" s="591"/>
      <c r="M716" s="591"/>
      <c r="N716" s="591"/>
      <c r="O716" s="591"/>
      <c r="P716" s="165"/>
    </row>
    <row r="717" spans="2:17" ht="17.25" customHeight="1" thickBot="1">
      <c r="B717" s="172"/>
      <c r="C717" s="590"/>
      <c r="D717" s="590"/>
      <c r="E717" s="590"/>
      <c r="F717" s="590"/>
      <c r="G717" s="590"/>
      <c r="H717" s="590"/>
      <c r="I717" s="590"/>
      <c r="J717" s="590"/>
      <c r="K717" s="590"/>
      <c r="L717" s="590"/>
      <c r="M717" s="590"/>
      <c r="N717" s="590"/>
      <c r="O717" s="590"/>
      <c r="P717" s="165"/>
      <c r="Q717" s="25"/>
    </row>
    <row r="718" spans="2:17" ht="17.25" customHeight="1" thickBot="1">
      <c r="B718" s="172"/>
      <c r="C718" s="173"/>
      <c r="D718" s="173"/>
      <c r="E718" s="31"/>
      <c r="F718" s="32"/>
      <c r="G718" s="595" t="str">
        <f>$G$10</f>
        <v>2010 BILL</v>
      </c>
      <c r="H718" s="596"/>
      <c r="I718" s="597"/>
      <c r="J718" s="595" t="str">
        <f>$J$10</f>
        <v>2011 BILL</v>
      </c>
      <c r="K718" s="596"/>
      <c r="L718" s="597"/>
      <c r="M718" s="595" t="s">
        <v>73</v>
      </c>
      <c r="N718" s="596"/>
      <c r="O718" s="597"/>
      <c r="P718" s="165"/>
      <c r="Q718" s="25"/>
    </row>
    <row r="719" spans="2:17" ht="26.25" thickBot="1">
      <c r="B719" s="172"/>
      <c r="C719" s="31"/>
      <c r="D719" s="31"/>
      <c r="E719" s="33"/>
      <c r="F719" s="34"/>
      <c r="G719" s="391" t="s">
        <v>67</v>
      </c>
      <c r="H719" s="392" t="s">
        <v>68</v>
      </c>
      <c r="I719" s="393" t="s">
        <v>69</v>
      </c>
      <c r="J719" s="394" t="s">
        <v>67</v>
      </c>
      <c r="K719" s="392" t="s">
        <v>68</v>
      </c>
      <c r="L719" s="393" t="s">
        <v>69</v>
      </c>
      <c r="M719" s="192" t="s">
        <v>74</v>
      </c>
      <c r="N719" s="193" t="s">
        <v>75</v>
      </c>
      <c r="O719" s="194" t="s">
        <v>76</v>
      </c>
      <c r="P719" s="165"/>
      <c r="Q719" s="25"/>
    </row>
    <row r="720" spans="2:17" ht="17.25" customHeight="1" thickBot="1">
      <c r="B720" s="172"/>
      <c r="C720" s="593" t="s">
        <v>139</v>
      </c>
      <c r="D720" s="594"/>
      <c r="E720" s="31"/>
      <c r="F720" s="397" t="s">
        <v>71</v>
      </c>
      <c r="G720" s="395">
        <f>C721</f>
        <v>1</v>
      </c>
      <c r="H720" s="389">
        <f>'2010 Existing RatesPW'!B13</f>
        <v>1.04</v>
      </c>
      <c r="I720" s="210">
        <f>+G720*H720</f>
        <v>1.04</v>
      </c>
      <c r="J720" s="395">
        <f>G720</f>
        <v>1</v>
      </c>
      <c r="K720" s="389">
        <f>'Rate Schedule (Part 1) PW'!$E$57</f>
        <v>7.1862</v>
      </c>
      <c r="L720" s="210">
        <f aca="true" t="shared" si="59" ref="L720:L727">+J720*K720</f>
        <v>7.1862</v>
      </c>
      <c r="M720" s="230">
        <f aca="true" t="shared" si="60" ref="M720:M725">+L720-I720</f>
        <v>6.1462</v>
      </c>
      <c r="N720" s="231">
        <f aca="true" t="shared" si="61" ref="N720:N736">+M720/I720</f>
        <v>5.909807692307693</v>
      </c>
      <c r="O720" s="225">
        <f>L720/L736</f>
        <v>0.5041211581325151</v>
      </c>
      <c r="P720" s="165"/>
      <c r="Q720" s="25"/>
    </row>
    <row r="721" spans="2:17" ht="17.25" customHeight="1" thickBot="1">
      <c r="B721" s="172"/>
      <c r="C721" s="170">
        <v>1</v>
      </c>
      <c r="D721" s="171" t="s">
        <v>138</v>
      </c>
      <c r="E721" s="31"/>
      <c r="F721" s="398" t="s">
        <v>82</v>
      </c>
      <c r="G721" s="396">
        <f>C723</f>
        <v>0.12</v>
      </c>
      <c r="H721" s="196">
        <f>'2010 Existing RatesPW'!D77</f>
        <v>0.927</v>
      </c>
      <c r="I721" s="210">
        <f>+G721*H721</f>
        <v>0.11124</v>
      </c>
      <c r="J721" s="201">
        <f>G721</f>
        <v>0.12</v>
      </c>
      <c r="K721" s="195">
        <f>'Rate Schedule (Part 1) PW'!$E$58</f>
        <v>8.9771</v>
      </c>
      <c r="L721" s="210">
        <f t="shared" si="59"/>
        <v>1.0772519999999999</v>
      </c>
      <c r="M721" s="230">
        <f t="shared" si="60"/>
        <v>0.9660119999999999</v>
      </c>
      <c r="N721" s="231">
        <f t="shared" si="61"/>
        <v>8.684034519956848</v>
      </c>
      <c r="O721" s="225">
        <f>L721/L736</f>
        <v>0.07557061114922603</v>
      </c>
      <c r="P721" s="165"/>
      <c r="Q721" s="25"/>
    </row>
    <row r="722" spans="2:16" ht="17.25" customHeight="1" thickBot="1">
      <c r="B722" s="172"/>
      <c r="C722" s="294">
        <v>43.57</v>
      </c>
      <c r="D722" s="171" t="s">
        <v>16</v>
      </c>
      <c r="E722" s="31"/>
      <c r="F722" s="398" t="s">
        <v>250</v>
      </c>
      <c r="G722" s="333">
        <f>G721</f>
        <v>0.12</v>
      </c>
      <c r="H722" s="399">
        <f>'2010 Existing RatesPW'!D52</f>
        <v>0.6051</v>
      </c>
      <c r="I722" s="210">
        <f>G722*H722</f>
        <v>0.072612</v>
      </c>
      <c r="J722" s="201">
        <f>G722</f>
        <v>0.12</v>
      </c>
      <c r="K722" s="195">
        <f>'Rate Schedule (Part 1) PW'!$E$59</f>
        <v>0.0871</v>
      </c>
      <c r="L722" s="210">
        <f t="shared" si="59"/>
        <v>0.010452</v>
      </c>
      <c r="M722" s="230">
        <f t="shared" si="60"/>
        <v>-0.06215999999999999</v>
      </c>
      <c r="N722" s="231">
        <f t="shared" si="61"/>
        <v>-0.8560568501074202</v>
      </c>
      <c r="O722" s="225">
        <f>L722/L736</f>
        <v>0.0007332212218976716</v>
      </c>
      <c r="P722" s="165"/>
    </row>
    <row r="723" spans="2:16" ht="17.25" customHeight="1" thickBot="1">
      <c r="B723" s="172"/>
      <c r="C723" s="294">
        <v>0.12</v>
      </c>
      <c r="D723" s="171" t="s">
        <v>17</v>
      </c>
      <c r="E723" s="31"/>
      <c r="F723" s="199" t="s">
        <v>251</v>
      </c>
      <c r="G723" s="201">
        <f>G722</f>
        <v>0.12</v>
      </c>
      <c r="H723" s="196"/>
      <c r="I723" s="210">
        <f>+G723*H723</f>
        <v>0</v>
      </c>
      <c r="J723" s="201">
        <f>G723</f>
        <v>0.12</v>
      </c>
      <c r="K723" s="195">
        <f>'Rate Schedule (Part 1) PW'!$E$60</f>
        <v>0</v>
      </c>
      <c r="L723" s="214">
        <f t="shared" si="59"/>
        <v>0</v>
      </c>
      <c r="M723" s="230">
        <f t="shared" si="60"/>
        <v>0</v>
      </c>
      <c r="N723" s="231" t="e">
        <f t="shared" si="61"/>
        <v>#DIV/0!</v>
      </c>
      <c r="O723" s="225">
        <f>L723/L736</f>
        <v>0</v>
      </c>
      <c r="P723" s="165"/>
    </row>
    <row r="724" spans="2:16" ht="29.25" customHeight="1">
      <c r="B724" s="172"/>
      <c r="C724" s="63"/>
      <c r="D724" s="64"/>
      <c r="E724" s="31"/>
      <c r="F724" s="199" t="s">
        <v>295</v>
      </c>
      <c r="G724" s="201">
        <f>G723</f>
        <v>0.12</v>
      </c>
      <c r="H724" s="196">
        <f>'2010 Existing RatesPW'!D26</f>
        <v>-2.2732</v>
      </c>
      <c r="I724" s="210">
        <f>+G724*H724</f>
        <v>-0.272784</v>
      </c>
      <c r="J724" s="201">
        <f>J723</f>
        <v>0.12</v>
      </c>
      <c r="K724" s="195">
        <f>'Rate Schedule (Part 1) PW'!$E$62</f>
        <v>-2.2732</v>
      </c>
      <c r="L724" s="214">
        <f t="shared" si="59"/>
        <v>-0.272784</v>
      </c>
      <c r="M724" s="230">
        <f t="shared" si="60"/>
        <v>0</v>
      </c>
      <c r="N724" s="231">
        <f t="shared" si="61"/>
        <v>0</v>
      </c>
      <c r="O724" s="225">
        <f>L724/L736</f>
        <v>-0.0191361478945785</v>
      </c>
      <c r="P724" s="165"/>
    </row>
    <row r="725" spans="2:16" ht="29.25" customHeight="1">
      <c r="B725" s="172"/>
      <c r="C725" s="31"/>
      <c r="D725" s="31"/>
      <c r="E725" s="31"/>
      <c r="F725" s="199" t="s">
        <v>296</v>
      </c>
      <c r="G725" s="372">
        <f>C723</f>
        <v>0.12</v>
      </c>
      <c r="H725" s="488"/>
      <c r="I725" s="299">
        <f>+G725*H725</f>
        <v>0</v>
      </c>
      <c r="J725" s="372">
        <f>C723</f>
        <v>0.12</v>
      </c>
      <c r="K725" s="488">
        <f>'Rate Schedule (Part 1) PW'!E64</f>
        <v>2.1482</v>
      </c>
      <c r="L725" s="229">
        <f t="shared" si="59"/>
        <v>0.257784</v>
      </c>
      <c r="M725" s="224">
        <f t="shared" si="60"/>
        <v>0.257784</v>
      </c>
      <c r="N725" s="218" t="e">
        <f>+M725/I725</f>
        <v>#DIV/0!</v>
      </c>
      <c r="O725" s="225">
        <f>L725/L736</f>
        <v>0.01808387863238322</v>
      </c>
      <c r="P725" s="165"/>
    </row>
    <row r="726" spans="2:16" ht="26.25" customHeight="1">
      <c r="B726" s="172"/>
      <c r="C726" s="63"/>
      <c r="D726" s="64"/>
      <c r="E726" s="31"/>
      <c r="F726" s="199" t="s">
        <v>318</v>
      </c>
      <c r="G726" s="201">
        <f>C723</f>
        <v>0.12</v>
      </c>
      <c r="H726" s="196">
        <f>'2010 Existing RatesPW'!D39</f>
        <v>0.2799</v>
      </c>
      <c r="I726" s="206">
        <f>+G726*H726</f>
        <v>0.033588</v>
      </c>
      <c r="J726" s="201">
        <f>C723</f>
        <v>0.12</v>
      </c>
      <c r="K726" s="195">
        <f>'Rate Schedule (Part 1) PW'!E61</f>
        <v>0.2799</v>
      </c>
      <c r="L726" s="214">
        <f t="shared" si="59"/>
        <v>0.033588</v>
      </c>
      <c r="M726" s="224">
        <f>+L726-I726</f>
        <v>0</v>
      </c>
      <c r="N726" s="218">
        <f>+M726/I726</f>
        <v>0</v>
      </c>
      <c r="O726" s="225">
        <f>L726/L736</f>
        <v>0.0023562413319076726</v>
      </c>
      <c r="P726" s="165"/>
    </row>
    <row r="727" spans="2:16" ht="27.75" customHeight="1" thickBot="1">
      <c r="B727" s="172"/>
      <c r="C727" s="31"/>
      <c r="D727" s="31"/>
      <c r="E727" s="31"/>
      <c r="F727" s="199" t="s">
        <v>319</v>
      </c>
      <c r="G727" s="372">
        <f>C723</f>
        <v>0.12</v>
      </c>
      <c r="H727" s="488"/>
      <c r="I727" s="206">
        <f>+G727*H727</f>
        <v>0</v>
      </c>
      <c r="J727" s="372">
        <f>C723</f>
        <v>0.12</v>
      </c>
      <c r="K727" s="488">
        <f>'Rate Schedule (Part 1) PW'!E63</f>
        <v>0.978</v>
      </c>
      <c r="L727" s="214">
        <f t="shared" si="59"/>
        <v>0.11735999999999999</v>
      </c>
      <c r="M727" s="224">
        <f>+L727-I727</f>
        <v>0.11735999999999999</v>
      </c>
      <c r="N727" s="218" t="e">
        <f>+M727/I727</f>
        <v>#DIV/0!</v>
      </c>
      <c r="O727" s="225">
        <f>L727/L736</f>
        <v>0.008232954707415877</v>
      </c>
      <c r="P727" s="165"/>
    </row>
    <row r="728" spans="2:16" ht="17.25" customHeight="1" thickBot="1">
      <c r="B728" s="172"/>
      <c r="C728" s="31"/>
      <c r="D728" s="31"/>
      <c r="E728" s="31"/>
      <c r="F728" s="233" t="s">
        <v>247</v>
      </c>
      <c r="G728" s="586"/>
      <c r="H728" s="587"/>
      <c r="I728" s="235">
        <f>SUM(I720:I727)</f>
        <v>0.9846559999999999</v>
      </c>
      <c r="J728" s="586"/>
      <c r="K728" s="587"/>
      <c r="L728" s="235">
        <f>SUM(L720:L727)</f>
        <v>8.409852</v>
      </c>
      <c r="M728" s="237">
        <f>SUM(M720:M727)</f>
        <v>7.425196000000001</v>
      </c>
      <c r="N728" s="238">
        <f t="shared" si="61"/>
        <v>7.540903625225461</v>
      </c>
      <c r="O728" s="240">
        <f>L728/L736</f>
        <v>0.5899619172807672</v>
      </c>
      <c r="P728" s="165"/>
    </row>
    <row r="729" spans="2:16" ht="17.25" customHeight="1" thickBot="1">
      <c r="B729" s="172"/>
      <c r="C729" s="31"/>
      <c r="D729" s="31"/>
      <c r="E729" s="31"/>
      <c r="F729" s="199" t="s">
        <v>252</v>
      </c>
      <c r="G729" s="372">
        <f>G724</f>
        <v>0.12</v>
      </c>
      <c r="H729" s="373">
        <f>'Other Electriciy Rates PW'!$G$14</f>
        <v>2.8598</v>
      </c>
      <c r="I729" s="210">
        <f>+G729*H729</f>
        <v>0.343176</v>
      </c>
      <c r="J729" s="372">
        <f>G729</f>
        <v>0.12</v>
      </c>
      <c r="K729" s="494">
        <f>'Other Electriciy Rates PW'!$G$28</f>
        <v>2.861367432444399</v>
      </c>
      <c r="L729" s="210">
        <f>+J729*K729</f>
        <v>0.34336409189332784</v>
      </c>
      <c r="M729" s="374">
        <f>+L729-I729</f>
        <v>0.00018809189332785747</v>
      </c>
      <c r="N729" s="222">
        <f t="shared" si="61"/>
        <v>0.0005480916303233836</v>
      </c>
      <c r="O729" s="225">
        <f>L729/L736</f>
        <v>0.02408743197606298</v>
      </c>
      <c r="P729" s="165"/>
    </row>
    <row r="730" spans="2:16" ht="17.25" customHeight="1" thickBot="1">
      <c r="B730" s="172"/>
      <c r="C730" s="31"/>
      <c r="D730" s="31"/>
      <c r="E730" s="31"/>
      <c r="F730" s="233" t="s">
        <v>249</v>
      </c>
      <c r="G730" s="586"/>
      <c r="H730" s="587"/>
      <c r="I730" s="235">
        <f>SUM(I728:I729)</f>
        <v>1.327832</v>
      </c>
      <c r="J730" s="586"/>
      <c r="K730" s="587"/>
      <c r="L730" s="235">
        <f>SUM(L728:L729)</f>
        <v>8.753216091893329</v>
      </c>
      <c r="M730" s="237">
        <f>SUM(M728:M729)</f>
        <v>7.425384091893329</v>
      </c>
      <c r="N730" s="238">
        <f t="shared" si="61"/>
        <v>5.592111119398636</v>
      </c>
      <c r="O730" s="375">
        <f>L730/L736</f>
        <v>0.6140493492568302</v>
      </c>
      <c r="P730" s="165"/>
    </row>
    <row r="731" spans="2:16" ht="17.25" customHeight="1">
      <c r="B731" s="172"/>
      <c r="C731" s="31"/>
      <c r="D731" s="31"/>
      <c r="E731" s="31"/>
      <c r="F731" s="197" t="s">
        <v>77</v>
      </c>
      <c r="G731" s="202">
        <f>C722*'Other Electriciy Rates PW'!$M$14</f>
        <v>46.188557</v>
      </c>
      <c r="H731" s="203">
        <f>'Other Electriciy Rates PW'!$C$14+'Other Electriciy Rates PW'!$E$14+'Other Electriciy Rates PW'!D14</f>
        <v>0.0138725</v>
      </c>
      <c r="I731" s="204">
        <f>+G731*H731</f>
        <v>0.6407507569825001</v>
      </c>
      <c r="J731" s="202">
        <f>C722*'Other Electriciy Rates PW'!$M$28</f>
        <v>46.00949628579634</v>
      </c>
      <c r="K731" s="203">
        <f>'Other Electriciy Rates PW'!$C$28+'Other Electriciy Rates PW'!$E$28+'Other Electriciy Rates PW'!$D28</f>
        <v>0.0135</v>
      </c>
      <c r="L731" s="229">
        <f>+J731*K731</f>
        <v>0.6211281998582505</v>
      </c>
      <c r="M731" s="230">
        <f>+L731-I731</f>
        <v>-0.01962255712424954</v>
      </c>
      <c r="N731" s="231">
        <f t="shared" si="61"/>
        <v>-0.030624321407997125</v>
      </c>
      <c r="O731" s="225">
        <f>L731/L736</f>
        <v>0.04357294083956828</v>
      </c>
      <c r="P731" s="165"/>
    </row>
    <row r="732" spans="2:16" ht="21.75" customHeight="1">
      <c r="B732" s="172"/>
      <c r="C732" s="31"/>
      <c r="D732" s="31"/>
      <c r="E732" s="31"/>
      <c r="F732" s="200" t="s">
        <v>321</v>
      </c>
      <c r="G732" s="220"/>
      <c r="H732" s="219"/>
      <c r="I732" s="210">
        <v>0.25</v>
      </c>
      <c r="J732" s="220"/>
      <c r="K732" s="219"/>
      <c r="L732" s="214">
        <v>0.25</v>
      </c>
      <c r="M732" s="513">
        <f>+L732-I732</f>
        <v>0</v>
      </c>
      <c r="N732" s="231">
        <f t="shared" si="61"/>
        <v>0</v>
      </c>
      <c r="O732" s="225">
        <f>L732/L736</f>
        <v>0.017537821036588012</v>
      </c>
      <c r="P732" s="165"/>
    </row>
    <row r="733" spans="2:16" ht="17.25" customHeight="1" thickBot="1">
      <c r="B733" s="172"/>
      <c r="C733" s="31"/>
      <c r="D733" s="31"/>
      <c r="E733" s="31"/>
      <c r="F733" s="197" t="s">
        <v>78</v>
      </c>
      <c r="G733" s="202">
        <f>G731</f>
        <v>46.188557</v>
      </c>
      <c r="H733" s="203">
        <f>'Other Electriciy Rates PW'!$K$14</f>
        <v>0.065</v>
      </c>
      <c r="I733" s="204">
        <f>+G733*H733</f>
        <v>3.002256205</v>
      </c>
      <c r="J733" s="202">
        <f>J731</f>
        <v>46.00949628579634</v>
      </c>
      <c r="K733" s="203">
        <f>'Other Electriciy Rates PW'!$K$28</f>
        <v>0.065</v>
      </c>
      <c r="L733" s="229">
        <f>+J733*K733</f>
        <v>2.990617258576762</v>
      </c>
      <c r="M733" s="230">
        <f>+L733-I733</f>
        <v>-0.011638946423238039</v>
      </c>
      <c r="N733" s="231">
        <f t="shared" si="61"/>
        <v>-0.0038767332394398493</v>
      </c>
      <c r="O733" s="225">
        <f>L733/L736</f>
        <v>0.20979564107940285</v>
      </c>
      <c r="P733" s="165"/>
    </row>
    <row r="734" spans="2:16" ht="17.25" customHeight="1" thickBot="1">
      <c r="B734" s="172"/>
      <c r="C734" s="31"/>
      <c r="D734" s="31"/>
      <c r="E734" s="31"/>
      <c r="F734" s="233" t="s">
        <v>195</v>
      </c>
      <c r="G734" s="586"/>
      <c r="H734" s="587"/>
      <c r="I734" s="235">
        <f>SUM(I730:I733)</f>
        <v>5.2208389619824995</v>
      </c>
      <c r="J734" s="586"/>
      <c r="K734" s="587"/>
      <c r="L734" s="235">
        <f>SUM(L730:L733)</f>
        <v>12.614961550328342</v>
      </c>
      <c r="M734" s="235">
        <f>SUM(M730:M733)</f>
        <v>7.394122588345841</v>
      </c>
      <c r="N734" s="238">
        <f t="shared" si="61"/>
        <v>1.4162709561028262</v>
      </c>
      <c r="O734" s="375">
        <f>L734/L736</f>
        <v>0.8849557522123893</v>
      </c>
      <c r="P734" s="165"/>
    </row>
    <row r="735" spans="2:16" ht="17.25" customHeight="1" thickBot="1">
      <c r="B735" s="172"/>
      <c r="C735" s="31"/>
      <c r="D735" s="31"/>
      <c r="E735" s="31"/>
      <c r="F735" s="297" t="s">
        <v>274</v>
      </c>
      <c r="G735" s="298"/>
      <c r="H735" s="302">
        <v>0.13</v>
      </c>
      <c r="I735" s="299">
        <f>I734*H735</f>
        <v>0.678709065057725</v>
      </c>
      <c r="J735" s="298"/>
      <c r="K735" s="302">
        <v>0.13</v>
      </c>
      <c r="L735" s="300">
        <f>L734*K735</f>
        <v>1.6399450015426846</v>
      </c>
      <c r="M735" s="227">
        <f>+L735-I735</f>
        <v>0.9612359364849596</v>
      </c>
      <c r="N735" s="228">
        <f t="shared" si="61"/>
        <v>1.4162709561028264</v>
      </c>
      <c r="O735" s="241">
        <f>L735/L736</f>
        <v>0.11504424778761063</v>
      </c>
      <c r="P735" s="165"/>
    </row>
    <row r="736" spans="2:16" ht="17.25" customHeight="1" thickBot="1">
      <c r="B736" s="172"/>
      <c r="C736" s="31"/>
      <c r="D736" s="31"/>
      <c r="E736" s="35"/>
      <c r="F736" s="412" t="s">
        <v>79</v>
      </c>
      <c r="G736" s="588"/>
      <c r="H736" s="589"/>
      <c r="I736" s="413">
        <f>SUM(I734:I735)</f>
        <v>5.8995480270402245</v>
      </c>
      <c r="J736" s="588"/>
      <c r="K736" s="589"/>
      <c r="L736" s="413">
        <f>SUM(L734:L735)</f>
        <v>14.254906551871027</v>
      </c>
      <c r="M736" s="413">
        <f>SUM(M734:M735)</f>
        <v>8.3553585248308</v>
      </c>
      <c r="N736" s="414">
        <f t="shared" si="61"/>
        <v>1.4162709561028262</v>
      </c>
      <c r="O736" s="371">
        <f>O734+O735</f>
        <v>1</v>
      </c>
      <c r="P736" s="165"/>
    </row>
    <row r="737" spans="2:16" ht="17.25" customHeight="1" thickBot="1">
      <c r="B737" s="166"/>
      <c r="C737" s="178"/>
      <c r="D737" s="178"/>
      <c r="E737" s="178"/>
      <c r="F737" s="275"/>
      <c r="G737" s="276"/>
      <c r="H737" s="277"/>
      <c r="I737" s="278"/>
      <c r="J737" s="276"/>
      <c r="K737" s="279"/>
      <c r="L737" s="278"/>
      <c r="M737" s="415"/>
      <c r="N737" s="280"/>
      <c r="O737" s="281"/>
      <c r="P737" s="167"/>
    </row>
    <row r="738" ht="18" customHeight="1" thickBot="1"/>
    <row r="739" spans="2:16" ht="21.75" customHeight="1">
      <c r="B739" s="174"/>
      <c r="C739" s="603" t="s">
        <v>314</v>
      </c>
      <c r="D739" s="603"/>
      <c r="E739" s="603"/>
      <c r="F739" s="603"/>
      <c r="G739" s="603"/>
      <c r="H739" s="603"/>
      <c r="I739" s="603"/>
      <c r="J739" s="603"/>
      <c r="K739" s="603"/>
      <c r="L739" s="603"/>
      <c r="M739" s="603"/>
      <c r="N739" s="603"/>
      <c r="O739" s="603"/>
      <c r="P739" s="164"/>
    </row>
    <row r="740" spans="2:16" ht="21.75" customHeight="1" thickBot="1">
      <c r="B740" s="172"/>
      <c r="C740" s="604"/>
      <c r="D740" s="604"/>
      <c r="E740" s="604"/>
      <c r="F740" s="604"/>
      <c r="G740" s="604"/>
      <c r="H740" s="604"/>
      <c r="I740" s="604"/>
      <c r="J740" s="604"/>
      <c r="K740" s="604"/>
      <c r="L740" s="604"/>
      <c r="M740" s="604"/>
      <c r="N740" s="604"/>
      <c r="O740" s="604"/>
      <c r="P740" s="165"/>
    </row>
    <row r="741" spans="2:16" ht="21.75" customHeight="1" thickBot="1">
      <c r="B741" s="172"/>
      <c r="C741" s="173"/>
      <c r="D741" s="173"/>
      <c r="E741" s="31"/>
      <c r="F741" s="37"/>
      <c r="G741" s="595" t="s">
        <v>198</v>
      </c>
      <c r="H741" s="596"/>
      <c r="I741" s="597"/>
      <c r="J741" s="595" t="s">
        <v>245</v>
      </c>
      <c r="K741" s="596"/>
      <c r="L741" s="597"/>
      <c r="M741" s="595" t="s">
        <v>73</v>
      </c>
      <c r="N741" s="596"/>
      <c r="O741" s="597"/>
      <c r="P741" s="165"/>
    </row>
    <row r="742" spans="2:16" ht="26.25" thickBot="1">
      <c r="B742" s="172"/>
      <c r="C742" s="31"/>
      <c r="D742" s="31"/>
      <c r="E742" s="33"/>
      <c r="F742" s="38"/>
      <c r="G742" s="213" t="s">
        <v>67</v>
      </c>
      <c r="H742" s="189" t="s">
        <v>68</v>
      </c>
      <c r="I742" s="190" t="s">
        <v>69</v>
      </c>
      <c r="J742" s="213" t="s">
        <v>67</v>
      </c>
      <c r="K742" s="189" t="s">
        <v>68</v>
      </c>
      <c r="L742" s="190" t="s">
        <v>69</v>
      </c>
      <c r="M742" s="215" t="s">
        <v>74</v>
      </c>
      <c r="N742" s="216" t="s">
        <v>75</v>
      </c>
      <c r="O742" s="217" t="s">
        <v>76</v>
      </c>
      <c r="P742" s="165"/>
    </row>
    <row r="743" spans="2:16" ht="21.75" customHeight="1" thickBot="1">
      <c r="B743" s="172"/>
      <c r="C743" s="593" t="s">
        <v>70</v>
      </c>
      <c r="D743" s="594"/>
      <c r="E743" s="31"/>
      <c r="F743" s="198" t="s">
        <v>71</v>
      </c>
      <c r="G743" s="207"/>
      <c r="H743" s="208"/>
      <c r="I743" s="209">
        <f>'2010 Existing RatesPW'!B15</f>
        <v>5.18</v>
      </c>
      <c r="J743" s="207"/>
      <c r="K743" s="208"/>
      <c r="L743" s="212">
        <f>'Rate Schedule (Part 1) PW'!$E$77</f>
        <v>19.8658</v>
      </c>
      <c r="M743" s="221">
        <f aca="true" t="shared" si="62" ref="M743:M748">+L743-I743</f>
        <v>14.6858</v>
      </c>
      <c r="N743" s="222">
        <f aca="true" t="shared" si="63" ref="N743:N759">+M743/I743</f>
        <v>2.8350965250965254</v>
      </c>
      <c r="O743" s="223">
        <f>L743/L759</f>
        <v>0.3844745132971779</v>
      </c>
      <c r="P743" s="165"/>
    </row>
    <row r="744" spans="2:16" ht="21.75" customHeight="1" thickBot="1">
      <c r="B744" s="172"/>
      <c r="C744" s="168">
        <v>250</v>
      </c>
      <c r="D744" s="169" t="s">
        <v>16</v>
      </c>
      <c r="E744" s="31"/>
      <c r="F744" s="199" t="s">
        <v>72</v>
      </c>
      <c r="G744" s="201">
        <f>+C744</f>
        <v>250</v>
      </c>
      <c r="H744" s="196">
        <f>'2010 Existing RatesPW'!B79</f>
        <v>0.0173</v>
      </c>
      <c r="I744" s="210">
        <f aca="true" t="shared" si="64" ref="I744:I750">+G744*H744</f>
        <v>4.325</v>
      </c>
      <c r="J744" s="201">
        <f>+C744</f>
        <v>250</v>
      </c>
      <c r="K744" s="195">
        <f>'Rate Schedule (Part 1) PW'!$E$78</f>
        <v>0.0139</v>
      </c>
      <c r="L744" s="214">
        <f>+J744*K744</f>
        <v>3.4749999999999996</v>
      </c>
      <c r="M744" s="224">
        <f t="shared" si="62"/>
        <v>-0.8500000000000005</v>
      </c>
      <c r="N744" s="218">
        <f t="shared" si="63"/>
        <v>-0.19653179190751457</v>
      </c>
      <c r="O744" s="225">
        <f>L744/L759</f>
        <v>0.06725371914081955</v>
      </c>
      <c r="P744" s="165"/>
    </row>
    <row r="745" spans="2:16" ht="21.75" customHeight="1">
      <c r="B745" s="172"/>
      <c r="C745" s="369"/>
      <c r="D745" s="370"/>
      <c r="E745" s="31"/>
      <c r="F745" s="199" t="s">
        <v>246</v>
      </c>
      <c r="G745" s="201">
        <f>G744</f>
        <v>250</v>
      </c>
      <c r="H745" s="196">
        <f>'2010 Existing RatesPW'!B54</f>
        <v>0.0021</v>
      </c>
      <c r="I745" s="210">
        <f t="shared" si="64"/>
        <v>0.525</v>
      </c>
      <c r="J745" s="201">
        <f>J744</f>
        <v>250</v>
      </c>
      <c r="K745" s="195">
        <f>'Rate Schedule (Part 1) PW'!$E$79</f>
        <v>0.0003</v>
      </c>
      <c r="L745" s="214">
        <f>+J745*K745</f>
        <v>0.075</v>
      </c>
      <c r="M745" s="224">
        <f t="shared" si="62"/>
        <v>-0.45</v>
      </c>
      <c r="N745" s="218">
        <f t="shared" si="63"/>
        <v>-0.8571428571428571</v>
      </c>
      <c r="O745" s="225">
        <f>L745/L759</f>
        <v>0.0014515191181471846</v>
      </c>
      <c r="P745" s="165"/>
    </row>
    <row r="746" spans="2:16" ht="21.75" customHeight="1">
      <c r="B746" s="172"/>
      <c r="C746" s="63"/>
      <c r="D746" s="64"/>
      <c r="E746" s="31"/>
      <c r="F746" s="199" t="s">
        <v>162</v>
      </c>
      <c r="G746" s="201">
        <f>C744</f>
        <v>250</v>
      </c>
      <c r="H746" s="196"/>
      <c r="I746" s="206">
        <f t="shared" si="64"/>
        <v>0</v>
      </c>
      <c r="J746" s="201">
        <f>C744</f>
        <v>250</v>
      </c>
      <c r="K746" s="195">
        <f>'Rate Schedule (Part 1) PW'!$E$80</f>
        <v>0</v>
      </c>
      <c r="L746" s="214">
        <f>J746*K746</f>
        <v>0</v>
      </c>
      <c r="M746" s="224">
        <f t="shared" si="62"/>
        <v>0</v>
      </c>
      <c r="N746" s="218" t="e">
        <f t="shared" si="63"/>
        <v>#DIV/0!</v>
      </c>
      <c r="O746" s="225">
        <f>L746/L759</f>
        <v>0</v>
      </c>
      <c r="P746" s="165"/>
    </row>
    <row r="747" spans="2:16" ht="29.25" customHeight="1">
      <c r="B747" s="172"/>
      <c r="C747" s="63"/>
      <c r="D747" s="64"/>
      <c r="E747" s="31"/>
      <c r="F747" s="199" t="s">
        <v>286</v>
      </c>
      <c r="G747" s="201">
        <f>+C744</f>
        <v>250</v>
      </c>
      <c r="H747" s="196">
        <f>'2010 Existing RatesPW'!B28</f>
        <v>-0.0064</v>
      </c>
      <c r="I747" s="210">
        <f t="shared" si="64"/>
        <v>-1.6</v>
      </c>
      <c r="J747" s="201">
        <f>+C744</f>
        <v>250</v>
      </c>
      <c r="K747" s="195">
        <f>'Rate Schedule (Part 1) PW'!$E$82</f>
        <v>-0.0064</v>
      </c>
      <c r="L747" s="214">
        <f>+J747*K747</f>
        <v>-1.6</v>
      </c>
      <c r="M747" s="230">
        <f t="shared" si="62"/>
        <v>0</v>
      </c>
      <c r="N747" s="231">
        <f t="shared" si="63"/>
        <v>0</v>
      </c>
      <c r="O747" s="225">
        <f>L747/L759</f>
        <v>-0.030965741187139944</v>
      </c>
      <c r="P747" s="165"/>
    </row>
    <row r="748" spans="2:16" ht="29.25" customHeight="1">
      <c r="B748" s="172"/>
      <c r="C748" s="31"/>
      <c r="D748" s="31"/>
      <c r="E748" s="31"/>
      <c r="F748" s="199" t="s">
        <v>294</v>
      </c>
      <c r="G748" s="372">
        <f>C744</f>
        <v>250</v>
      </c>
      <c r="H748" s="488"/>
      <c r="I748" s="299">
        <f t="shared" si="64"/>
        <v>0</v>
      </c>
      <c r="J748" s="372">
        <f>C744</f>
        <v>250</v>
      </c>
      <c r="K748" s="488">
        <f>'Rate Schedule (Part 1) PW'!E84</f>
        <v>-0.0005</v>
      </c>
      <c r="L748" s="229">
        <f>+J748*K748</f>
        <v>-0.125</v>
      </c>
      <c r="M748" s="224">
        <f t="shared" si="62"/>
        <v>-0.125</v>
      </c>
      <c r="N748" s="218" t="e">
        <f>+M748/I748</f>
        <v>#DIV/0!</v>
      </c>
      <c r="O748" s="225">
        <f>L748/L759</f>
        <v>-0.0024191985302453077</v>
      </c>
      <c r="P748" s="165"/>
    </row>
    <row r="749" spans="2:16" ht="26.25" customHeight="1">
      <c r="B749" s="172"/>
      <c r="C749" s="63"/>
      <c r="D749" s="64"/>
      <c r="E749" s="31"/>
      <c r="F749" s="199" t="s">
        <v>316</v>
      </c>
      <c r="G749" s="201">
        <f>C744</f>
        <v>250</v>
      </c>
      <c r="H749" s="196">
        <f>'2010 Existing RatesPW'!B41</f>
        <v>0.001</v>
      </c>
      <c r="I749" s="206">
        <f t="shared" si="64"/>
        <v>0.25</v>
      </c>
      <c r="J749" s="201">
        <f>C744</f>
        <v>250</v>
      </c>
      <c r="K749" s="195">
        <f>'Rate Schedule (Part 1) PW'!E81</f>
        <v>0.001</v>
      </c>
      <c r="L749" s="214">
        <f>+J749*K749</f>
        <v>0.25</v>
      </c>
      <c r="M749" s="224">
        <f>+L749-I749</f>
        <v>0</v>
      </c>
      <c r="N749" s="218">
        <f>+M749/I749</f>
        <v>0</v>
      </c>
      <c r="O749" s="225">
        <f>L749/L759</f>
        <v>0.0048383970604906155</v>
      </c>
      <c r="P749" s="165"/>
    </row>
    <row r="750" spans="2:16" ht="27.75" customHeight="1" thickBot="1">
      <c r="B750" s="172"/>
      <c r="C750" s="31"/>
      <c r="D750" s="31"/>
      <c r="E750" s="31"/>
      <c r="F750" s="199" t="s">
        <v>317</v>
      </c>
      <c r="G750" s="372">
        <f>C744</f>
        <v>250</v>
      </c>
      <c r="H750" s="488"/>
      <c r="I750" s="206">
        <f t="shared" si="64"/>
        <v>0</v>
      </c>
      <c r="J750" s="372">
        <f>C744</f>
        <v>250</v>
      </c>
      <c r="K750" s="488">
        <f>'Rate Schedule (Part 1) PW'!E83</f>
        <v>0.0016</v>
      </c>
      <c r="L750" s="214">
        <f>+J750*K750</f>
        <v>0.4</v>
      </c>
      <c r="M750" s="224">
        <f>+L750-I750</f>
        <v>0.4</v>
      </c>
      <c r="N750" s="218" t="e">
        <f>+M750/I750</f>
        <v>#DIV/0!</v>
      </c>
      <c r="O750" s="225">
        <f>L750/L759</f>
        <v>0.007741435296784986</v>
      </c>
      <c r="P750" s="165"/>
    </row>
    <row r="751" spans="2:16" ht="21.75" customHeight="1" thickBot="1">
      <c r="B751" s="172"/>
      <c r="C751" s="31"/>
      <c r="D751" s="31"/>
      <c r="E751" s="31"/>
      <c r="F751" s="233" t="s">
        <v>247</v>
      </c>
      <c r="G751" s="586"/>
      <c r="H751" s="587"/>
      <c r="I751" s="235">
        <f>SUM(I743:I750)</f>
        <v>8.68</v>
      </c>
      <c r="J751" s="586"/>
      <c r="K751" s="587"/>
      <c r="L751" s="235">
        <f>SUM(L743:L750)</f>
        <v>22.340799999999998</v>
      </c>
      <c r="M751" s="237">
        <f>SUM(M743:M750)</f>
        <v>13.6608</v>
      </c>
      <c r="N751" s="238">
        <f t="shared" si="63"/>
        <v>1.5738248847926268</v>
      </c>
      <c r="O751" s="240">
        <f>L751/L759</f>
        <v>0.43237464419603494</v>
      </c>
      <c r="P751" s="165"/>
    </row>
    <row r="752" spans="2:16" ht="21.75" customHeight="1" thickBot="1">
      <c r="B752" s="172"/>
      <c r="C752" s="31"/>
      <c r="D752" s="31"/>
      <c r="E752" s="31"/>
      <c r="F752" s="199" t="s">
        <v>248</v>
      </c>
      <c r="G752" s="372">
        <f>C744*'Other Electriciy Rates PW'!$M$16</f>
        <v>265.02500000000003</v>
      </c>
      <c r="H752" s="373">
        <f>'Other Electriciy Rates PW'!$B$16</f>
        <v>0.0092</v>
      </c>
      <c r="I752" s="210">
        <f>+G752*H752</f>
        <v>2.4382300000000003</v>
      </c>
      <c r="J752" s="372">
        <f>C744*'Other Electriciy Rates PW'!$M$30</f>
        <v>263.99756877321744</v>
      </c>
      <c r="K752" s="494">
        <f>'Other Electriciy Rates PW'!$B$30</f>
        <v>0.009132883108925464</v>
      </c>
      <c r="L752" s="210">
        <f>+J752*K752</f>
        <v>2.411058936646306</v>
      </c>
      <c r="M752" s="374">
        <f>+L752-I752</f>
        <v>-0.027171063353694347</v>
      </c>
      <c r="N752" s="222">
        <f t="shared" si="63"/>
        <v>-0.011143765499437847</v>
      </c>
      <c r="O752" s="223">
        <f>L752/L759</f>
        <v>0.046662641886956464</v>
      </c>
      <c r="P752" s="165"/>
    </row>
    <row r="753" spans="2:16" ht="21.75" customHeight="1" thickBot="1">
      <c r="B753" s="172"/>
      <c r="C753" s="31"/>
      <c r="D753" s="31"/>
      <c r="E753" s="31"/>
      <c r="F753" s="233" t="s">
        <v>249</v>
      </c>
      <c r="G753" s="586"/>
      <c r="H753" s="587"/>
      <c r="I753" s="235">
        <f>SUM(I751:I752)</f>
        <v>11.11823</v>
      </c>
      <c r="J753" s="586"/>
      <c r="K753" s="587"/>
      <c r="L753" s="235">
        <f>SUM(L751:L752)</f>
        <v>24.751858936646304</v>
      </c>
      <c r="M753" s="237">
        <f>SUM(M751:M752)</f>
        <v>13.633628936646305</v>
      </c>
      <c r="N753" s="238">
        <f t="shared" si="63"/>
        <v>1.2262409517204003</v>
      </c>
      <c r="O753" s="375">
        <f>L753/L759</f>
        <v>0.4790372860829914</v>
      </c>
      <c r="P753" s="165"/>
    </row>
    <row r="754" spans="2:16" ht="21.75" customHeight="1">
      <c r="B754" s="172"/>
      <c r="C754" s="31"/>
      <c r="D754" s="31"/>
      <c r="E754" s="31"/>
      <c r="F754" s="200" t="s">
        <v>77</v>
      </c>
      <c r="G754" s="202">
        <f>G752</f>
        <v>265.02500000000003</v>
      </c>
      <c r="H754" s="203">
        <f>'Other Electriciy Rates PW'!$C$16+'Other Electriciy Rates PW'!$E$16+'Other Electriciy Rates PW'!D16</f>
        <v>0.0138725</v>
      </c>
      <c r="I754" s="204">
        <f>+G754*H754</f>
        <v>3.6765593125000002</v>
      </c>
      <c r="J754" s="202">
        <f>J752</f>
        <v>263.99756877321744</v>
      </c>
      <c r="K754" s="203">
        <f>'Other Electriciy Rates PW'!$C$30+'Other Electriciy Rates PW'!$E$30+'Other Electriciy Rates PW'!D30</f>
        <v>0.0135</v>
      </c>
      <c r="L754" s="229">
        <f>+J754*K754</f>
        <v>3.5639671784384355</v>
      </c>
      <c r="M754" s="230">
        <f>+L754-I754</f>
        <v>-0.11259213406156476</v>
      </c>
      <c r="N754" s="231">
        <f t="shared" si="63"/>
        <v>-0.030624321407997073</v>
      </c>
      <c r="O754" s="301">
        <f>L754/L759</f>
        <v>0.06897555327936623</v>
      </c>
      <c r="P754" s="165"/>
    </row>
    <row r="755" spans="2:16" ht="21.75" customHeight="1">
      <c r="B755" s="172"/>
      <c r="C755" s="31"/>
      <c r="D755" s="31"/>
      <c r="E755" s="31"/>
      <c r="F755" s="200" t="s">
        <v>321</v>
      </c>
      <c r="G755" s="220"/>
      <c r="H755" s="219"/>
      <c r="I755" s="210">
        <v>0.25</v>
      </c>
      <c r="J755" s="220"/>
      <c r="K755" s="219"/>
      <c r="L755" s="214">
        <v>0.25</v>
      </c>
      <c r="M755" s="513">
        <f>+L755-I755</f>
        <v>0</v>
      </c>
      <c r="N755" s="231">
        <f t="shared" si="63"/>
        <v>0</v>
      </c>
      <c r="O755" s="225">
        <f>L755/L759</f>
        <v>0.0048383970604906155</v>
      </c>
      <c r="P755" s="165"/>
    </row>
    <row r="756" spans="2:16" ht="21.75" customHeight="1" thickBot="1">
      <c r="B756" s="172"/>
      <c r="C756" s="31"/>
      <c r="D756" s="31"/>
      <c r="E756" s="31"/>
      <c r="F756" s="199" t="s">
        <v>78</v>
      </c>
      <c r="G756" s="211">
        <f>G754</f>
        <v>265.02500000000003</v>
      </c>
      <c r="H756" s="205">
        <f>'Other Electriciy Rates PW'!$K$16</f>
        <v>0.065</v>
      </c>
      <c r="I756" s="206">
        <f>+G756*H756</f>
        <v>17.226625000000002</v>
      </c>
      <c r="J756" s="211">
        <f>J754</f>
        <v>263.99756877321744</v>
      </c>
      <c r="K756" s="205">
        <f>'Other Electriciy Rates PW'!$K$30</f>
        <v>0.065</v>
      </c>
      <c r="L756" s="226">
        <f>+J756*K756</f>
        <v>17.159841970259134</v>
      </c>
      <c r="M756" s="227">
        <f>+L756-I756</f>
        <v>-0.06678302974086847</v>
      </c>
      <c r="N756" s="228">
        <f t="shared" si="63"/>
        <v>-0.003876733239440022</v>
      </c>
      <c r="O756" s="241">
        <f>L756/L759</f>
        <v>0.33210451578954114</v>
      </c>
      <c r="P756" s="165"/>
    </row>
    <row r="757" spans="2:16" ht="21.75" customHeight="1" thickBot="1">
      <c r="B757" s="172"/>
      <c r="C757" s="31"/>
      <c r="D757" s="31"/>
      <c r="E757" s="31"/>
      <c r="F757" s="233" t="s">
        <v>195</v>
      </c>
      <c r="G757" s="586"/>
      <c r="H757" s="587"/>
      <c r="I757" s="235">
        <f>SUM(I753:I756)</f>
        <v>32.2714143125</v>
      </c>
      <c r="J757" s="586"/>
      <c r="K757" s="587"/>
      <c r="L757" s="235">
        <f>SUM(L753:L756)</f>
        <v>45.72566808534387</v>
      </c>
      <c r="M757" s="235">
        <f>SUM(M753:M756)</f>
        <v>13.454253772843872</v>
      </c>
      <c r="N757" s="238">
        <f t="shared" si="63"/>
        <v>0.4169093316629915</v>
      </c>
      <c r="O757" s="375">
        <f>L757/L759</f>
        <v>0.8849557522123893</v>
      </c>
      <c r="P757" s="303"/>
    </row>
    <row r="758" spans="2:16" ht="21.75" customHeight="1" thickBot="1">
      <c r="B758" s="172"/>
      <c r="C758" s="31"/>
      <c r="D758" s="31"/>
      <c r="E758" s="31"/>
      <c r="F758" s="297" t="s">
        <v>274</v>
      </c>
      <c r="G758" s="298"/>
      <c r="H758" s="302">
        <v>0.13</v>
      </c>
      <c r="I758" s="299">
        <f>I757*H758</f>
        <v>4.1952838606250005</v>
      </c>
      <c r="J758" s="298"/>
      <c r="K758" s="302">
        <v>0.13</v>
      </c>
      <c r="L758" s="300">
        <f>L757*K758</f>
        <v>5.944336851094703</v>
      </c>
      <c r="M758" s="227">
        <f>+L758-I758</f>
        <v>1.7490529904697025</v>
      </c>
      <c r="N758" s="231">
        <f t="shared" si="63"/>
        <v>0.4169093316629912</v>
      </c>
      <c r="O758" s="241">
        <f>L758/L759</f>
        <v>0.11504424778761062</v>
      </c>
      <c r="P758" s="165"/>
    </row>
    <row r="759" spans="2:17" ht="21.75" customHeight="1" thickBot="1">
      <c r="B759" s="376"/>
      <c r="C759" s="377"/>
      <c r="D759" s="377"/>
      <c r="E759" s="378"/>
      <c r="F759" s="379" t="s">
        <v>79</v>
      </c>
      <c r="G759" s="600"/>
      <c r="H759" s="601"/>
      <c r="I759" s="380">
        <f>SUM(I757:I758)</f>
        <v>36.466698173124996</v>
      </c>
      <c r="J759" s="600"/>
      <c r="K759" s="601"/>
      <c r="L759" s="380">
        <f>SUM(L757:L758)</f>
        <v>51.67000493643857</v>
      </c>
      <c r="M759" s="380">
        <f>SUM(M757:M758)</f>
        <v>15.203306763313574</v>
      </c>
      <c r="N759" s="381">
        <f t="shared" si="63"/>
        <v>0.41690933166299143</v>
      </c>
      <c r="O759" s="382">
        <f>O757+O758</f>
        <v>0.9999999999999999</v>
      </c>
      <c r="P759" s="383"/>
      <c r="Q759" s="384"/>
    </row>
    <row r="760" spans="2:16" ht="10.5" customHeight="1" thickBot="1">
      <c r="B760" s="166"/>
      <c r="C760" s="602"/>
      <c r="D760" s="602"/>
      <c r="E760" s="602"/>
      <c r="F760" s="602"/>
      <c r="G760" s="602"/>
      <c r="H760" s="602"/>
      <c r="I760" s="602"/>
      <c r="J760" s="602"/>
      <c r="K760" s="602"/>
      <c r="L760" s="602"/>
      <c r="M760" s="602"/>
      <c r="N760" s="602"/>
      <c r="O760" s="602"/>
      <c r="P760" s="167"/>
    </row>
    <row r="761" ht="17.25" customHeight="1" thickBot="1"/>
    <row r="762" spans="2:16" ht="21.75" customHeight="1">
      <c r="B762" s="174"/>
      <c r="C762" s="603" t="s">
        <v>194</v>
      </c>
      <c r="D762" s="603"/>
      <c r="E762" s="603"/>
      <c r="F762" s="603"/>
      <c r="G762" s="603"/>
      <c r="H762" s="603"/>
      <c r="I762" s="603"/>
      <c r="J762" s="603"/>
      <c r="K762" s="603"/>
      <c r="L762" s="603"/>
      <c r="M762" s="603"/>
      <c r="N762" s="603"/>
      <c r="O762" s="603"/>
      <c r="P762" s="164"/>
    </row>
    <row r="763" spans="2:16" ht="21.75" customHeight="1" thickBot="1">
      <c r="B763" s="172"/>
      <c r="C763" s="604"/>
      <c r="D763" s="604"/>
      <c r="E763" s="604"/>
      <c r="F763" s="604"/>
      <c r="G763" s="604"/>
      <c r="H763" s="604"/>
      <c r="I763" s="604"/>
      <c r="J763" s="604"/>
      <c r="K763" s="604"/>
      <c r="L763" s="604"/>
      <c r="M763" s="604"/>
      <c r="N763" s="604"/>
      <c r="O763" s="604"/>
      <c r="P763" s="165"/>
    </row>
    <row r="764" spans="2:16" ht="21.75" customHeight="1" thickBot="1">
      <c r="B764" s="172"/>
      <c r="C764" s="173"/>
      <c r="D764" s="173"/>
      <c r="E764" s="31"/>
      <c r="F764" s="37"/>
      <c r="G764" s="595" t="s">
        <v>198</v>
      </c>
      <c r="H764" s="596"/>
      <c r="I764" s="597"/>
      <c r="J764" s="595" t="s">
        <v>245</v>
      </c>
      <c r="K764" s="596"/>
      <c r="L764" s="597"/>
      <c r="M764" s="595" t="s">
        <v>73</v>
      </c>
      <c r="N764" s="596"/>
      <c r="O764" s="597"/>
      <c r="P764" s="165"/>
    </row>
    <row r="765" spans="2:16" ht="26.25" thickBot="1">
      <c r="B765" s="172"/>
      <c r="C765" s="31"/>
      <c r="D765" s="31"/>
      <c r="E765" s="33"/>
      <c r="F765" s="38"/>
      <c r="G765" s="213" t="s">
        <v>67</v>
      </c>
      <c r="H765" s="189" t="s">
        <v>68</v>
      </c>
      <c r="I765" s="190" t="s">
        <v>69</v>
      </c>
      <c r="J765" s="213" t="s">
        <v>67</v>
      </c>
      <c r="K765" s="189" t="s">
        <v>68</v>
      </c>
      <c r="L765" s="190" t="s">
        <v>69</v>
      </c>
      <c r="M765" s="215" t="s">
        <v>74</v>
      </c>
      <c r="N765" s="216" t="s">
        <v>75</v>
      </c>
      <c r="O765" s="217" t="s">
        <v>76</v>
      </c>
      <c r="P765" s="165"/>
    </row>
    <row r="766" spans="2:16" ht="21.75" customHeight="1" thickBot="1">
      <c r="B766" s="172"/>
      <c r="C766" s="593" t="s">
        <v>70</v>
      </c>
      <c r="D766" s="594"/>
      <c r="E766" s="31"/>
      <c r="F766" s="198" t="s">
        <v>71</v>
      </c>
      <c r="G766" s="207"/>
      <c r="H766" s="208"/>
      <c r="I766" s="209">
        <f>'2010 Existing RatesPW'!B15</f>
        <v>5.18</v>
      </c>
      <c r="J766" s="207"/>
      <c r="K766" s="208"/>
      <c r="L766" s="212">
        <f>'Rate Schedule (Part 1) PW'!$E$77</f>
        <v>19.8658</v>
      </c>
      <c r="M766" s="221">
        <f aca="true" t="shared" si="65" ref="M766:M771">+L766-I766</f>
        <v>14.6858</v>
      </c>
      <c r="N766" s="222">
        <f aca="true" t="shared" si="66" ref="N766:N782">+M766/I766</f>
        <v>2.8350965250965254</v>
      </c>
      <c r="O766" s="223">
        <f>L766/L782</f>
        <v>0.246445950027425</v>
      </c>
      <c r="P766" s="165"/>
    </row>
    <row r="767" spans="2:16" ht="21.75" customHeight="1" thickBot="1">
      <c r="B767" s="172"/>
      <c r="C767" s="168">
        <v>500</v>
      </c>
      <c r="D767" s="169" t="s">
        <v>16</v>
      </c>
      <c r="E767" s="31"/>
      <c r="F767" s="199" t="s">
        <v>72</v>
      </c>
      <c r="G767" s="201">
        <f>+C767</f>
        <v>500</v>
      </c>
      <c r="H767" s="196">
        <f>'2010 Existing RatesPW'!B79</f>
        <v>0.0173</v>
      </c>
      <c r="I767" s="210">
        <f aca="true" t="shared" si="67" ref="I767:I773">+G767*H767</f>
        <v>8.65</v>
      </c>
      <c r="J767" s="201">
        <f>+C767</f>
        <v>500</v>
      </c>
      <c r="K767" s="195">
        <f>'Rate Schedule (Part 1) PW'!$E$78</f>
        <v>0.0139</v>
      </c>
      <c r="L767" s="214">
        <f>+J767*K767</f>
        <v>6.949999999999999</v>
      </c>
      <c r="M767" s="224">
        <f t="shared" si="65"/>
        <v>-1.700000000000001</v>
      </c>
      <c r="N767" s="218">
        <f t="shared" si="66"/>
        <v>-0.19653179190751457</v>
      </c>
      <c r="O767" s="225">
        <f>L767/L782</f>
        <v>0.08621849372744131</v>
      </c>
      <c r="P767" s="165"/>
    </row>
    <row r="768" spans="2:16" ht="21.75" customHeight="1">
      <c r="B768" s="172"/>
      <c r="C768" s="369"/>
      <c r="D768" s="370"/>
      <c r="E768" s="31"/>
      <c r="F768" s="199" t="s">
        <v>246</v>
      </c>
      <c r="G768" s="201">
        <f>G767</f>
        <v>500</v>
      </c>
      <c r="H768" s="196">
        <f>'2010 Existing RatesPW'!B54</f>
        <v>0.0021</v>
      </c>
      <c r="I768" s="210">
        <f t="shared" si="67"/>
        <v>1.05</v>
      </c>
      <c r="J768" s="201">
        <f>J767</f>
        <v>500</v>
      </c>
      <c r="K768" s="195">
        <f>'Rate Schedule (Part 1) PW'!$E$79</f>
        <v>0.0003</v>
      </c>
      <c r="L768" s="214">
        <f>+J768*K768</f>
        <v>0.15</v>
      </c>
      <c r="M768" s="224">
        <f t="shared" si="65"/>
        <v>-0.9</v>
      </c>
      <c r="N768" s="218">
        <f t="shared" si="66"/>
        <v>-0.8571428571428571</v>
      </c>
      <c r="O768" s="225">
        <f>L768/L782</f>
        <v>0.0018608307998728344</v>
      </c>
      <c r="P768" s="165"/>
    </row>
    <row r="769" spans="2:16" ht="21.75" customHeight="1">
      <c r="B769" s="172"/>
      <c r="C769" s="63"/>
      <c r="D769" s="64"/>
      <c r="E769" s="31"/>
      <c r="F769" s="199" t="s">
        <v>162</v>
      </c>
      <c r="G769" s="201">
        <f>C767</f>
        <v>500</v>
      </c>
      <c r="H769" s="196"/>
      <c r="I769" s="206">
        <f t="shared" si="67"/>
        <v>0</v>
      </c>
      <c r="J769" s="201">
        <f>C767</f>
        <v>500</v>
      </c>
      <c r="K769" s="195">
        <f>'Rate Schedule (Part 1) PW'!$E$80</f>
        <v>0</v>
      </c>
      <c r="L769" s="214">
        <f>J769*K769</f>
        <v>0</v>
      </c>
      <c r="M769" s="224">
        <f t="shared" si="65"/>
        <v>0</v>
      </c>
      <c r="N769" s="218" t="e">
        <f t="shared" si="66"/>
        <v>#DIV/0!</v>
      </c>
      <c r="O769" s="225">
        <f>L769/L782</f>
        <v>0</v>
      </c>
      <c r="P769" s="165"/>
    </row>
    <row r="770" spans="2:16" ht="29.25" customHeight="1">
      <c r="B770" s="172"/>
      <c r="C770" s="63"/>
      <c r="D770" s="64"/>
      <c r="E770" s="31"/>
      <c r="F770" s="199" t="s">
        <v>286</v>
      </c>
      <c r="G770" s="201">
        <f>+C767</f>
        <v>500</v>
      </c>
      <c r="H770" s="196">
        <f>'2010 Existing RatesPW'!B28</f>
        <v>-0.0064</v>
      </c>
      <c r="I770" s="210">
        <f t="shared" si="67"/>
        <v>-3.2</v>
      </c>
      <c r="J770" s="201">
        <f>+C767</f>
        <v>500</v>
      </c>
      <c r="K770" s="195">
        <f>'Rate Schedule (Part 1) PW'!$E$82</f>
        <v>-0.0064</v>
      </c>
      <c r="L770" s="214">
        <f>+J770*K770</f>
        <v>-3.2</v>
      </c>
      <c r="M770" s="230">
        <f t="shared" si="65"/>
        <v>0</v>
      </c>
      <c r="N770" s="231">
        <f t="shared" si="66"/>
        <v>0</v>
      </c>
      <c r="O770" s="225">
        <f>L770/L782</f>
        <v>-0.03969772373062047</v>
      </c>
      <c r="P770" s="165"/>
    </row>
    <row r="771" spans="2:16" ht="29.25" customHeight="1">
      <c r="B771" s="172"/>
      <c r="C771" s="31"/>
      <c r="D771" s="31"/>
      <c r="E771" s="31"/>
      <c r="F771" s="199" t="s">
        <v>294</v>
      </c>
      <c r="G771" s="372">
        <f>C767</f>
        <v>500</v>
      </c>
      <c r="H771" s="488"/>
      <c r="I771" s="299">
        <f t="shared" si="67"/>
        <v>0</v>
      </c>
      <c r="J771" s="372">
        <f>C767</f>
        <v>500</v>
      </c>
      <c r="K771" s="488">
        <f>'Rate Schedule (Part 1) PW'!E84</f>
        <v>-0.0005</v>
      </c>
      <c r="L771" s="229">
        <f>+J771*K771</f>
        <v>-0.25</v>
      </c>
      <c r="M771" s="224">
        <f t="shared" si="65"/>
        <v>-0.25</v>
      </c>
      <c r="N771" s="218" t="e">
        <f>+M771/I771</f>
        <v>#DIV/0!</v>
      </c>
      <c r="O771" s="225">
        <f>L771/L782</f>
        <v>-0.003101384666454724</v>
      </c>
      <c r="P771" s="165"/>
    </row>
    <row r="772" spans="2:16" ht="26.25" customHeight="1">
      <c r="B772" s="172"/>
      <c r="C772" s="63"/>
      <c r="D772" s="64"/>
      <c r="E772" s="31"/>
      <c r="F772" s="199" t="s">
        <v>316</v>
      </c>
      <c r="G772" s="201">
        <f>C767</f>
        <v>500</v>
      </c>
      <c r="H772" s="196">
        <f>'2010 Existing RatesPW'!B41</f>
        <v>0.001</v>
      </c>
      <c r="I772" s="206">
        <f t="shared" si="67"/>
        <v>0.5</v>
      </c>
      <c r="J772" s="201">
        <f>C767</f>
        <v>500</v>
      </c>
      <c r="K772" s="195">
        <f>'Rate Schedule (Part 1) PW'!E81</f>
        <v>0.001</v>
      </c>
      <c r="L772" s="214">
        <f>+J772*K772</f>
        <v>0.5</v>
      </c>
      <c r="M772" s="224">
        <f>+L772-I772</f>
        <v>0</v>
      </c>
      <c r="N772" s="218">
        <f>+M772/I772</f>
        <v>0</v>
      </c>
      <c r="O772" s="225">
        <f>L772/L782</f>
        <v>0.006202769332909448</v>
      </c>
      <c r="P772" s="165"/>
    </row>
    <row r="773" spans="2:16" ht="27.75" customHeight="1" thickBot="1">
      <c r="B773" s="172"/>
      <c r="C773" s="31"/>
      <c r="D773" s="31"/>
      <c r="E773" s="31"/>
      <c r="F773" s="199" t="s">
        <v>317</v>
      </c>
      <c r="G773" s="372">
        <f>C767</f>
        <v>500</v>
      </c>
      <c r="H773" s="488"/>
      <c r="I773" s="206">
        <f t="shared" si="67"/>
        <v>0</v>
      </c>
      <c r="J773" s="372">
        <f>C767</f>
        <v>500</v>
      </c>
      <c r="K773" s="488">
        <f>'Rate Schedule (Part 1) PW'!E83</f>
        <v>0.0016</v>
      </c>
      <c r="L773" s="214">
        <f>+J773*K773</f>
        <v>0.8</v>
      </c>
      <c r="M773" s="224">
        <f>+L773-I773</f>
        <v>0.8</v>
      </c>
      <c r="N773" s="218" t="e">
        <f>+M773/I773</f>
        <v>#DIV/0!</v>
      </c>
      <c r="O773" s="225">
        <f>L773/L782</f>
        <v>0.009924430932655118</v>
      </c>
      <c r="P773" s="165"/>
    </row>
    <row r="774" spans="2:16" ht="21.75" customHeight="1" thickBot="1">
      <c r="B774" s="172"/>
      <c r="C774" s="31"/>
      <c r="D774" s="31"/>
      <c r="E774" s="31"/>
      <c r="F774" s="233" t="s">
        <v>247</v>
      </c>
      <c r="G774" s="586"/>
      <c r="H774" s="587"/>
      <c r="I774" s="235">
        <f>SUM(I766:I773)</f>
        <v>12.18</v>
      </c>
      <c r="J774" s="586"/>
      <c r="K774" s="587"/>
      <c r="L774" s="235">
        <f>SUM(L766:L773)</f>
        <v>24.8158</v>
      </c>
      <c r="M774" s="237">
        <f>SUM(M766:M773)</f>
        <v>12.6358</v>
      </c>
      <c r="N774" s="238">
        <f t="shared" si="66"/>
        <v>1.0374220032840722</v>
      </c>
      <c r="O774" s="240">
        <f>L774/L782</f>
        <v>0.3078533664232285</v>
      </c>
      <c r="P774" s="165"/>
    </row>
    <row r="775" spans="2:16" ht="21.75" customHeight="1" thickBot="1">
      <c r="B775" s="172"/>
      <c r="C775" s="31"/>
      <c r="D775" s="31"/>
      <c r="E775" s="31"/>
      <c r="F775" s="199" t="s">
        <v>248</v>
      </c>
      <c r="G775" s="372">
        <f>C767*'Other Electriciy Rates PW'!$M$16</f>
        <v>530.0500000000001</v>
      </c>
      <c r="H775" s="373">
        <f>'Other Electriciy Rates PW'!$B$16</f>
        <v>0.0092</v>
      </c>
      <c r="I775" s="210">
        <f>+G775*H775</f>
        <v>4.876460000000001</v>
      </c>
      <c r="J775" s="372">
        <f>C767*'Other Electriciy Rates PW'!$M$30</f>
        <v>527.9951375464349</v>
      </c>
      <c r="K775" s="494">
        <f>'Other Electriciy Rates PW'!$B$30</f>
        <v>0.009132883108925464</v>
      </c>
      <c r="L775" s="210">
        <f>+J775*K775</f>
        <v>4.822117873292612</v>
      </c>
      <c r="M775" s="374">
        <f>+L775-I775</f>
        <v>-0.054342126707388694</v>
      </c>
      <c r="N775" s="222">
        <f t="shared" si="66"/>
        <v>-0.011143765499437847</v>
      </c>
      <c r="O775" s="223">
        <f>L775/L782</f>
        <v>0.05982096972826788</v>
      </c>
      <c r="P775" s="165"/>
    </row>
    <row r="776" spans="2:16" ht="21.75" customHeight="1" thickBot="1">
      <c r="B776" s="172"/>
      <c r="C776" s="31"/>
      <c r="D776" s="31"/>
      <c r="E776" s="31"/>
      <c r="F776" s="233" t="s">
        <v>249</v>
      </c>
      <c r="G776" s="586"/>
      <c r="H776" s="587"/>
      <c r="I776" s="235">
        <f>SUM(I774:I775)</f>
        <v>17.05646</v>
      </c>
      <c r="J776" s="586"/>
      <c r="K776" s="587"/>
      <c r="L776" s="235">
        <f>SUM(L774:L775)</f>
        <v>29.63791787329261</v>
      </c>
      <c r="M776" s="237">
        <f>SUM(M774:M775)</f>
        <v>12.58145787329261</v>
      </c>
      <c r="N776" s="238">
        <f t="shared" si="66"/>
        <v>0.7376359381309258</v>
      </c>
      <c r="O776" s="375">
        <f>L776/L782</f>
        <v>0.3676743361514964</v>
      </c>
      <c r="P776" s="165"/>
    </row>
    <row r="777" spans="2:16" ht="21.75" customHeight="1">
      <c r="B777" s="172"/>
      <c r="C777" s="31"/>
      <c r="D777" s="31"/>
      <c r="E777" s="31"/>
      <c r="F777" s="200" t="s">
        <v>77</v>
      </c>
      <c r="G777" s="202">
        <f>G775</f>
        <v>530.0500000000001</v>
      </c>
      <c r="H777" s="203">
        <f>'Other Electriciy Rates PW'!$C$16+'Other Electriciy Rates PW'!$E$16+'Other Electriciy Rates PW'!D16</f>
        <v>0.0138725</v>
      </c>
      <c r="I777" s="204">
        <f>+G777*H777</f>
        <v>7.3531186250000005</v>
      </c>
      <c r="J777" s="202">
        <f>J775</f>
        <v>527.9951375464349</v>
      </c>
      <c r="K777" s="203">
        <f>'Other Electriciy Rates PW'!$C$30+'Other Electriciy Rates PW'!$E$30+'Other Electriciy Rates PW'!D30</f>
        <v>0.0135</v>
      </c>
      <c r="L777" s="229">
        <f>+J777*K777</f>
        <v>7.127934356876871</v>
      </c>
      <c r="M777" s="230">
        <f>+L777-I777</f>
        <v>-0.22518426812312953</v>
      </c>
      <c r="N777" s="231">
        <f t="shared" si="66"/>
        <v>-0.030624321407997073</v>
      </c>
      <c r="O777" s="301">
        <f>L777/L782</f>
        <v>0.08842586527165497</v>
      </c>
      <c r="P777" s="165"/>
    </row>
    <row r="778" spans="2:16" ht="21.75" customHeight="1">
      <c r="B778" s="172"/>
      <c r="C778" s="31"/>
      <c r="D778" s="31"/>
      <c r="E778" s="31"/>
      <c r="F778" s="200" t="s">
        <v>321</v>
      </c>
      <c r="G778" s="220"/>
      <c r="H778" s="219"/>
      <c r="I778" s="210">
        <v>0.25</v>
      </c>
      <c r="J778" s="220"/>
      <c r="K778" s="219"/>
      <c r="L778" s="214">
        <v>0.25</v>
      </c>
      <c r="M778" s="513">
        <f>+L778-I778</f>
        <v>0</v>
      </c>
      <c r="N778" s="231">
        <f t="shared" si="66"/>
        <v>0</v>
      </c>
      <c r="O778" s="225">
        <f>L778/L782</f>
        <v>0.003101384666454724</v>
      </c>
      <c r="P778" s="165"/>
    </row>
    <row r="779" spans="2:16" ht="21.75" customHeight="1" thickBot="1">
      <c r="B779" s="172"/>
      <c r="C779" s="31"/>
      <c r="D779" s="31"/>
      <c r="E779" s="31"/>
      <c r="F779" s="199" t="s">
        <v>78</v>
      </c>
      <c r="G779" s="211">
        <f>G777</f>
        <v>530.0500000000001</v>
      </c>
      <c r="H779" s="205">
        <f>'Other Electriciy Rates PW'!$K$16</f>
        <v>0.065</v>
      </c>
      <c r="I779" s="206">
        <f>+G779*H779</f>
        <v>34.453250000000004</v>
      </c>
      <c r="J779" s="211">
        <f>J777</f>
        <v>527.9951375464349</v>
      </c>
      <c r="K779" s="205">
        <f>'Other Electriciy Rates PW'!$K$30</f>
        <v>0.065</v>
      </c>
      <c r="L779" s="226">
        <f>+J779*K779</f>
        <v>34.31968394051827</v>
      </c>
      <c r="M779" s="227">
        <f>+L779-I779</f>
        <v>-0.13356605948173694</v>
      </c>
      <c r="N779" s="228">
        <f t="shared" si="66"/>
        <v>-0.003876733239440022</v>
      </c>
      <c r="O779" s="241">
        <f>L779/L782</f>
        <v>0.42575416612278316</v>
      </c>
      <c r="P779" s="165"/>
    </row>
    <row r="780" spans="2:16" ht="21.75" customHeight="1" thickBot="1">
      <c r="B780" s="172"/>
      <c r="C780" s="31"/>
      <c r="D780" s="31"/>
      <c r="E780" s="31"/>
      <c r="F780" s="233" t="s">
        <v>195</v>
      </c>
      <c r="G780" s="586"/>
      <c r="H780" s="587"/>
      <c r="I780" s="235">
        <f>SUM(I776:I779)</f>
        <v>59.112828625000006</v>
      </c>
      <c r="J780" s="586"/>
      <c r="K780" s="587"/>
      <c r="L780" s="235">
        <f>SUM(L776:L779)</f>
        <v>71.33553617068776</v>
      </c>
      <c r="M780" s="235">
        <f>SUM(M776:M779)</f>
        <v>12.222707545687744</v>
      </c>
      <c r="N780" s="238">
        <f t="shared" si="66"/>
        <v>0.20676911983397314</v>
      </c>
      <c r="O780" s="375">
        <f>L780/L782</f>
        <v>0.8849557522123894</v>
      </c>
      <c r="P780" s="303"/>
    </row>
    <row r="781" spans="2:16" ht="21.75" customHeight="1" thickBot="1">
      <c r="B781" s="172"/>
      <c r="C781" s="31"/>
      <c r="D781" s="31"/>
      <c r="E781" s="31"/>
      <c r="F781" s="297" t="s">
        <v>274</v>
      </c>
      <c r="G781" s="298"/>
      <c r="H781" s="302">
        <v>0.13</v>
      </c>
      <c r="I781" s="299">
        <f>I780*H781</f>
        <v>7.684667721250001</v>
      </c>
      <c r="J781" s="298"/>
      <c r="K781" s="302">
        <v>0.13</v>
      </c>
      <c r="L781" s="300">
        <f>L780*K781</f>
        <v>9.273619702189409</v>
      </c>
      <c r="M781" s="227">
        <f>+L781-I781</f>
        <v>1.5889519809394077</v>
      </c>
      <c r="N781" s="231">
        <f t="shared" si="66"/>
        <v>0.20676911983397325</v>
      </c>
      <c r="O781" s="241">
        <f>L781/L782</f>
        <v>0.11504424778761062</v>
      </c>
      <c r="P781" s="165"/>
    </row>
    <row r="782" spans="2:17" ht="21.75" customHeight="1" thickBot="1">
      <c r="B782" s="376"/>
      <c r="C782" s="377"/>
      <c r="D782" s="377"/>
      <c r="E782" s="378"/>
      <c r="F782" s="379" t="s">
        <v>79</v>
      </c>
      <c r="G782" s="600"/>
      <c r="H782" s="601"/>
      <c r="I782" s="380">
        <f>SUM(I780:I781)</f>
        <v>66.79749634625</v>
      </c>
      <c r="J782" s="600"/>
      <c r="K782" s="601"/>
      <c r="L782" s="380">
        <f>SUM(L780:L781)</f>
        <v>80.60915587287717</v>
      </c>
      <c r="M782" s="380">
        <f>SUM(M780:M781)</f>
        <v>13.811659526627151</v>
      </c>
      <c r="N782" s="381">
        <f t="shared" si="66"/>
        <v>0.20676911983397317</v>
      </c>
      <c r="O782" s="382">
        <f>O780+O781</f>
        <v>1</v>
      </c>
      <c r="P782" s="383"/>
      <c r="Q782" s="384"/>
    </row>
    <row r="783" spans="2:16" ht="10.5" customHeight="1" thickBot="1">
      <c r="B783" s="166"/>
      <c r="C783" s="602"/>
      <c r="D783" s="602"/>
      <c r="E783" s="602"/>
      <c r="F783" s="602"/>
      <c r="G783" s="602"/>
      <c r="H783" s="602"/>
      <c r="I783" s="602"/>
      <c r="J783" s="602"/>
      <c r="K783" s="602"/>
      <c r="L783" s="602"/>
      <c r="M783" s="602"/>
      <c r="N783" s="602"/>
      <c r="O783" s="602"/>
      <c r="P783" s="167"/>
    </row>
    <row r="784" ht="17.25" customHeight="1"/>
    <row r="785" ht="6.75" customHeight="1"/>
    <row r="786" ht="6.75" customHeight="1"/>
    <row r="789" ht="6.75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6.75" customHeight="1"/>
    <row r="802" ht="6.75" customHeight="1"/>
    <row r="805" ht="6.75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6.75" customHeight="1"/>
  </sheetData>
  <mergeCells count="472">
    <mergeCell ref="G355:H355"/>
    <mergeCell ref="J355:K355"/>
    <mergeCell ref="G357:H357"/>
    <mergeCell ref="J357:K357"/>
    <mergeCell ref="C339:D339"/>
    <mergeCell ref="G348:H348"/>
    <mergeCell ref="J348:K348"/>
    <mergeCell ref="G350:H350"/>
    <mergeCell ref="J350:K350"/>
    <mergeCell ref="C334:O334"/>
    <mergeCell ref="C335:O335"/>
    <mergeCell ref="C336:O336"/>
    <mergeCell ref="G337:I337"/>
    <mergeCell ref="J337:L337"/>
    <mergeCell ref="M337:O337"/>
    <mergeCell ref="G329:H329"/>
    <mergeCell ref="J329:K329"/>
    <mergeCell ref="G331:H331"/>
    <mergeCell ref="J331:K331"/>
    <mergeCell ref="C313:D313"/>
    <mergeCell ref="G322:H322"/>
    <mergeCell ref="J322:K322"/>
    <mergeCell ref="G324:H324"/>
    <mergeCell ref="J324:K324"/>
    <mergeCell ref="C308:O308"/>
    <mergeCell ref="C309:O309"/>
    <mergeCell ref="C310:O310"/>
    <mergeCell ref="G311:I311"/>
    <mergeCell ref="J311:L311"/>
    <mergeCell ref="M311:O311"/>
    <mergeCell ref="G303:H303"/>
    <mergeCell ref="J303:K303"/>
    <mergeCell ref="G305:H305"/>
    <mergeCell ref="J305:K305"/>
    <mergeCell ref="C287:D287"/>
    <mergeCell ref="G296:H296"/>
    <mergeCell ref="J296:K296"/>
    <mergeCell ref="G298:H298"/>
    <mergeCell ref="J298:K298"/>
    <mergeCell ref="C282:O282"/>
    <mergeCell ref="C283:O283"/>
    <mergeCell ref="C284:O284"/>
    <mergeCell ref="G285:I285"/>
    <mergeCell ref="J285:L285"/>
    <mergeCell ref="M285:O285"/>
    <mergeCell ref="G277:H277"/>
    <mergeCell ref="J277:K277"/>
    <mergeCell ref="G279:H279"/>
    <mergeCell ref="J279:K279"/>
    <mergeCell ref="G270:H270"/>
    <mergeCell ref="J270:K270"/>
    <mergeCell ref="G272:H272"/>
    <mergeCell ref="J272:K272"/>
    <mergeCell ref="G259:I259"/>
    <mergeCell ref="J259:L259"/>
    <mergeCell ref="M259:O259"/>
    <mergeCell ref="C261:D261"/>
    <mergeCell ref="C254:O254"/>
    <mergeCell ref="C256:O256"/>
    <mergeCell ref="C257:O257"/>
    <mergeCell ref="C258:O258"/>
    <mergeCell ref="G251:H251"/>
    <mergeCell ref="J251:K251"/>
    <mergeCell ref="G253:H253"/>
    <mergeCell ref="J253:K253"/>
    <mergeCell ref="C236:D236"/>
    <mergeCell ref="G245:H245"/>
    <mergeCell ref="J245:K245"/>
    <mergeCell ref="G247:H247"/>
    <mergeCell ref="J247:K247"/>
    <mergeCell ref="C230:O230"/>
    <mergeCell ref="C232:O232"/>
    <mergeCell ref="C233:O233"/>
    <mergeCell ref="G234:I234"/>
    <mergeCell ref="J234:L234"/>
    <mergeCell ref="M234:O234"/>
    <mergeCell ref="G227:H227"/>
    <mergeCell ref="J227:K227"/>
    <mergeCell ref="G229:H229"/>
    <mergeCell ref="J229:K229"/>
    <mergeCell ref="C212:D212"/>
    <mergeCell ref="G221:H221"/>
    <mergeCell ref="J221:K221"/>
    <mergeCell ref="G223:H223"/>
    <mergeCell ref="J223:K223"/>
    <mergeCell ref="C206:O206"/>
    <mergeCell ref="C208:O208"/>
    <mergeCell ref="C209:O209"/>
    <mergeCell ref="G210:I210"/>
    <mergeCell ref="J210:L210"/>
    <mergeCell ref="M210:O210"/>
    <mergeCell ref="G203:H203"/>
    <mergeCell ref="J203:K203"/>
    <mergeCell ref="G205:H205"/>
    <mergeCell ref="J205:K205"/>
    <mergeCell ref="C188:D188"/>
    <mergeCell ref="G197:H197"/>
    <mergeCell ref="J197:K197"/>
    <mergeCell ref="G199:H199"/>
    <mergeCell ref="J199:K199"/>
    <mergeCell ref="C184:O184"/>
    <mergeCell ref="C185:O185"/>
    <mergeCell ref="G186:I186"/>
    <mergeCell ref="J186:L186"/>
    <mergeCell ref="M186:O186"/>
    <mergeCell ref="J512:K512"/>
    <mergeCell ref="G508:H508"/>
    <mergeCell ref="J508:K508"/>
    <mergeCell ref="G728:H728"/>
    <mergeCell ref="G710:H710"/>
    <mergeCell ref="J710:K710"/>
    <mergeCell ref="C669:O669"/>
    <mergeCell ref="G712:H712"/>
    <mergeCell ref="C572:D572"/>
    <mergeCell ref="G581:H581"/>
    <mergeCell ref="C567:O567"/>
    <mergeCell ref="C568:O568"/>
    <mergeCell ref="J581:K581"/>
    <mergeCell ref="G583:H583"/>
    <mergeCell ref="J583:K583"/>
    <mergeCell ref="C569:O569"/>
    <mergeCell ref="G570:I570"/>
    <mergeCell ref="J570:L570"/>
    <mergeCell ref="M570:O570"/>
    <mergeCell ref="G562:H562"/>
    <mergeCell ref="J562:K562"/>
    <mergeCell ref="G564:H564"/>
    <mergeCell ref="J564:K564"/>
    <mergeCell ref="G174:H174"/>
    <mergeCell ref="J174:K174"/>
    <mergeCell ref="C547:D547"/>
    <mergeCell ref="G556:H556"/>
    <mergeCell ref="J556:K556"/>
    <mergeCell ref="G506:H506"/>
    <mergeCell ref="J506:K506"/>
    <mergeCell ref="G514:H514"/>
    <mergeCell ref="J514:K514"/>
    <mergeCell ref="G512:H512"/>
    <mergeCell ref="M161:O161"/>
    <mergeCell ref="C163:D163"/>
    <mergeCell ref="G172:H172"/>
    <mergeCell ref="J172:K172"/>
    <mergeCell ref="C137:D137"/>
    <mergeCell ref="G146:H146"/>
    <mergeCell ref="G135:I135"/>
    <mergeCell ref="J135:L135"/>
    <mergeCell ref="J153:K153"/>
    <mergeCell ref="C107:O107"/>
    <mergeCell ref="J21:K21"/>
    <mergeCell ref="G27:H27"/>
    <mergeCell ref="J27:K27"/>
    <mergeCell ref="G23:H23"/>
    <mergeCell ref="J23:K23"/>
    <mergeCell ref="C111:D111"/>
    <mergeCell ref="G120:H120"/>
    <mergeCell ref="J109:L109"/>
    <mergeCell ref="J29:K29"/>
    <mergeCell ref="G29:H29"/>
    <mergeCell ref="J146:K146"/>
    <mergeCell ref="G148:H148"/>
    <mergeCell ref="J148:K148"/>
    <mergeCell ref="G127:H127"/>
    <mergeCell ref="J127:K127"/>
    <mergeCell ref="C108:O108"/>
    <mergeCell ref="G103:H103"/>
    <mergeCell ref="J103:K103"/>
    <mergeCell ref="G782:H782"/>
    <mergeCell ref="J782:K782"/>
    <mergeCell ref="C783:O783"/>
    <mergeCell ref="G155:H155"/>
    <mergeCell ref="J155:K155"/>
    <mergeCell ref="C158:O158"/>
    <mergeCell ref="C159:O159"/>
    <mergeCell ref="C160:O160"/>
    <mergeCell ref="G161:I161"/>
    <mergeCell ref="J161:L161"/>
    <mergeCell ref="G776:H776"/>
    <mergeCell ref="J776:K776"/>
    <mergeCell ref="G780:H780"/>
    <mergeCell ref="J780:K780"/>
    <mergeCell ref="G774:H774"/>
    <mergeCell ref="J774:K774"/>
    <mergeCell ref="G686:H686"/>
    <mergeCell ref="J753:K753"/>
    <mergeCell ref="G736:H736"/>
    <mergeCell ref="C739:O739"/>
    <mergeCell ref="C740:O740"/>
    <mergeCell ref="J736:K736"/>
    <mergeCell ref="G734:H734"/>
    <mergeCell ref="G730:H730"/>
    <mergeCell ref="B1:O1"/>
    <mergeCell ref="B2:O2"/>
    <mergeCell ref="B3:O3"/>
    <mergeCell ref="B7:O7"/>
    <mergeCell ref="C6:O6"/>
    <mergeCell ref="C4:O4"/>
    <mergeCell ref="C5:O5"/>
    <mergeCell ref="G21:H21"/>
    <mergeCell ref="G83:I83"/>
    <mergeCell ref="J83:L83"/>
    <mergeCell ref="M83:O83"/>
    <mergeCell ref="C81:O81"/>
    <mergeCell ref="C30:O30"/>
    <mergeCell ref="J69:K69"/>
    <mergeCell ref="G71:H71"/>
    <mergeCell ref="J71:K71"/>
    <mergeCell ref="C56:O56"/>
    <mergeCell ref="G94:H94"/>
    <mergeCell ref="J94:K94"/>
    <mergeCell ref="G129:H129"/>
    <mergeCell ref="J129:K129"/>
    <mergeCell ref="C106:O106"/>
    <mergeCell ref="G101:H101"/>
    <mergeCell ref="J101:K101"/>
    <mergeCell ref="G96:H96"/>
    <mergeCell ref="J96:K96"/>
    <mergeCell ref="M109:O109"/>
    <mergeCell ref="C132:O132"/>
    <mergeCell ref="C133:O133"/>
    <mergeCell ref="G764:I764"/>
    <mergeCell ref="J764:L764"/>
    <mergeCell ref="M764:O764"/>
    <mergeCell ref="M741:O741"/>
    <mergeCell ref="G741:I741"/>
    <mergeCell ref="J741:L741"/>
    <mergeCell ref="J751:K751"/>
    <mergeCell ref="G753:H753"/>
    <mergeCell ref="J757:K757"/>
    <mergeCell ref="G751:H751"/>
    <mergeCell ref="M135:O135"/>
    <mergeCell ref="C134:O134"/>
    <mergeCell ref="C543:O543"/>
    <mergeCell ref="C544:O544"/>
    <mergeCell ref="G545:I545"/>
    <mergeCell ref="J545:L545"/>
    <mergeCell ref="M545:O545"/>
    <mergeCell ref="G153:H153"/>
    <mergeCell ref="J730:K730"/>
    <mergeCell ref="C720:D720"/>
    <mergeCell ref="C766:D766"/>
    <mergeCell ref="C743:D743"/>
    <mergeCell ref="C760:O760"/>
    <mergeCell ref="C762:O762"/>
    <mergeCell ref="C763:O763"/>
    <mergeCell ref="G759:H759"/>
    <mergeCell ref="J759:K759"/>
    <mergeCell ref="G757:H757"/>
    <mergeCell ref="J694:L694"/>
    <mergeCell ref="M694:O694"/>
    <mergeCell ref="J734:K734"/>
    <mergeCell ref="C715:O715"/>
    <mergeCell ref="C716:O716"/>
    <mergeCell ref="C717:O717"/>
    <mergeCell ref="G718:I718"/>
    <mergeCell ref="J718:L718"/>
    <mergeCell ref="M718:O718"/>
    <mergeCell ref="J728:K728"/>
    <mergeCell ref="G706:H706"/>
    <mergeCell ref="J706:K706"/>
    <mergeCell ref="J712:K712"/>
    <mergeCell ref="J686:K686"/>
    <mergeCell ref="G688:H688"/>
    <mergeCell ref="J688:K688"/>
    <mergeCell ref="J704:K704"/>
    <mergeCell ref="G704:H704"/>
    <mergeCell ref="C693:O693"/>
    <mergeCell ref="G694:I694"/>
    <mergeCell ref="C497:D497"/>
    <mergeCell ref="C494:O494"/>
    <mergeCell ref="G495:I495"/>
    <mergeCell ref="J495:L495"/>
    <mergeCell ref="M495:O495"/>
    <mergeCell ref="J120:K120"/>
    <mergeCell ref="G122:H122"/>
    <mergeCell ref="J122:K122"/>
    <mergeCell ref="G109:I109"/>
    <mergeCell ref="C8:O8"/>
    <mergeCell ref="C9:O9"/>
    <mergeCell ref="C12:D12"/>
    <mergeCell ref="G10:I10"/>
    <mergeCell ref="J10:L10"/>
    <mergeCell ref="M10:O10"/>
    <mergeCell ref="J520:L520"/>
    <mergeCell ref="C696:D696"/>
    <mergeCell ref="C493:O493"/>
    <mergeCell ref="C492:O492"/>
    <mergeCell ref="M520:O520"/>
    <mergeCell ref="C522:D522"/>
    <mergeCell ref="G531:H531"/>
    <mergeCell ref="J531:K531"/>
    <mergeCell ref="C519:O519"/>
    <mergeCell ref="G520:I520"/>
    <mergeCell ref="C85:D85"/>
    <mergeCell ref="C80:O80"/>
    <mergeCell ref="G53:H53"/>
    <mergeCell ref="J53:K53"/>
    <mergeCell ref="C78:O78"/>
    <mergeCell ref="C82:O82"/>
    <mergeCell ref="G75:H75"/>
    <mergeCell ref="J75:K75"/>
    <mergeCell ref="C60:D60"/>
    <mergeCell ref="G69:H69"/>
    <mergeCell ref="G587:H587"/>
    <mergeCell ref="J587:K587"/>
    <mergeCell ref="G533:H533"/>
    <mergeCell ref="J533:K533"/>
    <mergeCell ref="J537:K537"/>
    <mergeCell ref="G539:H539"/>
    <mergeCell ref="J539:K539"/>
    <mergeCell ref="C542:O542"/>
    <mergeCell ref="G558:H558"/>
    <mergeCell ref="J558:K558"/>
    <mergeCell ref="C517:O517"/>
    <mergeCell ref="C518:O518"/>
    <mergeCell ref="G537:H537"/>
    <mergeCell ref="G77:H77"/>
    <mergeCell ref="J77:K77"/>
    <mergeCell ref="G179:H179"/>
    <mergeCell ref="J179:K179"/>
    <mergeCell ref="G181:H181"/>
    <mergeCell ref="J181:K181"/>
    <mergeCell ref="C360:O360"/>
    <mergeCell ref="C54:O54"/>
    <mergeCell ref="C57:O57"/>
    <mergeCell ref="G58:I58"/>
    <mergeCell ref="J58:L58"/>
    <mergeCell ref="M58:O58"/>
    <mergeCell ref="C36:D36"/>
    <mergeCell ref="G45:H45"/>
    <mergeCell ref="J45:K45"/>
    <mergeCell ref="G51:H51"/>
    <mergeCell ref="J51:K51"/>
    <mergeCell ref="G47:H47"/>
    <mergeCell ref="J47:K47"/>
    <mergeCell ref="C32:O32"/>
    <mergeCell ref="G34:I34"/>
    <mergeCell ref="J34:L34"/>
    <mergeCell ref="M34:O34"/>
    <mergeCell ref="C33:O33"/>
    <mergeCell ref="C361:O361"/>
    <mergeCell ref="C362:O362"/>
    <mergeCell ref="G363:I363"/>
    <mergeCell ref="J363:L363"/>
    <mergeCell ref="M363:O363"/>
    <mergeCell ref="C365:D365"/>
    <mergeCell ref="G374:H374"/>
    <mergeCell ref="J374:K374"/>
    <mergeCell ref="G376:H376"/>
    <mergeCell ref="J376:K376"/>
    <mergeCell ref="G381:H381"/>
    <mergeCell ref="J381:K381"/>
    <mergeCell ref="G383:H383"/>
    <mergeCell ref="J383:K383"/>
    <mergeCell ref="C386:O386"/>
    <mergeCell ref="C387:O387"/>
    <mergeCell ref="C388:O388"/>
    <mergeCell ref="G389:I389"/>
    <mergeCell ref="J389:L389"/>
    <mergeCell ref="M389:O389"/>
    <mergeCell ref="C391:D391"/>
    <mergeCell ref="G400:H400"/>
    <mergeCell ref="J400:K400"/>
    <mergeCell ref="G402:H402"/>
    <mergeCell ref="J402:K402"/>
    <mergeCell ref="G407:H407"/>
    <mergeCell ref="J407:K407"/>
    <mergeCell ref="G409:H409"/>
    <mergeCell ref="J409:K409"/>
    <mergeCell ref="C412:O412"/>
    <mergeCell ref="C413:O413"/>
    <mergeCell ref="C414:O414"/>
    <mergeCell ref="G415:I415"/>
    <mergeCell ref="J415:L415"/>
    <mergeCell ref="M415:O415"/>
    <mergeCell ref="C417:D417"/>
    <mergeCell ref="G426:H426"/>
    <mergeCell ref="J426:K426"/>
    <mergeCell ref="G428:H428"/>
    <mergeCell ref="J428:K428"/>
    <mergeCell ref="G433:H433"/>
    <mergeCell ref="J433:K433"/>
    <mergeCell ref="G435:H435"/>
    <mergeCell ref="J435:K435"/>
    <mergeCell ref="C438:O438"/>
    <mergeCell ref="C439:O439"/>
    <mergeCell ref="C440:O440"/>
    <mergeCell ref="G441:I441"/>
    <mergeCell ref="J441:L441"/>
    <mergeCell ref="M441:O441"/>
    <mergeCell ref="C443:D443"/>
    <mergeCell ref="G452:H452"/>
    <mergeCell ref="J452:K452"/>
    <mergeCell ref="G454:H454"/>
    <mergeCell ref="J454:K454"/>
    <mergeCell ref="G459:H459"/>
    <mergeCell ref="J459:K459"/>
    <mergeCell ref="G461:H461"/>
    <mergeCell ref="J461:K461"/>
    <mergeCell ref="C464:O464"/>
    <mergeCell ref="C465:O465"/>
    <mergeCell ref="C466:O466"/>
    <mergeCell ref="G467:I467"/>
    <mergeCell ref="J467:L467"/>
    <mergeCell ref="M467:O467"/>
    <mergeCell ref="C469:D469"/>
    <mergeCell ref="G478:H478"/>
    <mergeCell ref="J478:K478"/>
    <mergeCell ref="G480:H480"/>
    <mergeCell ref="J480:K480"/>
    <mergeCell ref="G485:H485"/>
    <mergeCell ref="J485:K485"/>
    <mergeCell ref="G487:H487"/>
    <mergeCell ref="J487:K487"/>
    <mergeCell ref="J589:K589"/>
    <mergeCell ref="C592:O592"/>
    <mergeCell ref="C593:O593"/>
    <mergeCell ref="C594:O594"/>
    <mergeCell ref="G589:H589"/>
    <mergeCell ref="G595:I595"/>
    <mergeCell ref="J595:L595"/>
    <mergeCell ref="M595:O595"/>
    <mergeCell ref="C597:D597"/>
    <mergeCell ref="G606:H606"/>
    <mergeCell ref="J606:K606"/>
    <mergeCell ref="G608:H608"/>
    <mergeCell ref="J608:K608"/>
    <mergeCell ref="G612:H612"/>
    <mergeCell ref="J612:K612"/>
    <mergeCell ref="G614:H614"/>
    <mergeCell ref="J614:K614"/>
    <mergeCell ref="C617:O617"/>
    <mergeCell ref="C618:O618"/>
    <mergeCell ref="C619:O619"/>
    <mergeCell ref="G620:I620"/>
    <mergeCell ref="J620:L620"/>
    <mergeCell ref="M620:O620"/>
    <mergeCell ref="C622:D622"/>
    <mergeCell ref="G631:H631"/>
    <mergeCell ref="J631:K631"/>
    <mergeCell ref="G633:H633"/>
    <mergeCell ref="J633:K633"/>
    <mergeCell ref="G637:H637"/>
    <mergeCell ref="J637:K637"/>
    <mergeCell ref="G639:H639"/>
    <mergeCell ref="J639:K639"/>
    <mergeCell ref="C643:O643"/>
    <mergeCell ref="C644:O644"/>
    <mergeCell ref="J680:K680"/>
    <mergeCell ref="C645:O645"/>
    <mergeCell ref="G656:H656"/>
    <mergeCell ref="J656:K656"/>
    <mergeCell ref="M646:O646"/>
    <mergeCell ref="C648:D648"/>
    <mergeCell ref="C668:O668"/>
    <mergeCell ref="G670:I670"/>
    <mergeCell ref="C692:O692"/>
    <mergeCell ref="G658:H658"/>
    <mergeCell ref="J658:K658"/>
    <mergeCell ref="G646:I646"/>
    <mergeCell ref="J646:L646"/>
    <mergeCell ref="C667:O667"/>
    <mergeCell ref="G662:H662"/>
    <mergeCell ref="J662:K662"/>
    <mergeCell ref="G664:H664"/>
    <mergeCell ref="J664:K664"/>
    <mergeCell ref="C691:O691"/>
    <mergeCell ref="G680:H680"/>
    <mergeCell ref="J670:L670"/>
    <mergeCell ref="M670:O670"/>
    <mergeCell ref="C672:D672"/>
    <mergeCell ref="G682:H682"/>
    <mergeCell ref="J682:K682"/>
  </mergeCells>
  <printOptions/>
  <pageMargins left="0.75" right="0.75" top="1" bottom="1" header="0.5" footer="0.5"/>
  <pageSetup fitToHeight="6" horizontalDpi="355" verticalDpi="355" orientation="portrait" scale="40" r:id="rId1"/>
  <rowBreaks count="10" manualBreakCount="10">
    <brk id="78" max="255" man="1"/>
    <brk id="156" max="255" man="1"/>
    <brk id="231" max="255" man="1"/>
    <brk id="307" max="255" man="1"/>
    <brk id="385" max="255" man="1"/>
    <brk id="462" max="255" man="1"/>
    <brk id="541" max="255" man="1"/>
    <brk id="616" max="255" man="1"/>
    <brk id="689" max="255" man="1"/>
    <brk id="76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workbookViewId="0" topLeftCell="A1">
      <selection activeCell="E11" sqref="E11"/>
    </sheetView>
  </sheetViews>
  <sheetFormatPr defaultColWidth="9.140625" defaultRowHeight="12.75"/>
  <cols>
    <col min="1" max="1" width="2.7109375" style="0" customWidth="1"/>
    <col min="2" max="2" width="19.00390625" style="0" bestFit="1" customWidth="1"/>
    <col min="3" max="3" width="65.00390625" style="0" customWidth="1"/>
    <col min="4" max="4" width="11.140625" style="0" bestFit="1" customWidth="1"/>
    <col min="5" max="5" width="10.28125" style="0" bestFit="1" customWidth="1"/>
  </cols>
  <sheetData>
    <row r="1" spans="1:5" ht="12.75">
      <c r="A1" s="534" t="str">
        <f>+'Revenue Input'!A1</f>
        <v>Niagara Peninsula Energy</v>
      </c>
      <c r="B1" s="534"/>
      <c r="C1" s="534"/>
      <c r="D1" s="534"/>
      <c r="E1" s="534"/>
    </row>
    <row r="2" spans="1:5" ht="12.75">
      <c r="A2" s="534" t="str">
        <f>+'Revenue Input'!A2</f>
        <v>, License Number ED-2007-0749, File Number EB-2010-0138</v>
      </c>
      <c r="B2" s="534"/>
      <c r="C2" s="534"/>
      <c r="D2" s="534"/>
      <c r="E2" s="534"/>
    </row>
    <row r="3" spans="1:5" ht="12.75">
      <c r="A3" s="534">
        <f>+'Revenue Input'!A3</f>
        <v>0</v>
      </c>
      <c r="B3" s="534"/>
      <c r="C3" s="534"/>
      <c r="D3" s="534"/>
      <c r="E3" s="534"/>
    </row>
    <row r="4" spans="1:5" ht="8.25" customHeight="1">
      <c r="A4" s="545"/>
      <c r="B4" s="545"/>
      <c r="C4" s="545"/>
      <c r="D4" s="545"/>
      <c r="E4" s="545"/>
    </row>
    <row r="5" spans="1:5" ht="19.5" customHeight="1">
      <c r="A5" s="564" t="s">
        <v>90</v>
      </c>
      <c r="B5" s="564"/>
      <c r="C5" s="564"/>
      <c r="D5" s="564"/>
      <c r="E5" s="564"/>
    </row>
    <row r="6" spans="1:5" ht="19.5" customHeight="1">
      <c r="A6" s="608" t="s">
        <v>282</v>
      </c>
      <c r="B6" s="608"/>
      <c r="C6" s="608"/>
      <c r="D6" s="608"/>
      <c r="E6" s="608"/>
    </row>
    <row r="7" spans="1:5" ht="19.5" customHeight="1">
      <c r="A7" s="608" t="s">
        <v>238</v>
      </c>
      <c r="B7" s="608"/>
      <c r="C7" s="608"/>
      <c r="D7" s="608"/>
      <c r="E7" s="608"/>
    </row>
    <row r="8" spans="1:6" ht="11.25" customHeight="1" thickBot="1">
      <c r="A8" s="16"/>
      <c r="B8" s="45"/>
      <c r="C8" s="16"/>
      <c r="D8" s="16"/>
      <c r="E8" s="46"/>
      <c r="F8" s="16"/>
    </row>
    <row r="9" spans="1:6" ht="26.25" thickBot="1">
      <c r="A9" s="39"/>
      <c r="B9" s="242" t="s">
        <v>0</v>
      </c>
      <c r="C9" s="242" t="s">
        <v>85</v>
      </c>
      <c r="D9" s="242" t="s">
        <v>86</v>
      </c>
      <c r="E9" s="242" t="s">
        <v>183</v>
      </c>
      <c r="F9" s="16"/>
    </row>
    <row r="10" spans="1:6" ht="15.75">
      <c r="A10" s="24"/>
      <c r="B10" s="605" t="str">
        <f>'Distribution Rate Schedule'!A11</f>
        <v>Residential</v>
      </c>
      <c r="C10" s="606"/>
      <c r="D10" s="606"/>
      <c r="E10" s="607"/>
      <c r="F10" s="25"/>
    </row>
    <row r="11" spans="1:6" ht="15">
      <c r="A11" s="24"/>
      <c r="B11" s="243"/>
      <c r="C11" s="42" t="s">
        <v>71</v>
      </c>
      <c r="D11" s="40" t="s">
        <v>87</v>
      </c>
      <c r="E11" s="244">
        <f>'Distribution Rate Schedule'!C11</f>
        <v>16.55</v>
      </c>
      <c r="F11" s="25"/>
    </row>
    <row r="12" spans="1:6" ht="15">
      <c r="A12" s="24"/>
      <c r="B12" s="243"/>
      <c r="C12" s="42" t="s">
        <v>88</v>
      </c>
      <c r="D12" s="40" t="s">
        <v>56</v>
      </c>
      <c r="E12" s="245">
        <f>'Distribution Rate Schedule'!E11</f>
        <v>0.0167</v>
      </c>
      <c r="F12" s="25"/>
    </row>
    <row r="13" spans="1:6" ht="15">
      <c r="A13" s="24"/>
      <c r="B13" s="243"/>
      <c r="C13" s="42" t="s">
        <v>241</v>
      </c>
      <c r="D13" s="40" t="s">
        <v>56</v>
      </c>
      <c r="E13" s="245">
        <f>'Distribution Rate Schedule'!E21</f>
        <v>0.0003</v>
      </c>
      <c r="F13" s="25"/>
    </row>
    <row r="14" spans="1:6" ht="15">
      <c r="A14" s="24"/>
      <c r="B14" s="243"/>
      <c r="C14" s="42" t="s">
        <v>163</v>
      </c>
      <c r="D14" s="40" t="s">
        <v>56</v>
      </c>
      <c r="E14" s="245">
        <f>'LRAM and SSM Rate Rider'!L9</f>
        <v>0</v>
      </c>
      <c r="F14" s="25"/>
    </row>
    <row r="15" spans="1:6" ht="15">
      <c r="A15" s="24"/>
      <c r="B15" s="243"/>
      <c r="C15" s="42" t="s">
        <v>240</v>
      </c>
      <c r="D15" s="40" t="s">
        <v>87</v>
      </c>
      <c r="E15" s="245">
        <f>'2011 Rate Rider'!F7</f>
        <v>1</v>
      </c>
      <c r="F15" s="25"/>
    </row>
    <row r="16" spans="1:6" ht="15">
      <c r="A16" s="24"/>
      <c r="B16" s="243"/>
      <c r="C16" s="42" t="s">
        <v>290</v>
      </c>
      <c r="D16" s="40" t="s">
        <v>56</v>
      </c>
      <c r="E16" s="245">
        <f>'2011 Rate Rider'!D7</f>
        <v>0.0011</v>
      </c>
      <c r="F16" s="25"/>
    </row>
    <row r="17" spans="1:6" ht="15.75" customHeight="1">
      <c r="A17" s="24"/>
      <c r="B17" s="243"/>
      <c r="C17" s="42" t="s">
        <v>291</v>
      </c>
      <c r="D17" s="40" t="s">
        <v>56</v>
      </c>
      <c r="E17" s="245">
        <f>'2011 Rate Rider'!B7</f>
        <v>-0.0028</v>
      </c>
      <c r="F17" s="25"/>
    </row>
    <row r="18" spans="1:6" ht="15">
      <c r="A18" s="24"/>
      <c r="B18" s="243"/>
      <c r="C18" s="42" t="s">
        <v>292</v>
      </c>
      <c r="D18" s="40" t="s">
        <v>56</v>
      </c>
      <c r="E18" s="245">
        <f>'2011 Rate Rider'!D31</f>
        <v>0.0016</v>
      </c>
      <c r="F18" s="25"/>
    </row>
    <row r="19" spans="1:6" ht="15.75" customHeight="1" thickBot="1">
      <c r="A19" s="24"/>
      <c r="B19" s="246"/>
      <c r="C19" s="247" t="s">
        <v>293</v>
      </c>
      <c r="D19" s="248" t="s">
        <v>56</v>
      </c>
      <c r="E19" s="249">
        <f>'2011 Rate Rider'!B31</f>
        <v>0.0001</v>
      </c>
      <c r="F19" s="25"/>
    </row>
    <row r="20" spans="1:6" ht="6.75" customHeight="1" thickBot="1">
      <c r="A20" s="24"/>
      <c r="B20" s="41"/>
      <c r="C20" s="42"/>
      <c r="D20" s="40"/>
      <c r="E20" s="43"/>
      <c r="F20" s="25"/>
    </row>
    <row r="21" spans="1:5" ht="15.75" customHeight="1">
      <c r="A21" s="23"/>
      <c r="B21" s="605" t="str">
        <f>'Distribution Rate Schedule'!A12</f>
        <v>GS &lt; 50 kW</v>
      </c>
      <c r="C21" s="606"/>
      <c r="D21" s="606"/>
      <c r="E21" s="607"/>
    </row>
    <row r="22" spans="1:5" ht="15">
      <c r="A22" s="23"/>
      <c r="B22" s="243"/>
      <c r="C22" s="42" t="s">
        <v>71</v>
      </c>
      <c r="D22" s="40" t="s">
        <v>87</v>
      </c>
      <c r="E22" s="244">
        <f>'Distribution Rate Schedule'!C12</f>
        <v>38.45</v>
      </c>
    </row>
    <row r="23" spans="1:5" ht="15">
      <c r="A23" s="23"/>
      <c r="B23" s="243"/>
      <c r="C23" s="42" t="s">
        <v>88</v>
      </c>
      <c r="D23" s="40" t="s">
        <v>56</v>
      </c>
      <c r="E23" s="245">
        <f>'Distribution Rate Schedule'!E12</f>
        <v>0.0141</v>
      </c>
    </row>
    <row r="24" spans="1:5" ht="15">
      <c r="A24" s="23"/>
      <c r="B24" s="243"/>
      <c r="C24" s="42" t="s">
        <v>241</v>
      </c>
      <c r="D24" s="40" t="s">
        <v>56</v>
      </c>
      <c r="E24" s="245">
        <f>'Distribution Rate Schedule'!E22</f>
        <v>0.0003</v>
      </c>
    </row>
    <row r="25" spans="1:5" ht="15">
      <c r="A25" s="23"/>
      <c r="B25" s="243"/>
      <c r="C25" s="42" t="s">
        <v>163</v>
      </c>
      <c r="D25" s="40" t="s">
        <v>56</v>
      </c>
      <c r="E25" s="245">
        <f>'LRAM and SSM Rate Rider'!L10</f>
        <v>0</v>
      </c>
    </row>
    <row r="26" spans="1:5" ht="15">
      <c r="A26" s="23"/>
      <c r="B26" s="243"/>
      <c r="C26" s="42" t="s">
        <v>169</v>
      </c>
      <c r="D26" s="40" t="s">
        <v>87</v>
      </c>
      <c r="E26" s="245">
        <f>'2011 Rate Rider'!F8</f>
        <v>1</v>
      </c>
    </row>
    <row r="27" spans="1:5" ht="15">
      <c r="A27" s="23"/>
      <c r="B27" s="243"/>
      <c r="C27" s="42" t="s">
        <v>290</v>
      </c>
      <c r="D27" s="40" t="s">
        <v>56</v>
      </c>
      <c r="E27" s="245">
        <f>'2011 Rate Rider'!D8</f>
        <v>0.0011</v>
      </c>
    </row>
    <row r="28" spans="1:5" ht="15">
      <c r="A28" s="23"/>
      <c r="B28" s="243"/>
      <c r="C28" s="42" t="s">
        <v>291</v>
      </c>
      <c r="D28" s="40" t="s">
        <v>56</v>
      </c>
      <c r="E28" s="245">
        <f>+'2011 Rate Rider'!B8</f>
        <v>-0.0027</v>
      </c>
    </row>
    <row r="29" spans="1:5" ht="15">
      <c r="A29" s="23"/>
      <c r="B29" s="243"/>
      <c r="C29" s="42" t="s">
        <v>292</v>
      </c>
      <c r="D29" s="40" t="s">
        <v>56</v>
      </c>
      <c r="E29" s="245">
        <f>'2011 Rate Rider'!D32</f>
        <v>0.0019</v>
      </c>
    </row>
    <row r="30" spans="1:5" ht="15.75" thickBot="1">
      <c r="A30" s="23"/>
      <c r="B30" s="246"/>
      <c r="C30" s="247" t="s">
        <v>293</v>
      </c>
      <c r="D30" s="248" t="s">
        <v>56</v>
      </c>
      <c r="E30" s="249">
        <f>'2011 Rate Rider'!B32</f>
        <v>-0.0013</v>
      </c>
    </row>
    <row r="31" spans="1:5" ht="6.75" customHeight="1" thickBot="1">
      <c r="A31" s="23"/>
      <c r="B31" s="41"/>
      <c r="C31" s="42"/>
      <c r="D31" s="40"/>
      <c r="E31" s="43"/>
    </row>
    <row r="32" spans="1:5" ht="15.75" customHeight="1">
      <c r="A32" s="23"/>
      <c r="B32" s="605" t="str">
        <f>'Distribution Rate Schedule'!A13</f>
        <v>GS &gt;50</v>
      </c>
      <c r="C32" s="606"/>
      <c r="D32" s="606"/>
      <c r="E32" s="607"/>
    </row>
    <row r="33" spans="1:5" ht="15">
      <c r="A33" s="23"/>
      <c r="B33" s="243"/>
      <c r="C33" s="42" t="s">
        <v>71</v>
      </c>
      <c r="D33" s="40" t="s">
        <v>87</v>
      </c>
      <c r="E33" s="244">
        <f>'Distribution Rate Schedule'!C13</f>
        <v>222.81</v>
      </c>
    </row>
    <row r="34" spans="1:5" ht="15">
      <c r="A34" s="23"/>
      <c r="B34" s="243"/>
      <c r="C34" s="42" t="s">
        <v>88</v>
      </c>
      <c r="D34" s="40" t="s">
        <v>23</v>
      </c>
      <c r="E34" s="245">
        <f>'Distribution Rate Schedule'!D13</f>
        <v>4.0311</v>
      </c>
    </row>
    <row r="35" spans="1:5" ht="15">
      <c r="A35" s="23"/>
      <c r="B35" s="243"/>
      <c r="C35" s="42" t="s">
        <v>241</v>
      </c>
      <c r="D35" s="40" t="s">
        <v>23</v>
      </c>
      <c r="E35" s="245">
        <f>'Distribution Rate Schedule'!D23</f>
        <v>0.1042</v>
      </c>
    </row>
    <row r="36" spans="1:5" ht="15">
      <c r="A36" s="23"/>
      <c r="B36" s="243"/>
      <c r="C36" s="42" t="s">
        <v>163</v>
      </c>
      <c r="D36" s="40" t="s">
        <v>56</v>
      </c>
      <c r="E36" s="245">
        <f>'LRAM and SSM Rate Rider'!L11</f>
        <v>0</v>
      </c>
    </row>
    <row r="37" spans="1:5" ht="15">
      <c r="A37" s="23"/>
      <c r="B37" s="243"/>
      <c r="C37" s="42" t="s">
        <v>169</v>
      </c>
      <c r="D37" s="40" t="s">
        <v>87</v>
      </c>
      <c r="E37" s="245">
        <f>'2011 Rate Rider'!F9</f>
        <v>1</v>
      </c>
    </row>
    <row r="38" spans="1:5" ht="15">
      <c r="A38" s="23"/>
      <c r="B38" s="243"/>
      <c r="C38" s="42" t="s">
        <v>290</v>
      </c>
      <c r="D38" s="40" t="s">
        <v>23</v>
      </c>
      <c r="E38" s="245">
        <f>'2011 Rate Rider'!E9</f>
        <v>0.4244</v>
      </c>
    </row>
    <row r="39" spans="1:5" ht="15">
      <c r="A39" s="23"/>
      <c r="B39" s="243"/>
      <c r="C39" s="42" t="s">
        <v>291</v>
      </c>
      <c r="D39" s="40" t="s">
        <v>23</v>
      </c>
      <c r="E39" s="245">
        <f>+'2011 Rate Rider'!C9</f>
        <v>-1.16</v>
      </c>
    </row>
    <row r="40" spans="1:5" ht="15">
      <c r="A40" s="23"/>
      <c r="B40" s="243"/>
      <c r="C40" s="42" t="s">
        <v>292</v>
      </c>
      <c r="D40" s="40" t="s">
        <v>23</v>
      </c>
      <c r="E40" s="245">
        <f>'2011 Rate Rider'!E33</f>
        <v>0.6442</v>
      </c>
    </row>
    <row r="41" spans="1:5" ht="15.75" thickBot="1">
      <c r="A41" s="23"/>
      <c r="B41" s="246"/>
      <c r="C41" s="247" t="s">
        <v>293</v>
      </c>
      <c r="D41" s="248" t="s">
        <v>23</v>
      </c>
      <c r="E41" s="249">
        <f>'2011 Rate Rider'!C33</f>
        <v>-0.6119</v>
      </c>
    </row>
    <row r="42" spans="1:5" ht="6.75" customHeight="1">
      <c r="A42" s="23"/>
      <c r="B42" s="41"/>
      <c r="C42" s="42"/>
      <c r="D42" s="40"/>
      <c r="E42" s="43"/>
    </row>
    <row r="43" spans="1:5" ht="15.75" thickBot="1">
      <c r="A43" s="23"/>
      <c r="B43" s="41"/>
      <c r="C43" s="42"/>
      <c r="D43" s="40"/>
      <c r="E43" s="43"/>
    </row>
    <row r="44" spans="1:5" ht="15.75">
      <c r="A44" s="23"/>
      <c r="B44" s="605" t="str">
        <f>'Distribution Rate Schedule'!A15</f>
        <v>Sentinel Lights</v>
      </c>
      <c r="C44" s="606"/>
      <c r="D44" s="606"/>
      <c r="E44" s="607"/>
    </row>
    <row r="45" spans="1:5" ht="15">
      <c r="A45" s="23"/>
      <c r="B45" s="243"/>
      <c r="C45" s="42" t="s">
        <v>71</v>
      </c>
      <c r="D45" s="40" t="s">
        <v>87</v>
      </c>
      <c r="E45" s="244">
        <f>'Distribution Rate Schedule'!B15</f>
        <v>7.1862</v>
      </c>
    </row>
    <row r="46" spans="1:5" ht="15">
      <c r="A46" s="23"/>
      <c r="B46" s="243"/>
      <c r="C46" s="42" t="s">
        <v>88</v>
      </c>
      <c r="D46" s="40" t="s">
        <v>23</v>
      </c>
      <c r="E46" s="245">
        <f>'Distribution Rate Schedule'!D15</f>
        <v>8.9771</v>
      </c>
    </row>
    <row r="47" spans="1:5" ht="15">
      <c r="A47" s="23"/>
      <c r="B47" s="243"/>
      <c r="C47" s="42" t="s">
        <v>241</v>
      </c>
      <c r="D47" s="40" t="s">
        <v>23</v>
      </c>
      <c r="E47" s="245">
        <f>'Distribution Rate Schedule'!D25</f>
        <v>0.0871</v>
      </c>
    </row>
    <row r="48" spans="1:5" ht="15">
      <c r="A48" s="23"/>
      <c r="B48" s="243"/>
      <c r="C48" s="42" t="s">
        <v>163</v>
      </c>
      <c r="D48" s="40" t="s">
        <v>23</v>
      </c>
      <c r="E48" s="245">
        <f>'LRAM and SSM Rate Rider'!L13</f>
        <v>0</v>
      </c>
    </row>
    <row r="49" spans="1:5" ht="15">
      <c r="A49" s="23"/>
      <c r="B49" s="243"/>
      <c r="C49" s="42" t="s">
        <v>290</v>
      </c>
      <c r="D49" s="40" t="s">
        <v>23</v>
      </c>
      <c r="E49" s="245">
        <f>'2011 Rate Rider'!E11</f>
        <v>0.3939</v>
      </c>
    </row>
    <row r="50" spans="1:5" ht="15" customHeight="1">
      <c r="A50" s="23"/>
      <c r="B50" s="243"/>
      <c r="C50" s="42" t="s">
        <v>291</v>
      </c>
      <c r="D50" s="40" t="s">
        <v>23</v>
      </c>
      <c r="E50" s="245">
        <f>+'2011 Rate Rider'!C11</f>
        <v>-1.2973</v>
      </c>
    </row>
    <row r="51" spans="1:5" ht="15">
      <c r="A51" s="23"/>
      <c r="B51" s="243"/>
      <c r="C51" s="42" t="s">
        <v>292</v>
      </c>
      <c r="D51" s="40" t="s">
        <v>23</v>
      </c>
      <c r="E51" s="245">
        <f>'2011 Rate Rider'!E35</f>
        <v>0.978</v>
      </c>
    </row>
    <row r="52" spans="1:5" ht="15.75" thickBot="1">
      <c r="A52" s="23"/>
      <c r="B52" s="246"/>
      <c r="C52" s="247" t="s">
        <v>293</v>
      </c>
      <c r="D52" s="248" t="s">
        <v>23</v>
      </c>
      <c r="E52" s="249">
        <f>'2011 Rate Rider'!C35</f>
        <v>2.1482</v>
      </c>
    </row>
    <row r="53" spans="1:5" ht="15.75" thickBot="1">
      <c r="A53" s="23"/>
      <c r="B53" s="41"/>
      <c r="C53" s="42"/>
      <c r="D53" s="40"/>
      <c r="E53" s="43"/>
    </row>
    <row r="54" spans="1:5" ht="15.75">
      <c r="A54" s="23"/>
      <c r="B54" s="605" t="str">
        <f>'Distribution Rate Schedule'!A16</f>
        <v>Street Lighting</v>
      </c>
      <c r="C54" s="606"/>
      <c r="D54" s="606"/>
      <c r="E54" s="607"/>
    </row>
    <row r="55" spans="1:5" ht="15">
      <c r="A55" s="23"/>
      <c r="B55" s="243"/>
      <c r="C55" s="42" t="s">
        <v>71</v>
      </c>
      <c r="D55" s="40" t="s">
        <v>87</v>
      </c>
      <c r="E55" s="244">
        <f>'Distribution Rate Schedule'!B16</f>
        <v>0.8005</v>
      </c>
    </row>
    <row r="56" spans="1:5" ht="15">
      <c r="A56" s="23"/>
      <c r="B56" s="243"/>
      <c r="C56" s="42" t="s">
        <v>88</v>
      </c>
      <c r="D56" s="40" t="s">
        <v>23</v>
      </c>
      <c r="E56" s="245">
        <f>'Distribution Rate Schedule'!D16</f>
        <v>3.1398</v>
      </c>
    </row>
    <row r="57" spans="1:5" ht="15">
      <c r="A57" s="23"/>
      <c r="B57" s="243"/>
      <c r="C57" s="42" t="s">
        <v>241</v>
      </c>
      <c r="D57" s="40" t="s">
        <v>23</v>
      </c>
      <c r="E57" s="245">
        <f>'Distribution Rate Schedule'!D26</f>
        <v>0.0801</v>
      </c>
    </row>
    <row r="58" spans="1:5" ht="15">
      <c r="A58" s="23"/>
      <c r="B58" s="243"/>
      <c r="C58" s="42" t="s">
        <v>163</v>
      </c>
      <c r="D58" s="40" t="s">
        <v>23</v>
      </c>
      <c r="E58" s="245">
        <f>'LRAM and SSM Rate Rider'!L14</f>
        <v>0</v>
      </c>
    </row>
    <row r="59" spans="1:5" ht="15">
      <c r="A59" s="23"/>
      <c r="B59" s="243"/>
      <c r="C59" s="42" t="s">
        <v>290</v>
      </c>
      <c r="D59" s="40" t="s">
        <v>23</v>
      </c>
      <c r="E59" s="245">
        <f>'2011 Rate Rider'!E12</f>
        <v>0</v>
      </c>
    </row>
    <row r="60" spans="1:5" ht="15">
      <c r="A60" s="23"/>
      <c r="B60" s="243"/>
      <c r="C60" s="42" t="s">
        <v>291</v>
      </c>
      <c r="D60" s="40" t="s">
        <v>23</v>
      </c>
      <c r="E60" s="245">
        <f>'2011 Rate Rider'!C12</f>
        <v>-0.5038</v>
      </c>
    </row>
    <row r="61" spans="1:5" ht="15">
      <c r="A61" s="23"/>
      <c r="B61" s="243"/>
      <c r="C61" s="42" t="s">
        <v>292</v>
      </c>
      <c r="D61" s="40" t="s">
        <v>23</v>
      </c>
      <c r="E61" s="245">
        <f>'2011 Rate Rider'!E36</f>
        <v>0.6613</v>
      </c>
    </row>
    <row r="62" spans="1:5" ht="15.75" thickBot="1">
      <c r="A62" s="23"/>
      <c r="B62" s="246"/>
      <c r="C62" s="247" t="s">
        <v>293</v>
      </c>
      <c r="D62" s="248" t="s">
        <v>23</v>
      </c>
      <c r="E62" s="249">
        <f>'2011 Rate Rider'!C36</f>
        <v>-0.6329</v>
      </c>
    </row>
    <row r="63" spans="1:5" ht="15.75" thickBot="1">
      <c r="A63" s="23"/>
      <c r="B63" s="41"/>
      <c r="C63" s="42"/>
      <c r="D63" s="40"/>
      <c r="E63" s="43"/>
    </row>
    <row r="64" spans="1:5" ht="15.75">
      <c r="A64" s="23"/>
      <c r="B64" s="605" t="str">
        <f>'Distribution Rate Schedule'!A17</f>
        <v>USL</v>
      </c>
      <c r="C64" s="606"/>
      <c r="D64" s="606"/>
      <c r="E64" s="607"/>
    </row>
    <row r="65" spans="1:5" ht="15">
      <c r="A65" s="23"/>
      <c r="B65" s="243"/>
      <c r="C65" s="42" t="s">
        <v>71</v>
      </c>
      <c r="D65" s="40" t="s">
        <v>87</v>
      </c>
      <c r="E65" s="244">
        <f>'Distribution Rate Schedule'!B17</f>
        <v>19.8658</v>
      </c>
    </row>
    <row r="66" spans="1:5" ht="15">
      <c r="A66" s="23"/>
      <c r="B66" s="243"/>
      <c r="C66" s="42" t="s">
        <v>88</v>
      </c>
      <c r="D66" s="40" t="s">
        <v>56</v>
      </c>
      <c r="E66" s="245">
        <f>'Distribution Rate Schedule'!E17</f>
        <v>0.0139</v>
      </c>
    </row>
    <row r="67" spans="1:5" ht="15">
      <c r="A67" s="23"/>
      <c r="B67" s="243"/>
      <c r="C67" s="42" t="s">
        <v>241</v>
      </c>
      <c r="D67" s="40" t="s">
        <v>56</v>
      </c>
      <c r="E67" s="245">
        <f>'Distribution Rate Schedule'!E27</f>
        <v>0.0003</v>
      </c>
    </row>
    <row r="68" spans="1:5" ht="15">
      <c r="A68" s="23"/>
      <c r="B68" s="243"/>
      <c r="C68" s="42" t="s">
        <v>163</v>
      </c>
      <c r="D68" s="40" t="s">
        <v>56</v>
      </c>
      <c r="E68" s="245">
        <f>'LRAM and SSM Rate Rider'!L15</f>
        <v>0</v>
      </c>
    </row>
    <row r="69" spans="1:5" ht="15">
      <c r="A69" s="23"/>
      <c r="B69" s="243"/>
      <c r="C69" s="42" t="s">
        <v>290</v>
      </c>
      <c r="D69" s="40" t="s">
        <v>56</v>
      </c>
      <c r="E69" s="245">
        <f>'2011 Rate Rider'!D13</f>
        <v>0.0011</v>
      </c>
    </row>
    <row r="70" spans="1:5" ht="15">
      <c r="A70" s="23"/>
      <c r="B70" s="243"/>
      <c r="C70" s="42" t="s">
        <v>291</v>
      </c>
      <c r="D70" s="40" t="s">
        <v>56</v>
      </c>
      <c r="E70" s="245">
        <f>'2011 Rate Rider'!B13</f>
        <v>-0.0027</v>
      </c>
    </row>
    <row r="71" spans="1:5" ht="15">
      <c r="A71" s="23"/>
      <c r="B71" s="243"/>
      <c r="C71" s="42" t="s">
        <v>292</v>
      </c>
      <c r="D71" s="40" t="s">
        <v>56</v>
      </c>
      <c r="E71" s="245">
        <f>'2011 Rate Rider'!D37</f>
        <v>0.0016</v>
      </c>
    </row>
    <row r="72" spans="1:5" ht="15.75" thickBot="1">
      <c r="A72" s="23"/>
      <c r="B72" s="246"/>
      <c r="C72" s="247" t="s">
        <v>293</v>
      </c>
      <c r="D72" s="248" t="s">
        <v>56</v>
      </c>
      <c r="E72" s="249">
        <f>'2011 Rate Rider'!B37</f>
        <v>-0.0005</v>
      </c>
    </row>
    <row r="73" spans="2:5" ht="12.75">
      <c r="B73" s="16"/>
      <c r="C73" s="25"/>
      <c r="D73" s="25"/>
      <c r="E73" s="44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</sheetData>
  <mergeCells count="13">
    <mergeCell ref="A5:E5"/>
    <mergeCell ref="A6:E6"/>
    <mergeCell ref="A7:E7"/>
    <mergeCell ref="A1:E1"/>
    <mergeCell ref="A2:E2"/>
    <mergeCell ref="A3:E3"/>
    <mergeCell ref="A4:E4"/>
    <mergeCell ref="B44:E44"/>
    <mergeCell ref="B54:E54"/>
    <mergeCell ref="B64:E64"/>
    <mergeCell ref="B10:E10"/>
    <mergeCell ref="B21:E21"/>
    <mergeCell ref="B32:E32"/>
  </mergeCells>
  <printOptions/>
  <pageMargins left="0.75" right="0.75" top="0.64" bottom="0.31" header="0.5" footer="0.2"/>
  <pageSetup fitToHeight="1" fitToWidth="1" horizontalDpi="355" verticalDpi="355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zoomScale="75" zoomScaleNormal="75" workbookViewId="0" topLeftCell="A13">
      <selection activeCell="E30" sqref="E30"/>
    </sheetView>
  </sheetViews>
  <sheetFormatPr defaultColWidth="9.140625" defaultRowHeight="12.75"/>
  <cols>
    <col min="1" max="1" width="2.7109375" style="0" customWidth="1"/>
    <col min="2" max="2" width="32.28125" style="0" bestFit="1" customWidth="1"/>
    <col min="3" max="3" width="62.7109375" style="0" customWidth="1"/>
    <col min="4" max="4" width="13.00390625" style="0" customWidth="1"/>
    <col min="5" max="5" width="16.28125" style="0" customWidth="1"/>
  </cols>
  <sheetData>
    <row r="1" spans="1:5" ht="12.75">
      <c r="A1" s="534" t="str">
        <f>+'Revenue Input'!A1</f>
        <v>Niagara Peninsula Energy</v>
      </c>
      <c r="B1" s="534"/>
      <c r="C1" s="534"/>
      <c r="D1" s="534"/>
      <c r="E1" s="534"/>
    </row>
    <row r="2" spans="1:5" ht="12.75">
      <c r="A2" s="534" t="str">
        <f>+'Revenue Input'!A2</f>
        <v>, License Number ED-2007-0749, File Number EB-2010-0138</v>
      </c>
      <c r="B2" s="534"/>
      <c r="C2" s="534"/>
      <c r="D2" s="534"/>
      <c r="E2" s="534"/>
    </row>
    <row r="3" spans="1:5" ht="12.75">
      <c r="A3" s="534">
        <f>+'Revenue Input'!A3</f>
        <v>0</v>
      </c>
      <c r="B3" s="534"/>
      <c r="C3" s="534"/>
      <c r="D3" s="534"/>
      <c r="E3" s="534"/>
    </row>
    <row r="4" spans="1:5" ht="8.25" customHeight="1">
      <c r="A4" s="545"/>
      <c r="B4" s="545"/>
      <c r="C4" s="545"/>
      <c r="D4" s="545"/>
      <c r="E4" s="545"/>
    </row>
    <row r="5" spans="1:5" ht="19.5" customHeight="1">
      <c r="A5" s="564" t="s">
        <v>90</v>
      </c>
      <c r="B5" s="564"/>
      <c r="C5" s="564"/>
      <c r="D5" s="564"/>
      <c r="E5" s="564"/>
    </row>
    <row r="6" spans="1:5" ht="19.5" customHeight="1">
      <c r="A6" s="608" t="s">
        <v>283</v>
      </c>
      <c r="B6" s="608"/>
      <c r="C6" s="608"/>
      <c r="D6" s="608"/>
      <c r="E6" s="608"/>
    </row>
    <row r="7" spans="1:5" ht="19.5" customHeight="1">
      <c r="A7" s="608" t="s">
        <v>238</v>
      </c>
      <c r="B7" s="608"/>
      <c r="C7" s="608"/>
      <c r="D7" s="608"/>
      <c r="E7" s="608"/>
    </row>
    <row r="8" spans="1:5" ht="19.5" customHeight="1">
      <c r="A8" s="552"/>
      <c r="B8" s="552"/>
      <c r="C8" s="552"/>
      <c r="D8" s="552"/>
      <c r="E8" s="552"/>
    </row>
    <row r="9" spans="1:6" ht="11.25" customHeight="1" thickBot="1">
      <c r="A9" s="16"/>
      <c r="B9" s="45"/>
      <c r="C9" s="16"/>
      <c r="D9" s="16"/>
      <c r="E9" s="46"/>
      <c r="F9" s="16"/>
    </row>
    <row r="10" spans="1:6" ht="26.25" thickBot="1">
      <c r="A10" s="39"/>
      <c r="B10" s="242" t="s">
        <v>0</v>
      </c>
      <c r="C10" s="242" t="s">
        <v>85</v>
      </c>
      <c r="D10" s="242" t="s">
        <v>86</v>
      </c>
      <c r="E10" s="242" t="s">
        <v>183</v>
      </c>
      <c r="F10" s="16"/>
    </row>
    <row r="11" spans="1:6" ht="15.75">
      <c r="A11" s="24"/>
      <c r="B11" s="605" t="str">
        <f>'Distribution Rate Schedule'!A11</f>
        <v>Residential</v>
      </c>
      <c r="C11" s="606"/>
      <c r="D11" s="606"/>
      <c r="E11" s="607"/>
      <c r="F11" s="25"/>
    </row>
    <row r="12" spans="1:6" ht="15">
      <c r="A12" s="24"/>
      <c r="B12" s="243"/>
      <c r="C12" s="42" t="s">
        <v>71</v>
      </c>
      <c r="D12" s="40" t="s">
        <v>87</v>
      </c>
      <c r="E12" s="244">
        <f>'Distribution Rate Schedule'!C11</f>
        <v>16.55</v>
      </c>
      <c r="F12" s="25"/>
    </row>
    <row r="13" spans="1:6" ht="15">
      <c r="A13" s="24"/>
      <c r="B13" s="243"/>
      <c r="C13" s="42" t="s">
        <v>88</v>
      </c>
      <c r="D13" s="40" t="s">
        <v>56</v>
      </c>
      <c r="E13" s="245">
        <f>'Distribution Rate Schedule'!E11</f>
        <v>0.0167</v>
      </c>
      <c r="F13" s="25"/>
    </row>
    <row r="14" spans="1:6" ht="15">
      <c r="A14" s="24"/>
      <c r="B14" s="243"/>
      <c r="C14" s="42" t="s">
        <v>241</v>
      </c>
      <c r="D14" s="40" t="s">
        <v>56</v>
      </c>
      <c r="E14" s="245">
        <f>'Distribution Rate Schedule'!E21</f>
        <v>0.0003</v>
      </c>
      <c r="F14" s="25"/>
    </row>
    <row r="15" spans="1:6" ht="15">
      <c r="A15" s="24"/>
      <c r="B15" s="243"/>
      <c r="C15" s="42" t="s">
        <v>163</v>
      </c>
      <c r="D15" s="40" t="s">
        <v>56</v>
      </c>
      <c r="E15" s="245">
        <f>'LRAM and SSM Rate Rider'!L9</f>
        <v>0</v>
      </c>
      <c r="F15" s="25"/>
    </row>
    <row r="16" spans="1:6" ht="15">
      <c r="A16" s="24"/>
      <c r="B16" s="243"/>
      <c r="C16" s="42" t="s">
        <v>240</v>
      </c>
      <c r="D16" s="40" t="s">
        <v>87</v>
      </c>
      <c r="E16" s="245">
        <f>'2011 Rate Rider'!F20</f>
        <v>1</v>
      </c>
      <c r="F16" s="25"/>
    </row>
    <row r="17" spans="1:6" ht="15">
      <c r="A17" s="24"/>
      <c r="B17" s="243"/>
      <c r="C17" s="42" t="s">
        <v>290</v>
      </c>
      <c r="D17" s="40" t="s">
        <v>56</v>
      </c>
      <c r="E17" s="245">
        <f>'2011 Rate Rider'!D20</f>
        <v>0.0007</v>
      </c>
      <c r="F17" s="25"/>
    </row>
    <row r="18" spans="1:6" ht="15">
      <c r="A18" s="24"/>
      <c r="B18" s="243"/>
      <c r="C18" s="42" t="s">
        <v>291</v>
      </c>
      <c r="D18" s="40" t="s">
        <v>56</v>
      </c>
      <c r="E18" s="245">
        <f>'2011 Rate Rider'!B20</f>
        <v>-0.0064</v>
      </c>
      <c r="F18" s="25"/>
    </row>
    <row r="19" spans="1:6" ht="15">
      <c r="A19" s="24"/>
      <c r="B19" s="243"/>
      <c r="C19" s="42" t="s">
        <v>292</v>
      </c>
      <c r="D19" s="40" t="s">
        <v>56</v>
      </c>
      <c r="E19" s="245">
        <f>'2011 Rate Rider'!D31</f>
        <v>0.0016</v>
      </c>
      <c r="F19" s="25"/>
    </row>
    <row r="20" spans="1:6" ht="15.75" thickBot="1">
      <c r="A20" s="24"/>
      <c r="B20" s="246"/>
      <c r="C20" s="247" t="s">
        <v>293</v>
      </c>
      <c r="D20" s="248" t="s">
        <v>56</v>
      </c>
      <c r="E20" s="249">
        <f>'2011 Rate Rider'!B31</f>
        <v>0.0001</v>
      </c>
      <c r="F20" s="25"/>
    </row>
    <row r="21" spans="1:6" ht="6.75" customHeight="1" thickBot="1">
      <c r="A21" s="24"/>
      <c r="B21" s="41"/>
      <c r="C21" s="42"/>
      <c r="D21" s="40"/>
      <c r="E21" s="43"/>
      <c r="F21" s="25"/>
    </row>
    <row r="22" spans="1:5" ht="15.75" customHeight="1">
      <c r="A22" s="23"/>
      <c r="B22" s="605" t="str">
        <f>'Distribution Rate Schedule'!A12</f>
        <v>GS &lt; 50 kW</v>
      </c>
      <c r="C22" s="606"/>
      <c r="D22" s="606"/>
      <c r="E22" s="607"/>
    </row>
    <row r="23" spans="1:5" ht="15">
      <c r="A23" s="23"/>
      <c r="B23" s="243"/>
      <c r="C23" s="42" t="s">
        <v>71</v>
      </c>
      <c r="D23" s="40" t="s">
        <v>87</v>
      </c>
      <c r="E23" s="244">
        <f>'Distribution Rate Schedule'!C12</f>
        <v>38.45</v>
      </c>
    </row>
    <row r="24" spans="1:5" ht="15">
      <c r="A24" s="23"/>
      <c r="B24" s="243"/>
      <c r="C24" s="42" t="s">
        <v>88</v>
      </c>
      <c r="D24" s="40" t="s">
        <v>56</v>
      </c>
      <c r="E24" s="245">
        <f>'Distribution Rate Schedule'!E12</f>
        <v>0.0141</v>
      </c>
    </row>
    <row r="25" spans="1:5" ht="15">
      <c r="A25" s="23"/>
      <c r="B25" s="243"/>
      <c r="C25" s="42" t="s">
        <v>241</v>
      </c>
      <c r="D25" s="40" t="s">
        <v>56</v>
      </c>
      <c r="E25" s="245">
        <f>'Distribution Rate Schedule'!E22</f>
        <v>0.0003</v>
      </c>
    </row>
    <row r="26" spans="1:5" ht="15">
      <c r="A26" s="23"/>
      <c r="B26" s="243"/>
      <c r="C26" s="42" t="s">
        <v>163</v>
      </c>
      <c r="D26" s="40" t="s">
        <v>56</v>
      </c>
      <c r="E26" s="245">
        <f>'LRAM and SSM Rate Rider'!L10</f>
        <v>0</v>
      </c>
    </row>
    <row r="27" spans="1:5" ht="15">
      <c r="A27" s="23"/>
      <c r="B27" s="243"/>
      <c r="C27" s="42" t="s">
        <v>169</v>
      </c>
      <c r="D27" s="40" t="s">
        <v>87</v>
      </c>
      <c r="E27" s="245">
        <f>'2011 Rate Rider'!F21</f>
        <v>1</v>
      </c>
    </row>
    <row r="28" spans="1:5" ht="15">
      <c r="A28" s="23"/>
      <c r="B28" s="243"/>
      <c r="C28" s="42" t="s">
        <v>281</v>
      </c>
      <c r="D28" s="40" t="s">
        <v>56</v>
      </c>
      <c r="E28" s="245">
        <f>'2011 Rate Rider'!D21</f>
        <v>0.0007</v>
      </c>
    </row>
    <row r="29" spans="1:5" ht="15">
      <c r="A29" s="23"/>
      <c r="B29" s="243"/>
      <c r="C29" s="42" t="s">
        <v>239</v>
      </c>
      <c r="D29" s="40" t="s">
        <v>56</v>
      </c>
      <c r="E29" s="245">
        <f>'2011 Rate Rider'!B21</f>
        <v>-0.0065</v>
      </c>
    </row>
    <row r="30" spans="1:5" ht="15">
      <c r="A30" s="23"/>
      <c r="B30" s="243"/>
      <c r="C30" s="42" t="s">
        <v>281</v>
      </c>
      <c r="D30" s="40" t="s">
        <v>56</v>
      </c>
      <c r="E30" s="245">
        <f>'2011 Rate Rider'!D32</f>
        <v>0.0019</v>
      </c>
    </row>
    <row r="31" spans="1:5" ht="15.75" thickBot="1">
      <c r="A31" s="23"/>
      <c r="B31" s="246"/>
      <c r="C31" s="247" t="s">
        <v>239</v>
      </c>
      <c r="D31" s="248" t="s">
        <v>56</v>
      </c>
      <c r="E31" s="249">
        <f>'2011 Rate Rider'!B32</f>
        <v>-0.0013</v>
      </c>
    </row>
    <row r="32" spans="1:5" ht="6.75" customHeight="1" thickBot="1">
      <c r="A32" s="23"/>
      <c r="B32" s="41"/>
      <c r="C32" s="42"/>
      <c r="D32" s="40"/>
      <c r="E32" s="43"/>
    </row>
    <row r="33" spans="1:5" ht="15.75" customHeight="1">
      <c r="A33" s="23"/>
      <c r="B33" s="605" t="str">
        <f>'Distribution Rate Schedule'!A13</f>
        <v>GS &gt;50</v>
      </c>
      <c r="C33" s="606"/>
      <c r="D33" s="606"/>
      <c r="E33" s="607"/>
    </row>
    <row r="34" spans="1:5" ht="15">
      <c r="A34" s="23"/>
      <c r="B34" s="243"/>
      <c r="C34" s="42" t="s">
        <v>71</v>
      </c>
      <c r="D34" s="40" t="s">
        <v>87</v>
      </c>
      <c r="E34" s="244">
        <f>'Distribution Rate Schedule'!C13</f>
        <v>222.81</v>
      </c>
    </row>
    <row r="35" spans="1:5" ht="15">
      <c r="A35" s="23"/>
      <c r="B35" s="243"/>
      <c r="C35" s="42" t="s">
        <v>88</v>
      </c>
      <c r="D35" s="40" t="s">
        <v>23</v>
      </c>
      <c r="E35" s="245">
        <f>'Distribution Rate Schedule'!D13</f>
        <v>4.0311</v>
      </c>
    </row>
    <row r="36" spans="1:5" ht="15">
      <c r="A36" s="23"/>
      <c r="B36" s="243"/>
      <c r="C36" s="42" t="s">
        <v>241</v>
      </c>
      <c r="D36" s="40" t="s">
        <v>23</v>
      </c>
      <c r="E36" s="245">
        <f>'Distribution Rate Schedule'!D23</f>
        <v>0.1042</v>
      </c>
    </row>
    <row r="37" spans="1:5" ht="15">
      <c r="A37" s="23"/>
      <c r="B37" s="243"/>
      <c r="C37" s="42" t="s">
        <v>163</v>
      </c>
      <c r="D37" s="40" t="s">
        <v>56</v>
      </c>
      <c r="E37" s="245">
        <f>'LRAM and SSM Rate Rider'!L11</f>
        <v>0</v>
      </c>
    </row>
    <row r="38" spans="1:5" ht="15">
      <c r="A38" s="23"/>
      <c r="B38" s="243"/>
      <c r="C38" s="42" t="s">
        <v>169</v>
      </c>
      <c r="D38" s="40" t="s">
        <v>87</v>
      </c>
      <c r="E38" s="245">
        <f>'2011 Rate Rider'!F22</f>
        <v>1</v>
      </c>
    </row>
    <row r="39" spans="1:5" ht="15">
      <c r="A39" s="23"/>
      <c r="B39" s="243"/>
      <c r="C39" s="42" t="s">
        <v>290</v>
      </c>
      <c r="D39" s="40" t="s">
        <v>23</v>
      </c>
      <c r="E39" s="245">
        <f>'2011 Rate Rider'!E22</f>
        <v>0.3116</v>
      </c>
    </row>
    <row r="40" spans="1:5" ht="15">
      <c r="A40" s="23"/>
      <c r="B40" s="243"/>
      <c r="C40" s="42" t="s">
        <v>291</v>
      </c>
      <c r="D40" s="40" t="s">
        <v>23</v>
      </c>
      <c r="E40" s="245">
        <f>'2011 Rate Rider'!C22</f>
        <v>-1.9651</v>
      </c>
    </row>
    <row r="41" spans="1:5" ht="15">
      <c r="A41" s="23"/>
      <c r="B41" s="243"/>
      <c r="C41" s="42" t="s">
        <v>292</v>
      </c>
      <c r="D41" s="40" t="s">
        <v>23</v>
      </c>
      <c r="E41" s="245">
        <f>'2011 Rate Rider'!E33</f>
        <v>0.6442</v>
      </c>
    </row>
    <row r="42" spans="1:5" ht="15.75" thickBot="1">
      <c r="A42" s="23"/>
      <c r="B42" s="246"/>
      <c r="C42" s="247" t="s">
        <v>293</v>
      </c>
      <c r="D42" s="248" t="s">
        <v>23</v>
      </c>
      <c r="E42" s="249">
        <f>'2011 Rate Rider'!C33</f>
        <v>-0.6119</v>
      </c>
    </row>
    <row r="43" spans="1:5" ht="6.75" customHeight="1" thickBot="1">
      <c r="A43" s="23"/>
      <c r="B43" s="41"/>
      <c r="C43" s="42"/>
      <c r="D43" s="40"/>
      <c r="E43" s="43"/>
    </row>
    <row r="44" spans="1:5" ht="15.75" customHeight="1">
      <c r="A44" s="23"/>
      <c r="B44" s="605" t="str">
        <f>'Distribution Rate Schedule'!A14</f>
        <v>Large Use</v>
      </c>
      <c r="C44" s="606"/>
      <c r="D44" s="606"/>
      <c r="E44" s="607"/>
    </row>
    <row r="45" spans="1:5" ht="15">
      <c r="A45" s="23"/>
      <c r="B45" s="243"/>
      <c r="C45" s="42" t="s">
        <v>71</v>
      </c>
      <c r="D45" s="40" t="s">
        <v>87</v>
      </c>
      <c r="E45" s="244">
        <f>'Distribution Rate Schedule'!C14</f>
        <v>0</v>
      </c>
    </row>
    <row r="46" spans="1:5" ht="15">
      <c r="A46" s="23"/>
      <c r="B46" s="243"/>
      <c r="C46" s="42" t="s">
        <v>88</v>
      </c>
      <c r="D46" s="40" t="s">
        <v>23</v>
      </c>
      <c r="E46" s="245">
        <f>'Distribution Rate Schedule'!D14</f>
        <v>0</v>
      </c>
    </row>
    <row r="47" spans="1:5" ht="15">
      <c r="A47" s="23"/>
      <c r="B47" s="243"/>
      <c r="C47" s="42" t="s">
        <v>241</v>
      </c>
      <c r="D47" s="40" t="s">
        <v>23</v>
      </c>
      <c r="E47" s="245">
        <f>'Distribution Rate Schedule'!D24</f>
        <v>0</v>
      </c>
    </row>
    <row r="48" spans="1:5" ht="15">
      <c r="A48" s="23"/>
      <c r="B48" s="243"/>
      <c r="C48" s="42" t="s">
        <v>163</v>
      </c>
      <c r="D48" s="40" t="s">
        <v>23</v>
      </c>
      <c r="E48" s="245">
        <f>'LRAM and SSM Rate Rider'!L12</f>
        <v>0</v>
      </c>
    </row>
    <row r="49" spans="1:5" ht="15">
      <c r="A49" s="23"/>
      <c r="B49" s="243"/>
      <c r="C49" s="42" t="s">
        <v>169</v>
      </c>
      <c r="D49" s="40" t="s">
        <v>87</v>
      </c>
      <c r="E49" s="245">
        <f>'2011 Rate Rider'!F10</f>
        <v>0</v>
      </c>
    </row>
    <row r="50" spans="1:5" ht="15">
      <c r="A50" s="23"/>
      <c r="B50" s="243"/>
      <c r="C50" s="42" t="s">
        <v>290</v>
      </c>
      <c r="D50" s="40" t="s">
        <v>23</v>
      </c>
      <c r="E50" s="245">
        <f>'2011 Rate Rider'!E23</f>
        <v>0</v>
      </c>
    </row>
    <row r="51" spans="1:5" ht="15">
      <c r="A51" s="23"/>
      <c r="B51" s="243"/>
      <c r="C51" s="42" t="s">
        <v>291</v>
      </c>
      <c r="D51" s="40" t="s">
        <v>23</v>
      </c>
      <c r="E51" s="245">
        <f>'2011 Rate Rider'!C23</f>
        <v>0</v>
      </c>
    </row>
    <row r="52" spans="1:5" ht="15">
      <c r="A52" s="23"/>
      <c r="B52" s="243"/>
      <c r="C52" s="42" t="s">
        <v>292</v>
      </c>
      <c r="D52" s="40" t="s">
        <v>23</v>
      </c>
      <c r="E52" s="245">
        <f>'2011 Rate Rider'!E34</f>
        <v>0</v>
      </c>
    </row>
    <row r="53" spans="1:5" ht="15.75" thickBot="1">
      <c r="A53" s="23"/>
      <c r="B53" s="246"/>
      <c r="C53" s="247" t="s">
        <v>293</v>
      </c>
      <c r="D53" s="248" t="s">
        <v>23</v>
      </c>
      <c r="E53" s="249">
        <f>'2011 Rate Rider'!C34</f>
        <v>0</v>
      </c>
    </row>
    <row r="54" spans="1:5" ht="15">
      <c r="A54" s="23"/>
      <c r="B54" s="41"/>
      <c r="C54" s="42"/>
      <c r="D54" s="40"/>
      <c r="E54" s="43"/>
    </row>
    <row r="55" spans="1:5" ht="6.75" customHeight="1" thickBot="1">
      <c r="A55" s="23"/>
      <c r="B55" s="41"/>
      <c r="C55" s="42"/>
      <c r="D55" s="40"/>
      <c r="E55" s="43"/>
    </row>
    <row r="56" spans="1:5" ht="15.75">
      <c r="A56" s="23"/>
      <c r="B56" s="605" t="str">
        <f>'Distribution Rate Schedule'!A15</f>
        <v>Sentinel Lights</v>
      </c>
      <c r="C56" s="606"/>
      <c r="D56" s="606"/>
      <c r="E56" s="607"/>
    </row>
    <row r="57" spans="1:5" ht="15">
      <c r="A57" s="23"/>
      <c r="B57" s="243"/>
      <c r="C57" s="42" t="s">
        <v>71</v>
      </c>
      <c r="D57" s="40" t="s">
        <v>87</v>
      </c>
      <c r="E57" s="244">
        <f>'Distribution Rate Schedule'!B15</f>
        <v>7.1862</v>
      </c>
    </row>
    <row r="58" spans="1:5" ht="15">
      <c r="A58" s="23"/>
      <c r="B58" s="243"/>
      <c r="C58" s="42" t="s">
        <v>88</v>
      </c>
      <c r="D58" s="40" t="s">
        <v>23</v>
      </c>
      <c r="E58" s="245">
        <f>'Distribution Rate Schedule'!D15</f>
        <v>8.9771</v>
      </c>
    </row>
    <row r="59" spans="1:5" ht="15">
      <c r="A59" s="23"/>
      <c r="B59" s="243"/>
      <c r="C59" s="42" t="s">
        <v>241</v>
      </c>
      <c r="D59" s="40" t="s">
        <v>23</v>
      </c>
      <c r="E59" s="245">
        <f>'Distribution Rate Schedule'!D25</f>
        <v>0.0871</v>
      </c>
    </row>
    <row r="60" spans="1:5" ht="15">
      <c r="A60" s="23"/>
      <c r="B60" s="243"/>
      <c r="C60" s="42" t="s">
        <v>163</v>
      </c>
      <c r="D60" s="40" t="s">
        <v>23</v>
      </c>
      <c r="E60" s="245">
        <f>'LRAM and SSM Rate Rider'!L13</f>
        <v>0</v>
      </c>
    </row>
    <row r="61" spans="1:5" ht="15">
      <c r="A61" s="23"/>
      <c r="B61" s="243"/>
      <c r="C61" s="42" t="s">
        <v>290</v>
      </c>
      <c r="D61" s="40" t="s">
        <v>23</v>
      </c>
      <c r="E61" s="245">
        <f>'2011 Rate Rider'!E24</f>
        <v>0.2799</v>
      </c>
    </row>
    <row r="62" spans="1:5" ht="15">
      <c r="A62" s="23"/>
      <c r="B62" s="243"/>
      <c r="C62" s="42" t="s">
        <v>291</v>
      </c>
      <c r="D62" s="40" t="s">
        <v>23</v>
      </c>
      <c r="E62" s="245">
        <f>'2011 Rate Rider'!C24</f>
        <v>-2.2732</v>
      </c>
    </row>
    <row r="63" spans="1:5" ht="15">
      <c r="A63" s="23"/>
      <c r="B63" s="243"/>
      <c r="C63" s="42" t="s">
        <v>292</v>
      </c>
      <c r="D63" s="40" t="s">
        <v>23</v>
      </c>
      <c r="E63" s="245">
        <f>'2011 Rate Rider'!E35</f>
        <v>0.978</v>
      </c>
    </row>
    <row r="64" spans="1:5" ht="15.75" thickBot="1">
      <c r="A64" s="23"/>
      <c r="B64" s="246"/>
      <c r="C64" s="247" t="s">
        <v>293</v>
      </c>
      <c r="D64" s="248" t="s">
        <v>23</v>
      </c>
      <c r="E64" s="249">
        <f>'2011 Rate Rider'!C35</f>
        <v>2.1482</v>
      </c>
    </row>
    <row r="65" spans="1:5" ht="6.75" customHeight="1" thickBot="1">
      <c r="A65" s="23"/>
      <c r="B65" s="41"/>
      <c r="C65" s="42"/>
      <c r="D65" s="40"/>
      <c r="E65" s="43"/>
    </row>
    <row r="66" spans="1:5" ht="15.75">
      <c r="A66" s="23"/>
      <c r="B66" s="605" t="str">
        <f>'Distribution Rate Schedule'!A16</f>
        <v>Street Lighting</v>
      </c>
      <c r="C66" s="606"/>
      <c r="D66" s="606"/>
      <c r="E66" s="607"/>
    </row>
    <row r="67" spans="1:5" ht="15">
      <c r="A67" s="23"/>
      <c r="B67" s="243"/>
      <c r="C67" s="42" t="s">
        <v>71</v>
      </c>
      <c r="D67" s="40" t="s">
        <v>87</v>
      </c>
      <c r="E67" s="244">
        <f>'Distribution Rate Schedule'!B16</f>
        <v>0.8005</v>
      </c>
    </row>
    <row r="68" spans="1:5" ht="15">
      <c r="A68" s="23"/>
      <c r="B68" s="243"/>
      <c r="C68" s="42" t="s">
        <v>88</v>
      </c>
      <c r="D68" s="40" t="s">
        <v>23</v>
      </c>
      <c r="E68" s="245">
        <f>'Distribution Rate Schedule'!D16</f>
        <v>3.1398</v>
      </c>
    </row>
    <row r="69" spans="1:5" ht="15">
      <c r="A69" s="23"/>
      <c r="B69" s="243"/>
      <c r="C69" s="42" t="s">
        <v>241</v>
      </c>
      <c r="D69" s="40" t="s">
        <v>23</v>
      </c>
      <c r="E69" s="245">
        <f>'Distribution Rate Schedule'!D26</f>
        <v>0.0801</v>
      </c>
    </row>
    <row r="70" spans="1:5" ht="15">
      <c r="A70" s="23"/>
      <c r="B70" s="243"/>
      <c r="C70" s="42" t="s">
        <v>163</v>
      </c>
      <c r="D70" s="40" t="s">
        <v>23</v>
      </c>
      <c r="E70" s="245">
        <f>'LRAM and SSM Rate Rider'!L14</f>
        <v>0</v>
      </c>
    </row>
    <row r="71" spans="1:5" ht="15">
      <c r="A71" s="23"/>
      <c r="B71" s="243"/>
      <c r="C71" s="42" t="s">
        <v>290</v>
      </c>
      <c r="D71" s="40" t="s">
        <v>23</v>
      </c>
      <c r="E71" s="245">
        <f>'2011 Rate Rider'!E25</f>
        <v>0</v>
      </c>
    </row>
    <row r="72" spans="1:5" ht="15">
      <c r="A72" s="23"/>
      <c r="B72" s="243"/>
      <c r="C72" s="42" t="s">
        <v>291</v>
      </c>
      <c r="D72" s="40" t="s">
        <v>23</v>
      </c>
      <c r="E72" s="245">
        <f>'2011 Rate Rider'!C25</f>
        <v>-2.1909</v>
      </c>
    </row>
    <row r="73" spans="1:5" ht="15">
      <c r="A73" s="23"/>
      <c r="B73" s="243"/>
      <c r="C73" s="42" t="s">
        <v>292</v>
      </c>
      <c r="D73" s="40" t="s">
        <v>23</v>
      </c>
      <c r="E73" s="245">
        <f>'2011 Rate Rider'!E36</f>
        <v>0.6613</v>
      </c>
    </row>
    <row r="74" spans="1:5" ht="15.75" thickBot="1">
      <c r="A74" s="23"/>
      <c r="B74" s="246"/>
      <c r="C74" s="247" t="s">
        <v>293</v>
      </c>
      <c r="D74" s="248" t="s">
        <v>23</v>
      </c>
      <c r="E74" s="249">
        <f>'2011 Rate Rider'!C36</f>
        <v>-0.6329</v>
      </c>
    </row>
    <row r="75" spans="1:5" ht="6.75" customHeight="1" thickBot="1">
      <c r="A75" s="23"/>
      <c r="B75" s="41"/>
      <c r="C75" s="42"/>
      <c r="D75" s="40"/>
      <c r="E75" s="43"/>
    </row>
    <row r="76" spans="1:5" ht="15.75">
      <c r="A76" s="23"/>
      <c r="B76" s="605" t="str">
        <f>'Distribution Rate Schedule'!A17</f>
        <v>USL</v>
      </c>
      <c r="C76" s="606"/>
      <c r="D76" s="606"/>
      <c r="E76" s="607"/>
    </row>
    <row r="77" spans="1:5" ht="15">
      <c r="A77" s="23"/>
      <c r="B77" s="243"/>
      <c r="C77" s="42" t="s">
        <v>71</v>
      </c>
      <c r="D77" s="40" t="s">
        <v>87</v>
      </c>
      <c r="E77" s="244">
        <f>'Distribution Rate Schedule'!B17</f>
        <v>19.8658</v>
      </c>
    </row>
    <row r="78" spans="1:5" ht="15">
      <c r="A78" s="23"/>
      <c r="B78" s="243"/>
      <c r="C78" s="42" t="s">
        <v>88</v>
      </c>
      <c r="D78" s="40" t="s">
        <v>56</v>
      </c>
      <c r="E78" s="245">
        <f>'Distribution Rate Schedule'!E17</f>
        <v>0.0139</v>
      </c>
    </row>
    <row r="79" spans="1:5" ht="15">
      <c r="A79" s="23"/>
      <c r="B79" s="243"/>
      <c r="C79" s="42" t="s">
        <v>241</v>
      </c>
      <c r="D79" s="40" t="s">
        <v>56</v>
      </c>
      <c r="E79" s="245">
        <f>'Distribution Rate Schedule'!E27</f>
        <v>0.0003</v>
      </c>
    </row>
    <row r="80" spans="1:5" ht="15">
      <c r="A80" s="23"/>
      <c r="B80" s="243"/>
      <c r="C80" s="42" t="s">
        <v>163</v>
      </c>
      <c r="D80" s="40" t="s">
        <v>56</v>
      </c>
      <c r="E80" s="245">
        <f>'LRAM and SSM Rate Rider'!L15</f>
        <v>0</v>
      </c>
    </row>
    <row r="81" spans="1:5" ht="15">
      <c r="A81" s="23"/>
      <c r="B81" s="243"/>
      <c r="C81" s="42" t="s">
        <v>290</v>
      </c>
      <c r="D81" s="40" t="s">
        <v>56</v>
      </c>
      <c r="E81" s="245">
        <f>'2011 Rate Rider'!D26</f>
        <v>0.001</v>
      </c>
    </row>
    <row r="82" spans="1:5" ht="15">
      <c r="A82" s="23"/>
      <c r="B82" s="243"/>
      <c r="C82" s="42" t="s">
        <v>291</v>
      </c>
      <c r="D82" s="40" t="s">
        <v>56</v>
      </c>
      <c r="E82" s="245">
        <f>'2011 Rate Rider'!B26</f>
        <v>-0.0064</v>
      </c>
    </row>
    <row r="83" spans="1:5" ht="15">
      <c r="A83" s="23"/>
      <c r="B83" s="243"/>
      <c r="C83" s="42" t="s">
        <v>292</v>
      </c>
      <c r="D83" s="40" t="s">
        <v>56</v>
      </c>
      <c r="E83" s="245">
        <f>'2011 Rate Rider'!D37</f>
        <v>0.0016</v>
      </c>
    </row>
    <row r="84" spans="1:5" ht="15.75" thickBot="1">
      <c r="A84" s="23"/>
      <c r="B84" s="246"/>
      <c r="C84" s="247" t="s">
        <v>293</v>
      </c>
      <c r="D84" s="248" t="s">
        <v>56</v>
      </c>
      <c r="E84" s="249">
        <f>'2011 Rate Rider'!B37</f>
        <v>-0.0005</v>
      </c>
    </row>
    <row r="85" spans="2:5" ht="12.75">
      <c r="B85" s="16"/>
      <c r="C85" s="25"/>
      <c r="D85" s="25"/>
      <c r="E85" s="44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</sheetData>
  <mergeCells count="15">
    <mergeCell ref="B56:E56"/>
    <mergeCell ref="B66:E66"/>
    <mergeCell ref="B76:E76"/>
    <mergeCell ref="B11:E11"/>
    <mergeCell ref="B22:E22"/>
    <mergeCell ref="B33:E33"/>
    <mergeCell ref="B44:E44"/>
    <mergeCell ref="A5:E5"/>
    <mergeCell ref="A6:E6"/>
    <mergeCell ref="A7:E7"/>
    <mergeCell ref="A8:E8"/>
    <mergeCell ref="A1:E1"/>
    <mergeCell ref="A2:E2"/>
    <mergeCell ref="A3:E3"/>
    <mergeCell ref="A4:E4"/>
  </mergeCells>
  <printOptions/>
  <pageMargins left="0.75" right="0.75" top="0.67" bottom="0.33" header="0.5" footer="0.23"/>
  <pageSetup fitToHeight="1" fitToWidth="1" horizontalDpi="355" verticalDpi="355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1" sqref="A1:I1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9" ht="12.75">
      <c r="A1" s="544" t="str">
        <f>+'Revenue Input'!A1</f>
        <v>Niagara Peninsula Energy</v>
      </c>
      <c r="B1" s="544"/>
      <c r="C1" s="544"/>
      <c r="D1" s="544"/>
      <c r="E1" s="544"/>
      <c r="F1" s="544"/>
      <c r="G1" s="544"/>
      <c r="H1" s="544"/>
      <c r="I1" s="544"/>
    </row>
    <row r="2" spans="1:9" ht="12.75">
      <c r="A2" s="544" t="str">
        <f>+'Revenue Input'!A2</f>
        <v>, License Number ED-2007-0749, File Number EB-2010-0138</v>
      </c>
      <c r="B2" s="544"/>
      <c r="C2" s="544"/>
      <c r="D2" s="544"/>
      <c r="E2" s="544"/>
      <c r="F2" s="544"/>
      <c r="G2" s="544"/>
      <c r="H2" s="544"/>
      <c r="I2" s="544"/>
    </row>
    <row r="3" spans="1:9" ht="12.75">
      <c r="A3" s="544">
        <f>+'Revenue Input'!A3</f>
        <v>0</v>
      </c>
      <c r="B3" s="544"/>
      <c r="C3" s="544"/>
      <c r="D3" s="544"/>
      <c r="E3" s="544"/>
      <c r="F3" s="544"/>
      <c r="G3" s="544"/>
      <c r="H3" s="544"/>
      <c r="I3" s="544"/>
    </row>
    <row r="4" spans="1:9" ht="8.25" customHeight="1">
      <c r="A4" s="545"/>
      <c r="B4" s="545"/>
      <c r="C4" s="545"/>
      <c r="D4" s="545"/>
      <c r="E4" s="545"/>
      <c r="F4" s="545"/>
      <c r="G4" s="545"/>
      <c r="H4" s="545"/>
      <c r="I4" s="545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3" ht="15" customHeight="1">
      <c r="A6" s="542" t="s">
        <v>38</v>
      </c>
      <c r="B6" s="542"/>
      <c r="C6" s="542"/>
    </row>
    <row r="7" ht="15" customHeight="1"/>
    <row r="8" spans="1:3" ht="15" customHeight="1">
      <c r="A8" s="543"/>
      <c r="B8" s="543"/>
      <c r="C8" s="543"/>
    </row>
    <row r="9" spans="1:3" ht="15.75">
      <c r="A9" s="540" t="s">
        <v>179</v>
      </c>
      <c r="B9" s="539" t="s">
        <v>225</v>
      </c>
      <c r="C9" s="539"/>
    </row>
    <row r="10" spans="1:3" ht="15.75">
      <c r="A10" s="541"/>
      <c r="B10" s="78" t="s">
        <v>34</v>
      </c>
      <c r="C10" s="79" t="s">
        <v>37</v>
      </c>
    </row>
    <row r="11" spans="1:3" ht="15.75">
      <c r="A11" s="80" t="s">
        <v>35</v>
      </c>
      <c r="B11" s="81"/>
      <c r="C11" s="82"/>
    </row>
    <row r="12" spans="1:9" ht="15.75">
      <c r="A12" s="83" t="str">
        <f>'Forecast Data For 2011'!A11</f>
        <v>GS &gt;50</v>
      </c>
      <c r="B12" s="304">
        <v>654126</v>
      </c>
      <c r="C12" s="313">
        <f>+B12*$B$17</f>
        <v>-392475.6</v>
      </c>
      <c r="E12" s="56"/>
      <c r="F12" s="56"/>
      <c r="G12" s="56"/>
      <c r="H12" s="8"/>
      <c r="I12" s="8"/>
    </row>
    <row r="13" spans="1:9" ht="15.75">
      <c r="A13" s="83" t="str">
        <f>'Forecast Data For 2011'!A14</f>
        <v>Large Use</v>
      </c>
      <c r="B13" s="304">
        <v>0</v>
      </c>
      <c r="C13" s="313">
        <f>+B13*$B$17</f>
        <v>0</v>
      </c>
      <c r="E13" s="56"/>
      <c r="F13" s="56"/>
      <c r="G13" s="56"/>
      <c r="H13" s="8"/>
      <c r="I13" s="8"/>
    </row>
    <row r="14" spans="1:9" ht="15.75">
      <c r="A14" s="83"/>
      <c r="B14" s="304">
        <v>0</v>
      </c>
      <c r="C14" s="313">
        <f>+B14*$B$17</f>
        <v>0</v>
      </c>
      <c r="E14" s="56"/>
      <c r="F14" s="56"/>
      <c r="G14" s="56"/>
      <c r="H14" s="8"/>
      <c r="I14" s="8"/>
    </row>
    <row r="15" spans="1:3" ht="15.75">
      <c r="A15" s="84" t="s">
        <v>36</v>
      </c>
      <c r="B15" s="305">
        <f>SUM(B12:B14)</f>
        <v>654126</v>
      </c>
      <c r="C15" s="313">
        <f>SUM(C12:C14)</f>
        <v>-392475.6</v>
      </c>
    </row>
    <row r="16" ht="13.5" thickBot="1"/>
    <row r="17" spans="1:2" ht="16.5" thickBot="1">
      <c r="A17" s="5" t="s">
        <v>180</v>
      </c>
      <c r="B17" s="314">
        <v>-0.6</v>
      </c>
    </row>
    <row r="18" ht="15">
      <c r="A18" s="4"/>
    </row>
    <row r="19" ht="15.75">
      <c r="A19" s="5"/>
    </row>
    <row r="20" ht="15">
      <c r="A20" s="4"/>
    </row>
    <row r="21" ht="15">
      <c r="A21" s="4"/>
    </row>
    <row r="22" ht="15">
      <c r="A22" s="4" t="s">
        <v>255</v>
      </c>
    </row>
    <row r="23" spans="1:2" ht="12.75">
      <c r="A23" t="s">
        <v>256</v>
      </c>
      <c r="B23" s="3">
        <v>313709.74</v>
      </c>
    </row>
    <row r="24" spans="1:2" ht="15.75">
      <c r="A24" s="5" t="s">
        <v>257</v>
      </c>
      <c r="B24" s="423">
        <v>78765.59</v>
      </c>
    </row>
    <row r="25" spans="1:2" ht="15">
      <c r="A25" s="4"/>
      <c r="B25" s="3">
        <f>SUM(B23:B24)</f>
        <v>392475.32999999996</v>
      </c>
    </row>
    <row r="26" spans="1:2" ht="15.75">
      <c r="A26" s="5"/>
      <c r="B26" s="3">
        <v>0.6</v>
      </c>
    </row>
    <row r="27" spans="1:2" ht="15.75" thickBot="1">
      <c r="A27" s="4"/>
      <c r="B27" s="424">
        <f>B25/B26</f>
        <v>654125.5499999999</v>
      </c>
    </row>
    <row r="28" ht="15.75" thickTop="1">
      <c r="A28" s="4"/>
    </row>
    <row r="29" ht="15">
      <c r="A29" s="4"/>
    </row>
    <row r="31" ht="15.75">
      <c r="A31" s="5"/>
    </row>
    <row r="32" ht="15">
      <c r="A32" s="4"/>
    </row>
    <row r="33" ht="15.75">
      <c r="A33" s="5"/>
    </row>
    <row r="34" ht="15">
      <c r="A34" s="4"/>
    </row>
    <row r="35" ht="15">
      <c r="A35" s="4"/>
    </row>
    <row r="36" ht="15">
      <c r="A36" s="4"/>
    </row>
  </sheetData>
  <mergeCells count="8">
    <mergeCell ref="A1:I1"/>
    <mergeCell ref="A2:I2"/>
    <mergeCell ref="A3:I3"/>
    <mergeCell ref="A4:I4"/>
    <mergeCell ref="B9:C9"/>
    <mergeCell ref="A9:A10"/>
    <mergeCell ref="A6:C6"/>
    <mergeCell ref="A8:C8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47" sqref="D47"/>
    </sheetView>
  </sheetViews>
  <sheetFormatPr defaultColWidth="9.140625" defaultRowHeight="12.75" outlineLevelRow="1"/>
  <cols>
    <col min="1" max="1" width="1.57421875" style="0" customWidth="1"/>
    <col min="2" max="2" width="74.7109375" style="0" customWidth="1"/>
    <col min="3" max="3" width="14.8515625" style="0" customWidth="1"/>
    <col min="4" max="4" width="9.57421875" style="0" bestFit="1" customWidth="1"/>
    <col min="5" max="5" width="14.00390625" style="0" bestFit="1" customWidth="1"/>
    <col min="6" max="16384" width="9.7109375" style="0" customWidth="1"/>
  </cols>
  <sheetData>
    <row r="1" spans="1:4" ht="12.75">
      <c r="A1" s="534" t="str">
        <f>+'Revenue Input'!A1</f>
        <v>Niagara Peninsula Energy</v>
      </c>
      <c r="B1" s="534"/>
      <c r="C1" s="534"/>
      <c r="D1" s="534"/>
    </row>
    <row r="2" spans="1:4" ht="12.75">
      <c r="A2" s="534" t="str">
        <f>+'Revenue Input'!A2</f>
        <v>, License Number ED-2007-0749, File Number EB-2010-0138</v>
      </c>
      <c r="B2" s="534"/>
      <c r="C2" s="534"/>
      <c r="D2" s="534"/>
    </row>
    <row r="3" spans="1:4" ht="12.75">
      <c r="A3" s="534">
        <f>+'Revenue Input'!A3</f>
        <v>0</v>
      </c>
      <c r="B3" s="534"/>
      <c r="C3" s="534"/>
      <c r="D3" s="534"/>
    </row>
    <row r="4" spans="1:4" ht="12.75">
      <c r="A4" s="616"/>
      <c r="B4" s="616"/>
      <c r="C4" s="616"/>
      <c r="D4" s="616"/>
    </row>
    <row r="5" spans="1:4" ht="19.5" customHeight="1">
      <c r="A5" s="565" t="s">
        <v>127</v>
      </c>
      <c r="B5" s="565"/>
      <c r="C5" s="565"/>
      <c r="D5" s="565"/>
    </row>
    <row r="6" spans="1:4" ht="19.5" customHeight="1">
      <c r="A6" s="608" t="s">
        <v>89</v>
      </c>
      <c r="B6" s="608"/>
      <c r="C6" s="608"/>
      <c r="D6" s="608"/>
    </row>
    <row r="7" spans="1:6" ht="19.5" customHeight="1">
      <c r="A7" s="608" t="s">
        <v>238</v>
      </c>
      <c r="B7" s="608"/>
      <c r="C7" s="608"/>
      <c r="D7" s="608"/>
      <c r="E7" s="615" t="s">
        <v>297</v>
      </c>
      <c r="F7" s="615"/>
    </row>
    <row r="8" spans="1:6" ht="19.5" customHeight="1">
      <c r="A8" s="611"/>
      <c r="B8" s="611"/>
      <c r="C8" s="611"/>
      <c r="D8" s="611"/>
      <c r="E8" s="463" t="s">
        <v>267</v>
      </c>
      <c r="F8" s="463" t="s">
        <v>268</v>
      </c>
    </row>
    <row r="9" spans="1:4" ht="30.75" customHeight="1">
      <c r="A9" s="29"/>
      <c r="B9" s="250" t="s">
        <v>92</v>
      </c>
      <c r="C9" s="250" t="s">
        <v>93</v>
      </c>
      <c r="D9" s="250" t="s">
        <v>183</v>
      </c>
    </row>
    <row r="10" spans="1:4" ht="44.25" customHeight="1" hidden="1" outlineLevel="1">
      <c r="A10" s="30"/>
      <c r="B10" s="252" t="s">
        <v>94</v>
      </c>
      <c r="C10" s="255" t="s">
        <v>124</v>
      </c>
      <c r="D10" s="256" t="str">
        <f aca="true" t="shared" si="0" ref="D10:D40">IF(MAX(E10,F10)=0,"n/a",MAX(E10,F10))</f>
        <v>n/a</v>
      </c>
    </row>
    <row r="11" spans="1:4" ht="44.25" customHeight="1" hidden="1" outlineLevel="1">
      <c r="A11" s="30"/>
      <c r="B11" s="252" t="s">
        <v>95</v>
      </c>
      <c r="C11" s="255" t="s">
        <v>124</v>
      </c>
      <c r="D11" s="256" t="str">
        <f t="shared" si="0"/>
        <v>n/a</v>
      </c>
    </row>
    <row r="12" spans="1:4" ht="44.25" customHeight="1" hidden="1" outlineLevel="1">
      <c r="A12" s="30"/>
      <c r="B12" s="252" t="s">
        <v>96</v>
      </c>
      <c r="C12" s="255" t="s">
        <v>124</v>
      </c>
      <c r="D12" s="256" t="str">
        <f t="shared" si="0"/>
        <v>n/a</v>
      </c>
    </row>
    <row r="13" spans="1:4" ht="44.25" customHeight="1" hidden="1" outlineLevel="1">
      <c r="A13" s="30"/>
      <c r="B13" s="252" t="s">
        <v>97</v>
      </c>
      <c r="C13" s="255" t="s">
        <v>124</v>
      </c>
      <c r="D13" s="256" t="str">
        <f t="shared" si="0"/>
        <v>n/a</v>
      </c>
    </row>
    <row r="14" spans="1:4" ht="44.25" customHeight="1" hidden="1" outlineLevel="1">
      <c r="A14" s="30"/>
      <c r="B14" s="252" t="s">
        <v>98</v>
      </c>
      <c r="C14" s="255" t="s">
        <v>124</v>
      </c>
      <c r="D14" s="256" t="str">
        <f t="shared" si="0"/>
        <v>n/a</v>
      </c>
    </row>
    <row r="15" spans="1:4" ht="44.25" customHeight="1" hidden="1" outlineLevel="1">
      <c r="A15" s="30"/>
      <c r="B15" s="252" t="s">
        <v>99</v>
      </c>
      <c r="C15" s="255" t="s">
        <v>124</v>
      </c>
      <c r="D15" s="256" t="str">
        <f t="shared" si="0"/>
        <v>n/a</v>
      </c>
    </row>
    <row r="16" spans="1:4" ht="44.25" customHeight="1" hidden="1" outlineLevel="1">
      <c r="A16" s="30"/>
      <c r="B16" s="252" t="s">
        <v>100</v>
      </c>
      <c r="C16" s="255" t="s">
        <v>124</v>
      </c>
      <c r="D16" s="256" t="str">
        <f t="shared" si="0"/>
        <v>n/a</v>
      </c>
    </row>
    <row r="17" spans="1:4" ht="44.25" customHeight="1" hidden="1" outlineLevel="1">
      <c r="A17" s="30"/>
      <c r="B17" s="252" t="s">
        <v>101</v>
      </c>
      <c r="C17" s="255" t="s">
        <v>124</v>
      </c>
      <c r="D17" s="256" t="str">
        <f t="shared" si="0"/>
        <v>n/a</v>
      </c>
    </row>
    <row r="18" spans="1:4" ht="44.25" customHeight="1" hidden="1" outlineLevel="1">
      <c r="A18" s="30"/>
      <c r="B18" s="252" t="s">
        <v>102</v>
      </c>
      <c r="C18" s="255" t="s">
        <v>124</v>
      </c>
      <c r="D18" s="256" t="str">
        <f t="shared" si="0"/>
        <v>n/a</v>
      </c>
    </row>
    <row r="19" spans="1:4" ht="44.25" customHeight="1" hidden="1" outlineLevel="1">
      <c r="A19" s="30"/>
      <c r="B19" s="252" t="s">
        <v>103</v>
      </c>
      <c r="C19" s="255" t="s">
        <v>124</v>
      </c>
      <c r="D19" s="256" t="str">
        <f t="shared" si="0"/>
        <v>n/a</v>
      </c>
    </row>
    <row r="20" spans="1:6" ht="44.25" customHeight="1" collapsed="1">
      <c r="A20" s="30"/>
      <c r="B20" s="252" t="s">
        <v>104</v>
      </c>
      <c r="C20" s="255" t="s">
        <v>124</v>
      </c>
      <c r="D20" s="256">
        <f t="shared" si="0"/>
        <v>20</v>
      </c>
      <c r="E20">
        <v>20</v>
      </c>
      <c r="F20">
        <v>15</v>
      </c>
    </row>
    <row r="21" spans="1:4" ht="44.25" customHeight="1" hidden="1" outlineLevel="1">
      <c r="A21" s="30"/>
      <c r="B21" s="252" t="s">
        <v>105</v>
      </c>
      <c r="C21" s="255" t="s">
        <v>124</v>
      </c>
      <c r="D21" s="256" t="str">
        <f t="shared" si="0"/>
        <v>n/a</v>
      </c>
    </row>
    <row r="22" spans="1:6" ht="44.25" customHeight="1" collapsed="1">
      <c r="A22" s="30"/>
      <c r="B22" s="252" t="s">
        <v>106</v>
      </c>
      <c r="C22" s="255" t="s">
        <v>124</v>
      </c>
      <c r="D22" s="256">
        <f t="shared" si="0"/>
        <v>15</v>
      </c>
      <c r="E22">
        <v>15</v>
      </c>
      <c r="F22">
        <v>15</v>
      </c>
    </row>
    <row r="23" spans="1:6" ht="44.25" customHeight="1">
      <c r="A23" s="30"/>
      <c r="B23" s="252" t="s">
        <v>107</v>
      </c>
      <c r="C23" s="255" t="s">
        <v>124</v>
      </c>
      <c r="D23" s="256">
        <f t="shared" si="0"/>
        <v>30</v>
      </c>
      <c r="E23">
        <v>30</v>
      </c>
      <c r="F23">
        <v>30</v>
      </c>
    </row>
    <row r="24" spans="1:4" ht="44.25" customHeight="1" hidden="1" outlineLevel="1">
      <c r="A24" s="30"/>
      <c r="B24" s="252" t="s">
        <v>108</v>
      </c>
      <c r="C24" s="255" t="s">
        <v>124</v>
      </c>
      <c r="D24" s="256" t="str">
        <f t="shared" si="0"/>
        <v>n/a</v>
      </c>
    </row>
    <row r="25" spans="1:6" ht="44.25" customHeight="1" collapsed="1">
      <c r="A25" s="30"/>
      <c r="B25" s="252" t="s">
        <v>109</v>
      </c>
      <c r="C25" s="255" t="s">
        <v>124</v>
      </c>
      <c r="D25" s="256">
        <f t="shared" si="0"/>
        <v>30</v>
      </c>
      <c r="E25">
        <v>30</v>
      </c>
      <c r="F25">
        <v>30</v>
      </c>
    </row>
    <row r="26" spans="1:6" ht="44.25" customHeight="1">
      <c r="A26" s="30"/>
      <c r="B26" s="252" t="s">
        <v>110</v>
      </c>
      <c r="C26" s="255" t="s">
        <v>124</v>
      </c>
      <c r="D26" s="256">
        <f t="shared" si="0"/>
        <v>165</v>
      </c>
      <c r="F26">
        <v>165</v>
      </c>
    </row>
    <row r="27" spans="1:6" ht="44.25" customHeight="1">
      <c r="A27" s="30"/>
      <c r="B27" s="252" t="s">
        <v>111</v>
      </c>
      <c r="C27" s="255" t="s">
        <v>124</v>
      </c>
      <c r="D27" s="256">
        <f t="shared" si="0"/>
        <v>65</v>
      </c>
      <c r="E27">
        <v>65</v>
      </c>
      <c r="F27">
        <v>65</v>
      </c>
    </row>
    <row r="28" spans="1:6" ht="44.25" customHeight="1">
      <c r="A28" s="30"/>
      <c r="B28" s="252" t="s">
        <v>112</v>
      </c>
      <c r="C28" s="255" t="s">
        <v>124</v>
      </c>
      <c r="D28" s="256">
        <f t="shared" si="0"/>
        <v>65</v>
      </c>
      <c r="F28">
        <v>65</v>
      </c>
    </row>
    <row r="29" spans="1:6" ht="44.25" customHeight="1">
      <c r="A29" s="30"/>
      <c r="B29" s="252" t="s">
        <v>113</v>
      </c>
      <c r="C29" s="255" t="s">
        <v>124</v>
      </c>
      <c r="D29" s="256">
        <f t="shared" si="0"/>
        <v>185</v>
      </c>
      <c r="E29">
        <v>185</v>
      </c>
      <c r="F29">
        <v>185</v>
      </c>
    </row>
    <row r="30" spans="1:6" ht="44.25" customHeight="1">
      <c r="A30" s="30"/>
      <c r="B30" s="252" t="s">
        <v>114</v>
      </c>
      <c r="C30" s="255" t="s">
        <v>124</v>
      </c>
      <c r="D30" s="256">
        <f t="shared" si="0"/>
        <v>185</v>
      </c>
      <c r="F30">
        <v>185</v>
      </c>
    </row>
    <row r="31" spans="1:6" ht="44.25" customHeight="1">
      <c r="A31" s="30"/>
      <c r="B31" s="252" t="s">
        <v>115</v>
      </c>
      <c r="C31" s="255" t="s">
        <v>124</v>
      </c>
      <c r="D31" s="256">
        <f t="shared" si="0"/>
        <v>185</v>
      </c>
      <c r="E31">
        <v>185</v>
      </c>
      <c r="F31">
        <v>185</v>
      </c>
    </row>
    <row r="32" spans="1:6" ht="44.25" customHeight="1">
      <c r="A32" s="30"/>
      <c r="B32" s="252" t="s">
        <v>116</v>
      </c>
      <c r="C32" s="255" t="s">
        <v>124</v>
      </c>
      <c r="D32" s="256">
        <f t="shared" si="0"/>
        <v>415</v>
      </c>
      <c r="E32">
        <v>415</v>
      </c>
      <c r="F32">
        <v>415</v>
      </c>
    </row>
    <row r="33" spans="1:6" ht="44.25" customHeight="1">
      <c r="A33" s="30"/>
      <c r="B33" s="252" t="s">
        <v>117</v>
      </c>
      <c r="C33" s="255" t="s">
        <v>124</v>
      </c>
      <c r="D33" s="256">
        <f t="shared" si="0"/>
        <v>30</v>
      </c>
      <c r="F33">
        <v>30</v>
      </c>
    </row>
    <row r="34" spans="1:6" ht="44.25" customHeight="1">
      <c r="A34" s="30"/>
      <c r="B34" s="252" t="s">
        <v>118</v>
      </c>
      <c r="C34" s="255" t="s">
        <v>124</v>
      </c>
      <c r="D34" s="256">
        <f t="shared" si="0"/>
        <v>30</v>
      </c>
      <c r="F34">
        <v>30</v>
      </c>
    </row>
    <row r="35" spans="1:6" ht="44.25" customHeight="1">
      <c r="A35" s="30"/>
      <c r="B35" s="252" t="s">
        <v>119</v>
      </c>
      <c r="C35" s="255" t="s">
        <v>124</v>
      </c>
      <c r="D35" s="256">
        <f t="shared" si="0"/>
        <v>165</v>
      </c>
      <c r="F35">
        <v>165</v>
      </c>
    </row>
    <row r="36" spans="1:6" ht="44.25" customHeight="1">
      <c r="A36" s="30"/>
      <c r="B36" s="252" t="s">
        <v>120</v>
      </c>
      <c r="C36" s="255" t="s">
        <v>124</v>
      </c>
      <c r="D36" s="256">
        <f t="shared" si="0"/>
        <v>500</v>
      </c>
      <c r="F36">
        <v>500</v>
      </c>
    </row>
    <row r="37" spans="1:6" ht="44.25" customHeight="1">
      <c r="A37" s="30"/>
      <c r="B37" s="252" t="s">
        <v>121</v>
      </c>
      <c r="C37" s="255" t="s">
        <v>124</v>
      </c>
      <c r="D37" s="256">
        <f t="shared" si="0"/>
        <v>300</v>
      </c>
      <c r="F37">
        <v>300</v>
      </c>
    </row>
    <row r="38" spans="1:6" ht="44.25" customHeight="1">
      <c r="A38" s="30"/>
      <c r="B38" s="252" t="s">
        <v>122</v>
      </c>
      <c r="C38" s="255" t="s">
        <v>124</v>
      </c>
      <c r="D38" s="256">
        <f t="shared" si="0"/>
        <v>1000</v>
      </c>
      <c r="F38">
        <v>1000</v>
      </c>
    </row>
    <row r="39" spans="1:6" ht="44.25" customHeight="1">
      <c r="A39" s="30"/>
      <c r="B39" s="252" t="s">
        <v>123</v>
      </c>
      <c r="C39" s="255" t="s">
        <v>124</v>
      </c>
      <c r="D39" s="256">
        <f t="shared" si="0"/>
        <v>22.35</v>
      </c>
      <c r="F39">
        <v>22.35</v>
      </c>
    </row>
    <row r="40" spans="1:4" ht="28.5" customHeight="1" hidden="1" outlineLevel="1">
      <c r="A40" s="36"/>
      <c r="B40" s="253" t="s">
        <v>125</v>
      </c>
      <c r="C40" s="254" t="s">
        <v>173</v>
      </c>
      <c r="D40" s="256" t="str">
        <f t="shared" si="0"/>
        <v>n/a</v>
      </c>
    </row>
    <row r="41" spans="1:4" s="8" customFormat="1" ht="12" customHeight="1" collapsed="1">
      <c r="A41" s="36"/>
      <c r="B41" s="257"/>
      <c r="C41" s="258"/>
      <c r="D41" s="259"/>
    </row>
    <row r="42" spans="1:4" ht="18">
      <c r="A42" s="30"/>
      <c r="B42" s="612" t="s">
        <v>126</v>
      </c>
      <c r="C42" s="613"/>
      <c r="D42" s="614"/>
    </row>
    <row r="43" spans="2:4" ht="15.75">
      <c r="B43" s="609" t="s">
        <v>57</v>
      </c>
      <c r="C43" s="610"/>
      <c r="D43" s="251">
        <f>'Other Electriciy Rates NF'!H37</f>
        <v>1.0045</v>
      </c>
    </row>
    <row r="44" spans="2:4" ht="15.75">
      <c r="B44" s="609" t="s">
        <v>58</v>
      </c>
      <c r="C44" s="610"/>
      <c r="D44" s="251">
        <f>'Other Electriciy Rates NF'!H38</f>
        <v>1.0512596068619908</v>
      </c>
    </row>
    <row r="45" spans="2:4" ht="15.75">
      <c r="B45" s="609" t="s">
        <v>59</v>
      </c>
      <c r="C45" s="610"/>
      <c r="D45" s="251" t="str">
        <f>'Other Electriciy Rates NF'!H39</f>
        <v>n/a</v>
      </c>
    </row>
    <row r="46" spans="2:4" ht="15.75">
      <c r="B46" s="609" t="s">
        <v>60</v>
      </c>
      <c r="C46" s="610"/>
      <c r="D46" s="251">
        <f>'Other Electriciy Rates NF'!H40</f>
        <v>1.040747010793371</v>
      </c>
    </row>
    <row r="47" spans="2:4" ht="15.75">
      <c r="B47" s="609" t="s">
        <v>61</v>
      </c>
      <c r="C47" s="610"/>
      <c r="D47" s="251" t="str">
        <f>'Other Electriciy Rates NF'!H41</f>
        <v>n/a</v>
      </c>
    </row>
    <row r="48" spans="2:4" ht="15.75">
      <c r="B48" s="609" t="s">
        <v>62</v>
      </c>
      <c r="C48" s="610"/>
      <c r="D48" s="251">
        <f>'Other Electriciy Rates NF'!H42</f>
        <v>1.0559902750928698</v>
      </c>
    </row>
    <row r="49" spans="2:4" ht="15.75">
      <c r="B49" s="609" t="s">
        <v>63</v>
      </c>
      <c r="C49" s="610"/>
      <c r="D49" s="251" t="str">
        <f>'Other Electriciy Rates NF'!H43</f>
        <v>n/a</v>
      </c>
    </row>
    <row r="50" spans="2:4" ht="15.75">
      <c r="B50" s="609" t="s">
        <v>64</v>
      </c>
      <c r="C50" s="610"/>
      <c r="D50" s="251">
        <f>'Other Electriciy Rates NF'!H44</f>
        <v>1.0454303723419411</v>
      </c>
    </row>
    <row r="51" spans="2:4" ht="15.75">
      <c r="B51" s="609" t="s">
        <v>65</v>
      </c>
      <c r="C51" s="610"/>
      <c r="D51" s="251" t="str">
        <f>'Other Electriciy Rates NF'!H45</f>
        <v>n/a</v>
      </c>
    </row>
  </sheetData>
  <mergeCells count="19">
    <mergeCell ref="E7:F7"/>
    <mergeCell ref="A1:D1"/>
    <mergeCell ref="A2:D2"/>
    <mergeCell ref="A3:D3"/>
    <mergeCell ref="A4:D4"/>
    <mergeCell ref="A5:D5"/>
    <mergeCell ref="A6:D6"/>
    <mergeCell ref="A7:D7"/>
    <mergeCell ref="A8:D8"/>
    <mergeCell ref="B42:D42"/>
    <mergeCell ref="B43:C43"/>
    <mergeCell ref="B44:C44"/>
    <mergeCell ref="B45:C45"/>
    <mergeCell ref="B50:C50"/>
    <mergeCell ref="B51:C51"/>
    <mergeCell ref="B46:C46"/>
    <mergeCell ref="B47:C47"/>
    <mergeCell ref="B48:C48"/>
    <mergeCell ref="B49:C49"/>
  </mergeCells>
  <printOptions/>
  <pageMargins left="0.75" right="0.75" top="1" bottom="1" header="0.5" footer="0.5"/>
  <pageSetup fitToHeight="2" fitToWidth="1" horizontalDpi="355" verticalDpi="355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17" sqref="A17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534" t="str">
        <f>+'Revenue Input'!A1</f>
        <v>Niagara Peninsula Energy</v>
      </c>
      <c r="B1" s="534"/>
      <c r="C1" s="534"/>
      <c r="D1" s="534"/>
      <c r="E1" s="534"/>
      <c r="F1" s="534"/>
    </row>
    <row r="2" spans="1:6" ht="12.75">
      <c r="A2" s="534" t="str">
        <f>+'Revenue Input'!A2</f>
        <v>, License Number ED-2007-0749, File Number EB-2010-0138</v>
      </c>
      <c r="B2" s="534"/>
      <c r="C2" s="534"/>
      <c r="D2" s="534"/>
      <c r="E2" s="534"/>
      <c r="F2" s="534"/>
    </row>
    <row r="3" spans="1:6" ht="12.75">
      <c r="A3" s="534">
        <f>+'Revenue Input'!A3</f>
        <v>0</v>
      </c>
      <c r="B3" s="534"/>
      <c r="C3" s="534"/>
      <c r="D3" s="534"/>
      <c r="E3" s="534"/>
      <c r="F3" s="534"/>
    </row>
    <row r="4" spans="1:6" ht="12.75">
      <c r="A4" s="545"/>
      <c r="B4" s="545"/>
      <c r="C4" s="545"/>
      <c r="D4" s="545"/>
      <c r="E4" s="545"/>
      <c r="F4" s="545"/>
    </row>
    <row r="5" spans="1:6" ht="20.25">
      <c r="A5" s="573" t="s">
        <v>199</v>
      </c>
      <c r="B5" s="573"/>
      <c r="C5" s="573"/>
      <c r="D5" s="573"/>
      <c r="E5" s="573"/>
      <c r="F5" s="573"/>
    </row>
    <row r="6" spans="1:6" ht="12.75">
      <c r="A6" s="617"/>
      <c r="B6" s="617"/>
      <c r="C6" s="617"/>
      <c r="D6" s="617"/>
      <c r="E6" s="617"/>
      <c r="F6" s="617"/>
    </row>
    <row r="7" spans="1:12" ht="38.25">
      <c r="A7" s="86" t="s">
        <v>0</v>
      </c>
      <c r="B7" s="91" t="s">
        <v>11</v>
      </c>
      <c r="C7" s="91" t="s">
        <v>12</v>
      </c>
      <c r="D7" s="91" t="s">
        <v>31</v>
      </c>
      <c r="E7" s="91" t="s">
        <v>29</v>
      </c>
      <c r="F7" s="86" t="s">
        <v>33</v>
      </c>
      <c r="G7" s="11"/>
      <c r="H7" s="11"/>
      <c r="I7" s="11"/>
      <c r="J7" s="11"/>
      <c r="K7" s="11"/>
      <c r="L7" s="11"/>
    </row>
    <row r="8" spans="1:12" ht="19.5" customHeight="1">
      <c r="A8" s="308" t="str">
        <f>'Other Electriciy Rates NF'!A10</f>
        <v>Residential</v>
      </c>
      <c r="B8" s="110">
        <f>+'Distribution Rate Schedule'!C31*'Forecast Data For 2011'!C7*12</f>
        <v>9314306.677446371</v>
      </c>
      <c r="C8" s="110">
        <f>+'Distribution Rate Schedule'!E31*'Forecast Data For 2011'!C8</f>
        <v>7809917.690356812</v>
      </c>
      <c r="D8" s="328"/>
      <c r="E8" s="110">
        <f>+B8+C8+D8</f>
        <v>17124224.367803182</v>
      </c>
      <c r="F8" s="110">
        <f>+'Rates By Rate Class'!K8-'Rates By Rate Class'!H8</f>
        <v>17120305.2077069</v>
      </c>
      <c r="G8" s="12"/>
      <c r="H8" s="12"/>
      <c r="I8" s="13"/>
      <c r="J8" s="14"/>
      <c r="K8" s="14"/>
      <c r="L8" s="14"/>
    </row>
    <row r="9" spans="1:12" ht="19.5" customHeight="1">
      <c r="A9" s="308" t="str">
        <f>'Other Electriciy Rates NF'!A11</f>
        <v>GS &lt; 50 kW</v>
      </c>
      <c r="B9" s="110">
        <f>+'Distribution Rate Schedule'!C32*'Forecast Data For 2011'!C9*12</f>
        <v>2008155.8645066884</v>
      </c>
      <c r="C9" s="110">
        <f>+'Distribution Rate Schedule'!E32*'Forecast Data For 2011'!C10</f>
        <v>1748700.6177046222</v>
      </c>
      <c r="D9" s="328"/>
      <c r="E9" s="110">
        <f aca="true" t="shared" si="0" ref="E9:E15">+B9+C9+D9</f>
        <v>3756856.4822113104</v>
      </c>
      <c r="F9" s="110">
        <f>+'Rates By Rate Class'!K9-'Rates By Rate Class'!H9</f>
        <v>3748235.808444331</v>
      </c>
      <c r="G9" s="12"/>
      <c r="H9" s="12"/>
      <c r="I9" s="13"/>
      <c r="J9" s="14"/>
      <c r="K9" s="14"/>
      <c r="L9" s="14"/>
    </row>
    <row r="10" spans="1:12" ht="19.5" customHeight="1">
      <c r="A10" s="308" t="str">
        <f>'Other Electriciy Rates NF'!A12</f>
        <v>GS &gt;50</v>
      </c>
      <c r="B10" s="110">
        <f>+'Distribution Rate Schedule'!C33*'Forecast Data For 2011'!C11*12</f>
        <v>2268211.9425428836</v>
      </c>
      <c r="C10" s="110">
        <f>+'Distribution Rate Schedule'!D33*'Forecast Data For 2011'!C12</f>
        <v>7468390.997427943</v>
      </c>
      <c r="D10" s="328">
        <f>'Transformer Allowance'!C12</f>
        <v>-392475.6</v>
      </c>
      <c r="E10" s="110">
        <f>+B10+C10+D10</f>
        <v>9344127.339970827</v>
      </c>
      <c r="F10" s="110">
        <f>+'Rates By Rate Class'!K10-'Rates By Rate Class'!H10</f>
        <v>9344029.474176073</v>
      </c>
      <c r="G10" s="12"/>
      <c r="H10" s="12"/>
      <c r="I10" s="12"/>
      <c r="J10" s="14"/>
      <c r="K10" s="14"/>
      <c r="L10" s="14"/>
    </row>
    <row r="11" spans="1:12" ht="19.5" customHeight="1">
      <c r="A11" s="308" t="str">
        <f>'Other Electriciy Rates NF'!A13</f>
        <v>Large Use</v>
      </c>
      <c r="B11" s="110">
        <f>+'Distribution Rate Schedule'!C34*'Forecast Data For 2011'!C14*12</f>
        <v>0</v>
      </c>
      <c r="C11" s="110">
        <f>+'Distribution Rate Schedule'!D34*'Forecast Data For 2011'!C15</f>
        <v>0</v>
      </c>
      <c r="D11" s="328">
        <f>'Transformer Allowance'!C13</f>
        <v>0</v>
      </c>
      <c r="E11" s="110">
        <f>+B11+C11+D11</f>
        <v>0</v>
      </c>
      <c r="F11" s="110">
        <f>+'Rates By Rate Class'!K11-'Rates By Rate Class'!H11</f>
        <v>0</v>
      </c>
      <c r="G11" s="12"/>
      <c r="H11" s="12"/>
      <c r="I11" s="12"/>
      <c r="J11" s="14"/>
      <c r="K11" s="14"/>
      <c r="L11" s="14"/>
    </row>
    <row r="12" spans="1:12" ht="19.5" customHeight="1">
      <c r="A12" s="308"/>
      <c r="B12" s="110"/>
      <c r="C12" s="110"/>
      <c r="D12" s="328"/>
      <c r="E12" s="110"/>
      <c r="F12" s="110"/>
      <c r="G12" s="12"/>
      <c r="H12" s="12"/>
      <c r="I12" s="12"/>
      <c r="J12" s="14"/>
      <c r="K12" s="14"/>
      <c r="L12" s="14"/>
    </row>
    <row r="13" spans="1:12" ht="19.5" customHeight="1">
      <c r="A13" s="308" t="str">
        <f>'Other Electriciy Rates NF'!A14</f>
        <v>Sentinel Lights</v>
      </c>
      <c r="B13" s="110">
        <f>+'Distribution Rate Schedule'!B35*'Forecast Data For 2011'!C17*12</f>
        <v>48302.296661811815</v>
      </c>
      <c r="C13" s="110">
        <f>+'Distribution Rate Schedule'!D35*'Forecast Data For 2011'!C18</f>
        <v>7332.780982509352</v>
      </c>
      <c r="D13" s="328"/>
      <c r="E13" s="110">
        <f t="shared" si="0"/>
        <v>55635.077644321165</v>
      </c>
      <c r="F13" s="110">
        <f>+'Rates By Rate Class'!K12-'Rates By Rate Class'!H12</f>
        <v>55635.054874424204</v>
      </c>
      <c r="G13" s="12"/>
      <c r="H13" s="12"/>
      <c r="I13" s="13"/>
      <c r="J13" s="14"/>
      <c r="K13" s="14"/>
      <c r="L13" s="14"/>
    </row>
    <row r="14" spans="1:12" ht="19.5" customHeight="1">
      <c r="A14" s="308" t="str">
        <f>'Other Electriciy Rates NF'!A15</f>
        <v>Street Lighting</v>
      </c>
      <c r="B14" s="110">
        <f>+'Distribution Rate Schedule'!B36*'Forecast Data For 2011'!C20*12</f>
        <v>119188.18891615627</v>
      </c>
      <c r="C14" s="110">
        <f>+'Distribution Rate Schedule'!D36*'Forecast Data For 2011'!C21</f>
        <v>64743.885622565525</v>
      </c>
      <c r="D14" s="328"/>
      <c r="E14" s="110">
        <f t="shared" si="0"/>
        <v>183932.0745387218</v>
      </c>
      <c r="F14" s="110">
        <f>+'Rates By Rate Class'!K13-'Rates By Rate Class'!H13</f>
        <v>183927.86911270287</v>
      </c>
      <c r="G14" s="12"/>
      <c r="H14" s="12"/>
      <c r="I14" s="13"/>
      <c r="J14" s="14"/>
      <c r="K14" s="14"/>
      <c r="L14" s="14"/>
    </row>
    <row r="15" spans="1:12" ht="19.5" customHeight="1">
      <c r="A15" s="308" t="str">
        <f>'Other Electriciy Rates NF'!A16</f>
        <v>USL</v>
      </c>
      <c r="B15" s="110">
        <f>+'Distribution Rate Schedule'!B37*'Forecast Data For 2011'!C23*12</f>
        <v>110898.14755479817</v>
      </c>
      <c r="C15" s="110">
        <f>+'Distribution Rate Schedule'!E37*'Forecast Data For 2011'!C24</f>
        <v>33163.075242020015</v>
      </c>
      <c r="D15" s="328"/>
      <c r="E15" s="110">
        <f t="shared" si="0"/>
        <v>144061.22279681818</v>
      </c>
      <c r="F15" s="110">
        <f>+'Rates By Rate Class'!K14-'Rates By Rate Class'!H14</f>
        <v>143961.4260955436</v>
      </c>
      <c r="G15" s="12"/>
      <c r="H15" s="12"/>
      <c r="I15" s="13"/>
      <c r="J15" s="14"/>
      <c r="K15" s="14"/>
      <c r="L15" s="14"/>
    </row>
    <row r="16" spans="1:12" ht="19.5" customHeight="1">
      <c r="A16" s="308" t="s">
        <v>315</v>
      </c>
      <c r="B16" s="110"/>
      <c r="C16" s="110"/>
      <c r="D16" s="328"/>
      <c r="E16" s="110"/>
      <c r="F16" s="110"/>
      <c r="G16" s="12"/>
      <c r="H16" s="12"/>
      <c r="I16" s="13"/>
      <c r="J16" s="14"/>
      <c r="K16" s="14"/>
      <c r="L16" s="14"/>
    </row>
    <row r="17" spans="1:12" ht="31.5" customHeight="1" thickBot="1">
      <c r="A17" s="57" t="s">
        <v>32</v>
      </c>
      <c r="B17" s="263">
        <f>SUM(B8:B16)</f>
        <v>13869063.117628707</v>
      </c>
      <c r="C17" s="263">
        <f>SUM(C8:C16)</f>
        <v>17132249.04733647</v>
      </c>
      <c r="D17" s="329">
        <f>SUM(D8:D16)</f>
        <v>-392475.6</v>
      </c>
      <c r="E17" s="263">
        <f>SUM(E8:E16)</f>
        <v>30608836.56496518</v>
      </c>
      <c r="F17" s="263">
        <f>SUM(F8:F16)</f>
        <v>30596094.84040998</v>
      </c>
      <c r="G17" s="15"/>
      <c r="H17" s="15"/>
      <c r="I17" s="15"/>
      <c r="J17" s="15"/>
      <c r="K17" s="15"/>
      <c r="L17" s="15"/>
    </row>
    <row r="18" spans="6:12" ht="13.5" thickTop="1">
      <c r="F18" s="9"/>
      <c r="G18" s="16"/>
      <c r="H18" s="16"/>
      <c r="I18" s="16"/>
      <c r="J18" s="16"/>
      <c r="K18" s="16"/>
      <c r="L18" s="16"/>
    </row>
    <row r="19" spans="5:7" ht="12.75">
      <c r="E19" s="618" t="s">
        <v>171</v>
      </c>
      <c r="F19" s="618"/>
      <c r="G19" s="8"/>
    </row>
    <row r="20" spans="5:6" ht="12.75">
      <c r="E20" s="260"/>
      <c r="F20" s="261"/>
    </row>
    <row r="21" spans="5:6" ht="13.5" thickBot="1">
      <c r="E21" s="262">
        <f>+F17-E17</f>
        <v>-12741.724555201828</v>
      </c>
      <c r="F21" s="261"/>
    </row>
    <row r="24" ht="12.75">
      <c r="E24" s="9"/>
    </row>
  </sheetData>
  <mergeCells count="7">
    <mergeCell ref="A6:F6"/>
    <mergeCell ref="E19:F19"/>
    <mergeCell ref="A5:F5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1" sqref="A1:I1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9" width="14.421875" style="0" bestFit="1" customWidth="1"/>
  </cols>
  <sheetData>
    <row r="1" spans="1:9" ht="12.75">
      <c r="A1" s="534" t="str">
        <f>+'Revenue Input'!A1</f>
        <v>Niagara Peninsula Energy</v>
      </c>
      <c r="B1" s="534"/>
      <c r="C1" s="534"/>
      <c r="D1" s="534"/>
      <c r="E1" s="534"/>
      <c r="F1" s="534"/>
      <c r="G1" s="534"/>
      <c r="H1" s="534"/>
      <c r="I1" s="534"/>
    </row>
    <row r="2" spans="1:9" ht="12.75">
      <c r="A2" s="534" t="str">
        <f>+'Revenue Input'!A2</f>
        <v>, License Number ED-2007-0749, File Number EB-2010-0138</v>
      </c>
      <c r="B2" s="534"/>
      <c r="C2" s="534"/>
      <c r="D2" s="534"/>
      <c r="E2" s="534"/>
      <c r="F2" s="534"/>
      <c r="G2" s="534"/>
      <c r="H2" s="534"/>
      <c r="I2" s="534"/>
    </row>
    <row r="3" spans="1:9" ht="12.75">
      <c r="A3" s="534">
        <f>+'Revenue Input'!A3</f>
        <v>0</v>
      </c>
      <c r="B3" s="534"/>
      <c r="C3" s="534"/>
      <c r="D3" s="534"/>
      <c r="E3" s="534"/>
      <c r="F3" s="534"/>
      <c r="G3" s="534"/>
      <c r="H3" s="534"/>
      <c r="I3" s="534"/>
    </row>
    <row r="4" spans="1:9" ht="7.5" customHeight="1">
      <c r="A4" s="545"/>
      <c r="B4" s="545"/>
      <c r="C4" s="545"/>
      <c r="D4" s="545"/>
      <c r="E4" s="545"/>
      <c r="F4" s="545"/>
      <c r="G4" s="545"/>
      <c r="H4" s="545"/>
      <c r="I4" s="545"/>
    </row>
    <row r="5" spans="1:9" ht="15.75">
      <c r="A5" s="529" t="s">
        <v>284</v>
      </c>
      <c r="B5" s="529"/>
      <c r="C5" s="529"/>
      <c r="D5" s="529"/>
      <c r="E5" s="529"/>
      <c r="F5" s="529"/>
      <c r="G5" s="529"/>
      <c r="H5" s="529"/>
      <c r="I5" s="529"/>
    </row>
    <row r="6" spans="1:9" ht="8.25" customHeight="1">
      <c r="A6" s="529"/>
      <c r="B6" s="529"/>
      <c r="C6" s="529"/>
      <c r="D6" s="529"/>
      <c r="E6" s="529"/>
      <c r="F6" s="529"/>
      <c r="G6" s="529"/>
      <c r="H6" s="529"/>
      <c r="I6" s="529"/>
    </row>
    <row r="7" spans="1:9" ht="38.25">
      <c r="A7" s="86" t="s">
        <v>0</v>
      </c>
      <c r="B7" s="91" t="s">
        <v>7</v>
      </c>
      <c r="C7" s="91" t="s">
        <v>8</v>
      </c>
      <c r="D7" s="91" t="s">
        <v>9</v>
      </c>
      <c r="E7" s="91" t="s">
        <v>10</v>
      </c>
      <c r="F7" s="91" t="s">
        <v>27</v>
      </c>
      <c r="G7" s="91" t="s">
        <v>11</v>
      </c>
      <c r="H7" s="91" t="s">
        <v>12</v>
      </c>
      <c r="I7" s="91" t="s">
        <v>128</v>
      </c>
    </row>
    <row r="8" spans="1:9" ht="19.5" customHeight="1">
      <c r="A8" s="309" t="str">
        <f>'Dist. Rev. Reconciliation'!A8</f>
        <v>Residential</v>
      </c>
      <c r="B8" s="264">
        <f>+'Forecast Data For 2011'!$C$8</f>
        <v>459406922.9621654</v>
      </c>
      <c r="C8" s="264"/>
      <c r="D8" s="264"/>
      <c r="E8" s="264">
        <f>+'Forecast Data For 2011'!$C$7*12</f>
        <v>562797.9865526508</v>
      </c>
      <c r="F8" s="264"/>
      <c r="G8" s="312">
        <f>'2011 Test Yr On Existing Rates'!F9</f>
        <v>7995709.492588118</v>
      </c>
      <c r="H8" s="312">
        <f>'2011 Test Yr On Existing Rates'!G9</f>
        <v>6582001.278578799</v>
      </c>
      <c r="I8" s="312">
        <f>+G8+H8</f>
        <v>14577710.771166917</v>
      </c>
    </row>
    <row r="9" spans="1:9" ht="19.5" customHeight="1">
      <c r="A9" s="309" t="str">
        <f>'Dist. Rev. Reconciliation'!A9</f>
        <v>GS &lt; 50 kW</v>
      </c>
      <c r="B9" s="264">
        <f>+'Forecast Data For 2011'!$C$10</f>
        <v>121437542.89615433</v>
      </c>
      <c r="C9" s="264"/>
      <c r="D9" s="264"/>
      <c r="E9" s="264">
        <f>+'Forecast Data For 2011'!$C$9*12</f>
        <v>52227.720793411914</v>
      </c>
      <c r="F9" s="264"/>
      <c r="G9" s="312">
        <f>'2011 Test Yr On Existing Rates'!F10</f>
        <v>1783760.8217444944</v>
      </c>
      <c r="H9" s="312">
        <f>'2011 Test Yr On Existing Rates'!G10</f>
        <v>1517310.4577012334</v>
      </c>
      <c r="I9" s="312">
        <f aca="true" t="shared" si="0" ref="I9:I14">+G9+H9</f>
        <v>3301071.279445728</v>
      </c>
    </row>
    <row r="10" spans="1:9" ht="19.5" customHeight="1">
      <c r="A10" s="309" t="str">
        <f>'Dist. Rev. Reconciliation'!A10</f>
        <v>GS &gt;50</v>
      </c>
      <c r="B10" s="264">
        <f>+'Forecast Data For 2011'!$C$13</f>
        <v>623806669.8519042</v>
      </c>
      <c r="C10" s="264">
        <f>+'Forecast Data For 2011'!$C$12</f>
        <v>1806009.478738651</v>
      </c>
      <c r="D10" s="264">
        <f>'Transformer Allowance'!B12</f>
        <v>654126</v>
      </c>
      <c r="E10" s="264">
        <f>+'Forecast Data For 2011'!$C$11*12</f>
        <v>10180.02756852423</v>
      </c>
      <c r="F10" s="264"/>
      <c r="G10" s="312">
        <f>'2011 Test Yr On Existing Rates'!F11</f>
        <v>2169282.0475808973</v>
      </c>
      <c r="H10" s="312">
        <f>'2011 Test Yr On Existing Rates'!G11</f>
        <v>6979876.832939327</v>
      </c>
      <c r="I10" s="312">
        <f t="shared" si="0"/>
        <v>9149158.880520225</v>
      </c>
    </row>
    <row r="11" spans="1:9" ht="19.5" customHeight="1">
      <c r="A11" s="309" t="str">
        <f>'Dist. Rev. Reconciliation'!A11</f>
        <v>Large Use</v>
      </c>
      <c r="B11" s="264">
        <f>'Forecast Data For 2011'!C16</f>
        <v>0</v>
      </c>
      <c r="C11" s="264">
        <f>+'Forecast Data For 2011'!$C$15</f>
        <v>0</v>
      </c>
      <c r="D11" s="264">
        <f>'Transformer Allowance'!B13</f>
        <v>0</v>
      </c>
      <c r="E11" s="264">
        <f>+'Forecast Data For 2011'!$C$14*12</f>
        <v>0</v>
      </c>
      <c r="F11" s="264"/>
      <c r="G11" s="312">
        <f>'2011 Test Yr On Existing Rates'!F12</f>
        <v>0</v>
      </c>
      <c r="H11" s="312">
        <f>'2011 Test Yr On Existing Rates'!G12</f>
        <v>0</v>
      </c>
      <c r="I11" s="312">
        <f t="shared" si="0"/>
        <v>0</v>
      </c>
    </row>
    <row r="12" spans="1:9" ht="19.5" customHeight="1">
      <c r="A12" s="309" t="str">
        <f>'Dist. Rev. Reconciliation'!A13</f>
        <v>Sentinel Lights</v>
      </c>
      <c r="B12" s="264">
        <f>+'Forecast Data For 2011'!$C$19</f>
        <v>292817.0019203169</v>
      </c>
      <c r="C12" s="264">
        <f>+'Forecast Data For 2011'!$C$18</f>
        <v>808.9826992464147</v>
      </c>
      <c r="D12" s="264"/>
      <c r="E12" s="264"/>
      <c r="F12" s="264">
        <f>+'Forecast Data For 2011'!$C$17*12</f>
        <v>6721.5352567159025</v>
      </c>
      <c r="G12" s="312">
        <f>'2011 Test Yr On Existing Rates'!F13</f>
        <v>7004.8548201233425</v>
      </c>
      <c r="H12" s="312">
        <f>'2011 Test Yr On Existing Rates'!G13</f>
        <v>1053.1938096796885</v>
      </c>
      <c r="I12" s="312">
        <f t="shared" si="0"/>
        <v>8058.048629803031</v>
      </c>
    </row>
    <row r="13" spans="1:9" ht="19.5" customHeight="1">
      <c r="A13" s="309" t="str">
        <f>'Dist. Rev. Reconciliation'!A14</f>
        <v>Street Lighting</v>
      </c>
      <c r="B13" s="264">
        <f>+'Forecast Data For 2011'!$C$22</f>
        <v>7467590.678805388</v>
      </c>
      <c r="C13" s="264">
        <f>+'Forecast Data For 2011'!$C$21</f>
        <v>20107.421231269767</v>
      </c>
      <c r="D13" s="264"/>
      <c r="E13" s="264"/>
      <c r="F13" s="264">
        <f>+'Forecast Data For 2011'!$C$20*12</f>
        <v>148892.17853361185</v>
      </c>
      <c r="G13" s="312">
        <f>'2011 Test Yr On Existing Rates'!F14</f>
        <v>56525.336475373915</v>
      </c>
      <c r="H13" s="312">
        <f>'2011 Test Yr On Existing Rates'!G14</f>
        <v>29941.93721054327</v>
      </c>
      <c r="I13" s="312">
        <f t="shared" si="0"/>
        <v>86467.27368591719</v>
      </c>
    </row>
    <row r="14" spans="1:9" ht="19.5" customHeight="1">
      <c r="A14" s="309" t="str">
        <f>'Dist. Rev. Reconciliation'!A15</f>
        <v>USL</v>
      </c>
      <c r="B14" s="264">
        <f>+'Forecast Data For 2011'!$C$24</f>
        <v>2335427.833945072</v>
      </c>
      <c r="C14" s="264"/>
      <c r="D14" s="264"/>
      <c r="E14" s="264"/>
      <c r="F14" s="264">
        <f>+'Forecast Data For 2011'!$C$23*12</f>
        <v>5582.365047206665</v>
      </c>
      <c r="G14" s="312">
        <f>'2011 Test Yr On Existing Rates'!F15</f>
        <v>98507.13477055154</v>
      </c>
      <c r="H14" s="312">
        <f>'2011 Test Yr On Existing Rates'!G15</f>
        <v>28810.688395931575</v>
      </c>
      <c r="I14" s="312">
        <f t="shared" si="0"/>
        <v>127317.82316648311</v>
      </c>
    </row>
    <row r="15" spans="1:9" ht="24.75" customHeight="1" thickBot="1">
      <c r="A15" s="57" t="s">
        <v>41</v>
      </c>
      <c r="B15" s="265">
        <f aca="true" t="shared" si="1" ref="B15:I15">SUM(B8:B14)</f>
        <v>1214746971.2248945</v>
      </c>
      <c r="C15" s="265">
        <f t="shared" si="1"/>
        <v>1826925.8826691671</v>
      </c>
      <c r="D15" s="265">
        <f t="shared" si="1"/>
        <v>654126</v>
      </c>
      <c r="E15" s="265">
        <f t="shared" si="1"/>
        <v>625205.734914587</v>
      </c>
      <c r="F15" s="265">
        <f t="shared" si="1"/>
        <v>161196.0788375344</v>
      </c>
      <c r="G15" s="266">
        <f t="shared" si="1"/>
        <v>12110789.687979558</v>
      </c>
      <c r="H15" s="266">
        <f t="shared" si="1"/>
        <v>15138994.388635512</v>
      </c>
      <c r="I15" s="266">
        <f t="shared" si="1"/>
        <v>27249784.07661507</v>
      </c>
    </row>
    <row r="16" spans="1:9" ht="9.75" customHeight="1" thickTop="1">
      <c r="A16" s="545"/>
      <c r="B16" s="545"/>
      <c r="C16" s="545"/>
      <c r="D16" s="545"/>
      <c r="E16" s="545"/>
      <c r="F16" s="545"/>
      <c r="G16" s="545"/>
      <c r="H16" s="545"/>
      <c r="I16" s="545"/>
    </row>
    <row r="17" spans="1:9" ht="18" customHeight="1">
      <c r="A17" s="619" t="s">
        <v>145</v>
      </c>
      <c r="B17" s="545"/>
      <c r="C17" s="545"/>
      <c r="D17" s="545"/>
      <c r="E17" s="545"/>
      <c r="F17" s="545"/>
      <c r="G17" s="545"/>
      <c r="H17" s="545"/>
      <c r="I17" s="8"/>
    </row>
    <row r="18" spans="1:9" ht="18" customHeight="1">
      <c r="A18" s="620" t="str">
        <f>A10</f>
        <v>GS &gt;50</v>
      </c>
      <c r="B18" s="545"/>
      <c r="C18" s="545"/>
      <c r="D18" s="545"/>
      <c r="E18" s="545"/>
      <c r="F18" s="545"/>
      <c r="G18" s="545"/>
      <c r="H18" s="545"/>
      <c r="I18" s="320">
        <f>'Transformer Allowance'!C12</f>
        <v>-392475.6</v>
      </c>
    </row>
    <row r="19" spans="1:9" ht="18" customHeight="1">
      <c r="A19" s="620" t="str">
        <f>A11</f>
        <v>Large Use</v>
      </c>
      <c r="B19" s="545"/>
      <c r="C19" s="545"/>
      <c r="D19" s="545"/>
      <c r="E19" s="545"/>
      <c r="F19" s="545"/>
      <c r="G19" s="545"/>
      <c r="H19" s="545"/>
      <c r="I19" s="320">
        <f>'Transformer Allowance'!C13</f>
        <v>0</v>
      </c>
    </row>
    <row r="20" spans="1:9" ht="7.5" customHeight="1">
      <c r="A20" s="545"/>
      <c r="B20" s="545"/>
      <c r="C20" s="545"/>
      <c r="D20" s="545"/>
      <c r="E20" s="545"/>
      <c r="F20" s="545"/>
      <c r="G20" s="545"/>
      <c r="H20" s="545"/>
      <c r="I20" s="320"/>
    </row>
    <row r="21" spans="1:9" ht="18" customHeight="1" thickBot="1">
      <c r="A21" s="553" t="s">
        <v>146</v>
      </c>
      <c r="B21" s="553"/>
      <c r="C21" s="553"/>
      <c r="D21" s="553"/>
      <c r="E21" s="553"/>
      <c r="F21" s="553"/>
      <c r="G21" s="553"/>
      <c r="H21" s="553"/>
      <c r="I21" s="321">
        <f>+I15+I18+I19</f>
        <v>26857308.476615068</v>
      </c>
    </row>
    <row r="22" spans="1:9" ht="7.5" customHeight="1" thickTop="1">
      <c r="A22" s="545"/>
      <c r="B22" s="545"/>
      <c r="C22" s="545"/>
      <c r="D22" s="545"/>
      <c r="E22" s="545"/>
      <c r="F22" s="545"/>
      <c r="G22" s="545"/>
      <c r="H22" s="545"/>
      <c r="I22" s="322"/>
    </row>
    <row r="23" spans="1:9" ht="18" customHeight="1">
      <c r="A23" s="617" t="s">
        <v>143</v>
      </c>
      <c r="B23" s="617"/>
      <c r="C23" s="617"/>
      <c r="D23" s="617"/>
      <c r="E23" s="617"/>
      <c r="F23" s="617"/>
      <c r="G23" s="617"/>
      <c r="H23" s="617"/>
      <c r="I23" s="323">
        <f>+'Revenue Input'!B9</f>
        <v>2185746.71</v>
      </c>
    </row>
    <row r="24" spans="1:9" ht="18" customHeight="1" thickBot="1">
      <c r="A24" s="553" t="s">
        <v>144</v>
      </c>
      <c r="B24" s="553"/>
      <c r="C24" s="553"/>
      <c r="D24" s="553"/>
      <c r="E24" s="553"/>
      <c r="F24" s="553"/>
      <c r="G24" s="553"/>
      <c r="H24" s="553"/>
      <c r="I24" s="324">
        <f>+I21+I23</f>
        <v>29043055.18661507</v>
      </c>
    </row>
    <row r="25" spans="1:9" ht="7.5" customHeight="1">
      <c r="A25" s="545"/>
      <c r="B25" s="545"/>
      <c r="C25" s="545"/>
      <c r="D25" s="545"/>
      <c r="E25" s="545"/>
      <c r="F25" s="545"/>
      <c r="G25" s="545"/>
      <c r="H25" s="545"/>
      <c r="I25" s="322"/>
    </row>
    <row r="26" spans="1:9" ht="18" customHeight="1" thickBot="1">
      <c r="A26" s="553" t="s">
        <v>141</v>
      </c>
      <c r="B26" s="553"/>
      <c r="C26" s="553"/>
      <c r="D26" s="553"/>
      <c r="E26" s="553"/>
      <c r="F26" s="553"/>
      <c r="G26" s="553"/>
      <c r="H26" s="553"/>
      <c r="I26" s="324">
        <f>+'Revenue Input'!B8</f>
        <v>32421329.780409973</v>
      </c>
    </row>
    <row r="27" spans="1:9" ht="7.5" customHeight="1">
      <c r="A27" s="545"/>
      <c r="B27" s="545"/>
      <c r="C27" s="545"/>
      <c r="D27" s="545"/>
      <c r="E27" s="545"/>
      <c r="F27" s="545"/>
      <c r="G27" s="545"/>
      <c r="H27" s="545"/>
      <c r="I27" s="325"/>
    </row>
    <row r="28" spans="1:9" ht="18" customHeight="1" thickBot="1">
      <c r="A28" s="553" t="s">
        <v>142</v>
      </c>
      <c r="B28" s="553"/>
      <c r="C28" s="553"/>
      <c r="D28" s="553"/>
      <c r="E28" s="553"/>
      <c r="F28" s="553"/>
      <c r="G28" s="553"/>
      <c r="H28" s="553"/>
      <c r="I28" s="326">
        <f>+I26-I24</f>
        <v>3378274.5937949046</v>
      </c>
    </row>
    <row r="29" ht="13.5" thickTop="1"/>
    <row r="30" spans="7:11" ht="13.5" thickBot="1">
      <c r="G30" s="16" t="s">
        <v>272</v>
      </c>
      <c r="H30" s="16"/>
      <c r="I30" s="466">
        <v>3378274.593794905</v>
      </c>
      <c r="J30" s="16"/>
      <c r="K30" s="16"/>
    </row>
    <row r="31" spans="7:11" ht="13.5" thickTop="1">
      <c r="G31" s="16" t="s">
        <v>273</v>
      </c>
      <c r="H31" s="16"/>
      <c r="I31" s="16"/>
      <c r="J31" s="16"/>
      <c r="K31" s="16"/>
    </row>
    <row r="32" ht="12.75">
      <c r="I32" s="9"/>
    </row>
  </sheetData>
  <mergeCells count="19">
    <mergeCell ref="A5:I5"/>
    <mergeCell ref="A6:I6"/>
    <mergeCell ref="A1:I1"/>
    <mergeCell ref="A2:I2"/>
    <mergeCell ref="A3:I3"/>
    <mergeCell ref="A4:I4"/>
    <mergeCell ref="A16:I16"/>
    <mergeCell ref="A17:H17"/>
    <mergeCell ref="A18:H18"/>
    <mergeCell ref="A19:H19"/>
    <mergeCell ref="A20:H20"/>
    <mergeCell ref="A21:H21"/>
    <mergeCell ref="A22:H22"/>
    <mergeCell ref="A23:H23"/>
    <mergeCell ref="A28:H28"/>
    <mergeCell ref="A24:H24"/>
    <mergeCell ref="A25:H25"/>
    <mergeCell ref="A26:H26"/>
    <mergeCell ref="A27:H27"/>
  </mergeCells>
  <printOptions/>
  <pageMargins left="0.75" right="0.75" top="1" bottom="1" header="0.5" footer="0.5"/>
  <pageSetup fitToHeight="1" fitToWidth="1" horizontalDpi="355" verticalDpi="355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0">
      <selection activeCell="A1" sqref="A1:IV16384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4.57421875" style="0" customWidth="1"/>
    <col min="4" max="4" width="7.00390625" style="16" customWidth="1"/>
    <col min="5" max="5" width="13.421875" style="0" bestFit="1" customWidth="1"/>
    <col min="6" max="6" width="13.8515625" style="0" customWidth="1"/>
    <col min="7" max="7" width="13.421875" style="0" bestFit="1" customWidth="1"/>
    <col min="8" max="8" width="11.28125" style="0" bestFit="1" customWidth="1"/>
    <col min="9" max="9" width="11.140625" style="0" bestFit="1" customWidth="1"/>
    <col min="10" max="10" width="12.7109375" style="0" bestFit="1" customWidth="1"/>
    <col min="11" max="11" width="12.7109375" style="0" customWidth="1"/>
    <col min="12" max="12" width="11.7109375" style="0" bestFit="1" customWidth="1"/>
    <col min="13" max="13" width="10.140625" style="0" bestFit="1" customWidth="1"/>
  </cols>
  <sheetData>
    <row r="1" spans="1:4" ht="12.75">
      <c r="A1" s="344" t="str">
        <f>+'Revenue Input'!A1</f>
        <v>Niagara Peninsula Energy</v>
      </c>
      <c r="B1" s="344"/>
      <c r="C1" s="344"/>
      <c r="D1" s="438"/>
    </row>
    <row r="2" spans="1:4" ht="12.75">
      <c r="A2" s="344" t="str">
        <f>+'Revenue Input'!A2</f>
        <v>, License Number ED-2007-0749, File Number EB-2010-0138</v>
      </c>
      <c r="B2" s="344"/>
      <c r="C2" s="344"/>
      <c r="D2" s="438"/>
    </row>
    <row r="3" spans="1:4" ht="12.75">
      <c r="A3" s="344" t="s">
        <v>315</v>
      </c>
      <c r="B3" s="344"/>
      <c r="C3" s="344"/>
      <c r="D3" s="438"/>
    </row>
    <row r="4" spans="1:11" ht="27" customHeight="1">
      <c r="A4" s="546" t="s">
        <v>216</v>
      </c>
      <c r="B4" s="547"/>
      <c r="C4" s="548"/>
      <c r="D4" s="426"/>
      <c r="I4" s="350"/>
      <c r="J4" s="350"/>
      <c r="K4" s="25"/>
    </row>
    <row r="5" spans="1:11" ht="18.75" customHeight="1">
      <c r="A5" s="315" t="s">
        <v>30</v>
      </c>
      <c r="B5" s="315"/>
      <c r="C5" s="428"/>
      <c r="D5" s="426"/>
      <c r="E5" s="350"/>
      <c r="F5" s="350"/>
      <c r="G5" s="350"/>
      <c r="H5" s="350"/>
      <c r="I5" s="452" t="s">
        <v>262</v>
      </c>
      <c r="J5" s="451" t="s">
        <v>264</v>
      </c>
      <c r="K5" s="461"/>
    </row>
    <row r="6" spans="1:13" ht="39" thickBot="1">
      <c r="A6" s="76" t="s">
        <v>24</v>
      </c>
      <c r="B6" s="77" t="s">
        <v>176</v>
      </c>
      <c r="C6" s="77" t="s">
        <v>217</v>
      </c>
      <c r="D6" s="439"/>
      <c r="E6" s="455" t="s">
        <v>258</v>
      </c>
      <c r="F6" s="456" t="s">
        <v>259</v>
      </c>
      <c r="G6" s="457" t="s">
        <v>260</v>
      </c>
      <c r="H6" s="458" t="s">
        <v>261</v>
      </c>
      <c r="I6" s="459" t="s">
        <v>263</v>
      </c>
      <c r="J6" s="458" t="s">
        <v>41</v>
      </c>
      <c r="K6" s="460"/>
      <c r="L6" s="460" t="s">
        <v>265</v>
      </c>
      <c r="M6" s="460" t="s">
        <v>266</v>
      </c>
    </row>
    <row r="7" spans="1:15" ht="15" customHeight="1">
      <c r="A7" s="286" t="s">
        <v>209</v>
      </c>
      <c r="B7" s="70" t="s">
        <v>177</v>
      </c>
      <c r="C7" s="429">
        <v>46899.8322127209</v>
      </c>
      <c r="D7" s="427"/>
      <c r="E7" s="453">
        <v>14391.380060337216</v>
      </c>
      <c r="F7" s="445">
        <v>32337.7211779924</v>
      </c>
      <c r="G7" s="441">
        <f>SUM(E7:F7)</f>
        <v>46729.10123832962</v>
      </c>
      <c r="H7" s="449">
        <f>C7-G7</f>
        <v>170.7309743912847</v>
      </c>
      <c r="I7" s="453">
        <f>F7+H7</f>
        <v>32508.452152383685</v>
      </c>
      <c r="J7" s="447">
        <f>E7+I7</f>
        <v>46899.8322127209</v>
      </c>
      <c r="K7" s="462">
        <f>C7-J7</f>
        <v>0</v>
      </c>
      <c r="L7" s="440">
        <f>E7*0.66</f>
        <v>9498.310839822563</v>
      </c>
      <c r="M7" s="338">
        <f>E7-L7</f>
        <v>4893.069220514653</v>
      </c>
      <c r="N7" s="511">
        <f aca="true" t="shared" si="0" ref="N7:N13">E7/C7</f>
        <v>0.3068535510972204</v>
      </c>
      <c r="O7" s="491">
        <f>1-N7</f>
        <v>0.6931464489027797</v>
      </c>
    </row>
    <row r="8" spans="1:15" ht="15" customHeight="1" thickBot="1">
      <c r="A8" s="73"/>
      <c r="B8" s="74" t="s">
        <v>16</v>
      </c>
      <c r="C8" s="431">
        <v>459406922.9621654</v>
      </c>
      <c r="D8" s="427"/>
      <c r="E8" s="454">
        <v>159079583.9492144</v>
      </c>
      <c r="F8" s="446">
        <v>269698937.4358495</v>
      </c>
      <c r="G8" s="442">
        <f aca="true" t="shared" si="1" ref="G8:G24">SUM(E8:F8)</f>
        <v>428778521.3850639</v>
      </c>
      <c r="H8" s="450">
        <f aca="true" t="shared" si="2" ref="H8:H27">C8-G8</f>
        <v>30628401.57710153</v>
      </c>
      <c r="I8" s="454">
        <f>F8+H8</f>
        <v>300327339.012951</v>
      </c>
      <c r="J8" s="448">
        <f aca="true" t="shared" si="3" ref="J8:J27">E8+I8</f>
        <v>459406922.9621654</v>
      </c>
      <c r="K8" s="462">
        <f aca="true" t="shared" si="4" ref="K8:K27">C8-J8</f>
        <v>0</v>
      </c>
      <c r="L8" s="440">
        <f>E8*0.5</f>
        <v>79539791.9746072</v>
      </c>
      <c r="M8" s="338">
        <f>E8-L8</f>
        <v>79539791.9746072</v>
      </c>
      <c r="N8" s="511">
        <f t="shared" si="0"/>
        <v>0.3462716297862918</v>
      </c>
      <c r="O8" s="491">
        <f aca="true" t="shared" si="5" ref="O8:O13">1-N8</f>
        <v>0.6537283702137082</v>
      </c>
    </row>
    <row r="9" spans="1:15" ht="15" customHeight="1">
      <c r="A9" s="286" t="s">
        <v>210</v>
      </c>
      <c r="B9" s="70" t="s">
        <v>177</v>
      </c>
      <c r="C9" s="430">
        <v>4352.3100661176595</v>
      </c>
      <c r="D9" s="427"/>
      <c r="E9" s="453">
        <v>1546.2340650056135</v>
      </c>
      <c r="F9" s="445">
        <v>2893.8507493342754</v>
      </c>
      <c r="G9" s="441">
        <f t="shared" si="1"/>
        <v>4440.084814339889</v>
      </c>
      <c r="H9" s="449">
        <f t="shared" si="2"/>
        <v>-87.77474822222939</v>
      </c>
      <c r="I9" s="453">
        <f aca="true" t="shared" si="6" ref="I9:I27">F9+H9</f>
        <v>2806.076001112046</v>
      </c>
      <c r="J9" s="447">
        <f t="shared" si="3"/>
        <v>4352.3100661176595</v>
      </c>
      <c r="K9" s="462">
        <f t="shared" si="4"/>
        <v>0</v>
      </c>
      <c r="L9" s="440"/>
      <c r="N9" s="511">
        <f t="shared" si="0"/>
        <v>0.3552674422355397</v>
      </c>
      <c r="O9" s="491">
        <f t="shared" si="5"/>
        <v>0.6447325577644603</v>
      </c>
    </row>
    <row r="10" spans="1:15" ht="15" customHeight="1" thickBot="1">
      <c r="A10" s="73"/>
      <c r="B10" s="74" t="s">
        <v>16</v>
      </c>
      <c r="C10" s="431">
        <v>121437542.89615433</v>
      </c>
      <c r="D10" s="427"/>
      <c r="E10" s="454">
        <v>39859872.202590816</v>
      </c>
      <c r="F10" s="446">
        <v>94547967.42427918</v>
      </c>
      <c r="G10" s="442">
        <f t="shared" si="1"/>
        <v>134407839.62687</v>
      </c>
      <c r="H10" s="450">
        <f t="shared" si="2"/>
        <v>-12970296.730715677</v>
      </c>
      <c r="I10" s="454">
        <f t="shared" si="6"/>
        <v>81577670.6935635</v>
      </c>
      <c r="J10" s="448">
        <f t="shared" si="3"/>
        <v>121437542.89615431</v>
      </c>
      <c r="K10" s="462">
        <f t="shared" si="4"/>
        <v>0</v>
      </c>
      <c r="L10" s="440"/>
      <c r="N10" s="511">
        <f t="shared" si="0"/>
        <v>0.3282335203099131</v>
      </c>
      <c r="O10" s="491">
        <f t="shared" si="5"/>
        <v>0.6717664796900868</v>
      </c>
    </row>
    <row r="11" spans="1:15" ht="15" customHeight="1">
      <c r="A11" s="286" t="s">
        <v>211</v>
      </c>
      <c r="B11" s="70" t="s">
        <v>177</v>
      </c>
      <c r="C11" s="432">
        <v>848.3356307103525</v>
      </c>
      <c r="D11" s="427"/>
      <c r="E11" s="453">
        <v>220.98465217033822</v>
      </c>
      <c r="F11" s="445">
        <v>629.5528802213157</v>
      </c>
      <c r="G11" s="441">
        <f t="shared" si="1"/>
        <v>850.5375323916539</v>
      </c>
      <c r="H11" s="449">
        <f t="shared" si="2"/>
        <v>-2.2019016813014787</v>
      </c>
      <c r="I11" s="453">
        <f t="shared" si="6"/>
        <v>627.3509785400142</v>
      </c>
      <c r="J11" s="447">
        <f t="shared" si="3"/>
        <v>848.3356307103525</v>
      </c>
      <c r="K11" s="462">
        <f t="shared" si="4"/>
        <v>0</v>
      </c>
      <c r="L11" s="440"/>
      <c r="N11" s="511">
        <f t="shared" si="0"/>
        <v>0.2604920083166813</v>
      </c>
      <c r="O11" s="491">
        <f t="shared" si="5"/>
        <v>0.7395079916833187</v>
      </c>
    </row>
    <row r="12" spans="1:15" ht="15" customHeight="1">
      <c r="A12" s="72"/>
      <c r="B12" s="68" t="s">
        <v>17</v>
      </c>
      <c r="C12" s="430">
        <v>1806009.478738651</v>
      </c>
      <c r="D12" s="427"/>
      <c r="E12" s="453">
        <v>460211.6167489803</v>
      </c>
      <c r="F12" s="445">
        <v>1408462.3376428606</v>
      </c>
      <c r="G12" s="441">
        <f t="shared" si="1"/>
        <v>1868673.9543918408</v>
      </c>
      <c r="H12" s="449">
        <f t="shared" si="2"/>
        <v>-62664.47565318993</v>
      </c>
      <c r="I12" s="453">
        <f t="shared" si="6"/>
        <v>1345797.8619896707</v>
      </c>
      <c r="J12" s="447">
        <f t="shared" si="3"/>
        <v>1806009.478738651</v>
      </c>
      <c r="K12" s="462">
        <f t="shared" si="4"/>
        <v>0</v>
      </c>
      <c r="L12" s="440"/>
      <c r="N12" s="511">
        <f t="shared" si="0"/>
        <v>0.2548223706280879</v>
      </c>
      <c r="O12" s="491">
        <f t="shared" si="5"/>
        <v>0.7451776293719121</v>
      </c>
    </row>
    <row r="13" spans="1:15" ht="15" customHeight="1" thickBot="1">
      <c r="A13" s="73"/>
      <c r="B13" s="74" t="s">
        <v>16</v>
      </c>
      <c r="C13" s="431">
        <v>623806669.8519042</v>
      </c>
      <c r="D13" s="427"/>
      <c r="E13" s="454">
        <v>136909576.91643056</v>
      </c>
      <c r="F13" s="446">
        <v>524913262.9031787</v>
      </c>
      <c r="G13" s="442">
        <f t="shared" si="1"/>
        <v>661822839.8196093</v>
      </c>
      <c r="H13" s="450">
        <f t="shared" si="2"/>
        <v>-38016169.96770513</v>
      </c>
      <c r="I13" s="454">
        <f t="shared" si="6"/>
        <v>486897092.93547356</v>
      </c>
      <c r="J13" s="448">
        <f t="shared" si="3"/>
        <v>623806669.8519042</v>
      </c>
      <c r="K13" s="462">
        <f t="shared" si="4"/>
        <v>0</v>
      </c>
      <c r="L13" s="440"/>
      <c r="N13" s="511">
        <f t="shared" si="0"/>
        <v>0.21947437168142783</v>
      </c>
      <c r="O13" s="491">
        <f t="shared" si="5"/>
        <v>0.7805256283185722</v>
      </c>
    </row>
    <row r="14" spans="1:12" ht="15" customHeight="1">
      <c r="A14" s="286" t="s">
        <v>212</v>
      </c>
      <c r="B14" s="347" t="s">
        <v>177</v>
      </c>
      <c r="C14" s="433">
        <v>0</v>
      </c>
      <c r="D14" s="427"/>
      <c r="E14" s="453">
        <v>0</v>
      </c>
      <c r="F14" s="447">
        <v>0</v>
      </c>
      <c r="G14" s="441">
        <f t="shared" si="1"/>
        <v>0</v>
      </c>
      <c r="H14" s="449">
        <f t="shared" si="2"/>
        <v>0</v>
      </c>
      <c r="I14" s="453">
        <f t="shared" si="6"/>
        <v>0</v>
      </c>
      <c r="J14" s="447">
        <f t="shared" si="3"/>
        <v>0</v>
      </c>
      <c r="K14" s="462">
        <f t="shared" si="4"/>
        <v>0</v>
      </c>
      <c r="L14" s="440"/>
    </row>
    <row r="15" spans="1:12" ht="15" customHeight="1">
      <c r="A15" s="72"/>
      <c r="B15" s="348" t="s">
        <v>17</v>
      </c>
      <c r="C15" s="425">
        <v>0</v>
      </c>
      <c r="D15" s="427"/>
      <c r="E15" s="453">
        <v>0</v>
      </c>
      <c r="F15" s="447">
        <v>0</v>
      </c>
      <c r="G15" s="441">
        <f t="shared" si="1"/>
        <v>0</v>
      </c>
      <c r="H15" s="449">
        <f t="shared" si="2"/>
        <v>0</v>
      </c>
      <c r="I15" s="453">
        <f t="shared" si="6"/>
        <v>0</v>
      </c>
      <c r="J15" s="447">
        <f t="shared" si="3"/>
        <v>0</v>
      </c>
      <c r="K15" s="462">
        <f t="shared" si="4"/>
        <v>0</v>
      </c>
      <c r="L15" s="440"/>
    </row>
    <row r="16" spans="1:12" ht="15" customHeight="1" thickBot="1">
      <c r="A16" s="73"/>
      <c r="B16" s="349" t="s">
        <v>16</v>
      </c>
      <c r="C16" s="434">
        <v>0</v>
      </c>
      <c r="D16" s="427"/>
      <c r="E16" s="454">
        <v>0</v>
      </c>
      <c r="F16" s="448">
        <v>0</v>
      </c>
      <c r="G16" s="442">
        <f t="shared" si="1"/>
        <v>0</v>
      </c>
      <c r="H16" s="450">
        <f t="shared" si="2"/>
        <v>0</v>
      </c>
      <c r="I16" s="454">
        <f t="shared" si="6"/>
        <v>0</v>
      </c>
      <c r="J16" s="448">
        <f t="shared" si="3"/>
        <v>0</v>
      </c>
      <c r="K16" s="462">
        <f t="shared" si="4"/>
        <v>0</v>
      </c>
      <c r="L16" s="440"/>
    </row>
    <row r="17" spans="1:15" ht="15" customHeight="1">
      <c r="A17" s="286" t="s">
        <v>213</v>
      </c>
      <c r="B17" s="347" t="s">
        <v>178</v>
      </c>
      <c r="C17" s="433">
        <v>560.1279380596585</v>
      </c>
      <c r="D17" s="427"/>
      <c r="E17" s="453">
        <v>540.0471698113208</v>
      </c>
      <c r="F17" s="443">
        <v>22.641011121753916</v>
      </c>
      <c r="G17" s="441">
        <f t="shared" si="1"/>
        <v>562.6881809330747</v>
      </c>
      <c r="H17" s="449">
        <f t="shared" si="2"/>
        <v>-2.5602428734162004</v>
      </c>
      <c r="I17" s="453">
        <f t="shared" si="6"/>
        <v>20.080768248337716</v>
      </c>
      <c r="J17" s="447">
        <f t="shared" si="3"/>
        <v>560.1279380596585</v>
      </c>
      <c r="K17" s="462">
        <f t="shared" si="4"/>
        <v>0</v>
      </c>
      <c r="L17" s="440"/>
      <c r="N17" s="511">
        <f aca="true" t="shared" si="7" ref="N17:N26">E17/C17</f>
        <v>0.9641496756653497</v>
      </c>
      <c r="O17" s="491">
        <f>1-N17</f>
        <v>0.035850324334650296</v>
      </c>
    </row>
    <row r="18" spans="1:15" ht="15" customHeight="1">
      <c r="A18" s="72"/>
      <c r="B18" s="348" t="s">
        <v>17</v>
      </c>
      <c r="C18" s="425">
        <v>808.9826992464147</v>
      </c>
      <c r="D18" s="427"/>
      <c r="E18" s="453">
        <v>713.3129774587485</v>
      </c>
      <c r="F18" s="443">
        <v>95.99624775298271</v>
      </c>
      <c r="G18" s="441">
        <f t="shared" si="1"/>
        <v>809.3092252117312</v>
      </c>
      <c r="H18" s="449">
        <f t="shared" si="2"/>
        <v>-0.3265259653165913</v>
      </c>
      <c r="I18" s="453">
        <f>F18</f>
        <v>95.99624775298271</v>
      </c>
      <c r="J18" s="447">
        <f t="shared" si="3"/>
        <v>809.3092252117312</v>
      </c>
      <c r="K18" s="462">
        <f t="shared" si="4"/>
        <v>-0.3265259653165913</v>
      </c>
      <c r="L18" s="440"/>
      <c r="N18" s="511">
        <f t="shared" si="7"/>
        <v>0.8817407073392489</v>
      </c>
      <c r="O18" s="491">
        <f aca="true" t="shared" si="8" ref="O18:O27">1-N18</f>
        <v>0.11825929266075108</v>
      </c>
    </row>
    <row r="19" spans="1:15" ht="15" customHeight="1" thickBot="1">
      <c r="A19" s="73"/>
      <c r="B19" s="74" t="s">
        <v>16</v>
      </c>
      <c r="C19" s="431">
        <v>292817.0019203169</v>
      </c>
      <c r="D19" s="427"/>
      <c r="E19" s="454">
        <v>240496.431451975</v>
      </c>
      <c r="F19" s="444">
        <v>52028.91881441347</v>
      </c>
      <c r="G19" s="442">
        <f t="shared" si="1"/>
        <v>292525.35026638844</v>
      </c>
      <c r="H19" s="450">
        <f t="shared" si="2"/>
        <v>291.6516539284494</v>
      </c>
      <c r="I19" s="454">
        <f t="shared" si="6"/>
        <v>52320.57046834192</v>
      </c>
      <c r="J19" s="448">
        <f t="shared" si="3"/>
        <v>292817.0019203169</v>
      </c>
      <c r="K19" s="462">
        <f t="shared" si="4"/>
        <v>0</v>
      </c>
      <c r="L19" s="440"/>
      <c r="N19" s="511">
        <f t="shared" si="7"/>
        <v>0.8213199024468542</v>
      </c>
      <c r="O19" s="491">
        <f t="shared" si="8"/>
        <v>0.17868009755314584</v>
      </c>
    </row>
    <row r="20" spans="1:15" ht="15" customHeight="1">
      <c r="A20" s="286" t="s">
        <v>214</v>
      </c>
      <c r="B20" s="70" t="s">
        <v>178</v>
      </c>
      <c r="C20" s="432">
        <v>12407.681544467654</v>
      </c>
      <c r="D20" s="427"/>
      <c r="E20" s="453">
        <v>2740.691155746333</v>
      </c>
      <c r="F20" s="443">
        <v>9703.807998570757</v>
      </c>
      <c r="G20" s="441">
        <f t="shared" si="1"/>
        <v>12444.49915431709</v>
      </c>
      <c r="H20" s="449">
        <f t="shared" si="2"/>
        <v>-36.81760984943685</v>
      </c>
      <c r="I20" s="453">
        <f t="shared" si="6"/>
        <v>9666.99038872132</v>
      </c>
      <c r="J20" s="447">
        <f t="shared" si="3"/>
        <v>12407.681544467654</v>
      </c>
      <c r="K20" s="462">
        <f t="shared" si="4"/>
        <v>0</v>
      </c>
      <c r="L20" s="440"/>
      <c r="N20" s="511">
        <f t="shared" si="7"/>
        <v>0.22088664557709853</v>
      </c>
      <c r="O20" s="491">
        <f t="shared" si="8"/>
        <v>0.7791133544229014</v>
      </c>
    </row>
    <row r="21" spans="1:15" ht="15" customHeight="1">
      <c r="A21" s="72"/>
      <c r="B21" s="68" t="s">
        <v>17</v>
      </c>
      <c r="C21" s="430">
        <v>20107.421231269767</v>
      </c>
      <c r="D21" s="427"/>
      <c r="E21" s="453">
        <v>4552.141963208361</v>
      </c>
      <c r="F21" s="443">
        <v>15954.412109414485</v>
      </c>
      <c r="G21" s="441">
        <f t="shared" si="1"/>
        <v>20506.554072622846</v>
      </c>
      <c r="H21" s="449">
        <f t="shared" si="2"/>
        <v>-399.13284135307913</v>
      </c>
      <c r="I21" s="453">
        <f t="shared" si="6"/>
        <v>15555.279268061406</v>
      </c>
      <c r="J21" s="447">
        <f t="shared" si="3"/>
        <v>20107.421231269767</v>
      </c>
      <c r="K21" s="462">
        <f t="shared" si="4"/>
        <v>0</v>
      </c>
      <c r="L21" s="440"/>
      <c r="N21" s="511">
        <f t="shared" si="7"/>
        <v>0.2263911374238862</v>
      </c>
      <c r="O21" s="491">
        <f t="shared" si="8"/>
        <v>0.7736088625761138</v>
      </c>
    </row>
    <row r="22" spans="1:15" ht="15" customHeight="1" thickBot="1">
      <c r="A22" s="73"/>
      <c r="B22" s="74" t="s">
        <v>16</v>
      </c>
      <c r="C22" s="431">
        <v>7467590.678805388</v>
      </c>
      <c r="D22" s="427"/>
      <c r="E22" s="454">
        <v>1714312.4013307898</v>
      </c>
      <c r="F22" s="444">
        <v>5971119.708790926</v>
      </c>
      <c r="G22" s="442">
        <f t="shared" si="1"/>
        <v>7685432.110121716</v>
      </c>
      <c r="H22" s="450">
        <f t="shared" si="2"/>
        <v>-217841.43131632823</v>
      </c>
      <c r="I22" s="454">
        <f t="shared" si="6"/>
        <v>5753278.277474598</v>
      </c>
      <c r="J22" s="448">
        <f t="shared" si="3"/>
        <v>7467590.678805388</v>
      </c>
      <c r="K22" s="462">
        <f t="shared" si="4"/>
        <v>0</v>
      </c>
      <c r="L22" s="440"/>
      <c r="N22" s="511">
        <f t="shared" si="7"/>
        <v>0.22956700160285612</v>
      </c>
      <c r="O22" s="491">
        <f t="shared" si="8"/>
        <v>0.7704329983971439</v>
      </c>
    </row>
    <row r="23" spans="1:15" ht="15" customHeight="1">
      <c r="A23" s="286" t="s">
        <v>215</v>
      </c>
      <c r="B23" s="70" t="s">
        <v>178</v>
      </c>
      <c r="C23" s="432">
        <v>465.19708726722206</v>
      </c>
      <c r="D23" s="427"/>
      <c r="E23" s="453">
        <v>151.21728296285008</v>
      </c>
      <c r="F23" s="443">
        <v>314</v>
      </c>
      <c r="G23" s="441">
        <f t="shared" si="1"/>
        <v>465.21728296285005</v>
      </c>
      <c r="H23" s="449">
        <f t="shared" si="2"/>
        <v>-0.020195695627990062</v>
      </c>
      <c r="I23" s="453">
        <f t="shared" si="6"/>
        <v>313.979804304372</v>
      </c>
      <c r="J23" s="447">
        <f t="shared" si="3"/>
        <v>465.19708726722206</v>
      </c>
      <c r="K23" s="462">
        <f t="shared" si="4"/>
        <v>0</v>
      </c>
      <c r="L23" s="440"/>
      <c r="N23" s="511">
        <f t="shared" si="7"/>
        <v>0.32506068309921876</v>
      </c>
      <c r="O23" s="491">
        <f t="shared" si="8"/>
        <v>0.6749393169007812</v>
      </c>
    </row>
    <row r="24" spans="1:15" ht="15" customHeight="1" thickBot="1">
      <c r="A24" s="73"/>
      <c r="B24" s="74" t="s">
        <v>16</v>
      </c>
      <c r="C24" s="430">
        <v>2335427.833945072</v>
      </c>
      <c r="D24" s="427"/>
      <c r="E24" s="454">
        <v>747453.4323946382</v>
      </c>
      <c r="F24" s="444">
        <v>1675756.0091252872</v>
      </c>
      <c r="G24" s="442">
        <f t="shared" si="1"/>
        <v>2423209.4415199254</v>
      </c>
      <c r="H24" s="450">
        <f t="shared" si="2"/>
        <v>-87781.60757485358</v>
      </c>
      <c r="I24" s="454">
        <f t="shared" si="6"/>
        <v>1587974.4015504336</v>
      </c>
      <c r="J24" s="448">
        <f t="shared" si="3"/>
        <v>2335427.833945072</v>
      </c>
      <c r="K24" s="462">
        <f t="shared" si="4"/>
        <v>0</v>
      </c>
      <c r="L24" s="440"/>
      <c r="N24" s="511">
        <f t="shared" si="7"/>
        <v>0.3200498947261489</v>
      </c>
      <c r="O24" s="491">
        <f t="shared" si="8"/>
        <v>0.679950105273851</v>
      </c>
    </row>
    <row r="25" spans="1:15" ht="15" customHeight="1">
      <c r="A25" s="351" t="s">
        <v>218</v>
      </c>
      <c r="B25" s="70" t="s">
        <v>219</v>
      </c>
      <c r="C25" s="435">
        <f>C7+C9+C11+C14+C17+C20+C23</f>
        <v>65533.48447934345</v>
      </c>
      <c r="D25" s="427"/>
      <c r="E25" s="71">
        <f>E7+E9+E11+E14+E17+E20+E23</f>
        <v>19590.554386033673</v>
      </c>
      <c r="F25" s="346">
        <f>F7+F9+F11+F14+F17+F20+F23</f>
        <v>45901.5738172405</v>
      </c>
      <c r="G25" s="346">
        <f>G7+G9+G11+G14+G17+G20+G23</f>
        <v>65492.12820327417</v>
      </c>
      <c r="H25" s="449">
        <f t="shared" si="2"/>
        <v>41.356276069280284</v>
      </c>
      <c r="I25" s="453">
        <f t="shared" si="6"/>
        <v>45942.930093309784</v>
      </c>
      <c r="J25" s="447">
        <f t="shared" si="3"/>
        <v>65533.48447934346</v>
      </c>
      <c r="K25" s="462">
        <f t="shared" si="4"/>
        <v>0</v>
      </c>
      <c r="L25" s="440"/>
      <c r="N25" s="511">
        <f t="shared" si="7"/>
        <v>0.29893961143190445</v>
      </c>
      <c r="O25" s="491">
        <f t="shared" si="8"/>
        <v>0.7010603885680955</v>
      </c>
    </row>
    <row r="26" spans="1:15" ht="15" customHeight="1">
      <c r="A26" s="352"/>
      <c r="B26" s="68" t="s">
        <v>17</v>
      </c>
      <c r="C26" s="436">
        <f>C12+C15+C18+C21</f>
        <v>1826925.8826691671</v>
      </c>
      <c r="D26" s="427"/>
      <c r="E26" s="69">
        <f>E12+E15+E18+E21</f>
        <v>465477.07168964745</v>
      </c>
      <c r="F26" s="353">
        <f>F12+F15+F18+F21</f>
        <v>1424512.7460000282</v>
      </c>
      <c r="G26" s="353">
        <f>G12+G15+G18+G21</f>
        <v>1889989.8176896754</v>
      </c>
      <c r="H26" s="449">
        <f t="shared" si="2"/>
        <v>-63063.935020508245</v>
      </c>
      <c r="I26" s="453">
        <f t="shared" si="6"/>
        <v>1361448.81097952</v>
      </c>
      <c r="J26" s="447">
        <f t="shared" si="3"/>
        <v>1826925.8826691674</v>
      </c>
      <c r="K26" s="462">
        <f t="shared" si="4"/>
        <v>0</v>
      </c>
      <c r="L26" s="440"/>
      <c r="N26" s="511">
        <f t="shared" si="7"/>
        <v>0.2547870584709097</v>
      </c>
      <c r="O26" s="491">
        <f t="shared" si="8"/>
        <v>0.7452129415290902</v>
      </c>
    </row>
    <row r="27" spans="1:15" ht="15" customHeight="1" thickBot="1">
      <c r="A27" s="73"/>
      <c r="B27" s="74" t="s">
        <v>16</v>
      </c>
      <c r="C27" s="437">
        <f>C8+C10+C13+C16+C19+C22+C24</f>
        <v>1214746971.2248945</v>
      </c>
      <c r="D27" s="427"/>
      <c r="E27" s="75">
        <f>E8+E10+E13+E16+E19+E22+E24</f>
        <v>338551295.3334131</v>
      </c>
      <c r="F27" s="354">
        <f>F8+F10+F13+F16+F19+F22+F24</f>
        <v>896859072.4000379</v>
      </c>
      <c r="G27" s="354">
        <f>G8+G10+G13+G16+G19+G22+G24</f>
        <v>1235410367.7334514</v>
      </c>
      <c r="H27" s="450">
        <f t="shared" si="2"/>
        <v>-20663396.508556843</v>
      </c>
      <c r="I27" s="454">
        <f t="shared" si="6"/>
        <v>876195675.891481</v>
      </c>
      <c r="J27" s="448">
        <f t="shared" si="3"/>
        <v>1214746971.224894</v>
      </c>
      <c r="K27" s="462">
        <f t="shared" si="4"/>
        <v>0</v>
      </c>
      <c r="L27" s="440"/>
      <c r="N27" s="511">
        <f>E27/C27</f>
        <v>0.2787010820796974</v>
      </c>
      <c r="O27" s="491">
        <f t="shared" si="8"/>
        <v>0.7212989179203027</v>
      </c>
    </row>
    <row r="28" ht="12.75">
      <c r="F28" s="3"/>
    </row>
    <row r="29" spans="3:4" ht="12.75">
      <c r="C29" s="22"/>
      <c r="D29" s="440"/>
    </row>
    <row r="30" spans="3:5" ht="12.75">
      <c r="C30" s="22"/>
      <c r="D30" s="440"/>
      <c r="E30" s="22"/>
    </row>
    <row r="31" spans="3:4" ht="12.75">
      <c r="C31" s="22"/>
      <c r="D31" s="440"/>
    </row>
  </sheetData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31">
      <selection activeCell="A1" sqref="A1:E1"/>
    </sheetView>
  </sheetViews>
  <sheetFormatPr defaultColWidth="9.1406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  <col min="6" max="16384" width="9.28125" style="0" customWidth="1"/>
  </cols>
  <sheetData>
    <row r="1" spans="1:5" ht="12.75">
      <c r="A1" s="544" t="str">
        <f>+'Revenue Input'!A1</f>
        <v>Niagara Peninsula Energy</v>
      </c>
      <c r="B1" s="544"/>
      <c r="C1" s="544"/>
      <c r="D1" s="544"/>
      <c r="E1" s="544"/>
    </row>
    <row r="2" spans="1:5" ht="12.75">
      <c r="A2" s="544" t="str">
        <f>+'Revenue Input'!A2</f>
        <v>, License Number ED-2007-0749, File Number EB-2010-0138</v>
      </c>
      <c r="B2" s="544"/>
      <c r="C2" s="544"/>
      <c r="D2" s="544"/>
      <c r="E2" s="544"/>
    </row>
    <row r="3" spans="1:5" ht="12.75">
      <c r="A3" s="544">
        <f>+'Revenue Input'!A3</f>
        <v>0</v>
      </c>
      <c r="B3" s="544"/>
      <c r="C3" s="544"/>
      <c r="D3" s="544"/>
      <c r="E3" s="544"/>
    </row>
    <row r="4" spans="1:5" ht="12.75">
      <c r="A4" s="553"/>
      <c r="B4" s="553"/>
      <c r="C4" s="553"/>
      <c r="D4" s="553"/>
      <c r="E4" s="553"/>
    </row>
    <row r="5" spans="1:5" s="8" customFormat="1" ht="48.75" customHeight="1">
      <c r="A5" s="556" t="s">
        <v>220</v>
      </c>
      <c r="B5" s="556"/>
      <c r="C5" s="556"/>
      <c r="D5" s="556"/>
      <c r="E5" s="556"/>
    </row>
    <row r="6" spans="1:5" s="8" customFormat="1" ht="13.5" thickBot="1">
      <c r="A6" s="558"/>
      <c r="B6" s="558"/>
      <c r="C6" s="558"/>
      <c r="D6" s="558"/>
      <c r="E6" s="558"/>
    </row>
    <row r="7" spans="1:5" ht="13.5" thickBot="1">
      <c r="A7" s="87" t="s">
        <v>0</v>
      </c>
      <c r="B7" s="88" t="s">
        <v>25</v>
      </c>
      <c r="C7" s="88" t="s">
        <v>26</v>
      </c>
      <c r="D7" s="88" t="s">
        <v>17</v>
      </c>
      <c r="E7" s="88" t="s">
        <v>16</v>
      </c>
    </row>
    <row r="8" spans="1:9" ht="12.75">
      <c r="A8" s="89" t="str">
        <f>'Forecast Data For 2011'!A7</f>
        <v>Residential</v>
      </c>
      <c r="B8" s="306"/>
      <c r="C8" s="307">
        <v>15.96</v>
      </c>
      <c r="D8" s="306"/>
      <c r="E8" s="306">
        <v>0.0136</v>
      </c>
      <c r="F8" s="56"/>
      <c r="G8" s="8"/>
      <c r="H8" s="8"/>
      <c r="I8" s="8"/>
    </row>
    <row r="9" spans="1:9" ht="12.75">
      <c r="A9" s="90" t="str">
        <f>'Forecast Data For 2011'!A9</f>
        <v>GS &lt; 50 kW</v>
      </c>
      <c r="B9" s="306"/>
      <c r="C9" s="307">
        <v>47.27</v>
      </c>
      <c r="D9" s="306"/>
      <c r="E9" s="306">
        <v>0.01</v>
      </c>
      <c r="F9" s="8"/>
      <c r="G9" s="8"/>
      <c r="H9" s="8"/>
      <c r="I9" s="8"/>
    </row>
    <row r="10" spans="1:9" ht="12.75">
      <c r="A10" s="90" t="str">
        <f>'Forecast Data For 2011'!A11</f>
        <v>GS &gt;50</v>
      </c>
      <c r="B10" s="306"/>
      <c r="C10" s="307">
        <v>280.14</v>
      </c>
      <c r="D10" s="306">
        <v>3.0124</v>
      </c>
      <c r="E10" s="306"/>
      <c r="F10" s="8"/>
      <c r="G10" s="8"/>
      <c r="H10" s="8"/>
      <c r="I10" s="8"/>
    </row>
    <row r="11" spans="1:9" ht="12.75">
      <c r="A11" s="90" t="str">
        <f>'Forecast Data For 2011'!A14</f>
        <v>Large Use</v>
      </c>
      <c r="B11" s="306"/>
      <c r="C11" s="307"/>
      <c r="D11" s="306"/>
      <c r="E11" s="306"/>
      <c r="F11" s="8"/>
      <c r="G11" s="8"/>
      <c r="H11" s="8"/>
      <c r="I11" s="8"/>
    </row>
    <row r="12" spans="1:9" ht="12.75">
      <c r="A12" s="90" t="str">
        <f>'Forecast Data For 2011'!A17</f>
        <v>Sentinel Lights</v>
      </c>
      <c r="B12" s="307">
        <v>1.1</v>
      </c>
      <c r="C12" s="307"/>
      <c r="D12" s="306">
        <v>4.083</v>
      </c>
      <c r="E12" s="306"/>
      <c r="F12" s="8"/>
      <c r="G12" s="8"/>
      <c r="H12" s="8"/>
      <c r="I12" s="8"/>
    </row>
    <row r="13" spans="1:9" ht="12.75">
      <c r="A13" s="90" t="str">
        <f>'Forecast Data For 2011'!A20</f>
        <v>Street Lighting</v>
      </c>
      <c r="B13" s="307">
        <v>0.32</v>
      </c>
      <c r="C13" s="307"/>
      <c r="D13" s="306">
        <v>1.6919</v>
      </c>
      <c r="E13" s="306"/>
      <c r="F13" s="8"/>
      <c r="G13" s="8"/>
      <c r="H13" s="8"/>
      <c r="I13" s="8"/>
    </row>
    <row r="14" spans="1:9" ht="12.75">
      <c r="A14" s="90" t="str">
        <f>'Forecast Data For 2011'!A23</f>
        <v>USL</v>
      </c>
      <c r="B14" s="307">
        <v>23.65</v>
      </c>
      <c r="C14" s="307"/>
      <c r="D14" s="306"/>
      <c r="E14" s="306">
        <v>0.01</v>
      </c>
      <c r="F14" s="8"/>
      <c r="G14" s="8"/>
      <c r="H14" s="8"/>
      <c r="I14" s="8"/>
    </row>
    <row r="15" spans="1:9" ht="12.75">
      <c r="A15" s="90" t="str">
        <f>'Forecast Data For 2011'!A25</f>
        <v>Total Check</v>
      </c>
      <c r="B15" s="306"/>
      <c r="C15" s="307"/>
      <c r="D15" s="306"/>
      <c r="E15" s="306"/>
      <c r="F15" s="8"/>
      <c r="G15" s="8"/>
      <c r="H15" s="8"/>
      <c r="I15" s="8"/>
    </row>
    <row r="16" spans="1:5" s="8" customFormat="1" ht="12.75">
      <c r="A16" s="545"/>
      <c r="B16" s="545"/>
      <c r="C16" s="545"/>
      <c r="D16" s="545"/>
      <c r="E16" s="545"/>
    </row>
    <row r="17" spans="1:5" s="8" customFormat="1" ht="18">
      <c r="A17" s="552" t="s">
        <v>221</v>
      </c>
      <c r="B17" s="552"/>
      <c r="C17" s="552"/>
      <c r="D17" s="552"/>
      <c r="E17" s="552"/>
    </row>
    <row r="18" spans="1:5" s="8" customFormat="1" ht="13.5" thickBot="1">
      <c r="A18" s="553"/>
      <c r="B18" s="553"/>
      <c r="C18" s="553"/>
      <c r="D18" s="553"/>
      <c r="E18" s="553"/>
    </row>
    <row r="19" spans="1:9" ht="51.75" customHeight="1" thickBot="1">
      <c r="A19" s="87" t="s">
        <v>0</v>
      </c>
      <c r="B19" s="554" t="s">
        <v>46</v>
      </c>
      <c r="C19" s="555"/>
      <c r="D19" s="554" t="s">
        <v>47</v>
      </c>
      <c r="E19" s="555"/>
      <c r="F19" s="8"/>
      <c r="G19" s="8"/>
      <c r="H19" s="8"/>
      <c r="I19" s="8"/>
    </row>
    <row r="20" spans="1:5" ht="12.75">
      <c r="A20" s="89" t="str">
        <f aca="true" t="shared" si="0" ref="A20:A27">A8</f>
        <v>Residential</v>
      </c>
      <c r="B20" s="551">
        <v>-0.0028</v>
      </c>
      <c r="C20" s="551"/>
      <c r="D20" s="551"/>
      <c r="E20" s="551"/>
    </row>
    <row r="21" spans="1:5" ht="12.75">
      <c r="A21" s="89" t="str">
        <f t="shared" si="0"/>
        <v>GS &lt; 50 kW</v>
      </c>
      <c r="B21" s="549">
        <v>-0.0027</v>
      </c>
      <c r="C21" s="549"/>
      <c r="D21" s="549"/>
      <c r="E21" s="549"/>
    </row>
    <row r="22" spans="1:5" ht="12.75">
      <c r="A22" s="89" t="str">
        <f t="shared" si="0"/>
        <v>GS &gt;50</v>
      </c>
      <c r="B22" s="550"/>
      <c r="C22" s="550"/>
      <c r="D22" s="549">
        <v>-1.16</v>
      </c>
      <c r="E22" s="549"/>
    </row>
    <row r="23" spans="1:5" ht="12.75">
      <c r="A23" s="89" t="str">
        <f t="shared" si="0"/>
        <v>Large Use</v>
      </c>
      <c r="B23" s="549"/>
      <c r="C23" s="549"/>
      <c r="D23" s="549"/>
      <c r="E23" s="549"/>
    </row>
    <row r="24" spans="1:5" ht="12.75">
      <c r="A24" s="89" t="str">
        <f t="shared" si="0"/>
        <v>Sentinel Lights</v>
      </c>
      <c r="B24" s="550"/>
      <c r="C24" s="550"/>
      <c r="D24" s="549">
        <v>-1.2973</v>
      </c>
      <c r="E24" s="549"/>
    </row>
    <row r="25" spans="1:5" ht="12.75">
      <c r="A25" s="89" t="str">
        <f t="shared" si="0"/>
        <v>Street Lighting</v>
      </c>
      <c r="B25" s="550"/>
      <c r="C25" s="550"/>
      <c r="D25" s="549">
        <v>-0.5038</v>
      </c>
      <c r="E25" s="549"/>
    </row>
    <row r="26" spans="1:5" ht="12.75">
      <c r="A26" s="89" t="str">
        <f t="shared" si="0"/>
        <v>USL</v>
      </c>
      <c r="B26" s="549">
        <v>-0.0027</v>
      </c>
      <c r="C26" s="549"/>
      <c r="D26" s="549"/>
      <c r="E26" s="549"/>
    </row>
    <row r="27" spans="1:5" ht="12.75">
      <c r="A27" s="420" t="str">
        <f t="shared" si="0"/>
        <v>Total Check</v>
      </c>
      <c r="B27" s="418"/>
      <c r="C27" s="419"/>
      <c r="D27" s="418"/>
      <c r="E27" s="419"/>
    </row>
    <row r="28" spans="1:5" ht="12.75">
      <c r="A28" s="65"/>
      <c r="B28" s="416"/>
      <c r="C28" s="416"/>
      <c r="D28" s="416"/>
      <c r="E28" s="416"/>
    </row>
    <row r="29" spans="1:5" ht="12.75">
      <c r="A29" s="65"/>
      <c r="B29" s="416"/>
      <c r="C29" s="416"/>
      <c r="D29" s="416"/>
      <c r="E29" s="416"/>
    </row>
    <row r="30" spans="1:5" s="8" customFormat="1" ht="18">
      <c r="A30" s="552" t="s">
        <v>253</v>
      </c>
      <c r="B30" s="552"/>
      <c r="C30" s="552"/>
      <c r="D30" s="552"/>
      <c r="E30" s="552"/>
    </row>
    <row r="31" spans="1:5" s="8" customFormat="1" ht="13.5" thickBot="1">
      <c r="A31" s="553"/>
      <c r="B31" s="553"/>
      <c r="C31" s="553"/>
      <c r="D31" s="553"/>
      <c r="E31" s="553"/>
    </row>
    <row r="32" spans="1:9" ht="51.75" customHeight="1" thickBot="1">
      <c r="A32" s="87" t="s">
        <v>0</v>
      </c>
      <c r="B32" s="554" t="s">
        <v>46</v>
      </c>
      <c r="C32" s="555"/>
      <c r="D32" s="554" t="s">
        <v>47</v>
      </c>
      <c r="E32" s="555"/>
      <c r="F32" s="8"/>
      <c r="G32" s="8"/>
      <c r="H32" s="8"/>
      <c r="I32" s="8"/>
    </row>
    <row r="33" spans="1:5" ht="12.75">
      <c r="A33" s="89" t="str">
        <f>A20</f>
        <v>Residential</v>
      </c>
      <c r="B33" s="551">
        <v>0.0011</v>
      </c>
      <c r="C33" s="551"/>
      <c r="D33" s="551"/>
      <c r="E33" s="551"/>
    </row>
    <row r="34" spans="1:5" ht="12.75">
      <c r="A34" s="89" t="str">
        <f aca="true" t="shared" si="1" ref="A34:A40">A21</f>
        <v>GS &lt; 50 kW</v>
      </c>
      <c r="B34" s="549">
        <v>0.0011</v>
      </c>
      <c r="C34" s="549"/>
      <c r="D34" s="549"/>
      <c r="E34" s="549"/>
    </row>
    <row r="35" spans="1:5" ht="12.75">
      <c r="A35" s="89" t="str">
        <f t="shared" si="1"/>
        <v>GS &gt;50</v>
      </c>
      <c r="B35" s="550"/>
      <c r="C35" s="550"/>
      <c r="D35" s="549">
        <v>0.4244</v>
      </c>
      <c r="E35" s="549"/>
    </row>
    <row r="36" spans="1:5" ht="12.75">
      <c r="A36" s="89" t="str">
        <f t="shared" si="1"/>
        <v>Large Use</v>
      </c>
      <c r="B36" s="549"/>
      <c r="C36" s="549"/>
      <c r="D36" s="549"/>
      <c r="E36" s="549"/>
    </row>
    <row r="37" spans="1:5" ht="12.75">
      <c r="A37" s="89" t="str">
        <f t="shared" si="1"/>
        <v>Sentinel Lights</v>
      </c>
      <c r="B37" s="550"/>
      <c r="C37" s="550"/>
      <c r="D37" s="549">
        <v>0.3939</v>
      </c>
      <c r="E37" s="549"/>
    </row>
    <row r="38" spans="1:5" ht="12.75">
      <c r="A38" s="89" t="str">
        <f t="shared" si="1"/>
        <v>Street Lighting</v>
      </c>
      <c r="B38" s="550"/>
      <c r="C38" s="550"/>
      <c r="D38" s="549"/>
      <c r="E38" s="549"/>
    </row>
    <row r="39" spans="1:5" ht="12.75">
      <c r="A39" s="89" t="str">
        <f t="shared" si="1"/>
        <v>USL</v>
      </c>
      <c r="B39" s="549">
        <v>0.0011</v>
      </c>
      <c r="C39" s="549"/>
      <c r="D39" s="549"/>
      <c r="E39" s="549"/>
    </row>
    <row r="40" spans="1:5" ht="12.75">
      <c r="A40" s="89" t="str">
        <f t="shared" si="1"/>
        <v>Total Check</v>
      </c>
      <c r="B40" s="417"/>
      <c r="C40" s="419"/>
      <c r="D40" s="418"/>
      <c r="E40" s="419"/>
    </row>
    <row r="41" spans="1:5" s="16" customFormat="1" ht="12.75">
      <c r="A41" s="65"/>
      <c r="B41" s="416"/>
      <c r="C41" s="416"/>
      <c r="D41" s="416"/>
      <c r="E41" s="416"/>
    </row>
    <row r="42" spans="1:5" ht="12.75">
      <c r="A42" s="559"/>
      <c r="B42" s="559"/>
      <c r="C42" s="559"/>
      <c r="D42" s="559"/>
      <c r="E42" s="559"/>
    </row>
    <row r="43" spans="1:5" ht="18">
      <c r="A43" s="552" t="s">
        <v>222</v>
      </c>
      <c r="B43" s="552"/>
      <c r="C43" s="552"/>
      <c r="D43" s="552"/>
      <c r="E43" s="552"/>
    </row>
    <row r="44" spans="1:5" ht="13.5" thickBot="1">
      <c r="A44" s="553"/>
      <c r="B44" s="553"/>
      <c r="C44" s="553"/>
      <c r="D44" s="553"/>
      <c r="E44" s="553"/>
    </row>
    <row r="45" spans="1:5" ht="40.5" customHeight="1" thickBot="1">
      <c r="A45" s="87" t="s">
        <v>0</v>
      </c>
      <c r="B45" s="554" t="s">
        <v>174</v>
      </c>
      <c r="C45" s="557"/>
      <c r="D45" s="554" t="s">
        <v>175</v>
      </c>
      <c r="E45" s="557"/>
    </row>
    <row r="46" spans="1:5" ht="12.75">
      <c r="A46" s="90" t="str">
        <f aca="true" t="shared" si="2" ref="A46:A52">A20</f>
        <v>Residential</v>
      </c>
      <c r="B46" s="549"/>
      <c r="C46" s="549"/>
      <c r="D46" s="549"/>
      <c r="E46" s="549"/>
    </row>
    <row r="47" spans="1:5" ht="12.75">
      <c r="A47" s="90" t="str">
        <f t="shared" si="2"/>
        <v>GS &lt; 50 kW</v>
      </c>
      <c r="B47" s="549"/>
      <c r="C47" s="549"/>
      <c r="D47" s="549"/>
      <c r="E47" s="549"/>
    </row>
    <row r="48" spans="1:5" ht="12.75">
      <c r="A48" s="90" t="str">
        <f t="shared" si="2"/>
        <v>GS &gt;50</v>
      </c>
      <c r="B48" s="549"/>
      <c r="C48" s="549"/>
      <c r="D48" s="549"/>
      <c r="E48" s="549"/>
    </row>
    <row r="49" spans="1:5" ht="12.75">
      <c r="A49" s="90" t="str">
        <f t="shared" si="2"/>
        <v>Large Use</v>
      </c>
      <c r="B49" s="549"/>
      <c r="C49" s="549"/>
      <c r="D49" s="549"/>
      <c r="E49" s="549"/>
    </row>
    <row r="50" spans="1:5" ht="12.75">
      <c r="A50" s="90" t="str">
        <f t="shared" si="2"/>
        <v>Sentinel Lights</v>
      </c>
      <c r="B50" s="549"/>
      <c r="C50" s="549"/>
      <c r="D50" s="549"/>
      <c r="E50" s="549"/>
    </row>
    <row r="51" spans="1:5" ht="12.75">
      <c r="A51" s="90" t="str">
        <f t="shared" si="2"/>
        <v>Street Lighting</v>
      </c>
      <c r="B51" s="549"/>
      <c r="C51" s="549"/>
      <c r="D51" s="549"/>
      <c r="E51" s="549"/>
    </row>
    <row r="52" spans="1:5" ht="12.75">
      <c r="A52" s="90" t="str">
        <f t="shared" si="2"/>
        <v>USL</v>
      </c>
      <c r="B52" s="549"/>
      <c r="C52" s="549"/>
      <c r="D52" s="549"/>
      <c r="E52" s="549"/>
    </row>
    <row r="54" spans="1:5" ht="18">
      <c r="A54" s="552" t="s">
        <v>223</v>
      </c>
      <c r="B54" s="552"/>
      <c r="C54" s="552"/>
      <c r="D54" s="552"/>
      <c r="E54" s="552"/>
    </row>
    <row r="55" spans="1:5" ht="13.5" thickBot="1">
      <c r="A55" s="553"/>
      <c r="B55" s="553"/>
      <c r="C55" s="553"/>
      <c r="D55" s="553"/>
      <c r="E55" s="553"/>
    </row>
    <row r="56" spans="1:2" ht="13.5" thickBot="1">
      <c r="A56" s="291" t="s">
        <v>0</v>
      </c>
      <c r="B56" s="292" t="s">
        <v>191</v>
      </c>
    </row>
    <row r="57" spans="1:2" ht="12.75">
      <c r="A57" s="90" t="str">
        <f aca="true" t="shared" si="3" ref="A57:A63">A46</f>
        <v>Residential</v>
      </c>
      <c r="B57" s="421">
        <v>1</v>
      </c>
    </row>
    <row r="58" spans="1:2" ht="12.75">
      <c r="A58" s="90" t="str">
        <f t="shared" si="3"/>
        <v>GS &lt; 50 kW</v>
      </c>
      <c r="B58" s="421">
        <v>1</v>
      </c>
    </row>
    <row r="59" spans="1:2" ht="12.75">
      <c r="A59" s="90" t="str">
        <f t="shared" si="3"/>
        <v>GS &gt;50</v>
      </c>
      <c r="B59" s="421">
        <v>1</v>
      </c>
    </row>
    <row r="60" spans="1:2" ht="12.75">
      <c r="A60" s="90" t="str">
        <f t="shared" si="3"/>
        <v>Large Use</v>
      </c>
      <c r="B60" s="293"/>
    </row>
    <row r="61" spans="1:2" ht="12.75">
      <c r="A61" s="90" t="str">
        <f t="shared" si="3"/>
        <v>Sentinel Lights</v>
      </c>
      <c r="B61" s="293"/>
    </row>
    <row r="62" spans="1:2" ht="12.75">
      <c r="A62" s="90" t="str">
        <f t="shared" si="3"/>
        <v>Street Lighting</v>
      </c>
      <c r="B62" s="293"/>
    </row>
    <row r="63" spans="1:2" ht="12.75">
      <c r="A63" s="90" t="str">
        <f t="shared" si="3"/>
        <v>USL</v>
      </c>
      <c r="B63" s="293"/>
    </row>
    <row r="66" spans="1:5" s="8" customFormat="1" ht="18">
      <c r="A66" s="552" t="s">
        <v>224</v>
      </c>
      <c r="B66" s="552"/>
      <c r="C66" s="552"/>
      <c r="D66" s="552"/>
      <c r="E66" s="552"/>
    </row>
    <row r="67" spans="1:5" ht="13.5" thickBot="1">
      <c r="A67" s="553"/>
      <c r="B67" s="553"/>
      <c r="C67" s="553"/>
      <c r="D67" s="553"/>
      <c r="E67" s="553"/>
    </row>
    <row r="68" spans="1:5" ht="13.5" thickBot="1">
      <c r="A68" s="87" t="s">
        <v>0</v>
      </c>
      <c r="B68" s="554" t="s">
        <v>56</v>
      </c>
      <c r="C68" s="557"/>
      <c r="D68" s="554" t="s">
        <v>23</v>
      </c>
      <c r="E68" s="557"/>
    </row>
    <row r="69" spans="1:5" ht="12.75">
      <c r="A69" s="90" t="str">
        <f aca="true" t="shared" si="4" ref="A69:A75">A46</f>
        <v>Residential</v>
      </c>
      <c r="B69" s="535">
        <f aca="true" t="shared" si="5" ref="B69:B75">E8-B46</f>
        <v>0.0136</v>
      </c>
      <c r="C69" s="535"/>
      <c r="D69" s="535">
        <f aca="true" t="shared" si="6" ref="D69:D75">D8-D46</f>
        <v>0</v>
      </c>
      <c r="E69" s="535"/>
    </row>
    <row r="70" spans="1:5" ht="12.75">
      <c r="A70" s="90" t="str">
        <f t="shared" si="4"/>
        <v>GS &lt; 50 kW</v>
      </c>
      <c r="B70" s="535">
        <f t="shared" si="5"/>
        <v>0.01</v>
      </c>
      <c r="C70" s="535"/>
      <c r="D70" s="535">
        <f t="shared" si="6"/>
        <v>0</v>
      </c>
      <c r="E70" s="535"/>
    </row>
    <row r="71" spans="1:5" ht="12.75">
      <c r="A71" s="90" t="str">
        <f t="shared" si="4"/>
        <v>GS &gt;50</v>
      </c>
      <c r="B71" s="535">
        <f t="shared" si="5"/>
        <v>0</v>
      </c>
      <c r="C71" s="535"/>
      <c r="D71" s="535">
        <f t="shared" si="6"/>
        <v>3.0124</v>
      </c>
      <c r="E71" s="535"/>
    </row>
    <row r="72" spans="1:5" ht="12.75">
      <c r="A72" s="90" t="str">
        <f t="shared" si="4"/>
        <v>Large Use</v>
      </c>
      <c r="B72" s="535">
        <f t="shared" si="5"/>
        <v>0</v>
      </c>
      <c r="C72" s="535"/>
      <c r="D72" s="535">
        <f t="shared" si="6"/>
        <v>0</v>
      </c>
      <c r="E72" s="535"/>
    </row>
    <row r="73" spans="1:5" ht="12.75">
      <c r="A73" s="90" t="str">
        <f t="shared" si="4"/>
        <v>Sentinel Lights</v>
      </c>
      <c r="B73" s="535">
        <f t="shared" si="5"/>
        <v>0</v>
      </c>
      <c r="C73" s="535"/>
      <c r="D73" s="535">
        <f t="shared" si="6"/>
        <v>4.083</v>
      </c>
      <c r="E73" s="535"/>
    </row>
    <row r="74" spans="1:5" ht="12.75">
      <c r="A74" s="90" t="str">
        <f t="shared" si="4"/>
        <v>Street Lighting</v>
      </c>
      <c r="B74" s="535">
        <f t="shared" si="5"/>
        <v>0</v>
      </c>
      <c r="C74" s="535"/>
      <c r="D74" s="535">
        <f t="shared" si="6"/>
        <v>1.6919</v>
      </c>
      <c r="E74" s="535"/>
    </row>
    <row r="75" spans="1:5" ht="12.75">
      <c r="A75" s="90" t="str">
        <f t="shared" si="4"/>
        <v>USL</v>
      </c>
      <c r="B75" s="535">
        <f t="shared" si="5"/>
        <v>0.01</v>
      </c>
      <c r="C75" s="535"/>
      <c r="D75" s="535">
        <f t="shared" si="6"/>
        <v>0</v>
      </c>
      <c r="E75" s="535"/>
    </row>
  </sheetData>
  <mergeCells count="82">
    <mergeCell ref="B49:C49"/>
    <mergeCell ref="D49:E49"/>
    <mergeCell ref="B72:C72"/>
    <mergeCell ref="D72:E72"/>
    <mergeCell ref="B71:C71"/>
    <mergeCell ref="D71:E71"/>
    <mergeCell ref="B69:C69"/>
    <mergeCell ref="D69:E69"/>
    <mergeCell ref="B70:C70"/>
    <mergeCell ref="D70:E70"/>
    <mergeCell ref="B75:C75"/>
    <mergeCell ref="D75:E75"/>
    <mergeCell ref="B73:C73"/>
    <mergeCell ref="D73:E73"/>
    <mergeCell ref="B74:C74"/>
    <mergeCell ref="D74:E74"/>
    <mergeCell ref="A66:E66"/>
    <mergeCell ref="A67:E67"/>
    <mergeCell ref="B68:C68"/>
    <mergeCell ref="D68:E68"/>
    <mergeCell ref="A42:E42"/>
    <mergeCell ref="A44:E44"/>
    <mergeCell ref="D52:E52"/>
    <mergeCell ref="B46:C46"/>
    <mergeCell ref="B47:C47"/>
    <mergeCell ref="B48:C48"/>
    <mergeCell ref="B50:C50"/>
    <mergeCell ref="B51:C51"/>
    <mergeCell ref="B52:C52"/>
    <mergeCell ref="D50:E50"/>
    <mergeCell ref="D51:E51"/>
    <mergeCell ref="D46:E46"/>
    <mergeCell ref="D47:E47"/>
    <mergeCell ref="D48:E48"/>
    <mergeCell ref="D24:E24"/>
    <mergeCell ref="D25:E25"/>
    <mergeCell ref="D26:E26"/>
    <mergeCell ref="D20:E20"/>
    <mergeCell ref="D21:E21"/>
    <mergeCell ref="D22:E22"/>
    <mergeCell ref="D23:E23"/>
    <mergeCell ref="B24:C24"/>
    <mergeCell ref="B25:C25"/>
    <mergeCell ref="B26:C26"/>
    <mergeCell ref="B20:C20"/>
    <mergeCell ref="B21:C21"/>
    <mergeCell ref="B22:C22"/>
    <mergeCell ref="B23:C23"/>
    <mergeCell ref="A16:E16"/>
    <mergeCell ref="A18:E18"/>
    <mergeCell ref="A1:E1"/>
    <mergeCell ref="A2:E2"/>
    <mergeCell ref="A3:E3"/>
    <mergeCell ref="A4:E4"/>
    <mergeCell ref="A54:E54"/>
    <mergeCell ref="A55:E55"/>
    <mergeCell ref="A5:E5"/>
    <mergeCell ref="A17:E17"/>
    <mergeCell ref="A43:E43"/>
    <mergeCell ref="B45:C45"/>
    <mergeCell ref="D45:E45"/>
    <mergeCell ref="D19:E19"/>
    <mergeCell ref="B19:C19"/>
    <mergeCell ref="A6:E6"/>
    <mergeCell ref="A30:E30"/>
    <mergeCell ref="A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9:C39"/>
    <mergeCell ref="D39:E39"/>
    <mergeCell ref="B37:C37"/>
    <mergeCell ref="D37:E37"/>
    <mergeCell ref="B38:C38"/>
    <mergeCell ref="D38:E38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55">
      <selection activeCell="A1" sqref="A1:E1"/>
    </sheetView>
  </sheetViews>
  <sheetFormatPr defaultColWidth="9.1406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  <col min="6" max="16384" width="9.28125" style="0" customWidth="1"/>
  </cols>
  <sheetData>
    <row r="1" spans="1:5" ht="12.75">
      <c r="A1" s="544" t="str">
        <f>+'Revenue Input'!A1</f>
        <v>Niagara Peninsula Energy</v>
      </c>
      <c r="B1" s="544"/>
      <c r="C1" s="544"/>
      <c r="D1" s="544"/>
      <c r="E1" s="544"/>
    </row>
    <row r="2" spans="1:5" ht="12.75">
      <c r="A2" s="544" t="str">
        <f>+'Revenue Input'!A2</f>
        <v>, License Number ED-2007-0749, File Number EB-2010-0138</v>
      </c>
      <c r="B2" s="544"/>
      <c r="C2" s="544"/>
      <c r="D2" s="544"/>
      <c r="E2" s="544"/>
    </row>
    <row r="3" spans="1:5" ht="12.75">
      <c r="A3" s="544">
        <f>+'Revenue Input'!A3</f>
        <v>0</v>
      </c>
      <c r="B3" s="544"/>
      <c r="C3" s="544"/>
      <c r="D3" s="544"/>
      <c r="E3" s="544"/>
    </row>
    <row r="4" spans="1:5" ht="12.75">
      <c r="A4" s="553"/>
      <c r="B4" s="553"/>
      <c r="C4" s="553"/>
      <c r="D4" s="553"/>
      <c r="E4" s="553"/>
    </row>
    <row r="5" spans="1:5" s="8" customFormat="1" ht="48.75" customHeight="1">
      <c r="A5" s="556" t="s">
        <v>220</v>
      </c>
      <c r="B5" s="556"/>
      <c r="C5" s="556"/>
      <c r="D5" s="556"/>
      <c r="E5" s="556"/>
    </row>
    <row r="6" spans="1:5" s="8" customFormat="1" ht="13.5" thickBot="1">
      <c r="A6" s="558"/>
      <c r="B6" s="558"/>
      <c r="C6" s="558"/>
      <c r="D6" s="558"/>
      <c r="E6" s="558"/>
    </row>
    <row r="7" spans="1:5" ht="13.5" thickBot="1">
      <c r="A7" s="87" t="s">
        <v>0</v>
      </c>
      <c r="B7" s="88" t="s">
        <v>25</v>
      </c>
      <c r="C7" s="88" t="s">
        <v>26</v>
      </c>
      <c r="D7" s="88" t="s">
        <v>17</v>
      </c>
      <c r="E7" s="88" t="s">
        <v>16</v>
      </c>
    </row>
    <row r="8" spans="1:9" ht="12.75">
      <c r="A8" s="89" t="str">
        <f>'Forecast Data For 2011'!A7</f>
        <v>Residential</v>
      </c>
      <c r="B8" s="306"/>
      <c r="C8" s="307">
        <v>10.04</v>
      </c>
      <c r="D8" s="306"/>
      <c r="E8" s="306">
        <f>0.018+0.0023</f>
        <v>0.0203</v>
      </c>
      <c r="F8" s="56"/>
      <c r="G8" s="8"/>
      <c r="H8" s="8"/>
      <c r="I8" s="8"/>
    </row>
    <row r="9" spans="1:9" ht="12.75">
      <c r="A9" s="89" t="s">
        <v>254</v>
      </c>
      <c r="B9" s="306"/>
      <c r="C9" s="307">
        <v>10.65</v>
      </c>
      <c r="D9" s="306"/>
      <c r="E9" s="306">
        <f>0.0134+0.0022</f>
        <v>0.015600000000000001</v>
      </c>
      <c r="F9" s="56"/>
      <c r="G9" s="8"/>
      <c r="H9" s="8"/>
      <c r="I9" s="8"/>
    </row>
    <row r="10" spans="1:9" ht="12.75">
      <c r="A10" s="90" t="str">
        <f>'Forecast Data For 2011'!A9</f>
        <v>GS &lt; 50 kW</v>
      </c>
      <c r="B10" s="306"/>
      <c r="C10" s="307">
        <v>10.35</v>
      </c>
      <c r="D10" s="306"/>
      <c r="E10" s="306">
        <f>0.0176+0.0018</f>
        <v>0.0194</v>
      </c>
      <c r="F10" s="8"/>
      <c r="G10" s="8"/>
      <c r="H10" s="8"/>
      <c r="I10" s="8"/>
    </row>
    <row r="11" spans="1:9" ht="12.75">
      <c r="A11" s="90" t="str">
        <f>'Forecast Data For 2011'!A11</f>
        <v>GS &gt;50</v>
      </c>
      <c r="B11" s="306"/>
      <c r="C11" s="307">
        <v>22.75</v>
      </c>
      <c r="D11" s="306">
        <f>6.3575+0.7962</f>
        <v>7.1537</v>
      </c>
      <c r="E11" s="306"/>
      <c r="F11" s="8"/>
      <c r="G11" s="8"/>
      <c r="H11" s="8"/>
      <c r="I11" s="8"/>
    </row>
    <row r="12" spans="1:9" ht="12.75">
      <c r="A12" s="90" t="str">
        <f>'Forecast Data For 2011'!A14</f>
        <v>Large Use</v>
      </c>
      <c r="B12" s="306"/>
      <c r="C12" s="307"/>
      <c r="D12" s="306"/>
      <c r="E12" s="306"/>
      <c r="F12" s="8"/>
      <c r="G12" s="8"/>
      <c r="H12" s="8"/>
      <c r="I12" s="8"/>
    </row>
    <row r="13" spans="1:9" ht="12.75">
      <c r="A13" s="90" t="str">
        <f>'Forecast Data For 2011'!A17</f>
        <v>Sentinel Lights</v>
      </c>
      <c r="B13" s="307">
        <v>1.04</v>
      </c>
      <c r="C13" s="307"/>
      <c r="D13" s="306">
        <f>0.927+0.6051</f>
        <v>1.5321</v>
      </c>
      <c r="E13" s="306"/>
      <c r="F13" s="8"/>
      <c r="G13" s="8"/>
      <c r="H13" s="8"/>
      <c r="I13" s="8"/>
    </row>
    <row r="14" spans="1:9" ht="12.75">
      <c r="A14" s="90" t="str">
        <f>'Forecast Data For 2011'!A20</f>
        <v>Street Lighting</v>
      </c>
      <c r="B14" s="307">
        <v>0.59</v>
      </c>
      <c r="C14" s="307"/>
      <c r="D14" s="306">
        <f>0.7961+0.6741</f>
        <v>1.4702000000000002</v>
      </c>
      <c r="E14" s="306"/>
      <c r="F14" s="8"/>
      <c r="G14" s="8"/>
      <c r="H14" s="8"/>
      <c r="I14" s="8"/>
    </row>
    <row r="15" spans="1:9" ht="12.75">
      <c r="A15" s="90" t="str">
        <f>'Forecast Data For 2011'!A23</f>
        <v>USL</v>
      </c>
      <c r="B15" s="307">
        <v>5.18</v>
      </c>
      <c r="C15" s="307"/>
      <c r="D15" s="306"/>
      <c r="E15" s="306">
        <f>0.0173+0.0021</f>
        <v>0.0194</v>
      </c>
      <c r="F15" s="8"/>
      <c r="G15" s="8"/>
      <c r="H15" s="8"/>
      <c r="I15" s="8"/>
    </row>
    <row r="16" spans="1:9" ht="12.75">
      <c r="A16" s="90" t="str">
        <f>'Forecast Data For 2011'!A25</f>
        <v>Total Check</v>
      </c>
      <c r="B16" s="306"/>
      <c r="C16" s="307"/>
      <c r="D16" s="306"/>
      <c r="E16" s="306"/>
      <c r="F16" s="8"/>
      <c r="G16" s="8"/>
      <c r="H16" s="8"/>
      <c r="I16" s="8"/>
    </row>
    <row r="17" spans="1:5" s="8" customFormat="1" ht="12.75">
      <c r="A17" s="545"/>
      <c r="B17" s="545"/>
      <c r="C17" s="545"/>
      <c r="D17" s="545"/>
      <c r="E17" s="545"/>
    </row>
    <row r="18" spans="1:5" s="8" customFormat="1" ht="18">
      <c r="A18" s="552" t="s">
        <v>221</v>
      </c>
      <c r="B18" s="552"/>
      <c r="C18" s="552"/>
      <c r="D18" s="552"/>
      <c r="E18" s="552"/>
    </row>
    <row r="19" spans="1:5" s="8" customFormat="1" ht="13.5" thickBot="1">
      <c r="A19" s="553"/>
      <c r="B19" s="553"/>
      <c r="C19" s="553"/>
      <c r="D19" s="553"/>
      <c r="E19" s="553"/>
    </row>
    <row r="20" spans="1:9" ht="51.75" customHeight="1" thickBot="1">
      <c r="A20" s="87" t="s">
        <v>0</v>
      </c>
      <c r="B20" s="554" t="s">
        <v>46</v>
      </c>
      <c r="C20" s="555"/>
      <c r="D20" s="554" t="s">
        <v>47</v>
      </c>
      <c r="E20" s="555"/>
      <c r="F20" s="8"/>
      <c r="G20" s="8"/>
      <c r="H20" s="8"/>
      <c r="I20" s="8"/>
    </row>
    <row r="21" spans="1:5" ht="12.75">
      <c r="A21" s="89" t="str">
        <f>A8</f>
        <v>Residential</v>
      </c>
      <c r="B21" s="530">
        <v>-0.0064</v>
      </c>
      <c r="C21" s="530"/>
      <c r="D21" s="530"/>
      <c r="E21" s="530"/>
    </row>
    <row r="22" spans="1:5" ht="12.75">
      <c r="A22" s="420" t="str">
        <f aca="true" t="shared" si="0" ref="A22:A28">A9</f>
        <v>Residential suburban</v>
      </c>
      <c r="B22" s="551">
        <v>-0.0064</v>
      </c>
      <c r="C22" s="551"/>
      <c r="D22" s="417"/>
      <c r="E22" s="419"/>
    </row>
    <row r="23" spans="1:5" ht="12.75">
      <c r="A23" s="89" t="str">
        <f t="shared" si="0"/>
        <v>GS &lt; 50 kW</v>
      </c>
      <c r="B23" s="551">
        <v>-0.0065</v>
      </c>
      <c r="C23" s="551"/>
      <c r="D23" s="551"/>
      <c r="E23" s="551"/>
    </row>
    <row r="24" spans="1:5" ht="12.75">
      <c r="A24" s="89" t="str">
        <f t="shared" si="0"/>
        <v>GS &gt;50</v>
      </c>
      <c r="B24" s="550"/>
      <c r="C24" s="550"/>
      <c r="D24" s="549">
        <v>-1.9651</v>
      </c>
      <c r="E24" s="549"/>
    </row>
    <row r="25" spans="1:5" ht="12.75">
      <c r="A25" s="89" t="str">
        <f t="shared" si="0"/>
        <v>Large Use</v>
      </c>
      <c r="B25" s="549"/>
      <c r="C25" s="549"/>
      <c r="D25" s="549"/>
      <c r="E25" s="549"/>
    </row>
    <row r="26" spans="1:5" ht="12.75">
      <c r="A26" s="89" t="str">
        <f t="shared" si="0"/>
        <v>Sentinel Lights</v>
      </c>
      <c r="B26" s="550"/>
      <c r="C26" s="550"/>
      <c r="D26" s="549">
        <v>-2.2732</v>
      </c>
      <c r="E26" s="549"/>
    </row>
    <row r="27" spans="1:5" ht="12.75">
      <c r="A27" s="89" t="str">
        <f t="shared" si="0"/>
        <v>Street Lighting</v>
      </c>
      <c r="B27" s="550"/>
      <c r="C27" s="550"/>
      <c r="D27" s="549">
        <v>-2.1909</v>
      </c>
      <c r="E27" s="549"/>
    </row>
    <row r="28" spans="1:5" ht="12.75">
      <c r="A28" s="89" t="str">
        <f t="shared" si="0"/>
        <v>USL</v>
      </c>
      <c r="B28" s="549">
        <v>-0.0064</v>
      </c>
      <c r="C28" s="549"/>
      <c r="D28" s="549"/>
      <c r="E28" s="549"/>
    </row>
    <row r="29" spans="1:5" ht="12.75">
      <c r="A29" s="531"/>
      <c r="B29" s="531"/>
      <c r="C29" s="531"/>
      <c r="D29" s="531"/>
      <c r="E29" s="531"/>
    </row>
    <row r="30" spans="1:5" ht="12.75">
      <c r="A30" s="16"/>
      <c r="B30" s="16"/>
      <c r="C30" s="16"/>
      <c r="D30" s="16"/>
      <c r="E30" s="16"/>
    </row>
    <row r="31" spans="1:5" s="8" customFormat="1" ht="18">
      <c r="A31" s="552" t="s">
        <v>253</v>
      </c>
      <c r="B31" s="552"/>
      <c r="C31" s="552"/>
      <c r="D31" s="552"/>
      <c r="E31" s="552"/>
    </row>
    <row r="32" spans="1:5" s="8" customFormat="1" ht="13.5" thickBot="1">
      <c r="A32" s="553"/>
      <c r="B32" s="553"/>
      <c r="C32" s="553"/>
      <c r="D32" s="553"/>
      <c r="E32" s="553"/>
    </row>
    <row r="33" spans="1:9" ht="51.75" customHeight="1" thickBot="1">
      <c r="A33" s="87" t="s">
        <v>0</v>
      </c>
      <c r="B33" s="554" t="s">
        <v>46</v>
      </c>
      <c r="C33" s="555"/>
      <c r="D33" s="554" t="s">
        <v>47</v>
      </c>
      <c r="E33" s="555"/>
      <c r="F33" s="8"/>
      <c r="G33" s="8"/>
      <c r="H33" s="8"/>
      <c r="I33" s="8"/>
    </row>
    <row r="34" spans="1:5" ht="12.75">
      <c r="A34" s="89" t="str">
        <f>A21</f>
        <v>Residential</v>
      </c>
      <c r="B34" s="530">
        <v>0.0007</v>
      </c>
      <c r="C34" s="530"/>
      <c r="D34" s="530"/>
      <c r="E34" s="530"/>
    </row>
    <row r="35" spans="1:5" ht="12.75">
      <c r="A35" s="420" t="str">
        <f aca="true" t="shared" si="1" ref="A35:A41">A22</f>
        <v>Residential suburban</v>
      </c>
      <c r="B35" s="551">
        <v>0.0007</v>
      </c>
      <c r="C35" s="549"/>
      <c r="D35" s="417"/>
      <c r="E35" s="422"/>
    </row>
    <row r="36" spans="1:5" ht="12.75">
      <c r="A36" s="89" t="str">
        <f t="shared" si="1"/>
        <v>GS &lt; 50 kW</v>
      </c>
      <c r="B36" s="551">
        <v>0.0007</v>
      </c>
      <c r="C36" s="549"/>
      <c r="D36" s="551"/>
      <c r="E36" s="549"/>
    </row>
    <row r="37" spans="1:5" ht="12.75">
      <c r="A37" s="89" t="str">
        <f t="shared" si="1"/>
        <v>GS &gt;50</v>
      </c>
      <c r="B37" s="550"/>
      <c r="C37" s="550"/>
      <c r="D37" s="549">
        <v>0.3116</v>
      </c>
      <c r="E37" s="549"/>
    </row>
    <row r="38" spans="1:5" ht="12.75">
      <c r="A38" s="89" t="str">
        <f t="shared" si="1"/>
        <v>Large Use</v>
      </c>
      <c r="B38" s="549"/>
      <c r="C38" s="549"/>
      <c r="D38" s="549"/>
      <c r="E38" s="549"/>
    </row>
    <row r="39" spans="1:5" ht="12.75">
      <c r="A39" s="89" t="str">
        <f t="shared" si="1"/>
        <v>Sentinel Lights</v>
      </c>
      <c r="B39" s="550"/>
      <c r="C39" s="550"/>
      <c r="D39" s="549">
        <v>0.2799</v>
      </c>
      <c r="E39" s="549"/>
    </row>
    <row r="40" spans="1:5" ht="12.75">
      <c r="A40" s="89" t="str">
        <f t="shared" si="1"/>
        <v>Street Lighting</v>
      </c>
      <c r="B40" s="550"/>
      <c r="C40" s="550"/>
      <c r="D40" s="549"/>
      <c r="E40" s="549"/>
    </row>
    <row r="41" spans="1:5" ht="12.75">
      <c r="A41" s="89" t="str">
        <f t="shared" si="1"/>
        <v>USL</v>
      </c>
      <c r="B41" s="549">
        <v>0.001</v>
      </c>
      <c r="C41" s="549"/>
      <c r="D41" s="549"/>
      <c r="E41" s="549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8">
      <c r="A44" s="552" t="s">
        <v>222</v>
      </c>
      <c r="B44" s="552"/>
      <c r="C44" s="552"/>
      <c r="D44" s="552"/>
      <c r="E44" s="552"/>
    </row>
    <row r="45" spans="1:5" ht="13.5" thickBot="1">
      <c r="A45" s="553"/>
      <c r="B45" s="553"/>
      <c r="C45" s="553"/>
      <c r="D45" s="553"/>
      <c r="E45" s="553"/>
    </row>
    <row r="46" spans="1:5" ht="40.5" customHeight="1" thickBot="1">
      <c r="A46" s="87" t="s">
        <v>0</v>
      </c>
      <c r="B46" s="554" t="s">
        <v>174</v>
      </c>
      <c r="C46" s="557"/>
      <c r="D46" s="554" t="s">
        <v>175</v>
      </c>
      <c r="E46" s="557"/>
    </row>
    <row r="47" spans="1:5" ht="12.75">
      <c r="A47" s="90" t="str">
        <f>A34</f>
        <v>Residential</v>
      </c>
      <c r="B47" s="549">
        <v>0.0023</v>
      </c>
      <c r="C47" s="549"/>
      <c r="D47" s="549"/>
      <c r="E47" s="549"/>
    </row>
    <row r="48" spans="1:5" ht="12.75">
      <c r="A48" s="90" t="str">
        <f aca="true" t="shared" si="2" ref="A48:A54">A35</f>
        <v>Residential suburban</v>
      </c>
      <c r="B48" s="549">
        <v>0.0022</v>
      </c>
      <c r="C48" s="549"/>
      <c r="D48" s="549"/>
      <c r="E48" s="549"/>
    </row>
    <row r="49" spans="1:5" ht="12.75">
      <c r="A49" s="90" t="str">
        <f t="shared" si="2"/>
        <v>GS &lt; 50 kW</v>
      </c>
      <c r="B49" s="549">
        <v>0.0018</v>
      </c>
      <c r="C49" s="549"/>
      <c r="D49" s="549"/>
      <c r="E49" s="549"/>
    </row>
    <row r="50" spans="1:5" ht="12.75">
      <c r="A50" s="90" t="str">
        <f t="shared" si="2"/>
        <v>GS &gt;50</v>
      </c>
      <c r="B50" s="549"/>
      <c r="C50" s="549"/>
      <c r="D50" s="549">
        <v>0.7962</v>
      </c>
      <c r="E50" s="549"/>
    </row>
    <row r="51" spans="1:5" ht="12.75">
      <c r="A51" s="90" t="str">
        <f t="shared" si="2"/>
        <v>Large Use</v>
      </c>
      <c r="B51" s="549"/>
      <c r="C51" s="549"/>
      <c r="D51" s="549"/>
      <c r="E51" s="549"/>
    </row>
    <row r="52" spans="1:5" ht="12.75">
      <c r="A52" s="90" t="str">
        <f t="shared" si="2"/>
        <v>Sentinel Lights</v>
      </c>
      <c r="B52" s="549"/>
      <c r="C52" s="549"/>
      <c r="D52" s="549">
        <v>0.6051</v>
      </c>
      <c r="E52" s="549"/>
    </row>
    <row r="53" spans="1:5" ht="12.75">
      <c r="A53" s="90" t="str">
        <f t="shared" si="2"/>
        <v>Street Lighting</v>
      </c>
      <c r="B53" s="549"/>
      <c r="C53" s="549"/>
      <c r="D53" s="549">
        <v>0.6741</v>
      </c>
      <c r="E53" s="549"/>
    </row>
    <row r="54" spans="1:5" ht="12.75">
      <c r="A54" s="90" t="str">
        <f t="shared" si="2"/>
        <v>USL</v>
      </c>
      <c r="B54" s="549">
        <v>0.0021</v>
      </c>
      <c r="C54" s="549"/>
      <c r="D54" s="549"/>
      <c r="E54" s="549"/>
    </row>
    <row r="56" spans="1:5" ht="18">
      <c r="A56" s="552" t="s">
        <v>223</v>
      </c>
      <c r="B56" s="552"/>
      <c r="C56" s="552"/>
      <c r="D56" s="552"/>
      <c r="E56" s="552"/>
    </row>
    <row r="57" spans="1:5" ht="13.5" thickBot="1">
      <c r="A57" s="553"/>
      <c r="B57" s="553"/>
      <c r="C57" s="553"/>
      <c r="D57" s="553"/>
      <c r="E57" s="553"/>
    </row>
    <row r="58" spans="1:2" ht="13.5" thickBot="1">
      <c r="A58" s="291" t="s">
        <v>0</v>
      </c>
      <c r="B58" s="292" t="s">
        <v>191</v>
      </c>
    </row>
    <row r="59" spans="1:2" ht="12.75">
      <c r="A59" s="90" t="str">
        <f>A47</f>
        <v>Residential</v>
      </c>
      <c r="B59" s="421">
        <v>1</v>
      </c>
    </row>
    <row r="60" spans="1:2" ht="12.75">
      <c r="A60" s="90" t="str">
        <f aca="true" t="shared" si="3" ref="A60:A66">A48</f>
        <v>Residential suburban</v>
      </c>
      <c r="B60" s="421">
        <v>1</v>
      </c>
    </row>
    <row r="61" spans="1:2" ht="12.75">
      <c r="A61" s="90" t="str">
        <f t="shared" si="3"/>
        <v>GS &lt; 50 kW</v>
      </c>
      <c r="B61" s="421">
        <v>1</v>
      </c>
    </row>
    <row r="62" spans="1:2" ht="12.75">
      <c r="A62" s="90" t="str">
        <f t="shared" si="3"/>
        <v>GS &gt;50</v>
      </c>
      <c r="B62" s="421">
        <v>1</v>
      </c>
    </row>
    <row r="63" spans="1:2" ht="12.75">
      <c r="A63" s="90" t="str">
        <f t="shared" si="3"/>
        <v>Large Use</v>
      </c>
      <c r="B63" s="293"/>
    </row>
    <row r="64" spans="1:2" ht="12.75">
      <c r="A64" s="90" t="str">
        <f t="shared" si="3"/>
        <v>Sentinel Lights</v>
      </c>
      <c r="B64" s="293"/>
    </row>
    <row r="65" spans="1:2" ht="12.75">
      <c r="A65" s="90" t="str">
        <f t="shared" si="3"/>
        <v>Street Lighting</v>
      </c>
      <c r="B65" s="293"/>
    </row>
    <row r="66" spans="1:2" ht="12.75">
      <c r="A66" s="90" t="str">
        <f t="shared" si="3"/>
        <v>USL</v>
      </c>
      <c r="B66" s="293"/>
    </row>
    <row r="69" spans="1:5" s="8" customFormat="1" ht="18">
      <c r="A69" s="552" t="s">
        <v>224</v>
      </c>
      <c r="B69" s="552"/>
      <c r="C69" s="552"/>
      <c r="D69" s="552"/>
      <c r="E69" s="552"/>
    </row>
    <row r="70" spans="1:5" ht="13.5" thickBot="1">
      <c r="A70" s="553"/>
      <c r="B70" s="553"/>
      <c r="C70" s="553"/>
      <c r="D70" s="553"/>
      <c r="E70" s="553"/>
    </row>
    <row r="71" spans="1:5" ht="13.5" thickBot="1">
      <c r="A71" s="87" t="s">
        <v>0</v>
      </c>
      <c r="B71" s="554" t="s">
        <v>56</v>
      </c>
      <c r="C71" s="557"/>
      <c r="D71" s="554" t="s">
        <v>23</v>
      </c>
      <c r="E71" s="557"/>
    </row>
    <row r="72" spans="1:5" ht="12.75">
      <c r="A72" s="90" t="str">
        <f>A47</f>
        <v>Residential</v>
      </c>
      <c r="B72" s="535">
        <f>E8-B47</f>
        <v>0.018</v>
      </c>
      <c r="C72" s="535"/>
      <c r="D72" s="535">
        <f>D8-D47</f>
        <v>0</v>
      </c>
      <c r="E72" s="535"/>
    </row>
    <row r="73" spans="1:5" ht="12.75">
      <c r="A73" s="90" t="str">
        <f>A48</f>
        <v>Residential suburban</v>
      </c>
      <c r="B73" s="535">
        <f>E9-B48</f>
        <v>0.0134</v>
      </c>
      <c r="C73" s="535"/>
      <c r="D73" s="535">
        <f>D9-D48</f>
        <v>0</v>
      </c>
      <c r="E73" s="535"/>
    </row>
    <row r="74" spans="1:5" ht="12.75">
      <c r="A74" s="90" t="str">
        <f aca="true" t="shared" si="4" ref="A74:A79">A49</f>
        <v>GS &lt; 50 kW</v>
      </c>
      <c r="B74" s="535">
        <f aca="true" t="shared" si="5" ref="B74:B79">E10-B49</f>
        <v>0.0176</v>
      </c>
      <c r="C74" s="535"/>
      <c r="D74" s="535">
        <f aca="true" t="shared" si="6" ref="D74:D79">D10-D49</f>
        <v>0</v>
      </c>
      <c r="E74" s="535"/>
    </row>
    <row r="75" spans="1:5" ht="12.75">
      <c r="A75" s="90" t="str">
        <f t="shared" si="4"/>
        <v>GS &gt;50</v>
      </c>
      <c r="B75" s="535">
        <f t="shared" si="5"/>
        <v>0</v>
      </c>
      <c r="C75" s="535"/>
      <c r="D75" s="535">
        <f t="shared" si="6"/>
        <v>6.3575</v>
      </c>
      <c r="E75" s="535"/>
    </row>
    <row r="76" spans="1:5" ht="12.75">
      <c r="A76" s="90" t="str">
        <f t="shared" si="4"/>
        <v>Large Use</v>
      </c>
      <c r="B76" s="535">
        <f t="shared" si="5"/>
        <v>0</v>
      </c>
      <c r="C76" s="535"/>
      <c r="D76" s="535">
        <f t="shared" si="6"/>
        <v>0</v>
      </c>
      <c r="E76" s="535"/>
    </row>
    <row r="77" spans="1:5" ht="12.75">
      <c r="A77" s="90" t="str">
        <f t="shared" si="4"/>
        <v>Sentinel Lights</v>
      </c>
      <c r="B77" s="535">
        <f t="shared" si="5"/>
        <v>0</v>
      </c>
      <c r="C77" s="535"/>
      <c r="D77" s="535">
        <f t="shared" si="6"/>
        <v>0.927</v>
      </c>
      <c r="E77" s="535"/>
    </row>
    <row r="78" spans="1:5" ht="12.75">
      <c r="A78" s="90" t="str">
        <f t="shared" si="4"/>
        <v>Street Lighting</v>
      </c>
      <c r="B78" s="535">
        <f t="shared" si="5"/>
        <v>0</v>
      </c>
      <c r="C78" s="535"/>
      <c r="D78" s="535">
        <f t="shared" si="6"/>
        <v>0.7961000000000001</v>
      </c>
      <c r="E78" s="535"/>
    </row>
    <row r="79" spans="1:5" ht="12.75">
      <c r="A79" s="90" t="str">
        <f t="shared" si="4"/>
        <v>USL</v>
      </c>
      <c r="B79" s="535">
        <f t="shared" si="5"/>
        <v>0.0173</v>
      </c>
      <c r="C79" s="535"/>
      <c r="D79" s="535">
        <f t="shared" si="6"/>
        <v>0</v>
      </c>
      <c r="E79" s="535"/>
    </row>
  </sheetData>
  <mergeCells count="88">
    <mergeCell ref="A56:E56"/>
    <mergeCell ref="A57:E57"/>
    <mergeCell ref="A5:E5"/>
    <mergeCell ref="A18:E18"/>
    <mergeCell ref="A44:E44"/>
    <mergeCell ref="B46:C46"/>
    <mergeCell ref="D46:E46"/>
    <mergeCell ref="D20:E20"/>
    <mergeCell ref="B20:C20"/>
    <mergeCell ref="A6:E6"/>
    <mergeCell ref="A17:E17"/>
    <mergeCell ref="A19:E19"/>
    <mergeCell ref="A1:E1"/>
    <mergeCell ref="A2:E2"/>
    <mergeCell ref="A3:E3"/>
    <mergeCell ref="A4:E4"/>
    <mergeCell ref="B26:C26"/>
    <mergeCell ref="B27:C27"/>
    <mergeCell ref="B28:C28"/>
    <mergeCell ref="B21:C21"/>
    <mergeCell ref="B23:C23"/>
    <mergeCell ref="B24:C24"/>
    <mergeCell ref="B25:C25"/>
    <mergeCell ref="D26:E26"/>
    <mergeCell ref="D27:E27"/>
    <mergeCell ref="D28:E28"/>
    <mergeCell ref="D21:E21"/>
    <mergeCell ref="D23:E23"/>
    <mergeCell ref="D24:E24"/>
    <mergeCell ref="D25:E25"/>
    <mergeCell ref="D53:E53"/>
    <mergeCell ref="D47:E47"/>
    <mergeCell ref="D49:E49"/>
    <mergeCell ref="D50:E50"/>
    <mergeCell ref="A29:E29"/>
    <mergeCell ref="A45:E45"/>
    <mergeCell ref="D54:E54"/>
    <mergeCell ref="B47:C47"/>
    <mergeCell ref="B49:C49"/>
    <mergeCell ref="B50:C50"/>
    <mergeCell ref="B52:C52"/>
    <mergeCell ref="B53:C53"/>
    <mergeCell ref="B54:C54"/>
    <mergeCell ref="D52:E52"/>
    <mergeCell ref="A69:E69"/>
    <mergeCell ref="A70:E70"/>
    <mergeCell ref="B71:C71"/>
    <mergeCell ref="D71:E71"/>
    <mergeCell ref="B79:C79"/>
    <mergeCell ref="D79:E79"/>
    <mergeCell ref="B77:C77"/>
    <mergeCell ref="D77:E77"/>
    <mergeCell ref="B78:C78"/>
    <mergeCell ref="D78:E78"/>
    <mergeCell ref="B72:C72"/>
    <mergeCell ref="D72:E72"/>
    <mergeCell ref="B74:C74"/>
    <mergeCell ref="D74:E74"/>
    <mergeCell ref="B73:C73"/>
    <mergeCell ref="D73:E73"/>
    <mergeCell ref="B76:C76"/>
    <mergeCell ref="D76:E76"/>
    <mergeCell ref="B75:C75"/>
    <mergeCell ref="D75:E75"/>
    <mergeCell ref="B33:C33"/>
    <mergeCell ref="D33:E33"/>
    <mergeCell ref="B51:C51"/>
    <mergeCell ref="D51:E51"/>
    <mergeCell ref="B40:C40"/>
    <mergeCell ref="D40:E40"/>
    <mergeCell ref="B37:C37"/>
    <mergeCell ref="D37:E37"/>
    <mergeCell ref="B38:C38"/>
    <mergeCell ref="D38:E38"/>
    <mergeCell ref="B35:C35"/>
    <mergeCell ref="B22:C22"/>
    <mergeCell ref="B39:C39"/>
    <mergeCell ref="D39:E39"/>
    <mergeCell ref="B34:C34"/>
    <mergeCell ref="D34:E34"/>
    <mergeCell ref="B36:C36"/>
    <mergeCell ref="D36:E36"/>
    <mergeCell ref="A31:E31"/>
    <mergeCell ref="A32:E32"/>
    <mergeCell ref="B48:C48"/>
    <mergeCell ref="D48:E48"/>
    <mergeCell ref="B41:C41"/>
    <mergeCell ref="D41:E41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85" zoomScaleNormal="85" workbookViewId="0" topLeftCell="A1">
      <selection activeCell="E51" sqref="E51"/>
    </sheetView>
  </sheetViews>
  <sheetFormatPr defaultColWidth="9.140625" defaultRowHeight="12.75" outlineLevelRow="1"/>
  <cols>
    <col min="1" max="1" width="33.140625" style="0" bestFit="1" customWidth="1"/>
    <col min="2" max="2" width="16.140625" style="0" customWidth="1"/>
    <col min="3" max="3" width="12.7109375" style="0" customWidth="1"/>
    <col min="4" max="4" width="13.28125" style="0" customWidth="1"/>
    <col min="5" max="6" width="13.00390625" style="0" customWidth="1"/>
    <col min="7" max="9" width="14.7109375" style="0" customWidth="1"/>
    <col min="10" max="10" width="21.00390625" style="0" customWidth="1"/>
    <col min="11" max="11" width="14.7109375" style="0" customWidth="1"/>
    <col min="12" max="12" width="17.57421875" style="0" customWidth="1"/>
    <col min="13" max="13" width="15.00390625" style="0" customWidth="1"/>
  </cols>
  <sheetData>
    <row r="1" spans="1:12" ht="12.75">
      <c r="A1" s="544" t="str">
        <f>+'Revenue Input'!A1</f>
        <v>Niagara Peninsula Energy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12.75">
      <c r="A2" s="544" t="str">
        <f>+'Revenue Input'!A2</f>
        <v>, License Number ED-2007-0749, File Number EB-2010-0138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2" ht="12.75">
      <c r="A3" s="544">
        <f>+'Revenue Input'!A3</f>
        <v>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</row>
    <row r="4" spans="1:12" ht="12.75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</row>
    <row r="5" spans="1:12" ht="18" customHeight="1">
      <c r="A5" s="552" t="s">
        <v>226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</row>
    <row r="6" spans="1:12" ht="18" customHeight="1">
      <c r="A6" s="552" t="s">
        <v>28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</row>
    <row r="7" spans="1:12" ht="18" customHeight="1">
      <c r="A7" s="552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</row>
    <row r="8" spans="1:11" s="2" customFormat="1" ht="38.25">
      <c r="A8" s="91" t="s">
        <v>24</v>
      </c>
      <c r="B8" s="91" t="s">
        <v>7</v>
      </c>
      <c r="C8" s="91" t="s">
        <v>8</v>
      </c>
      <c r="D8" s="91" t="s">
        <v>10</v>
      </c>
      <c r="E8" s="91" t="s">
        <v>27</v>
      </c>
      <c r="F8" s="91" t="s">
        <v>11</v>
      </c>
      <c r="G8" s="91" t="s">
        <v>12</v>
      </c>
      <c r="H8" s="91" t="s">
        <v>192</v>
      </c>
      <c r="I8" s="91" t="s">
        <v>6</v>
      </c>
      <c r="J8" s="91" t="s">
        <v>193</v>
      </c>
      <c r="K8" s="91" t="s">
        <v>129</v>
      </c>
    </row>
    <row r="9" spans="1:11" ht="18" customHeight="1">
      <c r="A9" s="90" t="str">
        <f>'Cost Allocation Study'!A7</f>
        <v>Residential</v>
      </c>
      <c r="B9" s="97">
        <f>+'Forecast Data For 2011'!$C$8</f>
        <v>459406922.9621654</v>
      </c>
      <c r="C9" s="97"/>
      <c r="D9" s="97">
        <f>+'Forecast Data For 2011'!$C$7*12</f>
        <v>562797.9865526508</v>
      </c>
      <c r="E9" s="97"/>
      <c r="F9" s="97">
        <f>(+'Forecast Data For 2011'!I7*'2010 Existing RatesNF'!$C$8*12)+('Forecast Data For 2011'!L7*'2010 Existing RatesPW'!$C$8*12)+('Forecast Data For 2011'!M7*'2010 Existing RatesPW'!C9*12)</f>
        <v>7995709.492588118</v>
      </c>
      <c r="G9" s="97">
        <f>('Forecast Data For 2011'!I8*'2010 Existing RatesNF'!B69)+('Forecast Data For 2011'!L8*'2010 Existing RatesPW'!B72)+('Forecast Data For 2011'!M8*'2010 Existing RatesPW'!B73)</f>
        <v>6582001.278578799</v>
      </c>
      <c r="H9" s="97">
        <f>+F9+G9</f>
        <v>14577710.771166917</v>
      </c>
      <c r="I9" s="97"/>
      <c r="J9" s="97">
        <f>H9-I9</f>
        <v>14577710.771166917</v>
      </c>
      <c r="K9" s="98">
        <f aca="true" t="shared" si="0" ref="K9:K15">+J9/$J$16</f>
        <v>0.5427837560066705</v>
      </c>
    </row>
    <row r="10" spans="1:11" ht="18" customHeight="1">
      <c r="A10" s="90" t="str">
        <f>'Cost Allocation Study'!A8</f>
        <v>GS &lt; 50 kW</v>
      </c>
      <c r="B10" s="97">
        <f>+'Forecast Data For 2011'!$C$10</f>
        <v>121437542.89615433</v>
      </c>
      <c r="C10" s="97"/>
      <c r="D10" s="97">
        <f>+'Forecast Data For 2011'!$C$9*12</f>
        <v>52227.720793411914</v>
      </c>
      <c r="E10" s="97"/>
      <c r="F10" s="97">
        <f>(+'Forecast Data For 2011'!I9*'2010 Existing RatesNF'!$C$9*12)+('Forecast Data For 2011'!E9*'2010 Existing RatesPW'!C10*12)</f>
        <v>1783760.8217444944</v>
      </c>
      <c r="G10" s="97">
        <f>('Forecast Data For 2011'!I10*'2010 Existing RatesNF'!B70)+('Forecast Data For 2011'!E10*'2010 Existing RatesPW'!B74)</f>
        <v>1517310.4577012334</v>
      </c>
      <c r="H10" s="97">
        <f aca="true" t="shared" si="1" ref="H10:H15">+F10+G10</f>
        <v>3301071.279445728</v>
      </c>
      <c r="I10" s="97"/>
      <c r="J10" s="97">
        <f aca="true" t="shared" si="2" ref="J10:J15">H10-I10</f>
        <v>3301071.279445728</v>
      </c>
      <c r="K10" s="98">
        <f t="shared" si="0"/>
        <v>0.12291147053398907</v>
      </c>
    </row>
    <row r="11" spans="1:11" ht="18" customHeight="1">
      <c r="A11" s="90" t="str">
        <f>'Cost Allocation Study'!A9</f>
        <v>GS &gt;50</v>
      </c>
      <c r="B11" s="97">
        <f>+'Forecast Data For 2011'!$C$13</f>
        <v>623806669.8519042</v>
      </c>
      <c r="C11" s="97">
        <f>+'Forecast Data For 2011'!$C$12</f>
        <v>1806009.478738651</v>
      </c>
      <c r="D11" s="97">
        <f>+'Forecast Data For 2011'!$C$11*12</f>
        <v>10180.02756852423</v>
      </c>
      <c r="E11" s="97"/>
      <c r="F11" s="97">
        <f>('Forecast Data For 2011'!I11*'2010 Existing RatesNF'!C10*12)+('Forecast Data For 2011'!E11*'2010 Existing RatesPW'!C11*12)</f>
        <v>2169282.0475808973</v>
      </c>
      <c r="G11" s="97">
        <f>('Forecast Data For 2011'!I12*'2010 Existing RatesNF'!D71)+('Forecast Data For 2011'!E12*'2010 Existing RatesPW'!D75)</f>
        <v>6979876.832939327</v>
      </c>
      <c r="H11" s="97">
        <f t="shared" si="1"/>
        <v>9149158.880520225</v>
      </c>
      <c r="I11" s="97">
        <f>-'Transformer Allowance'!C12</f>
        <v>392475.6</v>
      </c>
      <c r="J11" s="97">
        <f t="shared" si="2"/>
        <v>8756683.280520225</v>
      </c>
      <c r="K11" s="98">
        <f t="shared" si="0"/>
        <v>0.32604470727752777</v>
      </c>
    </row>
    <row r="12" spans="1:11" ht="18" customHeight="1">
      <c r="A12" s="90" t="str">
        <f>'Cost Allocation Study'!A10</f>
        <v>Large Use</v>
      </c>
      <c r="B12" s="97">
        <v>0</v>
      </c>
      <c r="C12" s="97">
        <v>0</v>
      </c>
      <c r="D12" s="97">
        <v>0</v>
      </c>
      <c r="E12" s="97"/>
      <c r="F12" s="97">
        <v>0</v>
      </c>
      <c r="G12" s="97">
        <v>0</v>
      </c>
      <c r="H12" s="97">
        <f t="shared" si="1"/>
        <v>0</v>
      </c>
      <c r="I12" s="97">
        <f>-'Transformer Allowance'!C13</f>
        <v>0</v>
      </c>
      <c r="J12" s="97">
        <f t="shared" si="2"/>
        <v>0</v>
      </c>
      <c r="K12" s="98">
        <f t="shared" si="0"/>
        <v>0</v>
      </c>
    </row>
    <row r="13" spans="1:11" ht="18" customHeight="1">
      <c r="A13" s="90" t="str">
        <f>'Cost Allocation Study'!A11</f>
        <v>Sentinel Lights</v>
      </c>
      <c r="B13" s="97">
        <f>+'Forecast Data For 2011'!$C$19</f>
        <v>292817.0019203169</v>
      </c>
      <c r="C13" s="97">
        <f>+'Forecast Data For 2011'!$C$18</f>
        <v>808.9826992464147</v>
      </c>
      <c r="D13" s="97"/>
      <c r="E13" s="97">
        <f>+'Forecast Data For 2011'!$C$17*12</f>
        <v>6721.5352567159025</v>
      </c>
      <c r="F13" s="97">
        <f>('Forecast Data For 2011'!I17*'2010 Existing RatesNF'!B12*12)+('Forecast Data For 2011'!E17*'2010 Existing RatesPW'!B13*12)</f>
        <v>7004.8548201233425</v>
      </c>
      <c r="G13" s="97">
        <f>('Forecast Data For 2011'!I18*'2010 Existing RatesNF'!D73)+('Forecast Data For 2011'!E18*'2010 Existing RatesPW'!D77)</f>
        <v>1053.1938096796885</v>
      </c>
      <c r="H13" s="97">
        <f t="shared" si="1"/>
        <v>8058.048629803031</v>
      </c>
      <c r="I13" s="97"/>
      <c r="J13" s="97">
        <f t="shared" si="2"/>
        <v>8058.048629803031</v>
      </c>
      <c r="K13" s="98">
        <f t="shared" si="0"/>
        <v>0.0003000318753764643</v>
      </c>
    </row>
    <row r="14" spans="1:11" ht="18" customHeight="1">
      <c r="A14" s="90" t="str">
        <f>'Cost Allocation Study'!A12</f>
        <v>Street Lighting</v>
      </c>
      <c r="B14" s="97">
        <f>+'Forecast Data For 2011'!$C$22</f>
        <v>7467590.678805388</v>
      </c>
      <c r="C14" s="97">
        <f>+'Forecast Data For 2011'!$C$21</f>
        <v>20107.421231269767</v>
      </c>
      <c r="D14" s="97"/>
      <c r="E14" s="97">
        <f>+'Forecast Data For 2011'!$C$20*12</f>
        <v>148892.17853361185</v>
      </c>
      <c r="F14" s="97">
        <f>('Forecast Data For 2011'!I20*'2010 Existing RatesNF'!B13*12)+('Forecast Data For 2011'!E20*'2010 Existing RatesPW'!B14*12)</f>
        <v>56525.336475373915</v>
      </c>
      <c r="G14" s="97">
        <f>('Forecast Data For 2011'!I21*'2010 Existing RatesNF'!D74)+('Forecast Data For 2011'!E21*'2010 Existing RatesPW'!D78)</f>
        <v>29941.93721054327</v>
      </c>
      <c r="H14" s="97">
        <f t="shared" si="1"/>
        <v>86467.27368591719</v>
      </c>
      <c r="I14" s="97"/>
      <c r="J14" s="97">
        <f t="shared" si="2"/>
        <v>86467.27368591719</v>
      </c>
      <c r="K14" s="98">
        <f t="shared" si="0"/>
        <v>0.0032195062942068494</v>
      </c>
    </row>
    <row r="15" spans="1:11" ht="18" customHeight="1">
      <c r="A15" s="90" t="str">
        <f>'Cost Allocation Study'!A13</f>
        <v>USL</v>
      </c>
      <c r="B15" s="97">
        <f>+'Forecast Data For 2011'!$C$24</f>
        <v>2335427.833945072</v>
      </c>
      <c r="C15" s="97"/>
      <c r="D15" s="97"/>
      <c r="E15" s="97">
        <f>+'Forecast Data For 2011'!$C$23*12</f>
        <v>5582.365047206665</v>
      </c>
      <c r="F15" s="97">
        <f>('Forecast Data For 2011'!I23*'2010 Existing RatesNF'!B14*12)+('Forecast Data For 2011'!E23*'2010 Existing RatesPW'!B15*12)</f>
        <v>98507.13477055154</v>
      </c>
      <c r="G15" s="97">
        <f>('Forecast Data For 2011'!I24*'2010 Existing RatesNF'!B75)+('Forecast Data For 2011'!E24*'2010 Existing RatesPW'!B79)</f>
        <v>28810.688395931575</v>
      </c>
      <c r="H15" s="97">
        <f t="shared" si="1"/>
        <v>127317.82316648311</v>
      </c>
      <c r="I15" s="97"/>
      <c r="J15" s="97">
        <f t="shared" si="2"/>
        <v>127317.82316648311</v>
      </c>
      <c r="K15" s="98">
        <f t="shared" si="0"/>
        <v>0.004740528012229522</v>
      </c>
    </row>
    <row r="16" spans="1:11" ht="18" customHeight="1" thickBot="1">
      <c r="A16" s="8"/>
      <c r="B16" s="296">
        <f aca="true" t="shared" si="3" ref="B16:K16">SUM(B9:B15)</f>
        <v>1214746971.2248945</v>
      </c>
      <c r="C16" s="296">
        <f t="shared" si="3"/>
        <v>1826925.8826691671</v>
      </c>
      <c r="D16" s="296">
        <f t="shared" si="3"/>
        <v>625205.734914587</v>
      </c>
      <c r="E16" s="296">
        <f t="shared" si="3"/>
        <v>161196.0788375344</v>
      </c>
      <c r="F16" s="296">
        <f t="shared" si="3"/>
        <v>12110789.687979558</v>
      </c>
      <c r="G16" s="296">
        <f t="shared" si="3"/>
        <v>15138994.388635512</v>
      </c>
      <c r="H16" s="296">
        <f t="shared" si="3"/>
        <v>27249784.07661507</v>
      </c>
      <c r="I16" s="296">
        <f t="shared" si="3"/>
        <v>392475.6</v>
      </c>
      <c r="J16" s="296">
        <f t="shared" si="3"/>
        <v>26857308.476615068</v>
      </c>
      <c r="K16" s="99">
        <f t="shared" si="3"/>
        <v>1.0000000000000002</v>
      </c>
    </row>
    <row r="17" ht="13.5" thickTop="1"/>
    <row r="18" spans="7:12" ht="12.75">
      <c r="G18" s="22"/>
      <c r="H18" s="22"/>
      <c r="I18" s="22"/>
      <c r="J18" s="22"/>
      <c r="K18" s="22"/>
      <c r="L18" s="22"/>
    </row>
    <row r="19" spans="7:12" ht="12.75">
      <c r="G19" s="55"/>
      <c r="H19" s="3"/>
      <c r="I19" s="3"/>
      <c r="J19" s="3"/>
      <c r="K19" s="1"/>
      <c r="L19" s="1"/>
    </row>
    <row r="20" spans="8:12" ht="12.75">
      <c r="H20" s="55"/>
      <c r="I20" s="55"/>
      <c r="J20" s="55"/>
      <c r="K20" s="55"/>
      <c r="L20" s="55"/>
    </row>
    <row r="24" ht="12.75" hidden="1" outlineLevel="1">
      <c r="D24" t="s">
        <v>300</v>
      </c>
    </row>
    <row r="25" ht="12.75" hidden="1" outlineLevel="1"/>
    <row r="26" spans="1:11" s="2" customFormat="1" ht="38.25" hidden="1" outlineLevel="1">
      <c r="A26" s="91" t="s">
        <v>24</v>
      </c>
      <c r="B26" s="91" t="s">
        <v>7</v>
      </c>
      <c r="C26" s="91" t="s">
        <v>8</v>
      </c>
      <c r="D26" s="91" t="s">
        <v>10</v>
      </c>
      <c r="E26" s="91" t="s">
        <v>27</v>
      </c>
      <c r="F26" s="91" t="s">
        <v>11</v>
      </c>
      <c r="G26" s="91" t="s">
        <v>12</v>
      </c>
      <c r="H26" s="91" t="s">
        <v>192</v>
      </c>
      <c r="I26" s="91" t="s">
        <v>6</v>
      </c>
      <c r="J26" s="91" t="s">
        <v>193</v>
      </c>
      <c r="K26" s="91" t="s">
        <v>129</v>
      </c>
    </row>
    <row r="27" spans="1:11" ht="18" customHeight="1" hidden="1" outlineLevel="1">
      <c r="A27" s="90" t="str">
        <f>A9</f>
        <v>Residential</v>
      </c>
      <c r="B27" s="97">
        <f>'Forecast Data For 2011'!I8</f>
        <v>300327339.012951</v>
      </c>
      <c r="C27" s="97"/>
      <c r="D27" s="97">
        <f>'Forecast Data For 2011'!I7*12</f>
        <v>390101.4258286042</v>
      </c>
      <c r="E27" s="97"/>
      <c r="F27" s="97">
        <f>(D27*'2010 Existing RatesNF'!$C$8)</f>
        <v>6226018.756224523</v>
      </c>
      <c r="G27" s="97">
        <f>(B27*'2010 Existing RatesNF'!E8)</f>
        <v>4084451.8105761334</v>
      </c>
      <c r="H27" s="97">
        <f aca="true" t="shared" si="4" ref="H27:H32">+F27+G27</f>
        <v>10310470.566800658</v>
      </c>
      <c r="I27" s="97"/>
      <c r="J27" s="97">
        <f aca="true" t="shared" si="5" ref="J27:J32">H27-I27</f>
        <v>10310470.566800658</v>
      </c>
      <c r="K27" s="98">
        <f aca="true" t="shared" si="6" ref="K27:K32">+J27/$J$16</f>
        <v>0.38389813244979815</v>
      </c>
    </row>
    <row r="28" spans="1:11" ht="18" customHeight="1" hidden="1" outlineLevel="1">
      <c r="A28" s="90" t="str">
        <f>A10</f>
        <v>GS &lt; 50 kW</v>
      </c>
      <c r="B28" s="97">
        <f>'Forecast Data For 2011'!I10</f>
        <v>81577670.6935635</v>
      </c>
      <c r="C28" s="97"/>
      <c r="D28" s="97">
        <f>'Forecast Data For 2011'!I9*12</f>
        <v>33672.912013344554</v>
      </c>
      <c r="E28" s="97"/>
      <c r="F28" s="97">
        <f>(D28*'2010 Existing RatesNF'!$C$9)</f>
        <v>1591718.5508707971</v>
      </c>
      <c r="G28" s="97">
        <f>(B28*'2010 Existing RatesNF'!E9)</f>
        <v>815776.7069356351</v>
      </c>
      <c r="H28" s="97">
        <f t="shared" si="4"/>
        <v>2407495.2578064324</v>
      </c>
      <c r="I28" s="97"/>
      <c r="J28" s="97">
        <f t="shared" si="5"/>
        <v>2407495.2578064324</v>
      </c>
      <c r="K28" s="98">
        <f t="shared" si="6"/>
        <v>0.08964022809294771</v>
      </c>
    </row>
    <row r="29" spans="1:11" ht="18" customHeight="1" hidden="1" outlineLevel="1">
      <c r="A29" s="90" t="str">
        <f>A11</f>
        <v>GS &gt;50</v>
      </c>
      <c r="B29" s="97">
        <f>'Forecast Data For 2011'!I13</f>
        <v>486897092.93547356</v>
      </c>
      <c r="C29" s="97">
        <f>'Forecast Data For 2011'!I12</f>
        <v>1345797.8619896707</v>
      </c>
      <c r="D29" s="97">
        <f>'Forecast Data For 2011'!I11*12</f>
        <v>7528.211742480171</v>
      </c>
      <c r="E29" s="97"/>
      <c r="F29" s="97">
        <f>(D29*'2010 Existing RatesNF'!C10)</f>
        <v>2108953.237538395</v>
      </c>
      <c r="G29" s="97">
        <f>(C29*'2010 Existing RatesNF'!D10)</f>
        <v>4054081.479457684</v>
      </c>
      <c r="H29" s="97">
        <f t="shared" si="4"/>
        <v>6163034.716996079</v>
      </c>
      <c r="I29" s="97">
        <f>'Transformer Allowance'!B23</f>
        <v>313709.74</v>
      </c>
      <c r="J29" s="97">
        <f t="shared" si="5"/>
        <v>5849324.976996079</v>
      </c>
      <c r="K29" s="98">
        <f t="shared" si="6"/>
        <v>0.21779267204266378</v>
      </c>
    </row>
    <row r="30" spans="1:11" ht="18" customHeight="1" hidden="1" outlineLevel="1">
      <c r="A30" s="90" t="str">
        <f>A13</f>
        <v>Sentinel Lights</v>
      </c>
      <c r="B30" s="97">
        <f>'Forecast Data For 2011'!I19</f>
        <v>52320.57046834192</v>
      </c>
      <c r="C30" s="97">
        <f>'Forecast Data For 2011'!I18</f>
        <v>95.99624775298271</v>
      </c>
      <c r="D30" s="97"/>
      <c r="E30" s="97">
        <f>'Forecast Data For 2011'!I17*12</f>
        <v>240.96921898005257</v>
      </c>
      <c r="F30" s="97">
        <f>(E30*'2010 Existing RatesNF'!B12)</f>
        <v>265.06614087805787</v>
      </c>
      <c r="G30" s="97">
        <f>(C30*'2010 Existing RatesNF'!D12)</f>
        <v>391.9526795754284</v>
      </c>
      <c r="H30" s="97">
        <f t="shared" si="4"/>
        <v>657.0188204534863</v>
      </c>
      <c r="I30" s="97"/>
      <c r="J30" s="97">
        <f t="shared" si="5"/>
        <v>657.0188204534863</v>
      </c>
      <c r="K30" s="98">
        <f t="shared" si="6"/>
        <v>2.4463315861511564E-05</v>
      </c>
    </row>
    <row r="31" spans="1:11" ht="18" customHeight="1" hidden="1" outlineLevel="1">
      <c r="A31" s="90" t="str">
        <f>A14</f>
        <v>Street Lighting</v>
      </c>
      <c r="B31" s="97">
        <f>'Forecast Data For 2011'!I22</f>
        <v>5753278.277474598</v>
      </c>
      <c r="C31" s="97">
        <f>'Forecast Data For 2011'!I21</f>
        <v>15555.279268061406</v>
      </c>
      <c r="D31" s="97"/>
      <c r="E31" s="97">
        <f>'Forecast Data For 2011'!I20*12</f>
        <v>116003.88466465584</v>
      </c>
      <c r="F31" s="97">
        <f>(E31*'2010 Existing RatesNF'!B13)</f>
        <v>37121.24309268987</v>
      </c>
      <c r="G31" s="97">
        <f>(C31*'2010 Existing RatesNF'!D13)</f>
        <v>26317.976993633092</v>
      </c>
      <c r="H31" s="97">
        <f t="shared" si="4"/>
        <v>63439.22008632296</v>
      </c>
      <c r="I31" s="97"/>
      <c r="J31" s="97">
        <f t="shared" si="5"/>
        <v>63439.22008632296</v>
      </c>
      <c r="K31" s="98">
        <f t="shared" si="6"/>
        <v>0.002362084054013087</v>
      </c>
    </row>
    <row r="32" spans="1:11" ht="18" customHeight="1" hidden="1" outlineLevel="1">
      <c r="A32" s="90" t="str">
        <f>A15</f>
        <v>USL</v>
      </c>
      <c r="B32" s="97">
        <f>'Forecast Data For 2011'!I24</f>
        <v>1587974.4015504336</v>
      </c>
      <c r="C32" s="97"/>
      <c r="D32" s="97"/>
      <c r="E32" s="97">
        <f>'Forecast Data For 2011'!I23*12</f>
        <v>3767.757651652464</v>
      </c>
      <c r="F32" s="97">
        <f>(E32*'2010 Existing RatesNF'!B14)</f>
        <v>89107.46846158078</v>
      </c>
      <c r="G32" s="97">
        <f>(B32*'2010 Existing RatesNF'!E14)</f>
        <v>15879.744015504337</v>
      </c>
      <c r="H32" s="97">
        <f t="shared" si="4"/>
        <v>104987.21247708512</v>
      </c>
      <c r="I32" s="97"/>
      <c r="J32" s="97">
        <f t="shared" si="5"/>
        <v>104987.21247708512</v>
      </c>
      <c r="K32" s="98">
        <f t="shared" si="6"/>
        <v>0.003909074230893188</v>
      </c>
    </row>
    <row r="33" spans="1:11" ht="18" customHeight="1" hidden="1" outlineLevel="1" thickBot="1">
      <c r="A33" s="8"/>
      <c r="B33" s="296">
        <f aca="true" t="shared" si="7" ref="B33:K33">SUM(B27:B32)</f>
        <v>876195675.8914814</v>
      </c>
      <c r="C33" s="296">
        <f t="shared" si="7"/>
        <v>1361449.1375054852</v>
      </c>
      <c r="D33" s="296">
        <f t="shared" si="7"/>
        <v>431302.5495844289</v>
      </c>
      <c r="E33" s="296">
        <f t="shared" si="7"/>
        <v>120012.61153528836</v>
      </c>
      <c r="F33" s="296">
        <f t="shared" si="7"/>
        <v>10053184.322328866</v>
      </c>
      <c r="G33" s="296">
        <f t="shared" si="7"/>
        <v>8996899.670658166</v>
      </c>
      <c r="H33" s="296">
        <f t="shared" si="7"/>
        <v>19050083.99298703</v>
      </c>
      <c r="I33" s="296">
        <f t="shared" si="7"/>
        <v>313709.74</v>
      </c>
      <c r="J33" s="296">
        <f t="shared" si="7"/>
        <v>18736374.252987027</v>
      </c>
      <c r="K33" s="99">
        <f t="shared" si="7"/>
        <v>0.6976266541861773</v>
      </c>
    </row>
    <row r="34" ht="13.5" hidden="1" outlineLevel="1" thickTop="1"/>
    <row r="35" ht="12.75" hidden="1" outlineLevel="1"/>
    <row r="36" ht="12.75" hidden="1" outlineLevel="1"/>
    <row r="37" ht="12.75" hidden="1" outlineLevel="1"/>
    <row r="38" ht="12.75" hidden="1" outlineLevel="1">
      <c r="D38" t="s">
        <v>301</v>
      </c>
    </row>
    <row r="39" spans="1:11" s="2" customFormat="1" ht="38.25" hidden="1" outlineLevel="1">
      <c r="A39" s="91" t="s">
        <v>24</v>
      </c>
      <c r="B39" s="91" t="s">
        <v>7</v>
      </c>
      <c r="C39" s="91" t="s">
        <v>8</v>
      </c>
      <c r="D39" s="91" t="s">
        <v>10</v>
      </c>
      <c r="E39" s="91" t="s">
        <v>27</v>
      </c>
      <c r="F39" s="91" t="s">
        <v>11</v>
      </c>
      <c r="G39" s="91" t="s">
        <v>12</v>
      </c>
      <c r="H39" s="91" t="s">
        <v>192</v>
      </c>
      <c r="I39" s="91" t="s">
        <v>6</v>
      </c>
      <c r="J39" s="91" t="s">
        <v>193</v>
      </c>
      <c r="K39" s="91" t="s">
        <v>129</v>
      </c>
    </row>
    <row r="40" spans="1:11" ht="18" customHeight="1" hidden="1" outlineLevel="1">
      <c r="A40" s="90" t="s">
        <v>298</v>
      </c>
      <c r="B40" s="97">
        <f>'Forecast Data For 2011'!L8</f>
        <v>79539791.9746072</v>
      </c>
      <c r="C40" s="97"/>
      <c r="D40" s="97">
        <f>'Forecast Data For 2011'!L7*12</f>
        <v>113979.73007787076</v>
      </c>
      <c r="E40" s="97"/>
      <c r="F40" s="97">
        <f>(D40*'2010 Existing RatesPW'!C8)</f>
        <v>1144356.4899818222</v>
      </c>
      <c r="G40" s="97">
        <f>(B40*'2010 Existing RatesPW'!B72)</f>
        <v>1431716.2555429295</v>
      </c>
      <c r="H40" s="97">
        <f aca="true" t="shared" si="8" ref="H40:H46">+F40+G40</f>
        <v>2576072.745524752</v>
      </c>
      <c r="I40" s="97"/>
      <c r="J40" s="97">
        <f aca="true" t="shared" si="9" ref="J40:J46">H40-I40</f>
        <v>2576072.745524752</v>
      </c>
      <c r="K40" s="98">
        <f aca="true" t="shared" si="10" ref="K40:K46">+J40/$J$16</f>
        <v>0.09591701073723619</v>
      </c>
    </row>
    <row r="41" spans="1:11" ht="18" customHeight="1" hidden="1" outlineLevel="1">
      <c r="A41" s="90" t="s">
        <v>299</v>
      </c>
      <c r="B41" s="97">
        <f>'Forecast Data For 2011'!M8</f>
        <v>79539791.9746072</v>
      </c>
      <c r="C41" s="97"/>
      <c r="D41" s="97">
        <f>'Forecast Data For 2011'!M7*12</f>
        <v>58716.83064617584</v>
      </c>
      <c r="E41" s="97"/>
      <c r="F41" s="97">
        <f>(D41*'2010 Existing RatesPW'!C9)</f>
        <v>625334.2463817727</v>
      </c>
      <c r="G41" s="97">
        <f>(B41*'2010 Existing RatesPW'!B73)</f>
        <v>1065833.2124597365</v>
      </c>
      <c r="H41" s="97">
        <f t="shared" si="8"/>
        <v>1691167.4588415092</v>
      </c>
      <c r="I41" s="97"/>
      <c r="J41" s="97">
        <f t="shared" si="9"/>
        <v>1691167.4588415092</v>
      </c>
      <c r="K41" s="98">
        <f t="shared" si="10"/>
        <v>0.06296861281963625</v>
      </c>
    </row>
    <row r="42" spans="1:11" ht="18" customHeight="1" hidden="1" outlineLevel="1">
      <c r="A42" s="90" t="str">
        <f>A28</f>
        <v>GS &lt; 50 kW</v>
      </c>
      <c r="B42" s="97">
        <f>'Forecast Data For 2011'!E10</f>
        <v>39859872.202590816</v>
      </c>
      <c r="C42" s="97"/>
      <c r="D42" s="97">
        <f>'Forecast Data For 2011'!E9*12</f>
        <v>18554.80878006736</v>
      </c>
      <c r="E42" s="97"/>
      <c r="F42" s="97">
        <f>(D42*'2010 Existing RatesPW'!C10)</f>
        <v>192042.27087369718</v>
      </c>
      <c r="G42" s="97">
        <f>(B42*'2010 Existing RatesPW'!B74)</f>
        <v>701533.7507655984</v>
      </c>
      <c r="H42" s="97">
        <f t="shared" si="8"/>
        <v>893576.0216392956</v>
      </c>
      <c r="I42" s="97"/>
      <c r="J42" s="97">
        <f t="shared" si="9"/>
        <v>893576.0216392956</v>
      </c>
      <c r="K42" s="98">
        <f t="shared" si="10"/>
        <v>0.033271242441041377</v>
      </c>
    </row>
    <row r="43" spans="1:11" ht="18" customHeight="1" hidden="1" outlineLevel="1">
      <c r="A43" s="90" t="str">
        <f>A29</f>
        <v>GS &gt;50</v>
      </c>
      <c r="B43" s="97">
        <f>'Forecast Data For 2011'!E13</f>
        <v>136909576.91643056</v>
      </c>
      <c r="C43" s="97">
        <f>'Forecast Data For 2011'!E12</f>
        <v>460211.6167489803</v>
      </c>
      <c r="D43" s="97">
        <f>'Forecast Data For 2011'!E11*12</f>
        <v>2651.8158260440587</v>
      </c>
      <c r="E43" s="97"/>
      <c r="F43" s="97">
        <f>(D43*'2010 Existing RatesPW'!C11)</f>
        <v>60328.81004250234</v>
      </c>
      <c r="G43" s="97">
        <f>(C43*'2010 Existing RatesPW'!D75)</f>
        <v>2925795.3534816424</v>
      </c>
      <c r="H43" s="97">
        <f t="shared" si="8"/>
        <v>2986124.163524145</v>
      </c>
      <c r="I43" s="97">
        <f>'Transformer Allowance'!B24</f>
        <v>78765.59</v>
      </c>
      <c r="J43" s="97">
        <f t="shared" si="9"/>
        <v>2907358.573524145</v>
      </c>
      <c r="K43" s="98">
        <f t="shared" si="10"/>
        <v>0.10825204528799345</v>
      </c>
    </row>
    <row r="44" spans="1:11" ht="18" customHeight="1" hidden="1" outlineLevel="1">
      <c r="A44" s="90" t="str">
        <f>A30</f>
        <v>Sentinel Lights</v>
      </c>
      <c r="B44" s="97">
        <f>'Forecast Data For 2011'!E19</f>
        <v>240496.431451975</v>
      </c>
      <c r="C44" s="97">
        <f>'Forecast Data For 2011'!E18</f>
        <v>713.3129774587485</v>
      </c>
      <c r="D44" s="97"/>
      <c r="E44" s="97">
        <f>'Forecast Data For 2011'!E17*12</f>
        <v>6480.56603773585</v>
      </c>
      <c r="F44" s="97">
        <f>(E44*'2010 Existing RatesPW'!B13)</f>
        <v>6739.788679245285</v>
      </c>
      <c r="G44" s="97">
        <f>(C44*'2010 Existing RatesPW'!D77)</f>
        <v>661.2411301042599</v>
      </c>
      <c r="H44" s="97">
        <f t="shared" si="8"/>
        <v>7401.029809349545</v>
      </c>
      <c r="I44" s="97"/>
      <c r="J44" s="97">
        <f t="shared" si="9"/>
        <v>7401.029809349545</v>
      </c>
      <c r="K44" s="98">
        <f t="shared" si="10"/>
        <v>0.0002755685595149528</v>
      </c>
    </row>
    <row r="45" spans="1:11" ht="18" customHeight="1" hidden="1" outlineLevel="1">
      <c r="A45" s="90" t="str">
        <f>A31</f>
        <v>Street Lighting</v>
      </c>
      <c r="B45" s="97">
        <f>'Forecast Data For 2011'!E22</f>
        <v>1714312.4013307898</v>
      </c>
      <c r="C45" s="97">
        <f>'Forecast Data For 2011'!E21</f>
        <v>4552.141963208361</v>
      </c>
      <c r="D45" s="97"/>
      <c r="E45" s="97">
        <f>'Forecast Data For 2011'!E20*12</f>
        <v>32888.293868955996</v>
      </c>
      <c r="F45" s="97">
        <f>(E45*'2010 Existing RatesPW'!B14)</f>
        <v>19404.093382684037</v>
      </c>
      <c r="G45" s="97">
        <f>(C45*'2010 Existing RatesPW'!D78)</f>
        <v>3623.9602169101768</v>
      </c>
      <c r="H45" s="97">
        <f t="shared" si="8"/>
        <v>23028.053599594215</v>
      </c>
      <c r="I45" s="97"/>
      <c r="J45" s="97">
        <f t="shared" si="9"/>
        <v>23028.053599594215</v>
      </c>
      <c r="K45" s="98">
        <f t="shared" si="10"/>
        <v>0.0008574222401937624</v>
      </c>
    </row>
    <row r="46" spans="1:11" ht="18" customHeight="1" hidden="1" outlineLevel="1">
      <c r="A46" s="90" t="str">
        <f>A32</f>
        <v>USL</v>
      </c>
      <c r="B46" s="97">
        <f>'Forecast Data For 2011'!E24</f>
        <v>747453.4323946382</v>
      </c>
      <c r="C46" s="97"/>
      <c r="D46" s="97"/>
      <c r="E46" s="97">
        <f>'Forecast Data For 2011'!E23*12</f>
        <v>1814.607395554201</v>
      </c>
      <c r="F46" s="97">
        <f>(E46*'2010 Existing RatesPW'!B15)</f>
        <v>9399.666308970762</v>
      </c>
      <c r="G46" s="97">
        <f>(B46*'2010 Existing RatesPW'!B79)</f>
        <v>12930.94438042724</v>
      </c>
      <c r="H46" s="97">
        <f t="shared" si="8"/>
        <v>22330.610689398003</v>
      </c>
      <c r="I46" s="97"/>
      <c r="J46" s="97">
        <f t="shared" si="9"/>
        <v>22330.610689398003</v>
      </c>
      <c r="K46" s="98">
        <f t="shared" si="10"/>
        <v>0.000831453781336335</v>
      </c>
    </row>
    <row r="47" spans="1:11" ht="18" customHeight="1" hidden="1" outlineLevel="1" thickBot="1">
      <c r="A47" s="8"/>
      <c r="B47" s="296">
        <f aca="true" t="shared" si="11" ref="B47:K47">SUM(B40:B46)</f>
        <v>338551295.3334131</v>
      </c>
      <c r="C47" s="296">
        <f t="shared" si="11"/>
        <v>465477.07168964745</v>
      </c>
      <c r="D47" s="296">
        <f t="shared" si="11"/>
        <v>193903.18533015804</v>
      </c>
      <c r="E47" s="296">
        <f t="shared" si="11"/>
        <v>41183.46730224605</v>
      </c>
      <c r="F47" s="296">
        <f t="shared" si="11"/>
        <v>2057605.3656506946</v>
      </c>
      <c r="G47" s="296">
        <f t="shared" si="11"/>
        <v>6142094.717977348</v>
      </c>
      <c r="H47" s="296">
        <f t="shared" si="11"/>
        <v>8199700.083628043</v>
      </c>
      <c r="I47" s="296">
        <f t="shared" si="11"/>
        <v>78765.59</v>
      </c>
      <c r="J47" s="296">
        <f t="shared" si="11"/>
        <v>8120934.493628043</v>
      </c>
      <c r="K47" s="99">
        <f t="shared" si="11"/>
        <v>0.3023733558669523</v>
      </c>
    </row>
    <row r="48" ht="12.75" collapsed="1"/>
    <row r="50" spans="2:8" ht="12.75">
      <c r="B50" s="338"/>
      <c r="C50" s="338"/>
      <c r="D50" s="338"/>
      <c r="E50" s="338"/>
      <c r="F50" s="338"/>
      <c r="G50" s="338"/>
      <c r="H50" s="338"/>
    </row>
    <row r="51" spans="2:8" ht="12.75">
      <c r="B51" s="338"/>
      <c r="C51" s="338"/>
      <c r="D51" s="338"/>
      <c r="E51" s="338"/>
      <c r="F51" s="338"/>
      <c r="G51" s="338"/>
      <c r="H51" s="338"/>
    </row>
    <row r="52" spans="2:8" ht="12.75">
      <c r="B52" s="338"/>
      <c r="C52" s="338"/>
      <c r="D52" s="338"/>
      <c r="E52" s="338"/>
      <c r="F52" s="338"/>
      <c r="G52" s="338"/>
      <c r="H52" s="338"/>
    </row>
    <row r="53" spans="2:8" ht="12.75">
      <c r="B53" s="338"/>
      <c r="C53" s="338"/>
      <c r="D53" s="338"/>
      <c r="E53" s="338"/>
      <c r="F53" s="338"/>
      <c r="G53" s="338"/>
      <c r="H53" s="338"/>
    </row>
    <row r="54" spans="2:8" ht="12.75">
      <c r="B54" s="338"/>
      <c r="C54" s="338"/>
      <c r="D54" s="338"/>
      <c r="E54" s="338"/>
      <c r="F54" s="338"/>
      <c r="G54" s="338"/>
      <c r="H54" s="338"/>
    </row>
    <row r="55" spans="2:8" ht="12.75">
      <c r="B55" s="338"/>
      <c r="C55" s="338"/>
      <c r="D55" s="338"/>
      <c r="E55" s="338"/>
      <c r="F55" s="338"/>
      <c r="G55" s="338"/>
      <c r="H55" s="338"/>
    </row>
    <row r="56" spans="2:8" ht="12.75">
      <c r="B56" s="338"/>
      <c r="C56" s="338"/>
      <c r="D56" s="338"/>
      <c r="E56" s="338"/>
      <c r="F56" s="338"/>
      <c r="G56" s="338"/>
      <c r="H56" s="338"/>
    </row>
    <row r="58" spans="2:8" ht="12.75">
      <c r="B58" s="338"/>
      <c r="C58" s="338"/>
      <c r="D58" s="338"/>
      <c r="E58" s="338"/>
      <c r="F58" s="338"/>
      <c r="G58" s="338"/>
      <c r="H58" s="338"/>
    </row>
    <row r="59" spans="2:8" ht="12.75">
      <c r="B59" s="338"/>
      <c r="C59" s="338"/>
      <c r="D59" s="338"/>
      <c r="E59" s="338"/>
      <c r="F59" s="338"/>
      <c r="G59" s="338"/>
      <c r="H59" s="338"/>
    </row>
    <row r="60" spans="2:8" ht="12.75">
      <c r="B60" s="338"/>
      <c r="C60" s="338"/>
      <c r="D60" s="338"/>
      <c r="E60" s="338"/>
      <c r="F60" s="338"/>
      <c r="G60" s="338"/>
      <c r="H60" s="338"/>
    </row>
    <row r="61" spans="2:8" ht="12.75">
      <c r="B61" s="338"/>
      <c r="C61" s="338"/>
      <c r="D61" s="338"/>
      <c r="E61" s="338"/>
      <c r="F61" s="338"/>
      <c r="G61" s="338"/>
      <c r="H61" s="338"/>
    </row>
    <row r="62" spans="2:8" ht="12.75">
      <c r="B62" s="338"/>
      <c r="C62" s="338"/>
      <c r="D62" s="338"/>
      <c r="E62" s="338"/>
      <c r="F62" s="338"/>
      <c r="G62" s="338"/>
      <c r="H62" s="338"/>
    </row>
    <row r="63" spans="2:8" ht="12.75">
      <c r="B63" s="338"/>
      <c r="C63" s="338"/>
      <c r="D63" s="338"/>
      <c r="E63" s="338"/>
      <c r="F63" s="338"/>
      <c r="G63" s="338"/>
      <c r="H63" s="338"/>
    </row>
    <row r="64" spans="2:8" ht="12.75">
      <c r="B64" s="338"/>
      <c r="C64" s="338"/>
      <c r="D64" s="338"/>
      <c r="E64" s="338"/>
      <c r="F64" s="338"/>
      <c r="G64" s="338"/>
      <c r="H64" s="338"/>
    </row>
  </sheetData>
  <mergeCells count="7">
    <mergeCell ref="A7:L7"/>
    <mergeCell ref="A5:L5"/>
    <mergeCell ref="A6:L6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355" verticalDpi="355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85" zoomScaleNormal="85" workbookViewId="0" topLeftCell="A1">
      <selection activeCell="H9" sqref="H9"/>
    </sheetView>
  </sheetViews>
  <sheetFormatPr defaultColWidth="9.140625" defaultRowHeight="12.75"/>
  <cols>
    <col min="1" max="1" width="33.140625" style="0" bestFit="1" customWidth="1"/>
    <col min="2" max="2" width="15.8515625" style="333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6.7109375" style="0" bestFit="1" customWidth="1"/>
    <col min="10" max="10" width="14.421875" style="0" customWidth="1"/>
    <col min="11" max="11" width="13.8515625" style="0" customWidth="1"/>
    <col min="12" max="12" width="15.00390625" style="0" customWidth="1"/>
    <col min="13" max="13" width="13.28125" style="0" customWidth="1"/>
    <col min="16" max="16" width="14.57421875" style="0" bestFit="1" customWidth="1"/>
    <col min="17" max="17" width="14.28125" style="0" bestFit="1" customWidth="1"/>
    <col min="19" max="19" width="11.57421875" style="0" bestFit="1" customWidth="1"/>
    <col min="20" max="20" width="20.8515625" style="0" bestFit="1" customWidth="1"/>
  </cols>
  <sheetData>
    <row r="1" spans="1:13" ht="12.75">
      <c r="A1" s="533" t="str">
        <f>+'Revenue Input'!A1</f>
        <v>Niagara Peninsula Energy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3" ht="12.75">
      <c r="A2" s="533" t="str">
        <f>+'Revenue Input'!A2</f>
        <v>, License Number ED-2007-0749, File Number EB-2010-0138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</row>
    <row r="3" spans="1:13" ht="12.75">
      <c r="A3" s="533">
        <f>+'Revenue Input'!A3</f>
        <v>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</row>
    <row r="4" spans="1:13" s="8" customFormat="1" ht="10.5" customHeigh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4" ht="36" customHeight="1">
      <c r="A5" s="532" t="s">
        <v>186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N5" s="290"/>
    </row>
    <row r="6" spans="1:13" ht="76.5">
      <c r="A6" s="86" t="s">
        <v>24</v>
      </c>
      <c r="B6" s="330" t="s">
        <v>227</v>
      </c>
      <c r="C6" s="91" t="s">
        <v>270</v>
      </c>
      <c r="D6" s="91" t="s">
        <v>228</v>
      </c>
      <c r="E6" s="91" t="s">
        <v>201</v>
      </c>
      <c r="F6" s="91" t="s">
        <v>202</v>
      </c>
      <c r="G6" s="91" t="s">
        <v>269</v>
      </c>
      <c r="H6" s="91" t="s">
        <v>203</v>
      </c>
      <c r="I6" s="91" t="s">
        <v>204</v>
      </c>
      <c r="J6" s="91" t="s">
        <v>205</v>
      </c>
      <c r="K6" s="355" t="s">
        <v>206</v>
      </c>
      <c r="L6" s="357" t="s">
        <v>229</v>
      </c>
      <c r="M6" s="356" t="s">
        <v>230</v>
      </c>
    </row>
    <row r="7" spans="1:19" ht="18" customHeight="1">
      <c r="A7" s="90" t="str">
        <f>'2010 Existing RatesNF'!A8</f>
        <v>Residential</v>
      </c>
      <c r="B7" s="331">
        <v>21470313.888809733</v>
      </c>
      <c r="C7" s="295">
        <f>'2011 Test Yr On Existing Rates'!K9*'Cost Allocation Study'!$C$14</f>
        <v>16411383.344008824</v>
      </c>
      <c r="D7" s="295">
        <v>1267536.4953900902</v>
      </c>
      <c r="E7" s="334">
        <f>C7+D7</f>
        <v>17678919.839398913</v>
      </c>
      <c r="F7" s="335">
        <f>E7/B7</f>
        <v>0.823412267326614</v>
      </c>
      <c r="G7" s="336">
        <v>0.8234122673266142</v>
      </c>
      <c r="H7" s="340">
        <v>0.85</v>
      </c>
      <c r="I7" s="125">
        <f aca="true" t="shared" si="0" ref="I7:I13">B7*H7</f>
        <v>18249766.805488274</v>
      </c>
      <c r="J7" s="125">
        <f aca="true" t="shared" si="1" ref="J7:J13">D7</f>
        <v>1267536.4953900902</v>
      </c>
      <c r="K7" s="334">
        <f aca="true" t="shared" si="2" ref="K7:K13">I7-J7</f>
        <v>16982230.310098182</v>
      </c>
      <c r="L7" s="358">
        <v>0.85</v>
      </c>
      <c r="M7" s="359">
        <v>1.15</v>
      </c>
      <c r="P7" s="490">
        <f>H7</f>
        <v>0.85</v>
      </c>
      <c r="Q7" s="1">
        <f>P7*B7</f>
        <v>18249766.805488274</v>
      </c>
      <c r="R7" s="490">
        <f>H7</f>
        <v>0.85</v>
      </c>
      <c r="S7" s="1">
        <f>R7*B7</f>
        <v>18249766.805488274</v>
      </c>
    </row>
    <row r="8" spans="1:19" ht="18" customHeight="1">
      <c r="A8" s="90" t="str">
        <f>'2010 Existing RatesNF'!A9</f>
        <v>GS &lt; 50 kW</v>
      </c>
      <c r="B8" s="331">
        <v>3677379.2850636654</v>
      </c>
      <c r="C8" s="295">
        <f>'2011 Test Yr On Existing Rates'!K10*'Cost Allocation Study'!$C$14</f>
        <v>3716299.977636674</v>
      </c>
      <c r="D8" s="295">
        <v>262161.0946418186</v>
      </c>
      <c r="E8" s="334">
        <f aca="true" t="shared" si="3" ref="E8:E13">C8+D8</f>
        <v>3978461.0722784926</v>
      </c>
      <c r="F8" s="335">
        <f aca="true" t="shared" si="4" ref="F8:F14">E8/B8</f>
        <v>1.081874009688836</v>
      </c>
      <c r="G8" s="336">
        <v>1.0818740096888362</v>
      </c>
      <c r="H8" s="340">
        <f>G8</f>
        <v>1.0818740096888362</v>
      </c>
      <c r="I8" s="125">
        <f t="shared" si="0"/>
        <v>3978461.0722784935</v>
      </c>
      <c r="J8" s="125">
        <f t="shared" si="1"/>
        <v>262161.0946418186</v>
      </c>
      <c r="K8" s="334">
        <f t="shared" si="2"/>
        <v>3716299.977636675</v>
      </c>
      <c r="L8" s="358">
        <v>0.8</v>
      </c>
      <c r="M8" s="359">
        <v>1.2</v>
      </c>
      <c r="P8" s="490">
        <f aca="true" t="shared" si="5" ref="P8:P13">H8</f>
        <v>1.0818740096888362</v>
      </c>
      <c r="Q8" s="1">
        <f aca="true" t="shared" si="6" ref="Q8:Q13">P8*B8</f>
        <v>3978461.0722784935</v>
      </c>
      <c r="R8" s="490">
        <f>P8</f>
        <v>1.0818740096888362</v>
      </c>
      <c r="S8" s="1">
        <f aca="true" t="shared" si="7" ref="S8:S13">R8*B8</f>
        <v>3978461.0722784935</v>
      </c>
    </row>
    <row r="9" spans="1:19" ht="18" customHeight="1">
      <c r="A9" s="90" t="str">
        <f>'2010 Existing RatesNF'!A10</f>
        <v>GS &gt;50</v>
      </c>
      <c r="B9" s="331">
        <v>6599351.574292472</v>
      </c>
      <c r="C9" s="295">
        <f>'2011 Test Yr On Existing Rates'!K11*'Cost Allocation Study'!$C$14</f>
        <v>9858151.831557194</v>
      </c>
      <c r="D9" s="295">
        <v>652820.5543232337</v>
      </c>
      <c r="E9" s="334">
        <f t="shared" si="3"/>
        <v>10510972.385880427</v>
      </c>
      <c r="F9" s="335">
        <f t="shared" si="4"/>
        <v>1.5927280532871637</v>
      </c>
      <c r="G9" s="336">
        <v>1.592728053287164</v>
      </c>
      <c r="H9" s="527">
        <f>(E14-(I7+I8+I11+I12+I13))/B9</f>
        <v>1.4863063089969026</v>
      </c>
      <c r="I9" s="125">
        <f t="shared" si="0"/>
        <v>9808657.880159542</v>
      </c>
      <c r="J9" s="125">
        <f t="shared" si="1"/>
        <v>652820.5543232337</v>
      </c>
      <c r="K9" s="334">
        <f t="shared" si="2"/>
        <v>9155837.325836308</v>
      </c>
      <c r="L9" s="358">
        <v>0.8</v>
      </c>
      <c r="M9" s="359">
        <v>1.8</v>
      </c>
      <c r="P9" s="490">
        <f>($E$14-(Q7+Q8+Q11+Q12+Q13))/$B$9</f>
        <v>1.4763456683073195</v>
      </c>
      <c r="Q9" s="1">
        <f t="shared" si="6"/>
        <v>9742924.11034378</v>
      </c>
      <c r="R9" s="490">
        <f>($E$14-(S7+S8+S11+S12+S13))/$B$9</f>
        <v>1.466385027617737</v>
      </c>
      <c r="S9" s="1">
        <f t="shared" si="7"/>
        <v>9677190.340528022</v>
      </c>
    </row>
    <row r="10" spans="1:19" ht="18" customHeight="1">
      <c r="A10" s="90" t="str">
        <f>'2010 Existing RatesNF'!A11</f>
        <v>Large Use</v>
      </c>
      <c r="B10" s="331">
        <v>0</v>
      </c>
      <c r="C10" s="295">
        <f>'2011 Test Yr On Existing Rates'!K12*'Cost Allocation Study'!$C$14</f>
        <v>0</v>
      </c>
      <c r="D10" s="295">
        <v>0</v>
      </c>
      <c r="E10" s="334">
        <f t="shared" si="3"/>
        <v>0</v>
      </c>
      <c r="F10" s="335">
        <v>0</v>
      </c>
      <c r="G10" s="336">
        <v>0</v>
      </c>
      <c r="H10" s="340">
        <v>0</v>
      </c>
      <c r="I10" s="125">
        <f t="shared" si="0"/>
        <v>0</v>
      </c>
      <c r="J10" s="125">
        <f t="shared" si="1"/>
        <v>0</v>
      </c>
      <c r="K10" s="334">
        <f t="shared" si="2"/>
        <v>0</v>
      </c>
      <c r="L10" s="358">
        <v>0.85</v>
      </c>
      <c r="M10" s="359">
        <v>1.15</v>
      </c>
      <c r="P10" s="490">
        <f t="shared" si="5"/>
        <v>0</v>
      </c>
      <c r="Q10" s="1">
        <f t="shared" si="6"/>
        <v>0</v>
      </c>
      <c r="S10" s="1">
        <f t="shared" si="7"/>
        <v>0</v>
      </c>
    </row>
    <row r="11" spans="1:20" ht="18" customHeight="1">
      <c r="A11" s="90" t="str">
        <f>'2010 Existing RatesNF'!A12</f>
        <v>Sentinel Lights</v>
      </c>
      <c r="B11" s="331">
        <v>146590.68648448595</v>
      </c>
      <c r="C11" s="295">
        <f>'2011 Test Yr On Existing Rates'!K13*'Cost Allocation Study'!$C$14</f>
        <v>9071.63869171598</v>
      </c>
      <c r="D11" s="295">
        <v>555.888855533098</v>
      </c>
      <c r="E11" s="334">
        <f t="shared" si="3"/>
        <v>9627.527547249078</v>
      </c>
      <c r="F11" s="335">
        <f t="shared" si="4"/>
        <v>0.06567625664450369</v>
      </c>
      <c r="G11" s="336">
        <v>0.06567625664450369</v>
      </c>
      <c r="H11" s="340">
        <f>(G11+L11)/2</f>
        <v>0.38283812832225184</v>
      </c>
      <c r="I11" s="125">
        <f t="shared" si="0"/>
        <v>56120.50404319462</v>
      </c>
      <c r="J11" s="125">
        <f t="shared" si="1"/>
        <v>555.888855533098</v>
      </c>
      <c r="K11" s="334">
        <f t="shared" si="2"/>
        <v>55564.61518766152</v>
      </c>
      <c r="L11" s="358">
        <v>0.7</v>
      </c>
      <c r="M11" s="359">
        <v>1.2</v>
      </c>
      <c r="P11" s="490">
        <f>(H11+L11)/2</f>
        <v>0.5414190641611258</v>
      </c>
      <c r="Q11" s="1">
        <f t="shared" si="6"/>
        <v>79366.99229116738</v>
      </c>
      <c r="R11" s="491">
        <f>L11</f>
        <v>0.7</v>
      </c>
      <c r="S11" s="1">
        <f t="shared" si="7"/>
        <v>102613.48053914016</v>
      </c>
      <c r="T11" s="492"/>
    </row>
    <row r="12" spans="1:20" ht="18" customHeight="1">
      <c r="A12" s="90" t="str">
        <f>'2010 Existing RatesNF'!A13</f>
        <v>Street Lighting</v>
      </c>
      <c r="B12" s="331">
        <v>383681.1164258973</v>
      </c>
      <c r="C12" s="295">
        <f>'2011 Test Yr On Existing Rates'!K14*'Cost Allocation Study'!$C$14</f>
        <v>97343.65000419896</v>
      </c>
      <c r="D12" s="295">
        <v>1284.005222777377</v>
      </c>
      <c r="E12" s="334">
        <f t="shared" si="3"/>
        <v>98627.65522697633</v>
      </c>
      <c r="F12" s="335">
        <f t="shared" si="4"/>
        <v>0.2570563183972201</v>
      </c>
      <c r="G12" s="336">
        <v>0.25705631839722015</v>
      </c>
      <c r="H12" s="340">
        <f>(G12+L12)/2</f>
        <v>0.47852815919861</v>
      </c>
      <c r="I12" s="125">
        <f t="shared" si="0"/>
        <v>183602.2183625522</v>
      </c>
      <c r="J12" s="125">
        <f t="shared" si="1"/>
        <v>1284.005222777377</v>
      </c>
      <c r="K12" s="334">
        <f>I12-J12</f>
        <v>182318.21313977483</v>
      </c>
      <c r="L12" s="358">
        <v>0.7</v>
      </c>
      <c r="M12" s="359">
        <v>1.2</v>
      </c>
      <c r="P12" s="490">
        <f>(H12+L12)/2</f>
        <v>0.5892640795993049</v>
      </c>
      <c r="Q12" s="1">
        <f t="shared" si="6"/>
        <v>226089.49993034013</v>
      </c>
      <c r="R12" s="491">
        <f>L12</f>
        <v>0.7</v>
      </c>
      <c r="S12" s="1">
        <f t="shared" si="7"/>
        <v>268576.7814981281</v>
      </c>
      <c r="T12" s="492"/>
    </row>
    <row r="13" spans="1:19" ht="18" customHeight="1">
      <c r="A13" s="90" t="str">
        <f>'2010 Existing RatesNF'!A14</f>
        <v>USL</v>
      </c>
      <c r="B13" s="331">
        <v>144013.6293337265</v>
      </c>
      <c r="C13" s="295">
        <f>'2011 Test Yr On Existing Rates'!K15*'Cost Allocation Study'!$C$14</f>
        <v>143332.62851137118</v>
      </c>
      <c r="D13" s="295">
        <v>1388.9715665471992</v>
      </c>
      <c r="E13" s="334">
        <f t="shared" si="3"/>
        <v>144721.60007791838</v>
      </c>
      <c r="F13" s="335">
        <f t="shared" si="4"/>
        <v>1.004915998211192</v>
      </c>
      <c r="G13" s="336">
        <v>1.004915998211192</v>
      </c>
      <c r="H13" s="340">
        <f>G13</f>
        <v>1.004915998211192</v>
      </c>
      <c r="I13" s="125">
        <f t="shared" si="0"/>
        <v>144721.60007791835</v>
      </c>
      <c r="J13" s="125">
        <f t="shared" si="1"/>
        <v>1388.9715665471992</v>
      </c>
      <c r="K13" s="334">
        <f t="shared" si="2"/>
        <v>143332.62851137115</v>
      </c>
      <c r="L13" s="358">
        <v>0.8</v>
      </c>
      <c r="M13" s="359">
        <v>1.2</v>
      </c>
      <c r="P13" s="490">
        <f t="shared" si="5"/>
        <v>1.004915998211192</v>
      </c>
      <c r="Q13" s="1">
        <f t="shared" si="6"/>
        <v>144721.60007791835</v>
      </c>
      <c r="R13" s="490">
        <f>P13</f>
        <v>1.004915998211192</v>
      </c>
      <c r="S13" s="1">
        <f t="shared" si="7"/>
        <v>144721.60007791835</v>
      </c>
    </row>
    <row r="14" spans="1:19" ht="18" customHeight="1" thickBot="1">
      <c r="A14" s="92" t="s">
        <v>1</v>
      </c>
      <c r="B14" s="332">
        <f>SUM(B7:B13)</f>
        <v>32421330.18040998</v>
      </c>
      <c r="C14" s="93">
        <f>'Revenue Input'!B10</f>
        <v>30235583.070409972</v>
      </c>
      <c r="D14" s="93">
        <f>SUM(D7:D13)</f>
        <v>2185747.0100000002</v>
      </c>
      <c r="E14" s="93">
        <f>SUM(E7:E13)</f>
        <v>32421330.080409974</v>
      </c>
      <c r="F14" s="335">
        <f t="shared" si="4"/>
        <v>0.9999999969156107</v>
      </c>
      <c r="G14" s="337">
        <v>0.9999999964557681</v>
      </c>
      <c r="H14" s="94"/>
      <c r="I14" s="93">
        <f>SUM(I7:I13)</f>
        <v>32421330.080409974</v>
      </c>
      <c r="J14" s="93">
        <f>SUM(J7:J13)</f>
        <v>2185747.0100000002</v>
      </c>
      <c r="K14" s="93">
        <f>SUM(K7:K13)</f>
        <v>30235583.070409976</v>
      </c>
      <c r="L14" s="334"/>
      <c r="M14" s="360"/>
      <c r="Q14" s="1">
        <f>SUM(Q7:Q13)</f>
        <v>32421330.080409974</v>
      </c>
      <c r="S14" s="1">
        <f>SUM(S7:S13)</f>
        <v>32421330.080409974</v>
      </c>
    </row>
    <row r="15" spans="17:19" ht="13.5" customHeight="1">
      <c r="Q15" s="22">
        <f>Q14-$I$14</f>
        <v>0</v>
      </c>
      <c r="S15" s="1">
        <f>S14-$I$14</f>
        <v>0</v>
      </c>
    </row>
    <row r="16" spans="2:11" ht="12.75">
      <c r="B16" s="333">
        <f>'Revenue Input'!B8</f>
        <v>32421329.780409973</v>
      </c>
      <c r="K16" s="333">
        <f>'Revenue Input'!B10</f>
        <v>30235583.070409972</v>
      </c>
    </row>
    <row r="17" ht="12.75">
      <c r="L17" t="s">
        <v>207</v>
      </c>
    </row>
    <row r="18" spans="2:11" ht="12.75">
      <c r="B18" s="339">
        <f>B14-B16</f>
        <v>0.4000000059604645</v>
      </c>
      <c r="C18" t="s">
        <v>200</v>
      </c>
      <c r="K18" s="339">
        <f>K14-K16</f>
        <v>0</v>
      </c>
    </row>
  </sheetData>
  <mergeCells count="5">
    <mergeCell ref="A5:K5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355" verticalDpi="355" orientation="landscape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2.7109375" style="0" bestFit="1" customWidth="1"/>
    <col min="2" max="2" width="18.57421875" style="338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7" width="16.00390625" style="0" bestFit="1" customWidth="1"/>
    <col min="8" max="8" width="13.140625" style="0" bestFit="1" customWidth="1"/>
    <col min="9" max="9" width="19.7109375" style="0" bestFit="1" customWidth="1"/>
    <col min="10" max="10" width="11.421875" style="0" bestFit="1" customWidth="1"/>
    <col min="11" max="11" width="14.8515625" style="0" bestFit="1" customWidth="1"/>
  </cols>
  <sheetData>
    <row r="1" spans="1:11" ht="12.75">
      <c r="A1" s="534" t="str">
        <f>+'Revenue Input'!A1</f>
        <v>Niagara Peninsula Energy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12.75">
      <c r="A2" s="534" t="str">
        <f>+'Revenue Input'!A2</f>
        <v>, License Number ED-2007-0749, File Number EB-2010-0138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ht="12.75">
      <c r="A3" s="534">
        <f>+'Revenue Input'!A3</f>
        <v>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</row>
    <row r="4" spans="1:11" ht="12.75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</row>
    <row r="5" spans="1:11" ht="15.75">
      <c r="A5" s="529" t="s">
        <v>231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</row>
    <row r="6" spans="1:11" ht="12.75">
      <c r="A6" s="560"/>
      <c r="B6" s="560"/>
      <c r="C6" s="560"/>
      <c r="D6" s="560"/>
      <c r="E6" s="560"/>
      <c r="F6" s="560"/>
      <c r="G6" s="560"/>
      <c r="H6" s="560"/>
      <c r="I6" s="560"/>
      <c r="J6" s="560"/>
      <c r="K6" s="560"/>
    </row>
    <row r="7" spans="1:11" ht="38.25">
      <c r="A7" s="91" t="s">
        <v>0</v>
      </c>
      <c r="B7" s="330" t="s">
        <v>150</v>
      </c>
      <c r="C7" s="91" t="s">
        <v>130</v>
      </c>
      <c r="D7" s="91" t="s">
        <v>2</v>
      </c>
      <c r="E7" s="91" t="s">
        <v>3</v>
      </c>
      <c r="F7" s="91" t="s">
        <v>4</v>
      </c>
      <c r="G7" s="91" t="s">
        <v>5</v>
      </c>
      <c r="H7" s="91" t="s">
        <v>6</v>
      </c>
      <c r="I7" s="91" t="s">
        <v>151</v>
      </c>
      <c r="J7" s="91" t="s">
        <v>42</v>
      </c>
      <c r="K7" s="91" t="s">
        <v>41</v>
      </c>
    </row>
    <row r="8" spans="1:11" ht="18" customHeight="1">
      <c r="A8" s="108" t="str">
        <f>'Cost Allocation Study'!A7</f>
        <v>Residential</v>
      </c>
      <c r="B8" s="125">
        <f>'Cost Allocation Study'!K7</f>
        <v>16982230.310098182</v>
      </c>
      <c r="C8" s="95">
        <f aca="true" t="shared" si="0" ref="C8:C14">+B8/$B$15</f>
        <v>0.5616637281494276</v>
      </c>
      <c r="D8" s="116">
        <f aca="true" t="shared" si="1" ref="D8:D13">E24</f>
        <v>16.5504523621968</v>
      </c>
      <c r="E8" s="109">
        <f>+G8/'Forecast Data For 2011'!C8</f>
        <v>0.016690364600251643</v>
      </c>
      <c r="F8" s="110">
        <f>+D8*'Forecast Data For 2011'!C7*12</f>
        <v>9314561.265979923</v>
      </c>
      <c r="G8" s="110">
        <f>+B8-F8</f>
        <v>7667669.044118259</v>
      </c>
      <c r="H8" s="111"/>
      <c r="I8" s="310">
        <f>+F8+G8+H8</f>
        <v>16982230.310098182</v>
      </c>
      <c r="J8" s="310">
        <f>+'Allocation Low Voltage Costs'!F8</f>
        <v>138074.89760871662</v>
      </c>
      <c r="K8" s="310">
        <f>+I8+J8</f>
        <v>17120305.2077069</v>
      </c>
    </row>
    <row r="9" spans="1:11" ht="18" customHeight="1">
      <c r="A9" s="108" t="str">
        <f>'Cost Allocation Study'!A8</f>
        <v>GS &lt; 50 kW</v>
      </c>
      <c r="B9" s="125">
        <f>'Cost Allocation Study'!K8</f>
        <v>3716299.977636675</v>
      </c>
      <c r="C9" s="95">
        <f t="shared" si="0"/>
        <v>0.12291147053398908</v>
      </c>
      <c r="D9" s="116">
        <f t="shared" si="1"/>
        <v>38.449562971180036</v>
      </c>
      <c r="E9" s="109">
        <f>+G9/'Forecast Data For 2011'!C10</f>
        <v>0.014066217887905477</v>
      </c>
      <c r="F9" s="110">
        <f>+D9*'Forecast Data For 2011'!C9*12</f>
        <v>2008133.0394875002</v>
      </c>
      <c r="G9" s="110">
        <f aca="true" t="shared" si="2" ref="G9:G14">+B9-F9</f>
        <v>1708166.9381491747</v>
      </c>
      <c r="H9" s="111"/>
      <c r="I9" s="310">
        <f aca="true" t="shared" si="3" ref="I9:I14">+F9+G9+H9</f>
        <v>3716299.977636675</v>
      </c>
      <c r="J9" s="310">
        <f>+'Allocation Low Voltage Costs'!F9</f>
        <v>31935.830807655973</v>
      </c>
      <c r="K9" s="310">
        <f aca="true" t="shared" si="4" ref="K9:K14">+I9+J9</f>
        <v>3748235.808444331</v>
      </c>
    </row>
    <row r="10" spans="1:11" ht="18" customHeight="1">
      <c r="A10" s="108" t="str">
        <f>'Cost Allocation Study'!A9</f>
        <v>GS &gt;50</v>
      </c>
      <c r="B10" s="125">
        <f>'Cost Allocation Study'!K9</f>
        <v>9155837.325836308</v>
      </c>
      <c r="C10" s="95">
        <f t="shared" si="0"/>
        <v>0.3028166284908413</v>
      </c>
      <c r="D10" s="116">
        <f t="shared" si="1"/>
        <v>222.80528789554364</v>
      </c>
      <c r="E10" s="109">
        <f>(+G10+H10)/'Forecast Data For 2011'!C12</f>
        <v>4.031069071537366</v>
      </c>
      <c r="F10" s="110">
        <f>+D10*'Forecast Data For 2011'!C11*12</f>
        <v>2268163.9731896124</v>
      </c>
      <c r="G10" s="110">
        <f t="shared" si="2"/>
        <v>6887673.352646695</v>
      </c>
      <c r="H10" s="110">
        <f>-'Transformer Allowance'!C12</f>
        <v>392475.6</v>
      </c>
      <c r="I10" s="310">
        <f t="shared" si="3"/>
        <v>9548312.925836308</v>
      </c>
      <c r="J10" s="310">
        <f>+'Allocation Low Voltage Costs'!F10</f>
        <v>188192.14833976427</v>
      </c>
      <c r="K10" s="310">
        <f t="shared" si="4"/>
        <v>9736505.074176073</v>
      </c>
    </row>
    <row r="11" spans="1:11" ht="18" customHeight="1">
      <c r="A11" s="108" t="str">
        <f>'Cost Allocation Study'!A10</f>
        <v>Large Use</v>
      </c>
      <c r="B11" s="125">
        <f>'Cost Allocation Study'!K10</f>
        <v>0</v>
      </c>
      <c r="C11" s="95">
        <f t="shared" si="0"/>
        <v>0</v>
      </c>
      <c r="D11" s="116">
        <f t="shared" si="1"/>
        <v>0</v>
      </c>
      <c r="E11" s="109">
        <f>(+G11+H11)/'Forecast Data For 2011'!C13</f>
        <v>0</v>
      </c>
      <c r="F11" s="110">
        <v>0</v>
      </c>
      <c r="G11" s="110">
        <f t="shared" si="2"/>
        <v>0</v>
      </c>
      <c r="H11" s="110"/>
      <c r="I11" s="310">
        <f t="shared" si="3"/>
        <v>0</v>
      </c>
      <c r="J11" s="310">
        <v>0</v>
      </c>
      <c r="K11" s="310">
        <f t="shared" si="4"/>
        <v>0</v>
      </c>
    </row>
    <row r="12" spans="1:11" ht="18" customHeight="1">
      <c r="A12" s="108" t="str">
        <f>'Cost Allocation Study'!A11</f>
        <v>Sentinel Lights</v>
      </c>
      <c r="B12" s="125">
        <f>'Cost Allocation Study'!K11</f>
        <v>55564.61518766152</v>
      </c>
      <c r="C12" s="95">
        <f t="shared" si="0"/>
        <v>0.0018377226282776658</v>
      </c>
      <c r="D12" s="116">
        <f t="shared" si="1"/>
        <v>7.186196438373183</v>
      </c>
      <c r="E12" s="109">
        <f>(+G12+H12)/'Forecast Data For 2011'!C18</f>
        <v>8.977129513665691</v>
      </c>
      <c r="F12" s="110">
        <f>+D12*'Forecast Data For 2011'!C17*12</f>
        <v>48302.272722211594</v>
      </c>
      <c r="G12" s="110">
        <f t="shared" si="2"/>
        <v>7262.342465449925</v>
      </c>
      <c r="H12" s="111"/>
      <c r="I12" s="310">
        <f t="shared" si="3"/>
        <v>55564.61518766152</v>
      </c>
      <c r="J12" s="310">
        <f>+'Allocation Low Voltage Costs'!F12</f>
        <v>70.43968676268348</v>
      </c>
      <c r="K12" s="310">
        <f t="shared" si="4"/>
        <v>55635.054874424204</v>
      </c>
    </row>
    <row r="13" spans="1:11" ht="18" customHeight="1">
      <c r="A13" s="108" t="str">
        <f>'Cost Allocation Study'!A12</f>
        <v>Street Lighting</v>
      </c>
      <c r="B13" s="125">
        <f>'Cost Allocation Study'!K12</f>
        <v>182318.21313977483</v>
      </c>
      <c r="C13" s="95">
        <f t="shared" si="0"/>
        <v>0.0060299221852348</v>
      </c>
      <c r="D13" s="116">
        <f t="shared" si="1"/>
        <v>0.8004782972424848</v>
      </c>
      <c r="E13" s="109">
        <f>+G13/'Forecast Data For 2011'!C21</f>
        <v>3.1397987274611032</v>
      </c>
      <c r="F13" s="110">
        <f>+D13*'Forecast Data For 2011'!C20*12</f>
        <v>119184.95754530965</v>
      </c>
      <c r="G13" s="110">
        <f t="shared" si="2"/>
        <v>63133.25559446518</v>
      </c>
      <c r="H13" s="111"/>
      <c r="I13" s="310">
        <f t="shared" si="3"/>
        <v>182318.21313977483</v>
      </c>
      <c r="J13" s="310">
        <f>+'Allocation Low Voltage Costs'!F13</f>
        <v>1609.655972928039</v>
      </c>
      <c r="K13" s="310">
        <f t="shared" si="4"/>
        <v>183927.86911270287</v>
      </c>
    </row>
    <row r="14" spans="1:11" ht="18" customHeight="1">
      <c r="A14" s="108" t="str">
        <f>'Cost Allocation Study'!A13</f>
        <v>USL</v>
      </c>
      <c r="B14" s="125">
        <f>'Cost Allocation Study'!K13</f>
        <v>143332.62851137115</v>
      </c>
      <c r="C14" s="95">
        <f t="shared" si="0"/>
        <v>0.00474052801222952</v>
      </c>
      <c r="D14" s="116">
        <f>E30</f>
        <v>19.86576597029824</v>
      </c>
      <c r="E14" s="109">
        <f>+G14/'Forecast Data For 2011'!C24</f>
        <v>0.01388810668921466</v>
      </c>
      <c r="F14" s="110">
        <f>+D14*'Forecast Data For 2011'!C23*12</f>
        <v>110897.9575885805</v>
      </c>
      <c r="G14" s="110">
        <f t="shared" si="2"/>
        <v>32434.670922790654</v>
      </c>
      <c r="H14" s="111"/>
      <c r="I14" s="310">
        <f t="shared" si="3"/>
        <v>143332.62851137115</v>
      </c>
      <c r="J14" s="310">
        <f>+'Allocation Low Voltage Costs'!F14</f>
        <v>628.7975841724516</v>
      </c>
      <c r="K14" s="310">
        <f t="shared" si="4"/>
        <v>143961.4260955436</v>
      </c>
    </row>
    <row r="15" spans="1:11" ht="18" customHeight="1" thickBot="1">
      <c r="A15" s="100" t="s">
        <v>1</v>
      </c>
      <c r="B15" s="341">
        <f>SUM(B8:B14)</f>
        <v>30235583.070409976</v>
      </c>
      <c r="C15" s="105">
        <f>SUM(C8:C14)</f>
        <v>0.9999999999999999</v>
      </c>
      <c r="D15" s="106"/>
      <c r="E15" s="107"/>
      <c r="F15" s="104">
        <f aca="true" t="shared" si="5" ref="F15:K15">SUM(F8:F14)</f>
        <v>13869243.466513138</v>
      </c>
      <c r="G15" s="104">
        <f t="shared" si="5"/>
        <v>16366339.603896834</v>
      </c>
      <c r="H15" s="104">
        <f t="shared" si="5"/>
        <v>392475.6</v>
      </c>
      <c r="I15" s="104">
        <f t="shared" si="5"/>
        <v>30628058.670409977</v>
      </c>
      <c r="J15" s="104">
        <f t="shared" si="5"/>
        <v>360511.7700000001</v>
      </c>
      <c r="K15" s="104">
        <f t="shared" si="5"/>
        <v>30988570.440409977</v>
      </c>
    </row>
    <row r="16" spans="4:11" ht="18" customHeight="1" thickBot="1" thickTop="1">
      <c r="D16" s="102" t="s">
        <v>140</v>
      </c>
      <c r="E16" s="102"/>
      <c r="F16" s="103">
        <f>+F15/I15</f>
        <v>0.4528280298715873</v>
      </c>
      <c r="G16" s="103">
        <f>+G15/I15</f>
        <v>0.5343577201550972</v>
      </c>
      <c r="H16" s="103">
        <f>+H15/I15</f>
        <v>0.012814249973315282</v>
      </c>
      <c r="I16" s="103">
        <f>F16+G16+H16</f>
        <v>0.9999999999999998</v>
      </c>
      <c r="K16" s="465">
        <f>'Revenue Input'!B14</f>
        <v>30988570.440409973</v>
      </c>
    </row>
    <row r="17" spans="4:10" ht="18" customHeight="1">
      <c r="D17" s="16"/>
      <c r="E17" s="16"/>
      <c r="F17" s="327"/>
      <c r="G17" s="327"/>
      <c r="H17" s="327"/>
      <c r="I17" s="327"/>
      <c r="J17" s="8"/>
    </row>
    <row r="19" spans="4:9" ht="12.75">
      <c r="D19" s="56"/>
      <c r="E19" s="56"/>
      <c r="F19" s="17"/>
      <c r="G19" s="17"/>
      <c r="H19" s="17"/>
      <c r="I19" s="17"/>
    </row>
    <row r="22" spans="1:8" ht="18">
      <c r="A22" s="528" t="s">
        <v>187</v>
      </c>
      <c r="B22" s="528"/>
      <c r="C22" s="528"/>
      <c r="D22" s="528"/>
      <c r="E22" s="528"/>
      <c r="F22" s="528"/>
      <c r="G22" s="528"/>
      <c r="H22" s="528"/>
    </row>
    <row r="23" spans="1:7" ht="102">
      <c r="A23" s="91" t="s">
        <v>0</v>
      </c>
      <c r="B23" s="330" t="s">
        <v>188</v>
      </c>
      <c r="C23" s="91" t="s">
        <v>189</v>
      </c>
      <c r="D23" s="91" t="s">
        <v>41</v>
      </c>
      <c r="E23" s="91" t="s">
        <v>190</v>
      </c>
      <c r="F23" s="91" t="s">
        <v>271</v>
      </c>
      <c r="G23" s="91" t="s">
        <v>152</v>
      </c>
    </row>
    <row r="24" spans="1:7" ht="18" customHeight="1">
      <c r="A24" s="108" t="str">
        <f aca="true" t="shared" si="6" ref="A24:A30">A8</f>
        <v>Residential</v>
      </c>
      <c r="B24" s="98">
        <f>('2011 Test Yr On Existing Rates'!G9-'2011 Test Yr On Existing Rates'!I9)/'2011 Test Yr On Existing Rates'!J9</f>
        <v>0.45151130941610274</v>
      </c>
      <c r="C24" s="98">
        <f>1-B24</f>
        <v>0.5484886905838973</v>
      </c>
      <c r="D24" s="98">
        <f>SUM(B24:C24)</f>
        <v>1</v>
      </c>
      <c r="E24" s="112">
        <f>+B8*C24/'Forecast Data For 2011'!C7/12</f>
        <v>16.5504523621968</v>
      </c>
      <c r="F24" s="112">
        <f>+'2010 Existing RatesNF'!C8</f>
        <v>15.96</v>
      </c>
      <c r="G24" s="464">
        <v>27.09127077465781</v>
      </c>
    </row>
    <row r="25" spans="1:7" ht="18" customHeight="1">
      <c r="A25" s="108" t="str">
        <f t="shared" si="6"/>
        <v>GS &lt; 50 kW</v>
      </c>
      <c r="B25" s="98">
        <f>('2011 Test Yr On Existing Rates'!G10-'2011 Test Yr On Existing Rates'!I10)/'2011 Test Yr On Existing Rates'!J10</f>
        <v>0.4596418341975336</v>
      </c>
      <c r="C25" s="98">
        <f>1-B25</f>
        <v>0.5403581658024663</v>
      </c>
      <c r="D25" s="98">
        <f aca="true" t="shared" si="7" ref="D25:D30">SUM(B25:C25)</f>
        <v>1</v>
      </c>
      <c r="E25" s="112">
        <f>+B9*C25/'Forecast Data For 2011'!C9/12</f>
        <v>38.449562971180036</v>
      </c>
      <c r="F25" s="112">
        <f>+'2010 Existing RatesNF'!C9</f>
        <v>47.27</v>
      </c>
      <c r="G25" s="464">
        <v>39.74888168198026</v>
      </c>
    </row>
    <row r="26" spans="1:7" ht="18" customHeight="1">
      <c r="A26" s="108" t="str">
        <f t="shared" si="6"/>
        <v>GS &gt;50</v>
      </c>
      <c r="B26" s="98">
        <f>('2011 Test Yr On Existing Rates'!G11-'2011 Test Yr On Existing Rates'!I11)/'2011 Test Yr On Existing Rates'!J11</f>
        <v>0.752271267774798</v>
      </c>
      <c r="C26" s="98">
        <f>1-B26</f>
        <v>0.24772873222520198</v>
      </c>
      <c r="D26" s="98">
        <f t="shared" si="7"/>
        <v>1</v>
      </c>
      <c r="E26" s="112">
        <f>+B10*C26/'Forecast Data For 2011'!C11/12</f>
        <v>222.80528789554364</v>
      </c>
      <c r="F26" s="112">
        <f>+'2010 Existing RatesNF'!C10</f>
        <v>280.14</v>
      </c>
      <c r="G26" s="464">
        <v>114.35038782101867</v>
      </c>
    </row>
    <row r="27" spans="1:7" ht="18" customHeight="1">
      <c r="A27" s="108" t="str">
        <f t="shared" si="6"/>
        <v>Large Use</v>
      </c>
      <c r="B27" s="98">
        <v>0</v>
      </c>
      <c r="C27" s="98">
        <f>1-B27</f>
        <v>1</v>
      </c>
      <c r="D27" s="98">
        <f t="shared" si="7"/>
        <v>1</v>
      </c>
      <c r="E27" s="112">
        <v>0</v>
      </c>
      <c r="F27" s="112">
        <f>+'2010 Existing RatesNF'!C11</f>
        <v>0</v>
      </c>
      <c r="G27" s="464">
        <v>0</v>
      </c>
    </row>
    <row r="28" spans="1:7" ht="18" customHeight="1">
      <c r="A28" s="108" t="str">
        <f t="shared" si="6"/>
        <v>Sentinel Lights</v>
      </c>
      <c r="B28" s="98">
        <f>('2011 Test Yr On Existing Rates'!G13-'2011 Test Yr On Existing Rates'!I13)/'2011 Test Yr On Existing Rates'!J13</f>
        <v>0.13070085054890423</v>
      </c>
      <c r="C28" s="98">
        <f>1-B28</f>
        <v>0.8692991494510958</v>
      </c>
      <c r="D28" s="98">
        <f t="shared" si="7"/>
        <v>1</v>
      </c>
      <c r="E28" s="112">
        <f>+B12*C28/'Forecast Data For 2011'!C17/12</f>
        <v>7.186196438373183</v>
      </c>
      <c r="F28" s="112">
        <f>+'2010 Existing RatesNF'!B12</f>
        <v>1.1</v>
      </c>
      <c r="G28" s="464">
        <v>21.6520943000786</v>
      </c>
    </row>
    <row r="29" spans="1:7" ht="18" customHeight="1">
      <c r="A29" s="108" t="str">
        <f t="shared" si="6"/>
        <v>Street Lighting</v>
      </c>
      <c r="B29" s="98">
        <f>('2011 Test Yr On Existing Rates'!G14-'2011 Test Yr On Existing Rates'!I14)/'2011 Test Yr On Existing Rates'!J14</f>
        <v>0.34628057453625805</v>
      </c>
      <c r="C29" s="98">
        <f>'2011 Test Yr On Existing Rates'!F14/'2011 Test Yr On Existing Rates'!H14</f>
        <v>0.653719425463742</v>
      </c>
      <c r="D29" s="98">
        <f t="shared" si="7"/>
        <v>1</v>
      </c>
      <c r="E29" s="112">
        <f>+B13*C29/'Forecast Data For 2011'!C20/12</f>
        <v>0.8004782972424848</v>
      </c>
      <c r="F29" s="112">
        <f>+'2010 Existing RatesNF'!B13</f>
        <v>0.32</v>
      </c>
      <c r="G29" s="464">
        <v>20.011941851612047</v>
      </c>
    </row>
    <row r="30" spans="1:7" ht="18" customHeight="1">
      <c r="A30" s="108" t="str">
        <f t="shared" si="6"/>
        <v>USL</v>
      </c>
      <c r="B30" s="98">
        <f>('2011 Test Yr On Existing Rates'!G15-'2011 Test Yr On Existing Rates'!I15)/'2011 Test Yr On Existing Rates'!J15</f>
        <v>0.22628951453449053</v>
      </c>
      <c r="C30" s="98">
        <f>'2011 Test Yr On Existing Rates'!F15/'2011 Test Yr On Existing Rates'!H15</f>
        <v>0.7737104854655095</v>
      </c>
      <c r="D30" s="98">
        <f t="shared" si="7"/>
        <v>1</v>
      </c>
      <c r="E30" s="112">
        <f>+B14*C30/'Forecast Data For 2011'!C23/12</f>
        <v>19.86576597029824</v>
      </c>
      <c r="F30" s="112">
        <f>+'2010 Existing RatesNF'!B14</f>
        <v>23.65</v>
      </c>
      <c r="G30" s="464">
        <v>19.9863876795939</v>
      </c>
    </row>
    <row r="31" spans="1:7" ht="18" customHeight="1">
      <c r="A31" s="108"/>
      <c r="B31" s="342"/>
      <c r="C31" s="98"/>
      <c r="D31" s="98"/>
      <c r="E31" s="112"/>
      <c r="F31" s="112"/>
      <c r="G31" s="112"/>
    </row>
    <row r="32" spans="1:7" ht="18" customHeight="1" thickBot="1">
      <c r="A32" s="114" t="s">
        <v>1</v>
      </c>
      <c r="B32" s="343"/>
      <c r="C32" s="115"/>
      <c r="D32" s="115"/>
      <c r="E32" s="115"/>
      <c r="F32" s="115"/>
      <c r="G32" s="115"/>
    </row>
    <row r="33" ht="13.5" thickTop="1">
      <c r="F33" s="1"/>
    </row>
    <row r="34" spans="3:6" ht="12.75">
      <c r="C34" s="10"/>
      <c r="F34" s="67"/>
    </row>
    <row r="35" ht="12.75">
      <c r="F35" s="67"/>
    </row>
    <row r="36" spans="3:6" ht="12.75">
      <c r="C36" s="3"/>
      <c r="F36" s="67"/>
    </row>
    <row r="37" spans="3:6" ht="12.75">
      <c r="C37" s="3"/>
      <c r="F37" s="67"/>
    </row>
    <row r="38" spans="3:6" ht="10.5" customHeight="1">
      <c r="C38" s="3"/>
      <c r="F38" s="67"/>
    </row>
    <row r="39" spans="3:6" ht="12.75">
      <c r="C39" s="1"/>
      <c r="F39" s="67"/>
    </row>
    <row r="40" spans="3:6" ht="12.75">
      <c r="C40" s="1"/>
      <c r="F40" s="67"/>
    </row>
    <row r="41" spans="3:6" ht="12.75">
      <c r="C41" s="1"/>
      <c r="F41" s="62"/>
    </row>
    <row r="42" spans="3:6" ht="12.75">
      <c r="C42" s="1"/>
      <c r="F42" s="62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</sheetData>
  <mergeCells count="7">
    <mergeCell ref="A1:K1"/>
    <mergeCell ref="A2:K2"/>
    <mergeCell ref="A3:K3"/>
    <mergeCell ref="A22:H22"/>
    <mergeCell ref="A4:K4"/>
    <mergeCell ref="A5:K5"/>
    <mergeCell ref="A6:K6"/>
  </mergeCells>
  <printOptions/>
  <pageMargins left="0.75" right="0.75" top="1" bottom="1" header="0.5" footer="0.5"/>
  <pageSetup fitToHeight="1" fitToWidth="1" horizontalDpi="355" verticalDpi="355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C17" sqref="C17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ht="12.75">
      <c r="A1" s="534" t="str">
        <f>+'Revenue Input'!A1</f>
        <v>Niagara Peninsula Energy</v>
      </c>
      <c r="B1" s="534"/>
      <c r="C1" s="534"/>
      <c r="D1" s="534"/>
      <c r="E1" s="534"/>
      <c r="F1" s="534"/>
    </row>
    <row r="2" spans="1:6" ht="12.75">
      <c r="A2" s="534" t="str">
        <f>+'Revenue Input'!A2</f>
        <v>, License Number ED-2007-0749, File Number EB-2010-0138</v>
      </c>
      <c r="B2" s="534"/>
      <c r="C2" s="534"/>
      <c r="D2" s="534"/>
      <c r="E2" s="534"/>
      <c r="F2" s="534"/>
    </row>
    <row r="3" spans="1:6" ht="12.75">
      <c r="A3" s="534">
        <f>+'Revenue Input'!A3</f>
        <v>0</v>
      </c>
      <c r="B3" s="534"/>
      <c r="C3" s="534"/>
      <c r="D3" s="534"/>
      <c r="E3" s="534"/>
      <c r="F3" s="534"/>
    </row>
    <row r="4" spans="1:6" ht="12.75">
      <c r="A4" s="545"/>
      <c r="B4" s="545"/>
      <c r="C4" s="545"/>
      <c r="D4" s="545"/>
      <c r="E4" s="545"/>
      <c r="F4" s="545"/>
    </row>
    <row r="5" spans="1:6" s="58" customFormat="1" ht="20.25">
      <c r="A5" s="562" t="s">
        <v>135</v>
      </c>
      <c r="B5" s="562"/>
      <c r="C5" s="562"/>
      <c r="D5" s="562"/>
      <c r="E5" s="562"/>
      <c r="F5" s="562"/>
    </row>
    <row r="6" spans="1:6" ht="38.25" customHeight="1">
      <c r="A6" s="561" t="s">
        <v>0</v>
      </c>
      <c r="B6" s="561" t="s">
        <v>19</v>
      </c>
      <c r="C6" s="561"/>
      <c r="D6" s="563" t="s">
        <v>181</v>
      </c>
      <c r="E6" s="563" t="s">
        <v>20</v>
      </c>
      <c r="F6" s="563" t="s">
        <v>21</v>
      </c>
    </row>
    <row r="7" spans="1:6" ht="12.75">
      <c r="A7" s="561"/>
      <c r="B7" s="117" t="s">
        <v>22</v>
      </c>
      <c r="C7" s="118" t="s">
        <v>23</v>
      </c>
      <c r="D7" s="563"/>
      <c r="E7" s="563"/>
      <c r="F7" s="563"/>
    </row>
    <row r="8" spans="1:6" ht="18" customHeight="1">
      <c r="A8" s="108" t="str">
        <f>'Rates By Rate Class'!A24</f>
        <v>Residential</v>
      </c>
      <c r="B8" s="493">
        <v>0.004465803315095015</v>
      </c>
      <c r="C8" s="493"/>
      <c r="D8" s="125">
        <f>+B8*'2011 Test Yr On Existing Rates'!B9</f>
        <v>2051620.9595420386</v>
      </c>
      <c r="E8" s="95">
        <f aca="true" t="shared" si="0" ref="E8:E14">D8/$D$15</f>
        <v>0.38299692020794945</v>
      </c>
      <c r="F8" s="96">
        <f aca="true" t="shared" si="1" ref="F8:F14">+$F$15*E8</f>
        <v>138074.89760871662</v>
      </c>
    </row>
    <row r="9" spans="1:6" ht="18" customHeight="1">
      <c r="A9" s="108" t="str">
        <f>'Rates By Rate Class'!A25</f>
        <v>GS &lt; 50 kW</v>
      </c>
      <c r="B9" s="493">
        <v>0.003907577900708137</v>
      </c>
      <c r="C9" s="493"/>
      <c r="D9" s="125">
        <f>+B9*'2011 Test Yr On Existing Rates'!B10</f>
        <v>474526.6589373091</v>
      </c>
      <c r="E9" s="95">
        <f t="shared" si="0"/>
        <v>0.08858471058422301</v>
      </c>
      <c r="F9" s="96">
        <f t="shared" si="1"/>
        <v>31935.830807655973</v>
      </c>
    </row>
    <row r="10" spans="1:6" ht="18" customHeight="1">
      <c r="A10" s="108" t="str">
        <f>'Rates By Rate Class'!A26</f>
        <v>GS &gt;50</v>
      </c>
      <c r="B10" s="493"/>
      <c r="C10" s="493">
        <v>1.5483312243710674</v>
      </c>
      <c r="D10" s="125">
        <f>+C10*'2011 Test Yr On Existing Rates'!C11</f>
        <v>2796300.8674411685</v>
      </c>
      <c r="E10" s="95">
        <f t="shared" si="0"/>
        <v>0.5220138813769222</v>
      </c>
      <c r="F10" s="96">
        <f t="shared" si="1"/>
        <v>188192.14833976427</v>
      </c>
    </row>
    <row r="11" spans="1:6" ht="18" customHeight="1">
      <c r="A11" s="108" t="str">
        <f>'Rates By Rate Class'!A27</f>
        <v>Large Use</v>
      </c>
      <c r="B11" s="493"/>
      <c r="C11" s="493"/>
      <c r="D11" s="125">
        <f>+C11*'2011 Test Yr On Existing Rates'!C12</f>
        <v>0</v>
      </c>
      <c r="E11" s="95">
        <f t="shared" si="0"/>
        <v>0</v>
      </c>
      <c r="F11" s="96">
        <f t="shared" si="1"/>
        <v>0</v>
      </c>
    </row>
    <row r="12" spans="1:6" ht="18" customHeight="1">
      <c r="A12" s="108" t="str">
        <f>'Rates By Rate Class'!A28</f>
        <v>Sentinel Lights</v>
      </c>
      <c r="B12" s="493"/>
      <c r="C12" s="493">
        <v>1.2937804354106515</v>
      </c>
      <c r="D12" s="125">
        <f>+C12*'2011 Test Yr On Existing Rates'!C13</f>
        <v>1046.6459888707104</v>
      </c>
      <c r="E12" s="95">
        <f t="shared" si="0"/>
        <v>0.00019538803618723315</v>
      </c>
      <c r="F12" s="96">
        <f t="shared" si="1"/>
        <v>70.43968676268348</v>
      </c>
    </row>
    <row r="13" spans="1:6" ht="18" customHeight="1">
      <c r="A13" s="108" t="str">
        <f>'Rates By Rate Class'!A29</f>
        <v>Street Lighting</v>
      </c>
      <c r="B13" s="493"/>
      <c r="C13" s="493">
        <v>1.18948532048937</v>
      </c>
      <c r="D13" s="125">
        <f>+C13*'2011 Test Yr On Existing Rates'!C14</f>
        <v>23917.482387491684</v>
      </c>
      <c r="E13" s="95">
        <f t="shared" si="0"/>
        <v>0.0044649193365532535</v>
      </c>
      <c r="F13" s="96">
        <f t="shared" si="1"/>
        <v>1609.655972928039</v>
      </c>
    </row>
    <row r="14" spans="1:6" ht="18" customHeight="1">
      <c r="A14" s="108" t="str">
        <f>'Rates By Rate Class'!A30</f>
        <v>USL</v>
      </c>
      <c r="B14" s="493">
        <v>0.004000615469772617</v>
      </c>
      <c r="C14" s="493"/>
      <c r="D14" s="125">
        <f>+B14*'2011 Test Yr On Existing Rates'!B15</f>
        <v>9343.14872101821</v>
      </c>
      <c r="E14" s="95">
        <f t="shared" si="0"/>
        <v>0.0017441804581649347</v>
      </c>
      <c r="F14" s="96">
        <f t="shared" si="1"/>
        <v>628.7975841724516</v>
      </c>
    </row>
    <row r="15" spans="1:6" ht="18" customHeight="1" thickBot="1">
      <c r="A15" s="120" t="s">
        <v>18</v>
      </c>
      <c r="B15" s="101"/>
      <c r="C15" s="119"/>
      <c r="D15" s="296">
        <f>SUM(D8:D14)</f>
        <v>5356755.763017897</v>
      </c>
      <c r="E15" s="105">
        <f>SUM(E8:E14)</f>
        <v>1.0000000000000002</v>
      </c>
      <c r="F15" s="106">
        <f>'Revenue Input'!B12</f>
        <v>360511.77</v>
      </c>
    </row>
    <row r="16" ht="13.5" thickTop="1"/>
    <row r="17" spans="2:3" ht="12.75">
      <c r="B17" s="56"/>
      <c r="C17" s="56"/>
    </row>
  </sheetData>
  <mergeCells count="10">
    <mergeCell ref="B6:C6"/>
    <mergeCell ref="A5:F5"/>
    <mergeCell ref="A1:F1"/>
    <mergeCell ref="A2:F2"/>
    <mergeCell ref="A3:F3"/>
    <mergeCell ref="A4:F4"/>
    <mergeCell ref="A6:A7"/>
    <mergeCell ref="D6:D7"/>
    <mergeCell ref="E6:E7"/>
    <mergeCell ref="F6:F7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PAULB</cp:lastModifiedBy>
  <cp:lastPrinted>2010-11-18T14:21:34Z</cp:lastPrinted>
  <dcterms:created xsi:type="dcterms:W3CDTF">2007-07-20T14:53:09Z</dcterms:created>
  <dcterms:modified xsi:type="dcterms:W3CDTF">2010-11-18T14:22:08Z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