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LRAM" sheetId="1" r:id="rId1"/>
  </sheets>
  <definedNames>
    <definedName name="_xlnm.Print_Area" localSheetId="0">'LRAM'!$A$1:$V$76</definedName>
    <definedName name="_xlnm.Print_Titles" localSheetId="0">'LRAM'!$A:$A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<sst xmlns="http://schemas.openxmlformats.org/spreadsheetml/2006/main" count="439" uniqueCount="62">
  <si>
    <t>Residential</t>
  </si>
  <si>
    <t>General Service &gt;50kW</t>
  </si>
  <si>
    <t>Seasonal LEDs</t>
  </si>
  <si>
    <t>Energy Star Appliance Rebates</t>
  </si>
  <si>
    <t>Secondary Fridge Retirement Program</t>
  </si>
  <si>
    <t>Water Heater Fuel Conversion</t>
  </si>
  <si>
    <t>Compact Flourescent Bulbs</t>
  </si>
  <si>
    <t>Parking Lot Winter Plug In Controls</t>
  </si>
  <si>
    <t>Traffic Light LEDs</t>
  </si>
  <si>
    <t>OPA Fridge Bounty</t>
  </si>
  <si>
    <t>OPA ERIP</t>
  </si>
  <si>
    <t>OPA Summer Savings</t>
  </si>
  <si>
    <t>Conservation Bureau EKC Coupons</t>
  </si>
  <si>
    <t>One Change CFL Initiative</t>
  </si>
  <si>
    <t>Home Energy Saver Kits</t>
  </si>
  <si>
    <t xml:space="preserve"> </t>
  </si>
  <si>
    <t>kWh</t>
  </si>
  <si>
    <t>kW</t>
  </si>
  <si>
    <t>Rate Class/Program</t>
  </si>
  <si>
    <t>n/a</t>
  </si>
  <si>
    <t>General Service &gt;1MW</t>
  </si>
  <si>
    <t>Commercial Lighting Incentive</t>
  </si>
  <si>
    <t>Revenue</t>
  </si>
  <si>
    <t>8 months</t>
  </si>
  <si>
    <t>Program Duration</t>
  </si>
  <si>
    <t>2 months</t>
  </si>
  <si>
    <t>3 years</t>
  </si>
  <si>
    <t>12 months</t>
  </si>
  <si>
    <t>4 months</t>
  </si>
  <si>
    <t>6 months</t>
  </si>
  <si>
    <t>Total</t>
  </si>
  <si>
    <t>Verification</t>
  </si>
  <si>
    <t>Method</t>
  </si>
  <si>
    <t>Verification via receipt of purchase</t>
  </si>
  <si>
    <t>Assumed customer use</t>
  </si>
  <si>
    <t>Assumed customer use/exchange old for new</t>
  </si>
  <si>
    <t>Ex Post Measurement Completed</t>
  </si>
  <si>
    <t>Installation Verified</t>
  </si>
  <si>
    <t>Rate 1</t>
  </si>
  <si>
    <t>Rate 2</t>
  </si>
  <si>
    <t>Lost</t>
  </si>
  <si>
    <t>1 month</t>
  </si>
  <si>
    <t>3 months</t>
  </si>
  <si>
    <t>Coupon Redemption as per Energy Shops</t>
  </si>
  <si>
    <t>Verified savings from meter reading system</t>
  </si>
  <si>
    <t>Fridge pickups as reported by OPA</t>
  </si>
  <si>
    <t>Home delivery - assumed installation</t>
  </si>
  <si>
    <t>Cummulative</t>
  </si>
  <si>
    <t>Grand Total</t>
  </si>
  <si>
    <t>Unmetered Scattered Load</t>
  </si>
  <si>
    <t xml:space="preserve">As Per May 1, 2009 Rate Filing </t>
  </si>
  <si>
    <t>Ammended for May 1, 2011 Rate Filing</t>
  </si>
  <si>
    <t>Additional Claim for 2009/2010</t>
  </si>
  <si>
    <t>Residental</t>
  </si>
  <si>
    <t>USL</t>
  </si>
  <si>
    <t>GS &gt; 50kW</t>
  </si>
  <si>
    <t>Cummulative Summary:</t>
  </si>
  <si>
    <t>A</t>
  </si>
  <si>
    <t>B</t>
  </si>
  <si>
    <t>A - B</t>
  </si>
  <si>
    <t>Net Change:</t>
  </si>
  <si>
    <t>2005-2007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</si>
</sst>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&quot;$&quot;#,##0.0000"/>
    <numFmt numFmtId="167" formatCode="&quot;$&quot;#,##0.000000"/>
    <numFmt numFmtId="168" formatCode="#,##0.00000"/>
    <numFmt numFmtId="169" formatCode="&quot;$&quot;#,##0.00000"/>
    <numFmt numFmtId="170" formatCode="0.000000"/>
    <numFmt numFmtId="171" formatCode="&quot;$&quot;#,##0"/>
    <numFmt numFmtId="172" formatCode="0.0000"/>
    <numFmt numFmtId="173" formatCode="&quot;$&quot;#,##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71" fontId="5" fillId="0" borderId="0" xfId="0" applyNumberFormat="1" applyFont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0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1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="50" zoomScaleNormal="5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1" sqref="F61"/>
    </sheetView>
  </sheetViews>
  <sheetFormatPr defaultColWidth="9.140625" defaultRowHeight="12.75"/>
  <cols>
    <col min="1" max="1" width="63.8515625" style="5" bestFit="1" customWidth="1"/>
    <col min="2" max="2" width="15.28125" style="7" bestFit="1" customWidth="1"/>
    <col min="3" max="3" width="10.8515625" style="7" bestFit="1" customWidth="1"/>
    <col min="4" max="5" width="12.57421875" style="7" bestFit="1" customWidth="1"/>
    <col min="6" max="6" width="18.140625" style="7" bestFit="1" customWidth="1"/>
    <col min="7" max="7" width="29.140625" style="7" bestFit="1" customWidth="1"/>
    <col min="8" max="8" width="67.00390625" style="7" bestFit="1" customWidth="1"/>
    <col min="9" max="9" width="15.28125" style="7" bestFit="1" customWidth="1"/>
    <col min="10" max="10" width="13.57421875" style="7" bestFit="1" customWidth="1"/>
    <col min="11" max="12" width="12.57421875" style="7" bestFit="1" customWidth="1"/>
    <col min="13" max="13" width="19.00390625" style="23" bestFit="1" customWidth="1"/>
    <col min="14" max="14" width="29.140625" style="7" bestFit="1" customWidth="1"/>
    <col min="15" max="15" width="67.00390625" style="7" bestFit="1" customWidth="1"/>
    <col min="16" max="16" width="45.00390625" style="7" bestFit="1" customWidth="1"/>
    <col min="17" max="17" width="13.8515625" style="7" bestFit="1" customWidth="1"/>
    <col min="18" max="19" width="13.00390625" style="7" bestFit="1" customWidth="1"/>
    <col min="20" max="20" width="19.140625" style="7" bestFit="1" customWidth="1"/>
    <col min="21" max="21" width="29.140625" style="7" bestFit="1" customWidth="1"/>
    <col min="22" max="22" width="63.28125" style="7" bestFit="1" customWidth="1"/>
    <col min="23" max="16384" width="9.140625" style="1" customWidth="1"/>
  </cols>
  <sheetData>
    <row r="1" ht="20.25">
      <c r="A1" s="36" t="s">
        <v>50</v>
      </c>
    </row>
    <row r="2" spans="1:22" ht="20.25">
      <c r="A2" s="2" t="s">
        <v>18</v>
      </c>
      <c r="B2" s="8">
        <v>2005</v>
      </c>
      <c r="F2" s="9" t="s">
        <v>40</v>
      </c>
      <c r="G2" s="10"/>
      <c r="H2" s="18" t="s">
        <v>31</v>
      </c>
      <c r="I2" s="8">
        <v>2006</v>
      </c>
      <c r="M2" s="9" t="s">
        <v>40</v>
      </c>
      <c r="N2" s="10"/>
      <c r="O2" s="18" t="s">
        <v>31</v>
      </c>
      <c r="P2" s="8">
        <v>2007</v>
      </c>
      <c r="T2" s="8" t="s">
        <v>40</v>
      </c>
      <c r="V2" s="18" t="s">
        <v>31</v>
      </c>
    </row>
    <row r="3" spans="1:22" ht="21" thickBot="1">
      <c r="A3" s="3" t="s">
        <v>15</v>
      </c>
      <c r="B3" s="11" t="s">
        <v>16</v>
      </c>
      <c r="C3" s="11" t="s">
        <v>17</v>
      </c>
      <c r="D3" s="11" t="s">
        <v>38</v>
      </c>
      <c r="E3" s="11" t="s">
        <v>39</v>
      </c>
      <c r="F3" s="11" t="s">
        <v>22</v>
      </c>
      <c r="G3" s="11" t="s">
        <v>24</v>
      </c>
      <c r="H3" s="19" t="s">
        <v>32</v>
      </c>
      <c r="I3" s="11" t="s">
        <v>16</v>
      </c>
      <c r="J3" s="11" t="s">
        <v>17</v>
      </c>
      <c r="K3" s="11" t="s">
        <v>38</v>
      </c>
      <c r="L3" s="11" t="s">
        <v>39</v>
      </c>
      <c r="M3" s="11" t="s">
        <v>22</v>
      </c>
      <c r="N3" s="11" t="s">
        <v>24</v>
      </c>
      <c r="O3" s="19" t="s">
        <v>32</v>
      </c>
      <c r="P3" s="11" t="s">
        <v>16</v>
      </c>
      <c r="Q3" s="11" t="s">
        <v>17</v>
      </c>
      <c r="R3" s="11" t="s">
        <v>38</v>
      </c>
      <c r="S3" s="11" t="s">
        <v>39</v>
      </c>
      <c r="T3" s="11" t="s">
        <v>22</v>
      </c>
      <c r="U3" s="19" t="s">
        <v>24</v>
      </c>
      <c r="V3" s="19" t="s">
        <v>32</v>
      </c>
    </row>
    <row r="4" spans="1:22" ht="20.25">
      <c r="A4" s="2" t="s">
        <v>0</v>
      </c>
      <c r="F4" s="10"/>
      <c r="G4" s="10"/>
      <c r="H4" s="20"/>
      <c r="M4" s="24"/>
      <c r="N4" s="10"/>
      <c r="O4" s="20"/>
      <c r="V4" s="20"/>
    </row>
    <row r="5" spans="1:22" ht="20.25">
      <c r="A5" s="4" t="s">
        <v>2</v>
      </c>
      <c r="B5" s="12">
        <v>15085.44</v>
      </c>
      <c r="C5" s="13">
        <v>2.88</v>
      </c>
      <c r="D5" s="14">
        <v>0.0109</v>
      </c>
      <c r="E5" s="14">
        <v>0.0138</v>
      </c>
      <c r="F5" s="15">
        <f>B5*D5*3/12+B5*E5*9/12</f>
        <v>197.24212799999998</v>
      </c>
      <c r="G5" s="15" t="s">
        <v>25</v>
      </c>
      <c r="H5" s="20" t="s">
        <v>35</v>
      </c>
      <c r="I5" s="25">
        <v>10183</v>
      </c>
      <c r="J5" s="26">
        <v>4.44</v>
      </c>
      <c r="K5" s="14">
        <v>0.0138</v>
      </c>
      <c r="L5" s="27">
        <v>0.0137</v>
      </c>
      <c r="M5" s="15">
        <f aca="true" t="shared" si="0" ref="M5:M10">(I5*K5*4/12)+(I5*L5*8/12)</f>
        <v>139.84653333333333</v>
      </c>
      <c r="N5" s="15" t="s">
        <v>25</v>
      </c>
      <c r="O5" s="20" t="s">
        <v>35</v>
      </c>
      <c r="P5" s="12">
        <v>7269</v>
      </c>
      <c r="Q5" s="13">
        <v>4</v>
      </c>
      <c r="R5" s="27">
        <v>0.0137</v>
      </c>
      <c r="S5" s="27">
        <v>0.0142</v>
      </c>
      <c r="T5" s="15">
        <f>((P5*R5*4/12)+(P5*S5*8/12))*0.95</f>
        <v>96.90788500000001</v>
      </c>
      <c r="U5" s="28" t="s">
        <v>41</v>
      </c>
      <c r="V5" s="20" t="s">
        <v>33</v>
      </c>
    </row>
    <row r="6" spans="1:22" ht="20.25">
      <c r="A6" s="4" t="s">
        <v>3</v>
      </c>
      <c r="B6" s="12">
        <f>7696+625.6+33120+36960</f>
        <v>78401.6</v>
      </c>
      <c r="C6" s="13">
        <f>1.84+0.15+1.29+1.44</f>
        <v>4.720000000000001</v>
      </c>
      <c r="D6" s="14">
        <v>0.0109</v>
      </c>
      <c r="E6" s="14">
        <v>0.0138</v>
      </c>
      <c r="F6" s="15">
        <f>B6*D6*3/12+B6*E6*9/12</f>
        <v>1025.10092</v>
      </c>
      <c r="G6" s="15" t="s">
        <v>23</v>
      </c>
      <c r="H6" s="20" t="s">
        <v>33</v>
      </c>
      <c r="I6" s="12">
        <f>6956+994+5600+32640</f>
        <v>46190</v>
      </c>
      <c r="J6" s="13">
        <f>1.67+0.24+0.13+1.27</f>
        <v>3.31</v>
      </c>
      <c r="K6" s="14">
        <v>0.0138</v>
      </c>
      <c r="L6" s="27">
        <v>0.0137</v>
      </c>
      <c r="M6" s="15">
        <f t="shared" si="0"/>
        <v>634.3426666666667</v>
      </c>
      <c r="N6" s="15" t="s">
        <v>25</v>
      </c>
      <c r="O6" s="20" t="s">
        <v>33</v>
      </c>
      <c r="P6" s="12">
        <f>6394+27648</f>
        <v>34042</v>
      </c>
      <c r="Q6" s="13">
        <f>2+1</f>
        <v>3</v>
      </c>
      <c r="R6" s="27">
        <v>0.0137</v>
      </c>
      <c r="S6" s="27">
        <v>0.0142</v>
      </c>
      <c r="T6" s="15">
        <f>((P6*R6*4/12)+(P6*S6*8/12))*0.95</f>
        <v>453.8365966666667</v>
      </c>
      <c r="U6" s="28" t="s">
        <v>25</v>
      </c>
      <c r="V6" s="20" t="s">
        <v>33</v>
      </c>
    </row>
    <row r="7" spans="1:22" ht="20.25">
      <c r="A7" s="4" t="s">
        <v>4</v>
      </c>
      <c r="B7" s="12">
        <v>272400</v>
      </c>
      <c r="C7" s="13">
        <v>65.3</v>
      </c>
      <c r="D7" s="14">
        <v>0.0109</v>
      </c>
      <c r="E7" s="14">
        <v>0.0138</v>
      </c>
      <c r="F7" s="15">
        <f>B7*D7*3/12+B7*E7*9/12</f>
        <v>3561.63</v>
      </c>
      <c r="G7" s="15" t="s">
        <v>23</v>
      </c>
      <c r="H7" s="20" t="s">
        <v>33</v>
      </c>
      <c r="I7" s="12">
        <v>147600</v>
      </c>
      <c r="J7" s="13">
        <v>35.38</v>
      </c>
      <c r="K7" s="14">
        <v>0.0138</v>
      </c>
      <c r="L7" s="27">
        <v>0.0137</v>
      </c>
      <c r="M7" s="15">
        <f t="shared" si="0"/>
        <v>2027.04</v>
      </c>
      <c r="N7" s="15" t="s">
        <v>25</v>
      </c>
      <c r="O7" s="20" t="s">
        <v>33</v>
      </c>
      <c r="P7" s="12" t="s">
        <v>19</v>
      </c>
      <c r="Q7" s="13" t="s">
        <v>19</v>
      </c>
      <c r="R7" s="27">
        <v>0.0137</v>
      </c>
      <c r="S7" s="27">
        <v>0.0142</v>
      </c>
      <c r="T7" s="28" t="s">
        <v>19</v>
      </c>
      <c r="U7" s="28" t="s">
        <v>19</v>
      </c>
      <c r="V7" s="22" t="s">
        <v>19</v>
      </c>
    </row>
    <row r="8" spans="1:22" ht="20.25">
      <c r="A8" s="4" t="s">
        <v>5</v>
      </c>
      <c r="B8" s="12" t="s">
        <v>19</v>
      </c>
      <c r="C8" s="13" t="s">
        <v>19</v>
      </c>
      <c r="D8" s="14">
        <v>0.0109</v>
      </c>
      <c r="E8" s="14">
        <v>0.0138</v>
      </c>
      <c r="F8" s="16" t="s">
        <v>19</v>
      </c>
      <c r="G8" s="16" t="s">
        <v>19</v>
      </c>
      <c r="H8" s="21" t="s">
        <v>19</v>
      </c>
      <c r="I8" s="12">
        <v>40000</v>
      </c>
      <c r="J8" s="26">
        <v>7.01</v>
      </c>
      <c r="K8" s="14">
        <v>0.0138</v>
      </c>
      <c r="L8" s="27">
        <v>0.0137</v>
      </c>
      <c r="M8" s="15">
        <f t="shared" si="0"/>
        <v>549.3333333333333</v>
      </c>
      <c r="N8" s="15" t="s">
        <v>29</v>
      </c>
      <c r="O8" s="20" t="s">
        <v>37</v>
      </c>
      <c r="P8" s="12" t="s">
        <v>19</v>
      </c>
      <c r="Q8" s="13" t="s">
        <v>19</v>
      </c>
      <c r="R8" s="27">
        <v>0.0137</v>
      </c>
      <c r="S8" s="27">
        <v>0.0142</v>
      </c>
      <c r="T8" s="28" t="s">
        <v>19</v>
      </c>
      <c r="U8" s="28" t="s">
        <v>19</v>
      </c>
      <c r="V8" s="22" t="s">
        <v>19</v>
      </c>
    </row>
    <row r="9" spans="1:22" ht="20.25">
      <c r="A9" s="4" t="s">
        <v>6</v>
      </c>
      <c r="B9" s="12">
        <v>187920</v>
      </c>
      <c r="C9" s="13">
        <v>40.5</v>
      </c>
      <c r="D9" s="14">
        <v>0.0109</v>
      </c>
      <c r="E9" s="14">
        <v>0.0138</v>
      </c>
      <c r="F9" s="15">
        <f>B9*D9*3/12+B9*E9*9/12</f>
        <v>2457.0539999999996</v>
      </c>
      <c r="G9" s="15" t="s">
        <v>23</v>
      </c>
      <c r="H9" s="20" t="s">
        <v>34</v>
      </c>
      <c r="I9" s="25">
        <f>125280</f>
        <v>125280</v>
      </c>
      <c r="J9" s="26">
        <f>27</f>
        <v>27</v>
      </c>
      <c r="K9" s="14">
        <v>0.0138</v>
      </c>
      <c r="L9" s="27">
        <v>0.0137</v>
      </c>
      <c r="M9" s="15">
        <f t="shared" si="0"/>
        <v>1720.512</v>
      </c>
      <c r="N9" s="15" t="s">
        <v>27</v>
      </c>
      <c r="O9" s="20" t="s">
        <v>34</v>
      </c>
      <c r="P9" s="12">
        <v>187920</v>
      </c>
      <c r="Q9" s="13">
        <v>40.5</v>
      </c>
      <c r="R9" s="27">
        <v>0.0137</v>
      </c>
      <c r="S9" s="27">
        <v>0.0142</v>
      </c>
      <c r="T9" s="15">
        <f>((P9*R9*4/12)+(P9*S9*8/12))*0.95</f>
        <v>2505.2868</v>
      </c>
      <c r="U9" s="28" t="s">
        <v>27</v>
      </c>
      <c r="V9" s="20" t="s">
        <v>34</v>
      </c>
    </row>
    <row r="10" spans="1:22" ht="20.25">
      <c r="A10" s="4" t="s">
        <v>14</v>
      </c>
      <c r="B10" s="12" t="s">
        <v>19</v>
      </c>
      <c r="C10" s="13" t="s">
        <v>19</v>
      </c>
      <c r="D10" s="13" t="s">
        <v>19</v>
      </c>
      <c r="E10" s="14">
        <v>0.0138</v>
      </c>
      <c r="F10" s="16" t="s">
        <v>19</v>
      </c>
      <c r="G10" s="16" t="s">
        <v>19</v>
      </c>
      <c r="H10" s="21" t="s">
        <v>19</v>
      </c>
      <c r="I10" s="25">
        <v>208800</v>
      </c>
      <c r="J10" s="26">
        <v>45</v>
      </c>
      <c r="K10" s="14">
        <v>0.0138</v>
      </c>
      <c r="L10" s="27">
        <v>0.0137</v>
      </c>
      <c r="M10" s="15">
        <f t="shared" si="0"/>
        <v>2867.52</v>
      </c>
      <c r="N10" s="15" t="s">
        <v>28</v>
      </c>
      <c r="O10" s="20" t="s">
        <v>34</v>
      </c>
      <c r="P10" s="12" t="s">
        <v>19</v>
      </c>
      <c r="Q10" s="13" t="s">
        <v>19</v>
      </c>
      <c r="R10" s="27">
        <v>0.0137</v>
      </c>
      <c r="S10" s="27">
        <v>0.0142</v>
      </c>
      <c r="T10" s="28" t="s">
        <v>19</v>
      </c>
      <c r="U10" s="28" t="s">
        <v>19</v>
      </c>
      <c r="V10" s="20" t="s">
        <v>19</v>
      </c>
    </row>
    <row r="11" spans="1:22" ht="20.25">
      <c r="A11" s="4" t="s">
        <v>13</v>
      </c>
      <c r="B11" s="12" t="s">
        <v>19</v>
      </c>
      <c r="C11" s="13" t="s">
        <v>19</v>
      </c>
      <c r="D11" s="13" t="s">
        <v>19</v>
      </c>
      <c r="E11" s="14">
        <v>0.0138</v>
      </c>
      <c r="F11" s="16" t="s">
        <v>19</v>
      </c>
      <c r="G11" s="16" t="s">
        <v>19</v>
      </c>
      <c r="H11" s="21" t="s">
        <v>19</v>
      </c>
      <c r="I11" s="12" t="s">
        <v>19</v>
      </c>
      <c r="J11" s="13" t="s">
        <v>19</v>
      </c>
      <c r="K11" s="14">
        <v>0.0138</v>
      </c>
      <c r="L11" s="27">
        <v>0.0137</v>
      </c>
      <c r="M11" s="16" t="s">
        <v>19</v>
      </c>
      <c r="N11" s="16" t="s">
        <v>19</v>
      </c>
      <c r="O11" s="21" t="s">
        <v>19</v>
      </c>
      <c r="P11" s="12">
        <v>3758400</v>
      </c>
      <c r="Q11" s="13">
        <v>810</v>
      </c>
      <c r="R11" s="27">
        <v>0.0137</v>
      </c>
      <c r="S11" s="27">
        <v>0.0142</v>
      </c>
      <c r="T11" s="15">
        <f>((P11*R11*4/12)+(P11*S11*8/12))*0.95</f>
        <v>50105.736000000004</v>
      </c>
      <c r="U11" s="28" t="s">
        <v>42</v>
      </c>
      <c r="V11" s="20" t="s">
        <v>46</v>
      </c>
    </row>
    <row r="12" spans="1:22" ht="20.25">
      <c r="A12" s="4" t="s">
        <v>9</v>
      </c>
      <c r="B12" s="12" t="s">
        <v>19</v>
      </c>
      <c r="C12" s="13" t="s">
        <v>19</v>
      </c>
      <c r="D12" s="13" t="s">
        <v>19</v>
      </c>
      <c r="E12" s="14">
        <v>0.0138</v>
      </c>
      <c r="F12" s="16" t="s">
        <v>19</v>
      </c>
      <c r="G12" s="16" t="s">
        <v>19</v>
      </c>
      <c r="H12" s="21" t="s">
        <v>19</v>
      </c>
      <c r="I12" s="12" t="s">
        <v>19</v>
      </c>
      <c r="J12" s="13" t="s">
        <v>19</v>
      </c>
      <c r="K12" s="14">
        <v>0.0138</v>
      </c>
      <c r="L12" s="27">
        <v>0.0137</v>
      </c>
      <c r="M12" s="16" t="s">
        <v>19</v>
      </c>
      <c r="N12" s="16" t="s">
        <v>19</v>
      </c>
      <c r="O12" s="21" t="s">
        <v>19</v>
      </c>
      <c r="P12" s="12">
        <f>651240+124740+3168</f>
        <v>779148</v>
      </c>
      <c r="Q12" s="13">
        <f>156+30+0</f>
        <v>186</v>
      </c>
      <c r="R12" s="27">
        <v>0.0137</v>
      </c>
      <c r="S12" s="27">
        <v>0.0142</v>
      </c>
      <c r="T12" s="15">
        <f>(P12*R12*4/12)+(P12*S12*8/12)</f>
        <v>10934.0436</v>
      </c>
      <c r="U12" s="28" t="s">
        <v>29</v>
      </c>
      <c r="V12" s="20" t="s">
        <v>45</v>
      </c>
    </row>
    <row r="13" spans="1:22" ht="20.25">
      <c r="A13" s="4" t="s">
        <v>10</v>
      </c>
      <c r="B13" s="12" t="s">
        <v>19</v>
      </c>
      <c r="C13" s="13" t="s">
        <v>19</v>
      </c>
      <c r="D13" s="13" t="s">
        <v>19</v>
      </c>
      <c r="E13" s="14">
        <v>0.0138</v>
      </c>
      <c r="F13" s="16" t="s">
        <v>19</v>
      </c>
      <c r="G13" s="16" t="s">
        <v>19</v>
      </c>
      <c r="H13" s="21" t="s">
        <v>19</v>
      </c>
      <c r="I13" s="12" t="s">
        <v>19</v>
      </c>
      <c r="J13" s="13" t="s">
        <v>19</v>
      </c>
      <c r="K13" s="14">
        <v>0.0138</v>
      </c>
      <c r="L13" s="27">
        <v>0.0137</v>
      </c>
      <c r="M13" s="16" t="s">
        <v>19</v>
      </c>
      <c r="N13" s="16" t="s">
        <v>19</v>
      </c>
      <c r="O13" s="21" t="s">
        <v>19</v>
      </c>
      <c r="P13" s="12" t="s">
        <v>19</v>
      </c>
      <c r="Q13" s="13" t="s">
        <v>19</v>
      </c>
      <c r="R13" s="27">
        <v>0.0137</v>
      </c>
      <c r="S13" s="27">
        <v>0.0142</v>
      </c>
      <c r="T13" s="28" t="s">
        <v>19</v>
      </c>
      <c r="U13" s="28" t="s">
        <v>29</v>
      </c>
      <c r="V13" s="20" t="s">
        <v>19</v>
      </c>
    </row>
    <row r="14" spans="1:22" ht="20.25">
      <c r="A14" s="4" t="s">
        <v>11</v>
      </c>
      <c r="B14" s="12" t="s">
        <v>19</v>
      </c>
      <c r="C14" s="13" t="s">
        <v>19</v>
      </c>
      <c r="D14" s="13" t="s">
        <v>19</v>
      </c>
      <c r="E14" s="14">
        <v>0.0138</v>
      </c>
      <c r="F14" s="16" t="s">
        <v>19</v>
      </c>
      <c r="G14" s="16" t="s">
        <v>19</v>
      </c>
      <c r="H14" s="21" t="s">
        <v>19</v>
      </c>
      <c r="I14" s="12" t="s">
        <v>19</v>
      </c>
      <c r="J14" s="13" t="s">
        <v>19</v>
      </c>
      <c r="K14" s="14">
        <v>0.0138</v>
      </c>
      <c r="L14" s="27">
        <v>0.0137</v>
      </c>
      <c r="M14" s="16" t="s">
        <v>19</v>
      </c>
      <c r="N14" s="16" t="s">
        <v>19</v>
      </c>
      <c r="O14" s="21" t="s">
        <v>19</v>
      </c>
      <c r="P14" s="25">
        <f>(3420440+2122605)*0.3</f>
        <v>1662913.5</v>
      </c>
      <c r="Q14" s="13">
        <f>P14/(62*24)</f>
        <v>1117.5493951612902</v>
      </c>
      <c r="R14" s="27">
        <v>0.0137</v>
      </c>
      <c r="S14" s="27">
        <v>0.0142</v>
      </c>
      <c r="T14" s="15">
        <f>(P14*R14*4/12)+(P14*S14*8/12)</f>
        <v>23336.21945</v>
      </c>
      <c r="U14" s="28" t="s">
        <v>25</v>
      </c>
      <c r="V14" s="20" t="s">
        <v>44</v>
      </c>
    </row>
    <row r="15" spans="1:22" ht="20.25">
      <c r="A15" s="4" t="s">
        <v>12</v>
      </c>
      <c r="B15" s="12" t="s">
        <v>19</v>
      </c>
      <c r="C15" s="13" t="s">
        <v>19</v>
      </c>
      <c r="D15" s="13" t="s">
        <v>19</v>
      </c>
      <c r="E15" s="14">
        <v>0.0138</v>
      </c>
      <c r="F15" s="16" t="s">
        <v>19</v>
      </c>
      <c r="G15" s="16" t="s">
        <v>19</v>
      </c>
      <c r="H15" s="21" t="s">
        <v>19</v>
      </c>
      <c r="I15" s="12">
        <v>1675150</v>
      </c>
      <c r="J15" s="13">
        <v>999.9</v>
      </c>
      <c r="K15" s="14">
        <v>0.0138</v>
      </c>
      <c r="L15" s="27">
        <v>0.0137</v>
      </c>
      <c r="M15" s="15">
        <f>(I15*K15*4/12)+(I15*L15*8/12)</f>
        <v>23005.393333333333</v>
      </c>
      <c r="N15" s="16" t="s">
        <v>19</v>
      </c>
      <c r="O15" s="21" t="s">
        <v>19</v>
      </c>
      <c r="P15" s="12">
        <v>1140705</v>
      </c>
      <c r="Q15" s="13">
        <v>281.131</v>
      </c>
      <c r="R15" s="27">
        <v>0.0137</v>
      </c>
      <c r="S15" s="27">
        <v>0.0142</v>
      </c>
      <c r="T15" s="15">
        <f>(P15*R15*4/12)+(P15*S15*8/12)</f>
        <v>16007.893500000002</v>
      </c>
      <c r="U15" s="28" t="s">
        <v>25</v>
      </c>
      <c r="V15" s="20" t="s">
        <v>43</v>
      </c>
    </row>
    <row r="16" spans="1:22" ht="20.25">
      <c r="A16" s="4"/>
      <c r="B16" s="12"/>
      <c r="C16" s="13"/>
      <c r="D16" s="13"/>
      <c r="E16" s="14"/>
      <c r="F16" s="16"/>
      <c r="G16" s="16"/>
      <c r="H16" s="21"/>
      <c r="I16" s="12"/>
      <c r="J16" s="13"/>
      <c r="K16" s="14"/>
      <c r="L16" s="14"/>
      <c r="M16" s="29"/>
      <c r="N16" s="16"/>
      <c r="O16" s="21"/>
      <c r="P16" s="12"/>
      <c r="Q16" s="13"/>
      <c r="R16" s="14"/>
      <c r="S16" s="14"/>
      <c r="T16" s="28" t="s">
        <v>15</v>
      </c>
      <c r="U16" s="28"/>
      <c r="V16" s="20"/>
    </row>
    <row r="17" spans="1:22" ht="20.25">
      <c r="A17" s="2" t="s">
        <v>49</v>
      </c>
      <c r="B17" s="12"/>
      <c r="C17" s="13"/>
      <c r="D17" s="13"/>
      <c r="E17" s="14"/>
      <c r="F17" s="16"/>
      <c r="G17" s="16"/>
      <c r="H17" s="21"/>
      <c r="I17" s="12"/>
      <c r="J17" s="13"/>
      <c r="K17" s="14"/>
      <c r="L17" s="14"/>
      <c r="M17" s="29"/>
      <c r="N17" s="16"/>
      <c r="O17" s="21"/>
      <c r="P17" s="12"/>
      <c r="Q17" s="13"/>
      <c r="R17" s="14"/>
      <c r="S17" s="14"/>
      <c r="T17" s="28" t="s">
        <v>15</v>
      </c>
      <c r="U17" s="28"/>
      <c r="V17" s="20"/>
    </row>
    <row r="18" spans="1:22" ht="20.25">
      <c r="A18" s="4" t="s">
        <v>8</v>
      </c>
      <c r="B18" s="12">
        <v>469536</v>
      </c>
      <c r="C18" s="13">
        <v>53.6</v>
      </c>
      <c r="D18" s="14">
        <v>0.0108</v>
      </c>
      <c r="E18" s="14">
        <v>0.0125</v>
      </c>
      <c r="F18" s="15">
        <f>B18*D18*3/12+B18*E18*9/12</f>
        <v>5669.6472</v>
      </c>
      <c r="G18" s="15" t="s">
        <v>26</v>
      </c>
      <c r="H18" s="20" t="s">
        <v>36</v>
      </c>
      <c r="I18" s="12">
        <v>449728</v>
      </c>
      <c r="J18" s="13">
        <v>40.74</v>
      </c>
      <c r="K18" s="14">
        <v>0.0125</v>
      </c>
      <c r="L18" s="14">
        <v>0.0123</v>
      </c>
      <c r="M18" s="15">
        <f>(I18*K18*4/12)+(I18*L18*8/12)</f>
        <v>5561.636266666666</v>
      </c>
      <c r="N18" s="15" t="s">
        <v>26</v>
      </c>
      <c r="O18" s="20" t="s">
        <v>36</v>
      </c>
      <c r="P18" s="12">
        <v>225900</v>
      </c>
      <c r="Q18" s="13">
        <v>25.79</v>
      </c>
      <c r="R18" s="14">
        <v>0.0123</v>
      </c>
      <c r="S18" s="14">
        <v>0.0124</v>
      </c>
      <c r="T18" s="15">
        <f>((P18*R18*4/12)+(P18*S18*8/12))*0.95</f>
        <v>2653.9485</v>
      </c>
      <c r="U18" s="28" t="s">
        <v>26</v>
      </c>
      <c r="V18" s="20" t="s">
        <v>36</v>
      </c>
    </row>
    <row r="19" spans="1:22" ht="20.25">
      <c r="A19" s="4"/>
      <c r="B19" s="12"/>
      <c r="C19" s="13"/>
      <c r="D19" s="13"/>
      <c r="E19" s="14"/>
      <c r="F19" s="16"/>
      <c r="G19" s="16"/>
      <c r="H19" s="21"/>
      <c r="I19" s="12"/>
      <c r="J19" s="13"/>
      <c r="K19" s="14"/>
      <c r="L19" s="14"/>
      <c r="M19" s="29"/>
      <c r="N19" s="16"/>
      <c r="O19" s="21"/>
      <c r="P19" s="12"/>
      <c r="Q19" s="13"/>
      <c r="R19" s="14"/>
      <c r="S19" s="14"/>
      <c r="T19" s="28" t="s">
        <v>15</v>
      </c>
      <c r="U19" s="28"/>
      <c r="V19" s="21"/>
    </row>
    <row r="20" spans="1:22" ht="20.25">
      <c r="A20" s="2" t="s">
        <v>1</v>
      </c>
      <c r="B20" s="12"/>
      <c r="C20" s="13"/>
      <c r="D20" s="13"/>
      <c r="E20" s="14"/>
      <c r="F20" s="16"/>
      <c r="G20" s="16"/>
      <c r="H20" s="21"/>
      <c r="I20" s="12"/>
      <c r="J20" s="13"/>
      <c r="K20" s="14"/>
      <c r="L20" s="14"/>
      <c r="M20" s="29"/>
      <c r="N20" s="16"/>
      <c r="O20" s="21"/>
      <c r="P20" s="12"/>
      <c r="Q20" s="13"/>
      <c r="R20" s="14"/>
      <c r="S20" s="14"/>
      <c r="T20" s="28" t="s">
        <v>15</v>
      </c>
      <c r="U20" s="28"/>
      <c r="V20" s="21"/>
    </row>
    <row r="21" spans="1:22" ht="20.25">
      <c r="A21" s="4" t="s">
        <v>7</v>
      </c>
      <c r="B21" s="12" t="s">
        <v>19</v>
      </c>
      <c r="C21" s="13" t="s">
        <v>19</v>
      </c>
      <c r="D21" s="13" t="s">
        <v>19</v>
      </c>
      <c r="E21" s="14" t="s">
        <v>19</v>
      </c>
      <c r="F21" s="16" t="s">
        <v>19</v>
      </c>
      <c r="G21" s="16" t="s">
        <v>19</v>
      </c>
      <c r="H21" s="21" t="s">
        <v>19</v>
      </c>
      <c r="I21" s="12">
        <v>17363</v>
      </c>
      <c r="J21" s="13">
        <v>23.85</v>
      </c>
      <c r="K21" s="14">
        <v>1.0332</v>
      </c>
      <c r="L21" s="14">
        <v>1.0567</v>
      </c>
      <c r="M21" s="15">
        <f>J21*K21*4+J21*L21*8</f>
        <v>300.18564</v>
      </c>
      <c r="N21" s="16" t="s">
        <v>28</v>
      </c>
      <c r="O21" s="20" t="s">
        <v>37</v>
      </c>
      <c r="P21" s="12">
        <v>46519.74</v>
      </c>
      <c r="Q21" s="13">
        <v>63.9</v>
      </c>
      <c r="R21" s="14">
        <v>1.0567</v>
      </c>
      <c r="S21" s="14">
        <v>1.2252</v>
      </c>
      <c r="T21" s="15">
        <f>(Q21*R21*4+Q21*S21*8)*0.95</f>
        <v>851.5940219999999</v>
      </c>
      <c r="U21" s="28" t="s">
        <v>42</v>
      </c>
      <c r="V21" s="20" t="s">
        <v>33</v>
      </c>
    </row>
    <row r="22" spans="1:22" ht="20.25">
      <c r="A22" s="4"/>
      <c r="C22" s="13"/>
      <c r="D22" s="13"/>
      <c r="E22" s="14"/>
      <c r="F22" s="16"/>
      <c r="G22" s="16"/>
      <c r="H22" s="21"/>
      <c r="J22" s="13"/>
      <c r="K22" s="14"/>
      <c r="L22" s="14"/>
      <c r="M22" s="29"/>
      <c r="N22" s="16"/>
      <c r="O22" s="21"/>
      <c r="P22" s="12"/>
      <c r="Q22" s="13"/>
      <c r="R22" s="14"/>
      <c r="S22" s="14"/>
      <c r="T22" s="28" t="s">
        <v>15</v>
      </c>
      <c r="U22" s="28"/>
      <c r="V22" s="20"/>
    </row>
    <row r="23" spans="1:22" ht="20.25">
      <c r="A23" s="2" t="s">
        <v>20</v>
      </c>
      <c r="C23" s="13"/>
      <c r="D23" s="13"/>
      <c r="E23" s="14"/>
      <c r="F23" s="16"/>
      <c r="G23" s="16"/>
      <c r="H23" s="21"/>
      <c r="J23" s="13"/>
      <c r="K23" s="14"/>
      <c r="L23" s="14"/>
      <c r="M23" s="29"/>
      <c r="N23" s="16"/>
      <c r="O23" s="21"/>
      <c r="P23" s="12"/>
      <c r="Q23" s="13"/>
      <c r="R23" s="14"/>
      <c r="S23" s="14"/>
      <c r="T23" s="28" t="s">
        <v>15</v>
      </c>
      <c r="U23" s="28"/>
      <c r="V23" s="20"/>
    </row>
    <row r="24" spans="1:22" ht="20.25">
      <c r="A24" s="4" t="s">
        <v>21</v>
      </c>
      <c r="B24" s="12" t="s">
        <v>19</v>
      </c>
      <c r="C24" s="13" t="s">
        <v>19</v>
      </c>
      <c r="D24" s="13" t="s">
        <v>19</v>
      </c>
      <c r="E24" s="14" t="s">
        <v>19</v>
      </c>
      <c r="F24" s="16" t="s">
        <v>19</v>
      </c>
      <c r="G24" s="16" t="s">
        <v>19</v>
      </c>
      <c r="H24" s="21" t="s">
        <v>19</v>
      </c>
      <c r="I24" s="12">
        <v>109616</v>
      </c>
      <c r="J24" s="13">
        <v>22.34</v>
      </c>
      <c r="K24" s="14">
        <v>1.4626</v>
      </c>
      <c r="L24" s="14">
        <v>1.4268</v>
      </c>
      <c r="M24" s="15">
        <f>J24*K24*4+J24*L24*8</f>
        <v>385.69563200000005</v>
      </c>
      <c r="N24" s="16" t="s">
        <v>28</v>
      </c>
      <c r="O24" s="20" t="s">
        <v>33</v>
      </c>
      <c r="P24" s="12" t="s">
        <v>19</v>
      </c>
      <c r="Q24" s="13" t="s">
        <v>19</v>
      </c>
      <c r="R24" s="14">
        <v>1.4268</v>
      </c>
      <c r="S24" s="14">
        <v>1.3801</v>
      </c>
      <c r="T24" s="28" t="s">
        <v>19</v>
      </c>
      <c r="U24" s="28" t="s">
        <v>19</v>
      </c>
      <c r="V24" s="20" t="s">
        <v>19</v>
      </c>
    </row>
    <row r="25" spans="1:22" ht="20.25">
      <c r="A25" s="4"/>
      <c r="C25" s="13"/>
      <c r="D25" s="13"/>
      <c r="E25" s="13"/>
      <c r="F25" s="16"/>
      <c r="G25" s="16"/>
      <c r="H25" s="21"/>
      <c r="J25" s="13"/>
      <c r="K25" s="13"/>
      <c r="L25" s="13"/>
      <c r="M25" s="29"/>
      <c r="N25" s="16"/>
      <c r="O25" s="21"/>
      <c r="Q25" s="13"/>
      <c r="R25" s="14"/>
      <c r="S25" s="14"/>
      <c r="V25" s="20"/>
    </row>
    <row r="26" spans="1:22" ht="20.25">
      <c r="A26" s="2" t="s">
        <v>30</v>
      </c>
      <c r="B26" s="12">
        <f>SUM(B5:B24)</f>
        <v>1023343.04</v>
      </c>
      <c r="C26" s="13">
        <f>SUM(C5:C24)</f>
        <v>167</v>
      </c>
      <c r="D26" s="13"/>
      <c r="E26" s="13"/>
      <c r="F26" s="17">
        <f>SUM(F5:F24)</f>
        <v>12910.674248</v>
      </c>
      <c r="G26" s="15"/>
      <c r="H26" s="22"/>
      <c r="I26" s="12">
        <f>SUM(I5:I24)</f>
        <v>2829910</v>
      </c>
      <c r="J26" s="13">
        <f>SUM(J5:J24)</f>
        <v>1208.9699999999998</v>
      </c>
      <c r="K26" s="13"/>
      <c r="L26" s="13"/>
      <c r="M26" s="17">
        <f>SUM(M5:M24)</f>
        <v>37191.50540533334</v>
      </c>
      <c r="N26" s="15"/>
      <c r="O26" s="22"/>
      <c r="P26" s="12">
        <f>SUM(P5:P24)</f>
        <v>7842817.24</v>
      </c>
      <c r="Q26" s="13">
        <f>SUM(Q5:Q24)</f>
        <v>2531.87039516129</v>
      </c>
      <c r="R26" s="13"/>
      <c r="T26" s="17">
        <f>SUM(T5:T24)</f>
        <v>106945.46635366669</v>
      </c>
      <c r="U26" s="15"/>
      <c r="V26" s="22" t="s">
        <v>15</v>
      </c>
    </row>
    <row r="27" spans="1:22" ht="20.25">
      <c r="A27" s="2" t="s">
        <v>47</v>
      </c>
      <c r="C27" s="13"/>
      <c r="D27" s="13"/>
      <c r="E27" s="13"/>
      <c r="F27" s="17">
        <f>F26*4</f>
        <v>51642.696992</v>
      </c>
      <c r="G27" s="16"/>
      <c r="H27" s="21"/>
      <c r="I27" s="12" t="s">
        <v>15</v>
      </c>
      <c r="J27" s="13" t="s">
        <v>15</v>
      </c>
      <c r="K27" s="13"/>
      <c r="L27" s="13"/>
      <c r="M27" s="17">
        <f>M26*3</f>
        <v>111574.51621600002</v>
      </c>
      <c r="N27" s="16"/>
      <c r="O27" s="21"/>
      <c r="P27" s="12" t="s">
        <v>15</v>
      </c>
      <c r="Q27" s="13" t="s">
        <v>15</v>
      </c>
      <c r="R27" s="13"/>
      <c r="T27" s="30">
        <f>T26*2</f>
        <v>213890.93270733338</v>
      </c>
      <c r="V27" s="22" t="s">
        <v>15</v>
      </c>
    </row>
    <row r="28" spans="1:21" ht="21" thickBot="1">
      <c r="A28" s="2" t="s">
        <v>48</v>
      </c>
      <c r="T28" s="31">
        <f>T27+M27+F27</f>
        <v>377108.1459153334</v>
      </c>
      <c r="U28" s="35" t="s">
        <v>58</v>
      </c>
    </row>
    <row r="29" ht="21" thickTop="1"/>
    <row r="30" ht="20.25">
      <c r="A30" s="6" t="s">
        <v>56</v>
      </c>
    </row>
    <row r="31" spans="1:20" ht="20.25">
      <c r="A31" s="5" t="s">
        <v>53</v>
      </c>
      <c r="F31" s="30">
        <f>SUM(F5:F15)*4</f>
        <v>28964.108192</v>
      </c>
      <c r="L31" s="32"/>
      <c r="M31" s="34">
        <f>SUM(M5:M15)*3</f>
        <v>92831.9636</v>
      </c>
      <c r="T31" s="30">
        <f>SUM(T5:T15)*2</f>
        <v>206879.84766333338</v>
      </c>
    </row>
    <row r="32" spans="1:20" ht="20.25">
      <c r="A32" s="5" t="s">
        <v>54</v>
      </c>
      <c r="F32" s="30">
        <f>+F18*4</f>
        <v>22678.5888</v>
      </c>
      <c r="M32" s="34">
        <f>+M18*3</f>
        <v>16684.908799999997</v>
      </c>
      <c r="T32" s="30">
        <f>+T18*2</f>
        <v>5307.897</v>
      </c>
    </row>
    <row r="33" spans="1:20" ht="20.25">
      <c r="A33" s="5" t="s">
        <v>55</v>
      </c>
      <c r="F33" s="28"/>
      <c r="M33" s="34">
        <f>+(M21+M24)*3</f>
        <v>2057.6438160000002</v>
      </c>
      <c r="T33" s="30">
        <f>+T21*2</f>
        <v>1703.1880439999998</v>
      </c>
    </row>
    <row r="34" spans="20:21" ht="20.25">
      <c r="T34" s="28"/>
      <c r="U34" s="33"/>
    </row>
    <row r="35" ht="20.25">
      <c r="A35" s="36" t="s">
        <v>51</v>
      </c>
    </row>
    <row r="36" spans="1:22" ht="20.25">
      <c r="A36" s="2" t="s">
        <v>18</v>
      </c>
      <c r="B36" s="8">
        <v>2005</v>
      </c>
      <c r="F36" s="9" t="s">
        <v>40</v>
      </c>
      <c r="G36" s="10"/>
      <c r="H36" s="18" t="s">
        <v>31</v>
      </c>
      <c r="I36" s="8">
        <v>2006</v>
      </c>
      <c r="M36" s="9" t="s">
        <v>40</v>
      </c>
      <c r="N36" s="10"/>
      <c r="O36" s="18" t="s">
        <v>31</v>
      </c>
      <c r="P36" s="8">
        <v>2007</v>
      </c>
      <c r="T36" s="8" t="s">
        <v>40</v>
      </c>
      <c r="V36" s="18" t="s">
        <v>31</v>
      </c>
    </row>
    <row r="37" spans="1:22" ht="21" thickBot="1">
      <c r="A37" s="3" t="s">
        <v>15</v>
      </c>
      <c r="B37" s="11" t="s">
        <v>16</v>
      </c>
      <c r="C37" s="11" t="s">
        <v>17</v>
      </c>
      <c r="D37" s="11" t="s">
        <v>38</v>
      </c>
      <c r="E37" s="11" t="s">
        <v>39</v>
      </c>
      <c r="F37" s="11" t="s">
        <v>22</v>
      </c>
      <c r="G37" s="11" t="s">
        <v>24</v>
      </c>
      <c r="H37" s="19" t="s">
        <v>32</v>
      </c>
      <c r="I37" s="11" t="s">
        <v>16</v>
      </c>
      <c r="J37" s="11" t="s">
        <v>17</v>
      </c>
      <c r="K37" s="11" t="s">
        <v>38</v>
      </c>
      <c r="L37" s="11" t="s">
        <v>39</v>
      </c>
      <c r="M37" s="11" t="s">
        <v>22</v>
      </c>
      <c r="N37" s="11" t="s">
        <v>24</v>
      </c>
      <c r="O37" s="19" t="s">
        <v>32</v>
      </c>
      <c r="P37" s="11" t="s">
        <v>16</v>
      </c>
      <c r="Q37" s="11" t="s">
        <v>17</v>
      </c>
      <c r="R37" s="11" t="s">
        <v>38</v>
      </c>
      <c r="S37" s="11" t="s">
        <v>39</v>
      </c>
      <c r="T37" s="11" t="s">
        <v>22</v>
      </c>
      <c r="U37" s="19" t="s">
        <v>24</v>
      </c>
      <c r="V37" s="19" t="s">
        <v>32</v>
      </c>
    </row>
    <row r="38" spans="1:22" ht="20.25">
      <c r="A38" s="2" t="s">
        <v>0</v>
      </c>
      <c r="F38" s="10"/>
      <c r="G38" s="10"/>
      <c r="H38" s="20"/>
      <c r="M38" s="24"/>
      <c r="N38" s="10"/>
      <c r="O38" s="20"/>
      <c r="V38" s="20"/>
    </row>
    <row r="39" spans="1:22" ht="20.25">
      <c r="A39" s="4" t="s">
        <v>2</v>
      </c>
      <c r="B39" s="12">
        <v>15085.44</v>
      </c>
      <c r="C39" s="13">
        <v>2.88</v>
      </c>
      <c r="D39" s="14">
        <v>0.0109</v>
      </c>
      <c r="E39" s="14">
        <v>0.0138</v>
      </c>
      <c r="F39" s="15">
        <f>B39*D39*3/12+B39*E39*9/12</f>
        <v>197.24212799999998</v>
      </c>
      <c r="G39" s="15" t="s">
        <v>25</v>
      </c>
      <c r="H39" s="20" t="s">
        <v>35</v>
      </c>
      <c r="I39" s="25">
        <v>10183</v>
      </c>
      <c r="J39" s="26">
        <v>4.44</v>
      </c>
      <c r="K39" s="14">
        <v>0.0138</v>
      </c>
      <c r="L39" s="27">
        <v>0.0137</v>
      </c>
      <c r="M39" s="15">
        <f aca="true" t="shared" si="1" ref="M39:M44">(I39*K39*4/12)+(I39*L39*8/12)</f>
        <v>139.84653333333333</v>
      </c>
      <c r="N39" s="15" t="s">
        <v>25</v>
      </c>
      <c r="O39" s="20" t="s">
        <v>35</v>
      </c>
      <c r="P39" s="12">
        <v>7269</v>
      </c>
      <c r="Q39" s="13">
        <v>4</v>
      </c>
      <c r="R39" s="27">
        <v>0.0137</v>
      </c>
      <c r="S39" s="27">
        <v>0.0142</v>
      </c>
      <c r="T39" s="15">
        <f>((P39*R39*4/12)+(P39*S39*8/12))*0.95</f>
        <v>96.90788500000001</v>
      </c>
      <c r="U39" s="28" t="s">
        <v>41</v>
      </c>
      <c r="V39" s="20" t="s">
        <v>33</v>
      </c>
    </row>
    <row r="40" spans="1:22" ht="20.25">
      <c r="A40" s="4" t="s">
        <v>3</v>
      </c>
      <c r="B40" s="12">
        <f>7696+625.6+33120+36960</f>
        <v>78401.6</v>
      </c>
      <c r="C40" s="13">
        <f>1.84+0.15+1.29+1.44</f>
        <v>4.720000000000001</v>
      </c>
      <c r="D40" s="14">
        <v>0.0109</v>
      </c>
      <c r="E40" s="14">
        <v>0.0138</v>
      </c>
      <c r="F40" s="15">
        <f>B40*D40*3/12+B40*E40*9/12</f>
        <v>1025.10092</v>
      </c>
      <c r="G40" s="15" t="s">
        <v>23</v>
      </c>
      <c r="H40" s="20" t="s">
        <v>33</v>
      </c>
      <c r="I40" s="12">
        <f>6956+994+5600+32640</f>
        <v>46190</v>
      </c>
      <c r="J40" s="13">
        <f>1.67+0.24+0.13+1.27</f>
        <v>3.31</v>
      </c>
      <c r="K40" s="14">
        <v>0.0138</v>
      </c>
      <c r="L40" s="27">
        <v>0.0137</v>
      </c>
      <c r="M40" s="15">
        <f t="shared" si="1"/>
        <v>634.3426666666667</v>
      </c>
      <c r="N40" s="15" t="s">
        <v>25</v>
      </c>
      <c r="O40" s="20" t="s">
        <v>33</v>
      </c>
      <c r="P40" s="12">
        <f>6394+27648</f>
        <v>34042</v>
      </c>
      <c r="Q40" s="13">
        <f>2+1</f>
        <v>3</v>
      </c>
      <c r="R40" s="27">
        <v>0.0137</v>
      </c>
      <c r="S40" s="27">
        <v>0.0142</v>
      </c>
      <c r="T40" s="15">
        <f>((P40*R40*4/12)+(P40*S40*8/12))*0.95</f>
        <v>453.8365966666667</v>
      </c>
      <c r="U40" s="28" t="s">
        <v>25</v>
      </c>
      <c r="V40" s="20" t="s">
        <v>33</v>
      </c>
    </row>
    <row r="41" spans="1:22" ht="20.25">
      <c r="A41" s="4" t="s">
        <v>4</v>
      </c>
      <c r="B41" s="12">
        <v>272400</v>
      </c>
      <c r="C41" s="13">
        <v>65.3</v>
      </c>
      <c r="D41" s="14">
        <v>0.0109</v>
      </c>
      <c r="E41" s="14">
        <v>0.0138</v>
      </c>
      <c r="F41" s="15">
        <f>B41*D41*3/12+B41*E41*9/12</f>
        <v>3561.63</v>
      </c>
      <c r="G41" s="15" t="s">
        <v>23</v>
      </c>
      <c r="H41" s="20" t="s">
        <v>33</v>
      </c>
      <c r="I41" s="12">
        <v>147600</v>
      </c>
      <c r="J41" s="13">
        <v>35.38</v>
      </c>
      <c r="K41" s="14">
        <v>0.0138</v>
      </c>
      <c r="L41" s="27">
        <v>0.0137</v>
      </c>
      <c r="M41" s="15">
        <f t="shared" si="1"/>
        <v>2027.04</v>
      </c>
      <c r="N41" s="15" t="s">
        <v>25</v>
      </c>
      <c r="O41" s="20" t="s">
        <v>33</v>
      </c>
      <c r="P41" s="12" t="s">
        <v>19</v>
      </c>
      <c r="Q41" s="13" t="s">
        <v>19</v>
      </c>
      <c r="R41" s="27">
        <v>0.0137</v>
      </c>
      <c r="S41" s="27">
        <v>0.0142</v>
      </c>
      <c r="T41" s="28" t="s">
        <v>19</v>
      </c>
      <c r="U41" s="28" t="s">
        <v>19</v>
      </c>
      <c r="V41" s="22" t="s">
        <v>19</v>
      </c>
    </row>
    <row r="42" spans="1:22" ht="20.25">
      <c r="A42" s="4" t="s">
        <v>5</v>
      </c>
      <c r="B42" s="12" t="s">
        <v>19</v>
      </c>
      <c r="C42" s="13" t="s">
        <v>19</v>
      </c>
      <c r="D42" s="14">
        <v>0.0109</v>
      </c>
      <c r="E42" s="14">
        <v>0.0138</v>
      </c>
      <c r="F42" s="16" t="s">
        <v>19</v>
      </c>
      <c r="G42" s="16" t="s">
        <v>19</v>
      </c>
      <c r="H42" s="21" t="s">
        <v>19</v>
      </c>
      <c r="I42" s="12">
        <v>40000</v>
      </c>
      <c r="J42" s="26">
        <v>7.01</v>
      </c>
      <c r="K42" s="14">
        <v>0.0138</v>
      </c>
      <c r="L42" s="27">
        <v>0.0137</v>
      </c>
      <c r="M42" s="15">
        <f t="shared" si="1"/>
        <v>549.3333333333333</v>
      </c>
      <c r="N42" s="15" t="s">
        <v>29</v>
      </c>
      <c r="O42" s="20" t="s">
        <v>37</v>
      </c>
      <c r="P42" s="12" t="s">
        <v>19</v>
      </c>
      <c r="Q42" s="13" t="s">
        <v>19</v>
      </c>
      <c r="R42" s="27">
        <v>0.0137</v>
      </c>
      <c r="S42" s="27">
        <v>0.0142</v>
      </c>
      <c r="T42" s="28" t="s">
        <v>19</v>
      </c>
      <c r="U42" s="28" t="s">
        <v>19</v>
      </c>
      <c r="V42" s="22" t="s">
        <v>19</v>
      </c>
    </row>
    <row r="43" spans="1:22" ht="20.25">
      <c r="A43" s="4" t="s">
        <v>6</v>
      </c>
      <c r="B43" s="12">
        <v>187920</v>
      </c>
      <c r="C43" s="13">
        <v>40.5</v>
      </c>
      <c r="D43" s="14">
        <v>0.0109</v>
      </c>
      <c r="E43" s="14">
        <v>0.0138</v>
      </c>
      <c r="F43" s="15">
        <f>B43*D43*3/12+B43*E43*9/12</f>
        <v>2457.0539999999996</v>
      </c>
      <c r="G43" s="15" t="s">
        <v>23</v>
      </c>
      <c r="H43" s="20" t="s">
        <v>34</v>
      </c>
      <c r="I43" s="25">
        <f>125280</f>
        <v>125280</v>
      </c>
      <c r="J43" s="26">
        <f>27</f>
        <v>27</v>
      </c>
      <c r="K43" s="14">
        <v>0.0138</v>
      </c>
      <c r="L43" s="27">
        <v>0.0137</v>
      </c>
      <c r="M43" s="15">
        <f t="shared" si="1"/>
        <v>1720.512</v>
      </c>
      <c r="N43" s="15" t="s">
        <v>27</v>
      </c>
      <c r="O43" s="20" t="s">
        <v>34</v>
      </c>
      <c r="P43" s="12">
        <v>187920</v>
      </c>
      <c r="Q43" s="13">
        <v>40.5</v>
      </c>
      <c r="R43" s="27">
        <v>0.0137</v>
      </c>
      <c r="S43" s="27">
        <v>0.0142</v>
      </c>
      <c r="T43" s="15">
        <f>((P43*R43*4/12)+(P43*S43*8/12))*0.95</f>
        <v>2505.2868</v>
      </c>
      <c r="U43" s="28" t="s">
        <v>27</v>
      </c>
      <c r="V43" s="20" t="s">
        <v>34</v>
      </c>
    </row>
    <row r="44" spans="1:22" ht="20.25">
      <c r="A44" s="4" t="s">
        <v>14</v>
      </c>
      <c r="B44" s="12" t="s">
        <v>19</v>
      </c>
      <c r="C44" s="13" t="s">
        <v>19</v>
      </c>
      <c r="D44" s="13" t="s">
        <v>19</v>
      </c>
      <c r="E44" s="14">
        <v>0.0138</v>
      </c>
      <c r="F44" s="16" t="s">
        <v>19</v>
      </c>
      <c r="G44" s="16" t="s">
        <v>19</v>
      </c>
      <c r="H44" s="21" t="s">
        <v>19</v>
      </c>
      <c r="I44" s="25">
        <v>208800</v>
      </c>
      <c r="J44" s="26">
        <v>45</v>
      </c>
      <c r="K44" s="14">
        <v>0.0138</v>
      </c>
      <c r="L44" s="27">
        <v>0.0137</v>
      </c>
      <c r="M44" s="15">
        <f t="shared" si="1"/>
        <v>2867.52</v>
      </c>
      <c r="N44" s="15" t="s">
        <v>28</v>
      </c>
      <c r="O44" s="20" t="s">
        <v>34</v>
      </c>
      <c r="P44" s="12" t="s">
        <v>19</v>
      </c>
      <c r="Q44" s="13" t="s">
        <v>19</v>
      </c>
      <c r="R44" s="27">
        <v>0.0137</v>
      </c>
      <c r="S44" s="27">
        <v>0.0142</v>
      </c>
      <c r="T44" s="28" t="s">
        <v>19</v>
      </c>
      <c r="U44" s="28" t="s">
        <v>19</v>
      </c>
      <c r="V44" s="20" t="s">
        <v>19</v>
      </c>
    </row>
    <row r="45" spans="1:22" ht="20.25">
      <c r="A45" s="4" t="s">
        <v>13</v>
      </c>
      <c r="B45" s="12" t="s">
        <v>19</v>
      </c>
      <c r="C45" s="13" t="s">
        <v>19</v>
      </c>
      <c r="D45" s="13" t="s">
        <v>19</v>
      </c>
      <c r="E45" s="14">
        <v>0.0138</v>
      </c>
      <c r="F45" s="16" t="s">
        <v>19</v>
      </c>
      <c r="G45" s="16" t="s">
        <v>19</v>
      </c>
      <c r="H45" s="21" t="s">
        <v>19</v>
      </c>
      <c r="I45" s="12" t="s">
        <v>19</v>
      </c>
      <c r="J45" s="13" t="s">
        <v>19</v>
      </c>
      <c r="K45" s="14">
        <v>0.0138</v>
      </c>
      <c r="L45" s="27">
        <v>0.0137</v>
      </c>
      <c r="M45" s="16" t="s">
        <v>19</v>
      </c>
      <c r="N45" s="16" t="s">
        <v>19</v>
      </c>
      <c r="O45" s="21" t="s">
        <v>19</v>
      </c>
      <c r="P45" s="12">
        <v>3758400</v>
      </c>
      <c r="Q45" s="13">
        <v>810</v>
      </c>
      <c r="R45" s="27">
        <v>0.0137</v>
      </c>
      <c r="S45" s="27">
        <v>0.0142</v>
      </c>
      <c r="T45" s="15">
        <f>((P45*R45*4/12)+(P45*S45*8/12))*0.95</f>
        <v>50105.736000000004</v>
      </c>
      <c r="U45" s="28" t="s">
        <v>42</v>
      </c>
      <c r="V45" s="20" t="s">
        <v>46</v>
      </c>
    </row>
    <row r="46" spans="1:22" ht="20.25">
      <c r="A46" s="4" t="s">
        <v>9</v>
      </c>
      <c r="B46" s="12" t="s">
        <v>19</v>
      </c>
      <c r="C46" s="13" t="s">
        <v>19</v>
      </c>
      <c r="D46" s="13" t="s">
        <v>19</v>
      </c>
      <c r="E46" s="14">
        <v>0.0138</v>
      </c>
      <c r="F46" s="16" t="s">
        <v>19</v>
      </c>
      <c r="G46" s="16" t="s">
        <v>19</v>
      </c>
      <c r="H46" s="21" t="s">
        <v>19</v>
      </c>
      <c r="I46" s="12" t="s">
        <v>19</v>
      </c>
      <c r="J46" s="13" t="s">
        <v>19</v>
      </c>
      <c r="K46" s="14">
        <v>0.0138</v>
      </c>
      <c r="L46" s="27">
        <v>0.0137</v>
      </c>
      <c r="M46" s="16" t="s">
        <v>19</v>
      </c>
      <c r="N46" s="16" t="s">
        <v>19</v>
      </c>
      <c r="O46" s="21" t="s">
        <v>19</v>
      </c>
      <c r="P46" s="12">
        <f>651240+124740+3168</f>
        <v>779148</v>
      </c>
      <c r="Q46" s="13">
        <f>156+30+0</f>
        <v>186</v>
      </c>
      <c r="R46" s="27">
        <v>0.0137</v>
      </c>
      <c r="S46" s="27">
        <v>0.0142</v>
      </c>
      <c r="T46" s="15">
        <f>(P46*R46*4/12)+(P46*S46*8/12)</f>
        <v>10934.0436</v>
      </c>
      <c r="U46" s="28" t="s">
        <v>29</v>
      </c>
      <c r="V46" s="20" t="s">
        <v>45</v>
      </c>
    </row>
    <row r="47" spans="1:22" ht="20.25">
      <c r="A47" s="4" t="s">
        <v>10</v>
      </c>
      <c r="B47" s="12" t="s">
        <v>19</v>
      </c>
      <c r="C47" s="13" t="s">
        <v>19</v>
      </c>
      <c r="D47" s="13" t="s">
        <v>19</v>
      </c>
      <c r="E47" s="14">
        <v>0.0138</v>
      </c>
      <c r="F47" s="16" t="s">
        <v>19</v>
      </c>
      <c r="G47" s="16" t="s">
        <v>19</v>
      </c>
      <c r="H47" s="21" t="s">
        <v>19</v>
      </c>
      <c r="I47" s="12" t="s">
        <v>19</v>
      </c>
      <c r="J47" s="13" t="s">
        <v>19</v>
      </c>
      <c r="K47" s="14">
        <v>0.0138</v>
      </c>
      <c r="L47" s="27">
        <v>0.0137</v>
      </c>
      <c r="M47" s="16" t="s">
        <v>19</v>
      </c>
      <c r="N47" s="16" t="s">
        <v>19</v>
      </c>
      <c r="O47" s="21" t="s">
        <v>19</v>
      </c>
      <c r="P47" s="12" t="s">
        <v>19</v>
      </c>
      <c r="Q47" s="13" t="s">
        <v>19</v>
      </c>
      <c r="R47" s="27">
        <v>0.0137</v>
      </c>
      <c r="S47" s="27">
        <v>0.0142</v>
      </c>
      <c r="T47" s="28" t="s">
        <v>19</v>
      </c>
      <c r="U47" s="28" t="s">
        <v>29</v>
      </c>
      <c r="V47" s="20" t="s">
        <v>19</v>
      </c>
    </row>
    <row r="48" spans="1:22" ht="20.25">
      <c r="A48" s="4" t="s">
        <v>11</v>
      </c>
      <c r="B48" s="12" t="s">
        <v>19</v>
      </c>
      <c r="C48" s="13" t="s">
        <v>19</v>
      </c>
      <c r="D48" s="13" t="s">
        <v>19</v>
      </c>
      <c r="E48" s="14">
        <v>0.0138</v>
      </c>
      <c r="F48" s="16" t="s">
        <v>19</v>
      </c>
      <c r="G48" s="16" t="s">
        <v>19</v>
      </c>
      <c r="H48" s="21" t="s">
        <v>19</v>
      </c>
      <c r="I48" s="12" t="s">
        <v>19</v>
      </c>
      <c r="J48" s="13" t="s">
        <v>19</v>
      </c>
      <c r="K48" s="14">
        <v>0.0138</v>
      </c>
      <c r="L48" s="27">
        <v>0.0137</v>
      </c>
      <c r="M48" s="16" t="s">
        <v>19</v>
      </c>
      <c r="N48" s="16" t="s">
        <v>19</v>
      </c>
      <c r="O48" s="21" t="s">
        <v>19</v>
      </c>
      <c r="P48" s="25">
        <f>(3420440+2122605)*0.3</f>
        <v>1662913.5</v>
      </c>
      <c r="Q48" s="13">
        <f>P48/(62*24)</f>
        <v>1117.5493951612902</v>
      </c>
      <c r="R48" s="27">
        <v>0.0137</v>
      </c>
      <c r="S48" s="27">
        <v>0.0142</v>
      </c>
      <c r="T48" s="15">
        <f>(P48*R48*4/12)+(P48*S48*8/12)</f>
        <v>23336.21945</v>
      </c>
      <c r="U48" s="28" t="s">
        <v>25</v>
      </c>
      <c r="V48" s="20" t="s">
        <v>44</v>
      </c>
    </row>
    <row r="49" spans="1:22" ht="20.25">
      <c r="A49" s="4" t="s">
        <v>12</v>
      </c>
      <c r="B49" s="12" t="s">
        <v>19</v>
      </c>
      <c r="C49" s="13" t="s">
        <v>19</v>
      </c>
      <c r="D49" s="13" t="s">
        <v>19</v>
      </c>
      <c r="E49" s="14">
        <v>0.0138</v>
      </c>
      <c r="F49" s="16" t="s">
        <v>19</v>
      </c>
      <c r="G49" s="16" t="s">
        <v>19</v>
      </c>
      <c r="H49" s="21" t="s">
        <v>19</v>
      </c>
      <c r="I49" s="12">
        <v>1675150</v>
      </c>
      <c r="J49" s="13">
        <v>999.9</v>
      </c>
      <c r="K49" s="14">
        <v>0.0138</v>
      </c>
      <c r="L49" s="27">
        <v>0.0137</v>
      </c>
      <c r="M49" s="15">
        <f>(I49*K49*4/12)+(I49*L49*8/12)</f>
        <v>23005.393333333333</v>
      </c>
      <c r="N49" s="16" t="s">
        <v>19</v>
      </c>
      <c r="O49" s="21" t="s">
        <v>19</v>
      </c>
      <c r="P49" s="12">
        <v>1140705</v>
      </c>
      <c r="Q49" s="13">
        <v>281.131</v>
      </c>
      <c r="R49" s="27">
        <v>0.0137</v>
      </c>
      <c r="S49" s="27">
        <v>0.0142</v>
      </c>
      <c r="T49" s="15">
        <f>(P49*R49*4/12)+(P49*S49*8/12)</f>
        <v>16007.893500000002</v>
      </c>
      <c r="U49" s="28" t="s">
        <v>25</v>
      </c>
      <c r="V49" s="20" t="s">
        <v>43</v>
      </c>
    </row>
    <row r="50" spans="1:22" ht="20.25">
      <c r="A50" s="4"/>
      <c r="B50" s="12"/>
      <c r="C50" s="13"/>
      <c r="D50" s="13"/>
      <c r="E50" s="14"/>
      <c r="F50" s="16"/>
      <c r="G50" s="16"/>
      <c r="H50" s="21"/>
      <c r="I50" s="12"/>
      <c r="J50" s="13"/>
      <c r="K50" s="14"/>
      <c r="L50" s="14"/>
      <c r="M50" s="29"/>
      <c r="N50" s="16"/>
      <c r="O50" s="21"/>
      <c r="P50" s="12"/>
      <c r="Q50" s="13"/>
      <c r="R50" s="14"/>
      <c r="S50" s="14"/>
      <c r="T50" s="28" t="s">
        <v>15</v>
      </c>
      <c r="U50" s="28"/>
      <c r="V50" s="20"/>
    </row>
    <row r="51" spans="1:22" ht="20.25">
      <c r="A51" s="2" t="s">
        <v>49</v>
      </c>
      <c r="B51" s="12"/>
      <c r="C51" s="13"/>
      <c r="D51" s="13"/>
      <c r="E51" s="14"/>
      <c r="F51" s="16"/>
      <c r="G51" s="16"/>
      <c r="H51" s="21"/>
      <c r="I51" s="12"/>
      <c r="J51" s="13"/>
      <c r="K51" s="14"/>
      <c r="L51" s="14"/>
      <c r="M51" s="29"/>
      <c r="N51" s="16"/>
      <c r="O51" s="21"/>
      <c r="P51" s="12"/>
      <c r="Q51" s="13"/>
      <c r="R51" s="14"/>
      <c r="S51" s="14"/>
      <c r="T51" s="28" t="s">
        <v>15</v>
      </c>
      <c r="U51" s="28"/>
      <c r="V51" s="20"/>
    </row>
    <row r="52" spans="1:22" ht="20.25">
      <c r="A52" s="4" t="s">
        <v>8</v>
      </c>
      <c r="B52" s="12">
        <v>469536</v>
      </c>
      <c r="C52" s="13">
        <v>53.6</v>
      </c>
      <c r="D52" s="14">
        <v>0.0108</v>
      </c>
      <c r="E52" s="14">
        <v>0.0125</v>
      </c>
      <c r="F52" s="15">
        <f>B52*D52*3/12+B52*E52*9/12</f>
        <v>5669.6472</v>
      </c>
      <c r="G52" s="15" t="s">
        <v>26</v>
      </c>
      <c r="H52" s="20" t="s">
        <v>36</v>
      </c>
      <c r="I52" s="12">
        <v>449728</v>
      </c>
      <c r="J52" s="13">
        <v>40.74</v>
      </c>
      <c r="K52" s="14">
        <v>0.0125</v>
      </c>
      <c r="L52" s="14">
        <v>0.0123</v>
      </c>
      <c r="M52" s="15">
        <f>(I52*K52*4/12)+(I52*L52*8/12)</f>
        <v>5561.636266666666</v>
      </c>
      <c r="N52" s="15" t="s">
        <v>26</v>
      </c>
      <c r="O52" s="20" t="s">
        <v>36</v>
      </c>
      <c r="P52" s="12">
        <v>225900</v>
      </c>
      <c r="Q52" s="13">
        <v>25.79</v>
      </c>
      <c r="R52" s="14">
        <v>0.0123</v>
      </c>
      <c r="S52" s="14">
        <v>0.0124</v>
      </c>
      <c r="T52" s="15">
        <f>((P52*R52*4/12)+(P52*S52*8/12))*0.95</f>
        <v>2653.9485</v>
      </c>
      <c r="U52" s="28" t="s">
        <v>26</v>
      </c>
      <c r="V52" s="20" t="s">
        <v>36</v>
      </c>
    </row>
    <row r="53" spans="1:22" ht="20.25">
      <c r="A53" s="4"/>
      <c r="B53" s="12"/>
      <c r="C53" s="13"/>
      <c r="D53" s="13"/>
      <c r="E53" s="14"/>
      <c r="F53" s="16"/>
      <c r="G53" s="16"/>
      <c r="H53" s="21"/>
      <c r="I53" s="12"/>
      <c r="J53" s="13"/>
      <c r="K53" s="14"/>
      <c r="L53" s="14"/>
      <c r="M53" s="29"/>
      <c r="N53" s="16"/>
      <c r="O53" s="21"/>
      <c r="P53" s="12"/>
      <c r="Q53" s="13"/>
      <c r="R53" s="14"/>
      <c r="S53" s="14"/>
      <c r="T53" s="28" t="s">
        <v>15</v>
      </c>
      <c r="U53" s="28"/>
      <c r="V53" s="21"/>
    </row>
    <row r="54" spans="1:22" ht="20.25">
      <c r="A54" s="2" t="s">
        <v>1</v>
      </c>
      <c r="B54" s="12"/>
      <c r="C54" s="13"/>
      <c r="D54" s="13"/>
      <c r="E54" s="14"/>
      <c r="F54" s="16"/>
      <c r="G54" s="16"/>
      <c r="H54" s="21"/>
      <c r="I54" s="12"/>
      <c r="J54" s="13"/>
      <c r="K54" s="14"/>
      <c r="L54" s="14"/>
      <c r="M54" s="29"/>
      <c r="N54" s="16"/>
      <c r="O54" s="21"/>
      <c r="P54" s="12"/>
      <c r="Q54" s="13"/>
      <c r="R54" s="14"/>
      <c r="S54" s="14"/>
      <c r="T54" s="28" t="s">
        <v>15</v>
      </c>
      <c r="U54" s="28"/>
      <c r="V54" s="21"/>
    </row>
    <row r="55" spans="1:22" ht="20.25">
      <c r="A55" s="4" t="s">
        <v>7</v>
      </c>
      <c r="B55" s="12" t="s">
        <v>19</v>
      </c>
      <c r="C55" s="13" t="s">
        <v>19</v>
      </c>
      <c r="D55" s="13" t="s">
        <v>19</v>
      </c>
      <c r="E55" s="14" t="s">
        <v>19</v>
      </c>
      <c r="F55" s="16" t="s">
        <v>19</v>
      </c>
      <c r="G55" s="16" t="s">
        <v>19</v>
      </c>
      <c r="H55" s="21" t="s">
        <v>19</v>
      </c>
      <c r="I55" s="12">
        <v>17363</v>
      </c>
      <c r="J55" s="13">
        <v>23.85</v>
      </c>
      <c r="K55" s="14">
        <v>1.0332</v>
      </c>
      <c r="L55" s="14">
        <v>1.0567</v>
      </c>
      <c r="M55" s="15">
        <f>J55*K55*4+J55*L55*8</f>
        <v>300.18564</v>
      </c>
      <c r="N55" s="16" t="s">
        <v>28</v>
      </c>
      <c r="O55" s="20" t="s">
        <v>37</v>
      </c>
      <c r="P55" s="12">
        <v>46519.74</v>
      </c>
      <c r="Q55" s="13">
        <v>63.9</v>
      </c>
      <c r="R55" s="14">
        <v>1.0567</v>
      </c>
      <c r="S55" s="14">
        <v>1.2252</v>
      </c>
      <c r="T55" s="15">
        <f>(Q55*R55*4+Q55*S55*8)*0.95</f>
        <v>851.5940219999999</v>
      </c>
      <c r="U55" s="28" t="s">
        <v>42</v>
      </c>
      <c r="V55" s="20" t="s">
        <v>33</v>
      </c>
    </row>
    <row r="56" spans="1:22" ht="20.25">
      <c r="A56" s="4"/>
      <c r="C56" s="13"/>
      <c r="D56" s="13"/>
      <c r="E56" s="14"/>
      <c r="F56" s="16"/>
      <c r="G56" s="16"/>
      <c r="H56" s="21"/>
      <c r="J56" s="13"/>
      <c r="K56" s="14"/>
      <c r="L56" s="14"/>
      <c r="M56" s="29"/>
      <c r="N56" s="16"/>
      <c r="O56" s="21"/>
      <c r="P56" s="12"/>
      <c r="Q56" s="13"/>
      <c r="R56" s="14"/>
      <c r="S56" s="14"/>
      <c r="T56" s="28" t="s">
        <v>15</v>
      </c>
      <c r="U56" s="28"/>
      <c r="V56" s="20"/>
    </row>
    <row r="57" spans="1:22" ht="20.25">
      <c r="A57" s="2" t="s">
        <v>20</v>
      </c>
      <c r="C57" s="13"/>
      <c r="D57" s="13"/>
      <c r="E57" s="14"/>
      <c r="F57" s="16"/>
      <c r="G57" s="16"/>
      <c r="H57" s="21"/>
      <c r="J57" s="13"/>
      <c r="K57" s="14"/>
      <c r="L57" s="14"/>
      <c r="M57" s="29"/>
      <c r="N57" s="16"/>
      <c r="O57" s="21"/>
      <c r="P57" s="12"/>
      <c r="Q57" s="13"/>
      <c r="R57" s="14"/>
      <c r="S57" s="14"/>
      <c r="T57" s="28" t="s">
        <v>15</v>
      </c>
      <c r="U57" s="28"/>
      <c r="V57" s="20"/>
    </row>
    <row r="58" spans="1:22" ht="20.25">
      <c r="A58" s="4" t="s">
        <v>21</v>
      </c>
      <c r="B58" s="12" t="s">
        <v>19</v>
      </c>
      <c r="C58" s="13" t="s">
        <v>19</v>
      </c>
      <c r="D58" s="13" t="s">
        <v>19</v>
      </c>
      <c r="E58" s="14" t="s">
        <v>19</v>
      </c>
      <c r="F58" s="16" t="s">
        <v>19</v>
      </c>
      <c r="G58" s="16" t="s">
        <v>19</v>
      </c>
      <c r="H58" s="21" t="s">
        <v>19</v>
      </c>
      <c r="I58" s="12">
        <v>109616</v>
      </c>
      <c r="J58" s="13">
        <v>22.34</v>
      </c>
      <c r="K58" s="14">
        <v>1.4626</v>
      </c>
      <c r="L58" s="14">
        <v>1.4268</v>
      </c>
      <c r="M58" s="15">
        <f>J58*K58*4+J58*L58*8</f>
        <v>385.69563200000005</v>
      </c>
      <c r="N58" s="16" t="s">
        <v>28</v>
      </c>
      <c r="O58" s="20" t="s">
        <v>33</v>
      </c>
      <c r="P58" s="12" t="s">
        <v>19</v>
      </c>
      <c r="Q58" s="13" t="s">
        <v>19</v>
      </c>
      <c r="R58" s="14">
        <v>1.4268</v>
      </c>
      <c r="S58" s="14">
        <v>1.3801</v>
      </c>
      <c r="T58" s="28" t="s">
        <v>19</v>
      </c>
      <c r="U58" s="28" t="s">
        <v>19</v>
      </c>
      <c r="V58" s="20" t="s">
        <v>19</v>
      </c>
    </row>
    <row r="59" spans="1:22" ht="20.25">
      <c r="A59" s="4"/>
      <c r="C59" s="13"/>
      <c r="D59" s="13"/>
      <c r="E59" s="13"/>
      <c r="F59" s="16"/>
      <c r="G59" s="16"/>
      <c r="H59" s="21"/>
      <c r="J59" s="13"/>
      <c r="K59" s="13"/>
      <c r="L59" s="13"/>
      <c r="M59" s="29"/>
      <c r="N59" s="16"/>
      <c r="O59" s="21"/>
      <c r="Q59" s="13"/>
      <c r="R59" s="14"/>
      <c r="S59" s="14"/>
      <c r="V59" s="20"/>
    </row>
    <row r="60" spans="1:22" ht="20.25">
      <c r="A60" s="2" t="s">
        <v>30</v>
      </c>
      <c r="B60" s="12">
        <f>SUM(B39:B58)</f>
        <v>1023343.04</v>
      </c>
      <c r="C60" s="13">
        <f>SUM(C39:C58)</f>
        <v>167</v>
      </c>
      <c r="D60" s="13"/>
      <c r="E60" s="13"/>
      <c r="F60" s="17">
        <f>SUM(F39:F58)</f>
        <v>12910.674248</v>
      </c>
      <c r="G60" s="15"/>
      <c r="H60" s="22"/>
      <c r="I60" s="12">
        <f>SUM(I39:I58)</f>
        <v>2829910</v>
      </c>
      <c r="J60" s="13">
        <f>SUM(J39:J58)</f>
        <v>1208.9699999999998</v>
      </c>
      <c r="K60" s="13"/>
      <c r="L60" s="13"/>
      <c r="M60" s="17">
        <f>SUM(M39:M58)</f>
        <v>37191.50540533334</v>
      </c>
      <c r="N60" s="15"/>
      <c r="O60" s="22"/>
      <c r="P60" s="12">
        <f>SUM(P39:P58)</f>
        <v>7842817.24</v>
      </c>
      <c r="Q60" s="13">
        <f>SUM(Q39:Q58)</f>
        <v>2531.87039516129</v>
      </c>
      <c r="R60" s="13"/>
      <c r="T60" s="17">
        <f>SUM(T39:T58)</f>
        <v>106945.46635366669</v>
      </c>
      <c r="U60" s="15"/>
      <c r="V60" s="22" t="s">
        <v>15</v>
      </c>
    </row>
    <row r="61" spans="1:22" ht="20.25">
      <c r="A61" s="2" t="s">
        <v>47</v>
      </c>
      <c r="C61" s="13"/>
      <c r="D61" s="13"/>
      <c r="E61" s="13"/>
      <c r="F61" s="17">
        <f>F60*6-F43*2</f>
        <v>72549.93748800001</v>
      </c>
      <c r="G61" s="16"/>
      <c r="H61" s="21"/>
      <c r="I61" s="12" t="s">
        <v>15</v>
      </c>
      <c r="J61" s="13" t="s">
        <v>15</v>
      </c>
      <c r="K61" s="13"/>
      <c r="L61" s="13"/>
      <c r="M61" s="17">
        <f>M60*5-M43-M58</f>
        <v>183851.3193946667</v>
      </c>
      <c r="N61" s="16"/>
      <c r="O61" s="21"/>
      <c r="P61" s="12" t="s">
        <v>15</v>
      </c>
      <c r="Q61" s="13" t="s">
        <v>15</v>
      </c>
      <c r="R61" s="13"/>
      <c r="T61" s="30">
        <f>T60*4</f>
        <v>427781.86541466677</v>
      </c>
      <c r="V61" s="22" t="s">
        <v>15</v>
      </c>
    </row>
    <row r="62" spans="1:21" ht="21" thickBot="1">
      <c r="A62" s="2" t="s">
        <v>48</v>
      </c>
      <c r="T62" s="31">
        <f>T61+M61+F61</f>
        <v>684183.1222973334</v>
      </c>
      <c r="U62" s="35" t="s">
        <v>57</v>
      </c>
    </row>
    <row r="63" ht="21" thickTop="1"/>
    <row r="64" ht="20.25">
      <c r="A64" s="6" t="s">
        <v>56</v>
      </c>
    </row>
    <row r="65" spans="1:20" ht="20.25">
      <c r="A65" s="5" t="s">
        <v>53</v>
      </c>
      <c r="F65" s="30">
        <f>SUM(F39:F49)*6-F43*2</f>
        <v>38532.054288</v>
      </c>
      <c r="L65" s="32"/>
      <c r="M65" s="34">
        <f>SUM(M39:M49)*5-M43</f>
        <v>152999.42733333335</v>
      </c>
      <c r="T65" s="30">
        <f>SUM(T39:T49)*4</f>
        <v>413759.69532666676</v>
      </c>
    </row>
    <row r="66" spans="1:20" ht="20.25">
      <c r="A66" s="5" t="s">
        <v>54</v>
      </c>
      <c r="F66" s="30">
        <f>+F52*6</f>
        <v>34017.883200000004</v>
      </c>
      <c r="M66" s="34">
        <f>+M52*5</f>
        <v>27808.181333333334</v>
      </c>
      <c r="T66" s="30">
        <f>+T52*4</f>
        <v>10615.794</v>
      </c>
    </row>
    <row r="67" spans="1:20" ht="20.25">
      <c r="A67" s="5" t="s">
        <v>55</v>
      </c>
      <c r="M67" s="34">
        <f>+(M55+M58)*5-M58</f>
        <v>3043.7107280000005</v>
      </c>
      <c r="T67" s="30">
        <f>+T55*4</f>
        <v>3406.3760879999995</v>
      </c>
    </row>
    <row r="68" spans="13:20" ht="20.25">
      <c r="M68" s="34"/>
      <c r="T68" s="30"/>
    </row>
    <row r="69" spans="1:21" ht="20.25">
      <c r="A69" s="6" t="s">
        <v>60</v>
      </c>
      <c r="M69" s="34"/>
      <c r="T69" s="30"/>
      <c r="U69" s="35" t="s">
        <v>61</v>
      </c>
    </row>
    <row r="70" spans="1:21" ht="20.25">
      <c r="A70" s="5" t="s">
        <v>53</v>
      </c>
      <c r="F70" s="30">
        <f>+F65-F31</f>
        <v>9567.946096</v>
      </c>
      <c r="M70" s="34">
        <f>+M65-M31</f>
        <v>60167.46373333335</v>
      </c>
      <c r="T70" s="30">
        <f>+T65-T31</f>
        <v>206879.84766333338</v>
      </c>
      <c r="U70" s="30">
        <f>SUM(F70:T70)</f>
        <v>276615.2574926667</v>
      </c>
    </row>
    <row r="71" spans="1:21" ht="20.25">
      <c r="A71" s="5" t="s">
        <v>54</v>
      </c>
      <c r="F71" s="30">
        <f>+F66-F32</f>
        <v>11339.294400000002</v>
      </c>
      <c r="M71" s="34">
        <f>+M66-M32</f>
        <v>11123.272533333336</v>
      </c>
      <c r="T71" s="30">
        <f>+T66-T32</f>
        <v>5307.897</v>
      </c>
      <c r="U71" s="30">
        <f>SUM(F71:T71)</f>
        <v>27770.46393333334</v>
      </c>
    </row>
    <row r="72" spans="1:21" ht="20.25">
      <c r="A72" s="5" t="s">
        <v>55</v>
      </c>
      <c r="F72" s="7">
        <v>0</v>
      </c>
      <c r="M72" s="34">
        <f>+M67-M33</f>
        <v>986.0669120000002</v>
      </c>
      <c r="T72" s="30">
        <f>+T67-T33</f>
        <v>1703.1880439999998</v>
      </c>
      <c r="U72" s="30">
        <f>SUM(F72:T72)</f>
        <v>2689.2549559999998</v>
      </c>
    </row>
    <row r="75" spans="16:22" ht="20.25">
      <c r="P75" s="7" t="s">
        <v>52</v>
      </c>
      <c r="T75" s="30"/>
      <c r="U75" s="30">
        <f>SUM(U70:U73)</f>
        <v>307074.9763820001</v>
      </c>
      <c r="V75" s="35" t="s">
        <v>59</v>
      </c>
    </row>
  </sheetData>
  <printOptions/>
  <pageMargins left="0.39" right="0.75" top="0.37" bottom="0.42" header="0.24" footer="0.22"/>
  <pageSetup horizontalDpi="600" verticalDpi="600" orientation="landscape" paperSize="5" scale="64" r:id="rId1"/>
  <rowBreaks count="1" manualBreakCount="1">
    <brk id="34" max="255" man="1"/>
  </rowBreaks>
  <colBreaks count="2" manualBreakCount="2">
    <brk id="8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Thunder Bay Hydro Electricity Distribution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Jenni Hamel</cp:lastModifiedBy>
  <cp:lastPrinted>2010-09-15T21:53:05Z</cp:lastPrinted>
  <dcterms:created xsi:type="dcterms:W3CDTF">2008-02-25T14:45:28Z</dcterms:created>
  <dcterms:modified xsi:type="dcterms:W3CDTF">2010-11-26T16:40:35Z</dcterms:modified>
  <cp:category/>
  <cp:version/>
  <cp:contentType/>
  <cp:contentStatus/>
</cp:coreProperties>
</file>