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20" windowHeight="9090"/>
  </bookViews>
  <sheets>
    <sheet name="Cover" sheetId="10" r:id="rId1"/>
    <sheet name="Rates" sheetId="1" r:id="rId2"/>
    <sheet name="Residential R1 Impact" sheetId="4" r:id="rId3"/>
    <sheet name="Residential R2 Impact" sheetId="6" r:id="rId4"/>
    <sheet name="Residential R2 Impact Interval" sheetId="7" r:id="rId5"/>
    <sheet name="Seasonal Impact" sheetId="8" r:id="rId6"/>
    <sheet name="Street Light Impact" sheetId="9" r:id="rId7"/>
  </sheets>
  <calcPr calcId="125725" iterate="1" calcOnSave="0"/>
</workbook>
</file>

<file path=xl/calcChain.xml><?xml version="1.0" encoding="utf-8"?>
<calcChain xmlns="http://schemas.openxmlformats.org/spreadsheetml/2006/main">
  <c r="D13" i="9"/>
  <c r="C13"/>
  <c r="B13"/>
  <c r="A13"/>
  <c r="D14" i="8"/>
  <c r="C14"/>
  <c r="B14"/>
  <c r="A14"/>
  <c r="D15" i="7"/>
  <c r="C15"/>
  <c r="B15"/>
  <c r="A15"/>
  <c r="D15" i="6"/>
  <c r="A13" i="4"/>
  <c r="C15" i="6"/>
  <c r="B15"/>
  <c r="A15"/>
  <c r="D13" i="4"/>
  <c r="C13"/>
  <c r="B13"/>
  <c r="F42" i="9"/>
  <c r="C42"/>
  <c r="F44" i="8"/>
  <c r="C44"/>
  <c r="F44" i="7"/>
  <c r="C44"/>
  <c r="F44" i="6"/>
  <c r="C44"/>
  <c r="F42" i="4"/>
  <c r="C42"/>
  <c r="F22" i="9"/>
  <c r="H17"/>
  <c r="E22" s="1"/>
  <c r="F23"/>
  <c r="E23"/>
  <c r="D4"/>
  <c r="F25"/>
  <c r="E25"/>
  <c r="G25"/>
  <c r="D5"/>
  <c r="F26"/>
  <c r="B26"/>
  <c r="E26"/>
  <c r="G26" s="1"/>
  <c r="D6"/>
  <c r="F27" s="1"/>
  <c r="E27"/>
  <c r="D7"/>
  <c r="F28" s="1"/>
  <c r="E28"/>
  <c r="D8"/>
  <c r="F29" s="1"/>
  <c r="E29"/>
  <c r="D9"/>
  <c r="F31" s="1"/>
  <c r="D10"/>
  <c r="F32" s="1"/>
  <c r="D11"/>
  <c r="F35" s="1"/>
  <c r="D12"/>
  <c r="F36" s="1"/>
  <c r="E37"/>
  <c r="F37"/>
  <c r="D14"/>
  <c r="F38" s="1"/>
  <c r="E38"/>
  <c r="E40"/>
  <c r="F40"/>
  <c r="B37"/>
  <c r="C37"/>
  <c r="F23" i="8"/>
  <c r="H18"/>
  <c r="E23" s="1"/>
  <c r="F24"/>
  <c r="E24"/>
  <c r="D4"/>
  <c r="F26" s="1"/>
  <c r="D5"/>
  <c r="F27" s="1"/>
  <c r="D6"/>
  <c r="F28" s="1"/>
  <c r="G28" s="1"/>
  <c r="E28"/>
  <c r="D7"/>
  <c r="F29" s="1"/>
  <c r="G29" s="1"/>
  <c r="E29"/>
  <c r="D8"/>
  <c r="F30" s="1"/>
  <c r="G30" s="1"/>
  <c r="E30"/>
  <c r="D9"/>
  <c r="F31" s="1"/>
  <c r="G31" s="1"/>
  <c r="E31"/>
  <c r="E33"/>
  <c r="D10"/>
  <c r="F33"/>
  <c r="E34"/>
  <c r="D11"/>
  <c r="F34" s="1"/>
  <c r="E37"/>
  <c r="D12"/>
  <c r="F37" s="1"/>
  <c r="E38"/>
  <c r="D13"/>
  <c r="F38" s="1"/>
  <c r="E39"/>
  <c r="F39"/>
  <c r="G39" s="1"/>
  <c r="D15"/>
  <c r="F40" s="1"/>
  <c r="E42"/>
  <c r="F42"/>
  <c r="B39"/>
  <c r="C39"/>
  <c r="F24" i="7"/>
  <c r="H19"/>
  <c r="E24" s="1"/>
  <c r="F25"/>
  <c r="E25"/>
  <c r="D4"/>
  <c r="F27" s="1"/>
  <c r="D5"/>
  <c r="F28" s="1"/>
  <c r="D6"/>
  <c r="F29" s="1"/>
  <c r="E29"/>
  <c r="D7"/>
  <c r="F30" s="1"/>
  <c r="E30"/>
  <c r="D8"/>
  <c r="F31" s="1"/>
  <c r="E31"/>
  <c r="D11"/>
  <c r="F33" s="1"/>
  <c r="D12"/>
  <c r="F34" s="1"/>
  <c r="D13"/>
  <c r="F37" s="1"/>
  <c r="D14"/>
  <c r="F38" s="1"/>
  <c r="E39"/>
  <c r="F39"/>
  <c r="D16"/>
  <c r="F40" s="1"/>
  <c r="E42"/>
  <c r="F42"/>
  <c r="B39"/>
  <c r="C39"/>
  <c r="F24" i="6"/>
  <c r="H19"/>
  <c r="E24" s="1"/>
  <c r="F25"/>
  <c r="E25"/>
  <c r="D4"/>
  <c r="F27" s="1"/>
  <c r="D5"/>
  <c r="F28" s="1"/>
  <c r="D6"/>
  <c r="F29" s="1"/>
  <c r="D7"/>
  <c r="F30" s="1"/>
  <c r="D8"/>
  <c r="F31" s="1"/>
  <c r="D9"/>
  <c r="F33" s="1"/>
  <c r="D10"/>
  <c r="F34" s="1"/>
  <c r="D13"/>
  <c r="F37" s="1"/>
  <c r="D14"/>
  <c r="F38" s="1"/>
  <c r="E39"/>
  <c r="F39"/>
  <c r="D16"/>
  <c r="F40" s="1"/>
  <c r="E42"/>
  <c r="F42"/>
  <c r="B39"/>
  <c r="C39"/>
  <c r="E37" i="4"/>
  <c r="F37"/>
  <c r="G37"/>
  <c r="H17"/>
  <c r="E22" s="1"/>
  <c r="F22"/>
  <c r="E23"/>
  <c r="F23"/>
  <c r="D4"/>
  <c r="F25" s="1"/>
  <c r="E25"/>
  <c r="D5"/>
  <c r="F26" s="1"/>
  <c r="B26"/>
  <c r="E26" s="1"/>
  <c r="D6"/>
  <c r="F27" s="1"/>
  <c r="E27"/>
  <c r="D7"/>
  <c r="F28" s="1"/>
  <c r="E28"/>
  <c r="D8"/>
  <c r="F29" s="1"/>
  <c r="E29"/>
  <c r="E31"/>
  <c r="D9"/>
  <c r="F31" s="1"/>
  <c r="E32"/>
  <c r="D10"/>
  <c r="F32" s="1"/>
  <c r="E35"/>
  <c r="D11"/>
  <c r="F35" s="1"/>
  <c r="E36"/>
  <c r="D12"/>
  <c r="F36" s="1"/>
  <c r="E38"/>
  <c r="D14"/>
  <c r="F38" s="1"/>
  <c r="E40"/>
  <c r="F40"/>
  <c r="B37"/>
  <c r="C37"/>
  <c r="C4"/>
  <c r="C25" s="1"/>
  <c r="D25" s="1"/>
  <c r="C5"/>
  <c r="C6"/>
  <c r="C7"/>
  <c r="C28" s="1"/>
  <c r="C8"/>
  <c r="C9"/>
  <c r="C10"/>
  <c r="C11"/>
  <c r="C12"/>
  <c r="C14"/>
  <c r="C38" s="1"/>
  <c r="C40"/>
  <c r="B23" i="9"/>
  <c r="B24" i="8"/>
  <c r="B25" i="7"/>
  <c r="B25" i="6"/>
  <c r="B23" i="4"/>
  <c r="C5" i="9"/>
  <c r="C26" s="1"/>
  <c r="D26" s="1"/>
  <c r="B32"/>
  <c r="B31"/>
  <c r="C14"/>
  <c r="C6"/>
  <c r="C7"/>
  <c r="C8"/>
  <c r="C9"/>
  <c r="C10"/>
  <c r="C11"/>
  <c r="C12"/>
  <c r="C4"/>
  <c r="B14"/>
  <c r="B6"/>
  <c r="B7"/>
  <c r="B8"/>
  <c r="B9"/>
  <c r="B10"/>
  <c r="B11"/>
  <c r="B12"/>
  <c r="B5"/>
  <c r="B4"/>
  <c r="A3"/>
  <c r="B3"/>
  <c r="C3"/>
  <c r="D3"/>
  <c r="A4"/>
  <c r="A5"/>
  <c r="A6"/>
  <c r="A7"/>
  <c r="A28" s="1"/>
  <c r="A8"/>
  <c r="A29" s="1"/>
  <c r="A9"/>
  <c r="A31" s="1"/>
  <c r="A10"/>
  <c r="A11"/>
  <c r="A35" s="1"/>
  <c r="A12"/>
  <c r="A14"/>
  <c r="A38" s="1"/>
  <c r="E18"/>
  <c r="A20"/>
  <c r="B22"/>
  <c r="C22"/>
  <c r="C23"/>
  <c r="D23" s="1"/>
  <c r="A25"/>
  <c r="C25"/>
  <c r="D25" s="1"/>
  <c r="A26"/>
  <c r="A27"/>
  <c r="B27"/>
  <c r="C27"/>
  <c r="B28"/>
  <c r="C28"/>
  <c r="B29"/>
  <c r="C29"/>
  <c r="C31"/>
  <c r="D31" s="1"/>
  <c r="A32"/>
  <c r="C32"/>
  <c r="D32" s="1"/>
  <c r="B35"/>
  <c r="C35"/>
  <c r="A36"/>
  <c r="B36"/>
  <c r="C36"/>
  <c r="B38"/>
  <c r="C38"/>
  <c r="B40"/>
  <c r="C40"/>
  <c r="C15" i="8"/>
  <c r="C6"/>
  <c r="C28" s="1"/>
  <c r="C7"/>
  <c r="C8"/>
  <c r="C30" s="1"/>
  <c r="C9"/>
  <c r="C10"/>
  <c r="C11"/>
  <c r="C12"/>
  <c r="C13"/>
  <c r="C5"/>
  <c r="C4"/>
  <c r="C26" s="1"/>
  <c r="D26" s="1"/>
  <c r="B15"/>
  <c r="B7"/>
  <c r="B8"/>
  <c r="B9"/>
  <c r="B10"/>
  <c r="B11"/>
  <c r="B12"/>
  <c r="B13"/>
  <c r="B6"/>
  <c r="B5"/>
  <c r="B4"/>
  <c r="A6"/>
  <c r="A7"/>
  <c r="A29" s="1"/>
  <c r="A8"/>
  <c r="A9"/>
  <c r="A31" s="1"/>
  <c r="A10"/>
  <c r="A33" s="1"/>
  <c r="A11"/>
  <c r="A12"/>
  <c r="A37" s="1"/>
  <c r="A13"/>
  <c r="A15"/>
  <c r="A40" s="1"/>
  <c r="A5"/>
  <c r="A4"/>
  <c r="A26" s="1"/>
  <c r="A3"/>
  <c r="A21" s="1"/>
  <c r="B3"/>
  <c r="C3"/>
  <c r="D3"/>
  <c r="E19"/>
  <c r="B23"/>
  <c r="C23"/>
  <c r="C24"/>
  <c r="D24" s="1"/>
  <c r="E26"/>
  <c r="A27"/>
  <c r="B27"/>
  <c r="C27"/>
  <c r="E27"/>
  <c r="G27" s="1"/>
  <c r="A28"/>
  <c r="B28"/>
  <c r="B29"/>
  <c r="C29"/>
  <c r="A30"/>
  <c r="B30"/>
  <c r="B31"/>
  <c r="C31"/>
  <c r="B33"/>
  <c r="C33"/>
  <c r="A34"/>
  <c r="B34"/>
  <c r="C34"/>
  <c r="B37"/>
  <c r="C37"/>
  <c r="A38"/>
  <c r="B38"/>
  <c r="C38"/>
  <c r="B40"/>
  <c r="C40"/>
  <c r="E40"/>
  <c r="B42"/>
  <c r="C42"/>
  <c r="A12" i="7"/>
  <c r="A34" s="1"/>
  <c r="A11"/>
  <c r="A33" s="1"/>
  <c r="C12"/>
  <c r="C34" s="1"/>
  <c r="C11"/>
  <c r="C33" s="1"/>
  <c r="A3"/>
  <c r="B3"/>
  <c r="C3"/>
  <c r="D3"/>
  <c r="A4"/>
  <c r="B4"/>
  <c r="C4"/>
  <c r="C27" s="1"/>
  <c r="D27" s="1"/>
  <c r="A5"/>
  <c r="A28" s="1"/>
  <c r="B5"/>
  <c r="C5"/>
  <c r="C28" s="1"/>
  <c r="A6"/>
  <c r="A29" s="1"/>
  <c r="B6"/>
  <c r="C6"/>
  <c r="C29" s="1"/>
  <c r="A7"/>
  <c r="A30" s="1"/>
  <c r="C7"/>
  <c r="C30" s="1"/>
  <c r="A8"/>
  <c r="A31" s="1"/>
  <c r="B8"/>
  <c r="C8"/>
  <c r="C31" s="1"/>
  <c r="A9"/>
  <c r="B9"/>
  <c r="C9"/>
  <c r="D9"/>
  <c r="A10"/>
  <c r="B10"/>
  <c r="C10"/>
  <c r="D10"/>
  <c r="B11"/>
  <c r="B12"/>
  <c r="A13"/>
  <c r="A37" s="1"/>
  <c r="B13"/>
  <c r="C13"/>
  <c r="C37" s="1"/>
  <c r="A14"/>
  <c r="A38" s="1"/>
  <c r="B14"/>
  <c r="C14"/>
  <c r="C38" s="1"/>
  <c r="A16"/>
  <c r="A40" s="1"/>
  <c r="B16"/>
  <c r="C16"/>
  <c r="C40" s="1"/>
  <c r="E20"/>
  <c r="A22"/>
  <c r="B24"/>
  <c r="C24"/>
  <c r="C25"/>
  <c r="D25" s="1"/>
  <c r="A27"/>
  <c r="E27"/>
  <c r="B28"/>
  <c r="E28" s="1"/>
  <c r="B29"/>
  <c r="B30"/>
  <c r="B31"/>
  <c r="B33"/>
  <c r="B34"/>
  <c r="B37"/>
  <c r="B38"/>
  <c r="B40"/>
  <c r="E40"/>
  <c r="B42"/>
  <c r="C42"/>
  <c r="B34" i="6"/>
  <c r="B33"/>
  <c r="E31"/>
  <c r="G31" s="1"/>
  <c r="E30"/>
  <c r="G30" s="1"/>
  <c r="E29"/>
  <c r="B31"/>
  <c r="B30"/>
  <c r="B29"/>
  <c r="A3"/>
  <c r="D11"/>
  <c r="D12"/>
  <c r="C5"/>
  <c r="C28" s="1"/>
  <c r="C6"/>
  <c r="C7"/>
  <c r="C30" s="1"/>
  <c r="C8"/>
  <c r="C31" s="1"/>
  <c r="C9"/>
  <c r="C33" s="1"/>
  <c r="C10"/>
  <c r="C34" s="1"/>
  <c r="D34" s="1"/>
  <c r="C11"/>
  <c r="C12"/>
  <c r="C13"/>
  <c r="C37" s="1"/>
  <c r="C14"/>
  <c r="C16"/>
  <c r="C40" s="1"/>
  <c r="C4"/>
  <c r="C27" s="1"/>
  <c r="D27" s="1"/>
  <c r="B5"/>
  <c r="B6"/>
  <c r="B8"/>
  <c r="B9"/>
  <c r="B10"/>
  <c r="B11"/>
  <c r="B12"/>
  <c r="B13"/>
  <c r="B14"/>
  <c r="B16"/>
  <c r="B4"/>
  <c r="A16"/>
  <c r="A40" s="1"/>
  <c r="A14"/>
  <c r="A38" s="1"/>
  <c r="A13"/>
  <c r="A37" s="1"/>
  <c r="A12"/>
  <c r="A11"/>
  <c r="A10"/>
  <c r="A9"/>
  <c r="A33" s="1"/>
  <c r="A8"/>
  <c r="A31" s="1"/>
  <c r="A7"/>
  <c r="A30" s="1"/>
  <c r="A6"/>
  <c r="A29" s="1"/>
  <c r="A5"/>
  <c r="A4"/>
  <c r="A27" s="1"/>
  <c r="B3"/>
  <c r="C3"/>
  <c r="D3"/>
  <c r="E20"/>
  <c r="A22"/>
  <c r="B24"/>
  <c r="C24"/>
  <c r="C25"/>
  <c r="D25" s="1"/>
  <c r="E27"/>
  <c r="A28"/>
  <c r="B28"/>
  <c r="E28" s="1"/>
  <c r="G28" s="1"/>
  <c r="C29"/>
  <c r="D29" s="1"/>
  <c r="A34"/>
  <c r="B37"/>
  <c r="B38"/>
  <c r="C38"/>
  <c r="B40"/>
  <c r="E40"/>
  <c r="B42"/>
  <c r="C42"/>
  <c r="C27" i="4"/>
  <c r="B27"/>
  <c r="B28"/>
  <c r="C29"/>
  <c r="B29"/>
  <c r="C26"/>
  <c r="D26" s="1"/>
  <c r="B31"/>
  <c r="C31"/>
  <c r="B32"/>
  <c r="C32"/>
  <c r="B35"/>
  <c r="C35"/>
  <c r="B36"/>
  <c r="C36"/>
  <c r="B38"/>
  <c r="B40"/>
  <c r="D40" s="1"/>
  <c r="B22"/>
  <c r="C22"/>
  <c r="C23"/>
  <c r="D23" s="1"/>
  <c r="A12"/>
  <c r="A36" s="1"/>
  <c r="A14"/>
  <c r="A38" s="1"/>
  <c r="A11"/>
  <c r="A35" s="1"/>
  <c r="A10"/>
  <c r="A32" s="1"/>
  <c r="A9"/>
  <c r="A31" s="1"/>
  <c r="A5"/>
  <c r="A26" s="1"/>
  <c r="A6"/>
  <c r="A27" s="1"/>
  <c r="A7"/>
  <c r="A28" s="1"/>
  <c r="A8"/>
  <c r="A29" s="1"/>
  <c r="A4"/>
  <c r="A25" s="1"/>
  <c r="A3"/>
  <c r="A20" s="1"/>
  <c r="E18"/>
  <c r="B3"/>
  <c r="D3"/>
  <c r="B5"/>
  <c r="B6"/>
  <c r="B8"/>
  <c r="B9"/>
  <c r="B10"/>
  <c r="B11"/>
  <c r="B12"/>
  <c r="B14"/>
  <c r="B4"/>
  <c r="C3"/>
  <c r="D36" i="9" l="1"/>
  <c r="D28"/>
  <c r="D27"/>
  <c r="D22"/>
  <c r="E36"/>
  <c r="E35"/>
  <c r="G35" s="1"/>
  <c r="E32"/>
  <c r="G32" s="1"/>
  <c r="H32" s="1"/>
  <c r="I32" s="1"/>
  <c r="E31"/>
  <c r="G31" s="1"/>
  <c r="H31" s="1"/>
  <c r="I31" s="1"/>
  <c r="D29"/>
  <c r="D31" i="8"/>
  <c r="H31" s="1"/>
  <c r="I31" s="1"/>
  <c r="D29"/>
  <c r="H29" s="1"/>
  <c r="I29" s="1"/>
  <c r="D27"/>
  <c r="D30"/>
  <c r="D28"/>
  <c r="H28" s="1"/>
  <c r="I28" s="1"/>
  <c r="G28" i="7"/>
  <c r="D39"/>
  <c r="G42"/>
  <c r="E38"/>
  <c r="E37"/>
  <c r="E34"/>
  <c r="E33"/>
  <c r="G31"/>
  <c r="G30"/>
  <c r="G29"/>
  <c r="D31"/>
  <c r="H31" s="1"/>
  <c r="I31" s="1"/>
  <c r="D28"/>
  <c r="D30"/>
  <c r="H30" s="1"/>
  <c r="I30" s="1"/>
  <c r="D29"/>
  <c r="D31" i="6"/>
  <c r="D30"/>
  <c r="H30" s="1"/>
  <c r="I30" s="1"/>
  <c r="G40"/>
  <c r="D33"/>
  <c r="G27"/>
  <c r="D28"/>
  <c r="G25"/>
  <c r="G25" i="4"/>
  <c r="D27"/>
  <c r="G40"/>
  <c r="G38"/>
  <c r="G36"/>
  <c r="G35"/>
  <c r="G32"/>
  <c r="D40" i="6"/>
  <c r="D40" i="8"/>
  <c r="D33"/>
  <c r="D33" i="9"/>
  <c r="D35" i="4"/>
  <c r="H35" s="1"/>
  <c r="I35" s="1"/>
  <c r="D31"/>
  <c r="D28"/>
  <c r="D40" i="7"/>
  <c r="G42" i="6"/>
  <c r="E38"/>
  <c r="G38" s="1"/>
  <c r="E37"/>
  <c r="G40" i="8"/>
  <c r="H40" s="1"/>
  <c r="I40" s="1"/>
  <c r="D39" i="6"/>
  <c r="G39"/>
  <c r="G37"/>
  <c r="D39" i="8"/>
  <c r="G42"/>
  <c r="D22" i="4"/>
  <c r="D24" s="1"/>
  <c r="D38" i="6"/>
  <c r="D35"/>
  <c r="D24"/>
  <c r="D26" s="1"/>
  <c r="D38" i="7"/>
  <c r="G27"/>
  <c r="H27" s="1"/>
  <c r="I27" s="1"/>
  <c r="D24"/>
  <c r="D26" s="1"/>
  <c r="D38" i="8"/>
  <c r="D42" i="7"/>
  <c r="H42" s="1"/>
  <c r="I42" s="1"/>
  <c r="D37"/>
  <c r="D23" i="8"/>
  <c r="D25" s="1"/>
  <c r="D40" i="9"/>
  <c r="D38"/>
  <c r="G24" i="6"/>
  <c r="G39" i="7"/>
  <c r="H39" s="1"/>
  <c r="I39" s="1"/>
  <c r="D38" i="4"/>
  <c r="H38" s="1"/>
  <c r="I38" s="1"/>
  <c r="D36"/>
  <c r="H36" s="1"/>
  <c r="I36" s="1"/>
  <c r="D42" i="6"/>
  <c r="D37"/>
  <c r="D41" s="1"/>
  <c r="D33" i="7"/>
  <c r="D42" i="8"/>
  <c r="D37"/>
  <c r="D37" i="9"/>
  <c r="G40"/>
  <c r="H40" s="1"/>
  <c r="I40" s="1"/>
  <c r="G37"/>
  <c r="H37" s="1"/>
  <c r="I37" s="1"/>
  <c r="G36"/>
  <c r="H36" s="1"/>
  <c r="I36" s="1"/>
  <c r="G25" i="7"/>
  <c r="H25" s="1"/>
  <c r="I25" s="1"/>
  <c r="G23" i="9"/>
  <c r="H23" s="1"/>
  <c r="I23" s="1"/>
  <c r="G22" i="4"/>
  <c r="G24" i="7"/>
  <c r="G22" i="9"/>
  <c r="H22" s="1"/>
  <c r="I22" s="1"/>
  <c r="G29" i="6"/>
  <c r="H29" s="1"/>
  <c r="I29" s="1"/>
  <c r="H29" i="7"/>
  <c r="I29" s="1"/>
  <c r="H40" i="4"/>
  <c r="I40" s="1"/>
  <c r="G26" i="8"/>
  <c r="D37" i="4"/>
  <c r="H37" s="1"/>
  <c r="I37" s="1"/>
  <c r="G38" i="7"/>
  <c r="H38" s="1"/>
  <c r="I38" s="1"/>
  <c r="G34"/>
  <c r="G38" i="8"/>
  <c r="G34"/>
  <c r="G24"/>
  <c r="H24" s="1"/>
  <c r="I24" s="1"/>
  <c r="G23"/>
  <c r="D32" i="4"/>
  <c r="H32" s="1"/>
  <c r="I32" s="1"/>
  <c r="D29"/>
  <c r="G40" i="7"/>
  <c r="D34"/>
  <c r="D34" i="8"/>
  <c r="H30"/>
  <c r="I30" s="1"/>
  <c r="D35" i="9"/>
  <c r="D39" s="1"/>
  <c r="G31" i="4"/>
  <c r="G26"/>
  <c r="H26" s="1"/>
  <c r="I26" s="1"/>
  <c r="G23"/>
  <c r="G37" i="7"/>
  <c r="G33"/>
  <c r="G35" s="1"/>
  <c r="G37" i="8"/>
  <c r="G33"/>
  <c r="H33" s="1"/>
  <c r="I33" s="1"/>
  <c r="D30" i="4"/>
  <c r="H25" i="9"/>
  <c r="I25" s="1"/>
  <c r="D30"/>
  <c r="D34" s="1"/>
  <c r="H25" i="6"/>
  <c r="I25" s="1"/>
  <c r="D32" i="8"/>
  <c r="H27" i="6"/>
  <c r="I27" s="1"/>
  <c r="H31"/>
  <c r="I31" s="1"/>
  <c r="H28" i="7"/>
  <c r="I28" s="1"/>
  <c r="H27" i="8"/>
  <c r="I27" s="1"/>
  <c r="H26" i="9"/>
  <c r="I26" s="1"/>
  <c r="H25" i="4"/>
  <c r="I25" s="1"/>
  <c r="D24" i="9"/>
  <c r="G29" i="4"/>
  <c r="G28"/>
  <c r="G27"/>
  <c r="G38" i="9"/>
  <c r="G29"/>
  <c r="G28"/>
  <c r="G27"/>
  <c r="E34" i="6"/>
  <c r="G34" s="1"/>
  <c r="E33"/>
  <c r="G33" s="1"/>
  <c r="H39" i="8"/>
  <c r="I39" s="1"/>
  <c r="H35" i="9" l="1"/>
  <c r="I35" s="1"/>
  <c r="G39"/>
  <c r="H39" s="1"/>
  <c r="I39" s="1"/>
  <c r="D35" i="8"/>
  <c r="H42"/>
  <c r="I42" s="1"/>
  <c r="G41"/>
  <c r="H37"/>
  <c r="I37" s="1"/>
  <c r="D41" i="7"/>
  <c r="D32"/>
  <c r="H39" i="6"/>
  <c r="I39" s="1"/>
  <c r="H40"/>
  <c r="I40" s="1"/>
  <c r="H42"/>
  <c r="I42" s="1"/>
  <c r="D32"/>
  <c r="D36" s="1"/>
  <c r="D43" s="1"/>
  <c r="D44" s="1"/>
  <c r="D45" s="1"/>
  <c r="H28"/>
  <c r="I28" s="1"/>
  <c r="H38"/>
  <c r="I38" s="1"/>
  <c r="G39" i="4"/>
  <c r="H22"/>
  <c r="I22" s="1"/>
  <c r="H31"/>
  <c r="I31" s="1"/>
  <c r="G24"/>
  <c r="H24" s="1"/>
  <c r="I24" s="1"/>
  <c r="D41" i="8"/>
  <c r="H41" s="1"/>
  <c r="I41" s="1"/>
  <c r="D33" i="4"/>
  <c r="D34" s="1"/>
  <c r="G32" i="7"/>
  <c r="G32" i="8"/>
  <c r="H32" s="1"/>
  <c r="I32" s="1"/>
  <c r="G41" i="7"/>
  <c r="G25" i="8"/>
  <c r="H25" s="1"/>
  <c r="I25" s="1"/>
  <c r="H34"/>
  <c r="I34" s="1"/>
  <c r="H34" i="7"/>
  <c r="I34" s="1"/>
  <c r="H24"/>
  <c r="I24" s="1"/>
  <c r="H24" i="6"/>
  <c r="I24" s="1"/>
  <c r="H37" i="7"/>
  <c r="I37" s="1"/>
  <c r="H38" i="8"/>
  <c r="I38" s="1"/>
  <c r="H37" i="6"/>
  <c r="I37" s="1"/>
  <c r="G33" i="4"/>
  <c r="G24" i="9"/>
  <c r="G33"/>
  <c r="H33" s="1"/>
  <c r="I33" s="1"/>
  <c r="G26" i="6"/>
  <c r="H26" s="1"/>
  <c r="I26" s="1"/>
  <c r="H40" i="7"/>
  <c r="I40" s="1"/>
  <c r="G32" i="6"/>
  <c r="G41"/>
  <c r="H41" s="1"/>
  <c r="I41" s="1"/>
  <c r="D39" i="4"/>
  <c r="H39" s="1"/>
  <c r="I39" s="1"/>
  <c r="G35" i="8"/>
  <c r="G36" s="1"/>
  <c r="H33" i="7"/>
  <c r="I33" s="1"/>
  <c r="H26" i="8"/>
  <c r="I26" s="1"/>
  <c r="G30" i="9"/>
  <c r="H23" i="8"/>
  <c r="I23" s="1"/>
  <c r="G26" i="7"/>
  <c r="H26" s="1"/>
  <c r="I26" s="1"/>
  <c r="D35"/>
  <c r="H23" i="4"/>
  <c r="I23" s="1"/>
  <c r="D41" i="9"/>
  <c r="D42" s="1"/>
  <c r="D43" s="1"/>
  <c r="D36" i="8"/>
  <c r="H30" i="9"/>
  <c r="I30" s="1"/>
  <c r="H34" i="6"/>
  <c r="I34" s="1"/>
  <c r="H27" i="9"/>
  <c r="I27" s="1"/>
  <c r="H28" i="4"/>
  <c r="I28" s="1"/>
  <c r="H29"/>
  <c r="I29" s="1"/>
  <c r="H41" i="7"/>
  <c r="I41" s="1"/>
  <c r="H33" i="6"/>
  <c r="I33" s="1"/>
  <c r="G35"/>
  <c r="H28" i="9"/>
  <c r="I28" s="1"/>
  <c r="H29"/>
  <c r="I29" s="1"/>
  <c r="H38"/>
  <c r="I38" s="1"/>
  <c r="H27" i="4"/>
  <c r="I27" s="1"/>
  <c r="G30"/>
  <c r="D36" i="7" l="1"/>
  <c r="D43" s="1"/>
  <c r="H32"/>
  <c r="I32" s="1"/>
  <c r="H32" i="6"/>
  <c r="I32" s="1"/>
  <c r="H33" i="4"/>
  <c r="I33" s="1"/>
  <c r="G36" i="7"/>
  <c r="G43" s="1"/>
  <c r="D43" i="8"/>
  <c r="D44" s="1"/>
  <c r="D45" s="1"/>
  <c r="G34" i="9"/>
  <c r="H34" s="1"/>
  <c r="I34" s="1"/>
  <c r="G36" i="6"/>
  <c r="H36" s="1"/>
  <c r="I36" s="1"/>
  <c r="D41" i="4"/>
  <c r="D42" s="1"/>
  <c r="D43" s="1"/>
  <c r="G43" i="8"/>
  <c r="G44" s="1"/>
  <c r="G41" i="9"/>
  <c r="G42" s="1"/>
  <c r="G43" s="1"/>
  <c r="J41" s="1"/>
  <c r="H24"/>
  <c r="I24" s="1"/>
  <c r="H35" i="7"/>
  <c r="I35" s="1"/>
  <c r="G43" i="6"/>
  <c r="H43" s="1"/>
  <c r="I43" s="1"/>
  <c r="H35" i="8"/>
  <c r="I35" s="1"/>
  <c r="G44" i="6"/>
  <c r="G45" s="1"/>
  <c r="G34" i="4"/>
  <c r="H30"/>
  <c r="I30" s="1"/>
  <c r="H41" i="9"/>
  <c r="I41" s="1"/>
  <c r="H36" i="8"/>
  <c r="I36" s="1"/>
  <c r="H36" i="7"/>
  <c r="I36" s="1"/>
  <c r="H35" i="6"/>
  <c r="I35" s="1"/>
  <c r="D44" i="7"/>
  <c r="D45" s="1"/>
  <c r="H43" i="8" l="1"/>
  <c r="I43" s="1"/>
  <c r="J43" i="6"/>
  <c r="J36"/>
  <c r="H44" i="8"/>
  <c r="I44" s="1"/>
  <c r="G44" i="7"/>
  <c r="H43"/>
  <c r="I43" s="1"/>
  <c r="J25" i="9"/>
  <c r="H43"/>
  <c r="I43" s="1"/>
  <c r="J43"/>
  <c r="J40"/>
  <c r="J36"/>
  <c r="J31"/>
  <c r="J26"/>
  <c r="J22"/>
  <c r="J37"/>
  <c r="J35"/>
  <c r="J32"/>
  <c r="J23"/>
  <c r="J33"/>
  <c r="J30"/>
  <c r="J39"/>
  <c r="J27"/>
  <c r="J28"/>
  <c r="J29"/>
  <c r="J38"/>
  <c r="J24"/>
  <c r="J38" i="6"/>
  <c r="J42"/>
  <c r="H45"/>
  <c r="I45" s="1"/>
  <c r="J45"/>
  <c r="J37"/>
  <c r="J29"/>
  <c r="J39"/>
  <c r="J24"/>
  <c r="J28"/>
  <c r="J40"/>
  <c r="J25"/>
  <c r="J27"/>
  <c r="J30"/>
  <c r="J31"/>
  <c r="J34"/>
  <c r="J41"/>
  <c r="J26"/>
  <c r="J32"/>
  <c r="J33"/>
  <c r="H42" i="9"/>
  <c r="I42" s="1"/>
  <c r="J42"/>
  <c r="H34" i="4"/>
  <c r="I34" s="1"/>
  <c r="G41"/>
  <c r="H44" i="6"/>
  <c r="I44" s="1"/>
  <c r="J44"/>
  <c r="G45" i="8"/>
  <c r="J44" s="1"/>
  <c r="J34" i="9"/>
  <c r="J35" i="6"/>
  <c r="G42" i="4" l="1"/>
  <c r="G43"/>
  <c r="H41"/>
  <c r="I41" s="1"/>
  <c r="J41"/>
  <c r="H44" i="7"/>
  <c r="I44" s="1"/>
  <c r="J29" i="8"/>
  <c r="J31"/>
  <c r="J28"/>
  <c r="J30"/>
  <c r="H45"/>
  <c r="I45" s="1"/>
  <c r="J45"/>
  <c r="J26"/>
  <c r="J23"/>
  <c r="J40"/>
  <c r="J27"/>
  <c r="J42"/>
  <c r="J33"/>
  <c r="J38"/>
  <c r="J34"/>
  <c r="J24"/>
  <c r="J37"/>
  <c r="J39"/>
  <c r="J41"/>
  <c r="J32"/>
  <c r="J35"/>
  <c r="J25"/>
  <c r="J36"/>
  <c r="J43"/>
  <c r="G45" i="7"/>
  <c r="J44" s="1"/>
  <c r="J37" i="4" l="1"/>
  <c r="H43"/>
  <c r="I43" s="1"/>
  <c r="J23"/>
  <c r="J25"/>
  <c r="J31"/>
  <c r="J35"/>
  <c r="J38"/>
  <c r="J40"/>
  <c r="J22"/>
  <c r="J24"/>
  <c r="J26"/>
  <c r="J32"/>
  <c r="J36"/>
  <c r="J43"/>
  <c r="J28"/>
  <c r="J29"/>
  <c r="J33"/>
  <c r="J27"/>
  <c r="J39"/>
  <c r="J30"/>
  <c r="J34"/>
  <c r="J30" i="7"/>
  <c r="J31"/>
  <c r="J29"/>
  <c r="H45"/>
  <c r="I45" s="1"/>
  <c r="J45"/>
  <c r="J38"/>
  <c r="J34"/>
  <c r="J25"/>
  <c r="J42"/>
  <c r="J33"/>
  <c r="J39"/>
  <c r="J24"/>
  <c r="J40"/>
  <c r="J28"/>
  <c r="J27"/>
  <c r="J37"/>
  <c r="J41"/>
  <c r="J26"/>
  <c r="J32"/>
  <c r="J35"/>
  <c r="J36"/>
  <c r="J43"/>
  <c r="J42" i="4"/>
  <c r="H42"/>
  <c r="I42" s="1"/>
</calcChain>
</file>

<file path=xl/sharedStrings.xml><?xml version="1.0" encoding="utf-8"?>
<sst xmlns="http://schemas.openxmlformats.org/spreadsheetml/2006/main" count="284" uniqueCount="59">
  <si>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</si>
  <si>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</si>
  <si>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</si>
  <si>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</si>
  <si>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</si>
  <si>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</si>
  <si>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</si>
  <si>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</si>
  <si>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</si>
  <si>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</si>
  <si>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</si>
  <si>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</si>
  <si>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</si>
  <si>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</si>
  <si>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</si>
  <si>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</si>
  <si>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</si>
  <si>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</si>
  <si>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</si>
  <si>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</si>
  <si>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</si>
  <si>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</si>
  <si>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</si>
  <si>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</si>
  <si>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</si>
  <si>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</si>
  <si>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</si>
  <si>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</si>
  <si>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</si>
  <si>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</si>
  <si>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</si>
  <si>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</si>
  <si>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</si>
  <si>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</si>
  <si>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</si>
  <si>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</si>
  <si>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</si>
  <si>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</si>
  <si>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</si>
  <si>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</si>
  <si>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</si>
  <si>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</si>
  <si>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</si>
  <si>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</si>
  <si>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</si>
  <si>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</si>
  <si>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</si>
  <si>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</si>
  <si>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2010 Electricity Distribution Rate Application</t>
  </si>
  <si>
    <t>2011 Distribution Rate Impact Module</t>
  </si>
  <si>
    <t>Residential Customers with an Interval Meter</t>
  </si>
  <si>
    <t>EB-2009-0278</t>
  </si>
  <si>
    <t>Current Approved Rates</t>
  </si>
  <si>
    <t>Proposed December 1, 2010</t>
  </si>
  <si>
    <t>Draft Rate Order</t>
  </si>
  <si>
    <t>November 22, 2010</t>
  </si>
  <si>
    <t>Rate Rider for Deferral/Variance Account Disposition - effective until May 31, 2013</t>
  </si>
  <si>
    <t>Rate Rider for Deferral/Variance Account Disposition - effective until November 30, 2015</t>
  </si>
  <si>
    <t>Rate Rider for Deferral/Variance Account Disposition - effective until December 31, 2010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</si>
</sst>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0.0000"/>
    <numFmt numFmtId="167" formatCode="_(* #,##0_);_(* \(#,##0\);_(* &quot;-&quot;??_);_(@_)"/>
    <numFmt numFmtId="168" formatCode="0.0"/>
    <numFmt numFmtId="169" formatCode="_(* #,##0.0000000_);_(* \(#,##0.000000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3" applyNumberFormat="1" applyFont="1"/>
    <xf numFmtId="43" fontId="0" fillId="0" borderId="0" xfId="0" applyNumberFormat="1"/>
    <xf numFmtId="165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43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3" fontId="5" fillId="0" borderId="11" xfId="0" applyNumberFormat="1" applyFont="1" applyBorder="1"/>
    <xf numFmtId="43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43" fontId="5" fillId="0" borderId="14" xfId="0" applyNumberFormat="1" applyFont="1" applyBorder="1"/>
    <xf numFmtId="43" fontId="5" fillId="0" borderId="15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0" fontId="3" fillId="0" borderId="5" xfId="0" applyFont="1" applyBorder="1"/>
    <xf numFmtId="167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6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5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69" fontId="0" fillId="0" borderId="0" xfId="1" applyNumberFormat="1" applyFont="1"/>
    <xf numFmtId="4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4" fontId="0" fillId="0" borderId="0" xfId="1" applyNumberFormat="1" applyFont="1" applyFill="1"/>
    <xf numFmtId="0" fontId="1" fillId="0" borderId="0" xfId="0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5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0:I26"/>
  <sheetViews>
    <sheetView tabSelected="1" workbookViewId="0"/>
  </sheetViews>
  <sheetFormatPr defaultRowHeight="12.75"/>
  <cols>
    <col min="1" max="1" width="5" customWidth="1"/>
    <col min="9" max="9" width="47" customWidth="1"/>
  </cols>
  <sheetData>
    <row r="20" spans="2:9" ht="33.75">
      <c r="B20" s="111" t="s">
        <v>47</v>
      </c>
      <c r="C20" s="111"/>
      <c r="D20" s="111"/>
      <c r="E20" s="111"/>
      <c r="F20" s="111"/>
      <c r="G20" s="111"/>
      <c r="H20" s="111"/>
      <c r="I20" s="111"/>
    </row>
    <row r="21" spans="2:9" ht="33.75">
      <c r="B21" s="111" t="s">
        <v>49</v>
      </c>
      <c r="C21" s="111"/>
      <c r="D21" s="111"/>
      <c r="E21" s="111"/>
      <c r="F21" s="111"/>
      <c r="G21" s="111"/>
      <c r="H21" s="111"/>
      <c r="I21" s="111"/>
    </row>
    <row r="22" spans="2:9" ht="33.75">
      <c r="B22" s="111" t="s">
        <v>48</v>
      </c>
      <c r="C22" s="111"/>
      <c r="D22" s="111"/>
      <c r="E22" s="111"/>
      <c r="F22" s="111"/>
      <c r="G22" s="111"/>
      <c r="H22" s="111"/>
      <c r="I22" s="111"/>
    </row>
    <row r="23" spans="2:9" ht="33.75">
      <c r="B23" s="111" t="s">
        <v>51</v>
      </c>
      <c r="C23" s="111"/>
      <c r="D23" s="111"/>
      <c r="E23" s="111"/>
      <c r="F23" s="111"/>
      <c r="G23" s="111"/>
      <c r="H23" s="111"/>
      <c r="I23" s="111"/>
    </row>
    <row r="24" spans="2:9" ht="33.75">
      <c r="B24" s="110"/>
      <c r="C24" s="110"/>
      <c r="D24" s="110"/>
      <c r="E24" s="110"/>
      <c r="F24" s="110"/>
      <c r="G24" s="110"/>
      <c r="H24" s="110"/>
      <c r="I24" s="110"/>
    </row>
    <row r="25" spans="2:9" ht="33.75">
      <c r="B25" s="111" t="s">
        <v>54</v>
      </c>
      <c r="C25" s="110"/>
      <c r="D25" s="110"/>
      <c r="E25" s="110"/>
      <c r="F25" s="110"/>
      <c r="G25" s="110"/>
      <c r="H25" s="110"/>
      <c r="I25" s="110"/>
    </row>
    <row r="26" spans="2:9" ht="33.75">
      <c r="B26" s="110" t="s">
        <v>55</v>
      </c>
      <c r="C26" s="110"/>
      <c r="D26" s="110"/>
      <c r="E26" s="110"/>
      <c r="F26" s="110"/>
      <c r="G26" s="110"/>
      <c r="H26" s="110"/>
      <c r="I26" s="110"/>
    </row>
  </sheetData>
  <mergeCells count="7">
    <mergeCell ref="B26:I26"/>
    <mergeCell ref="B25:I25"/>
    <mergeCell ref="B24:I24"/>
    <mergeCell ref="B20:I20"/>
    <mergeCell ref="B21:I21"/>
    <mergeCell ref="B22:I22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7"/>
  <sheetViews>
    <sheetView topLeftCell="A22" workbookViewId="0">
      <selection activeCell="A69" sqref="A69"/>
    </sheetView>
  </sheetViews>
  <sheetFormatPr defaultRowHeight="12.75"/>
  <cols>
    <col min="1" max="1" width="84.2851562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>
      <c r="A3" s="1" t="s">
        <v>0</v>
      </c>
      <c r="B3" s="9" t="s">
        <v>25</v>
      </c>
      <c r="C3" s="9"/>
      <c r="D3" s="10" t="s">
        <v>52</v>
      </c>
      <c r="E3" s="9"/>
      <c r="F3" s="10" t="s">
        <v>53</v>
      </c>
    </row>
    <row r="4" spans="1:6">
      <c r="A4" s="1" t="s">
        <v>1</v>
      </c>
    </row>
    <row r="5" spans="1:6">
      <c r="A5" t="s">
        <v>3</v>
      </c>
      <c r="B5" s="2" t="s">
        <v>15</v>
      </c>
      <c r="D5" s="3">
        <v>20.41</v>
      </c>
      <c r="E5" s="101"/>
      <c r="F5" s="3">
        <v>20.92</v>
      </c>
    </row>
    <row r="6" spans="1:6">
      <c r="A6" t="s">
        <v>2</v>
      </c>
      <c r="B6" s="2" t="s">
        <v>15</v>
      </c>
      <c r="D6" s="3">
        <v>0</v>
      </c>
      <c r="E6" s="3"/>
      <c r="F6" s="6">
        <v>1</v>
      </c>
    </row>
    <row r="7" spans="1:6">
      <c r="A7" t="s">
        <v>4</v>
      </c>
      <c r="B7" s="2" t="s">
        <v>16</v>
      </c>
      <c r="D7" s="4">
        <v>2.87E-2</v>
      </c>
      <c r="E7" s="101"/>
      <c r="F7" s="4">
        <v>2.9399999999999999E-2</v>
      </c>
    </row>
    <row r="8" spans="1:6">
      <c r="A8" s="109" t="s">
        <v>56</v>
      </c>
      <c r="B8" s="2" t="s">
        <v>16</v>
      </c>
      <c r="F8" s="108">
        <v>4.4000000000000003E-3</v>
      </c>
    </row>
    <row r="9" spans="1:6">
      <c r="A9" s="109" t="s">
        <v>58</v>
      </c>
      <c r="B9" s="2" t="s">
        <v>16</v>
      </c>
      <c r="D9" s="4">
        <v>-4.1000000000000003E-3</v>
      </c>
      <c r="E9" s="3"/>
      <c r="F9" s="4">
        <v>-4.1000000000000003E-3</v>
      </c>
    </row>
    <row r="10" spans="1:6">
      <c r="A10" t="s">
        <v>5</v>
      </c>
      <c r="B10" s="2" t="s">
        <v>16</v>
      </c>
      <c r="D10" s="4">
        <v>5.7000000000000002E-3</v>
      </c>
      <c r="E10" s="5"/>
      <c r="F10" s="4">
        <v>5.7000000000000002E-3</v>
      </c>
    </row>
    <row r="11" spans="1:6">
      <c r="A11" t="s">
        <v>6</v>
      </c>
      <c r="B11" s="2" t="s">
        <v>16</v>
      </c>
      <c r="D11" s="4">
        <v>5.0000000000000001E-3</v>
      </c>
      <c r="E11" s="7"/>
      <c r="F11" s="4">
        <v>4.7000000000000002E-3</v>
      </c>
    </row>
    <row r="12" spans="1:6">
      <c r="A12" t="s">
        <v>7</v>
      </c>
      <c r="B12" s="2" t="s">
        <v>16</v>
      </c>
      <c r="D12" s="4">
        <v>5.1999999999999998E-3</v>
      </c>
      <c r="E12" s="3"/>
      <c r="F12" s="4">
        <v>5.1999999999999998E-3</v>
      </c>
    </row>
    <row r="13" spans="1:6">
      <c r="A13" t="s">
        <v>8</v>
      </c>
      <c r="B13" s="2" t="s">
        <v>16</v>
      </c>
      <c r="D13" s="4">
        <v>1E-3</v>
      </c>
      <c r="E13" s="4"/>
      <c r="F13" s="4">
        <v>1.2999999999999999E-3</v>
      </c>
    </row>
    <row r="14" spans="1:6">
      <c r="A14" t="s">
        <v>45</v>
      </c>
      <c r="B14" s="2" t="s">
        <v>16</v>
      </c>
      <c r="D14" s="103">
        <v>3.725E-4</v>
      </c>
      <c r="E14" s="4"/>
      <c r="F14" s="103">
        <v>3.725E-4</v>
      </c>
    </row>
    <row r="15" spans="1:6">
      <c r="A15" t="s">
        <v>9</v>
      </c>
      <c r="B15" s="2" t="s">
        <v>15</v>
      </c>
      <c r="D15" s="3">
        <v>0.25</v>
      </c>
      <c r="E15" s="3"/>
      <c r="F15" s="3">
        <v>0.25</v>
      </c>
    </row>
    <row r="17" spans="1:6">
      <c r="A17" s="1" t="s">
        <v>10</v>
      </c>
    </row>
    <row r="18" spans="1:6">
      <c r="A18" t="s">
        <v>3</v>
      </c>
      <c r="B18" s="2" t="s">
        <v>15</v>
      </c>
      <c r="D18" s="3">
        <v>596.12</v>
      </c>
      <c r="E18" s="101"/>
      <c r="F18" s="3">
        <v>596.12</v>
      </c>
    </row>
    <row r="19" spans="1:6">
      <c r="A19" t="s">
        <v>2</v>
      </c>
      <c r="B19" s="2" t="s">
        <v>15</v>
      </c>
      <c r="D19" s="3">
        <v>0</v>
      </c>
      <c r="E19" s="3"/>
      <c r="F19" s="6">
        <v>1</v>
      </c>
    </row>
    <row r="20" spans="1:6">
      <c r="A20" t="s">
        <v>4</v>
      </c>
      <c r="B20" s="2" t="s">
        <v>17</v>
      </c>
      <c r="D20" s="4">
        <v>2.4548999999999999</v>
      </c>
      <c r="E20" s="101"/>
      <c r="F20" s="4">
        <v>2.5728</v>
      </c>
    </row>
    <row r="21" spans="1:6">
      <c r="A21" s="109" t="s">
        <v>56</v>
      </c>
      <c r="B21" s="2" t="s">
        <v>17</v>
      </c>
      <c r="F21" s="108">
        <v>4.4000000000000003E-3</v>
      </c>
    </row>
    <row r="22" spans="1:6">
      <c r="A22" s="109" t="s">
        <v>58</v>
      </c>
      <c r="B22" s="2" t="s">
        <v>17</v>
      </c>
      <c r="D22" s="4">
        <v>-0.20250000000000001</v>
      </c>
      <c r="E22" s="3"/>
      <c r="F22" s="4">
        <v>-0.20250000000000001</v>
      </c>
    </row>
    <row r="23" spans="1:6">
      <c r="A23" t="s">
        <v>5</v>
      </c>
      <c r="B23" s="2" t="s">
        <v>17</v>
      </c>
      <c r="D23" s="4">
        <v>2.1217999999999999</v>
      </c>
      <c r="E23" s="5"/>
      <c r="F23" s="4">
        <v>2.1217999999999999</v>
      </c>
    </row>
    <row r="24" spans="1:6">
      <c r="A24" t="s">
        <v>6</v>
      </c>
      <c r="B24" s="2" t="s">
        <v>17</v>
      </c>
      <c r="D24" s="4">
        <v>1.7882</v>
      </c>
      <c r="E24" s="7"/>
      <c r="F24" s="4">
        <v>1.6634</v>
      </c>
    </row>
    <row r="25" spans="1:6">
      <c r="A25" t="s">
        <v>11</v>
      </c>
      <c r="B25" s="2" t="s">
        <v>17</v>
      </c>
      <c r="D25" s="4">
        <v>2.2507999999999999</v>
      </c>
      <c r="E25" s="5"/>
      <c r="F25" s="4">
        <v>2.2507999999999999</v>
      </c>
    </row>
    <row r="26" spans="1:6">
      <c r="A26" t="s">
        <v>12</v>
      </c>
      <c r="B26" s="2" t="s">
        <v>17</v>
      </c>
      <c r="D26" s="4">
        <v>1.9762999999999999</v>
      </c>
      <c r="E26" s="7"/>
      <c r="F26" s="4">
        <v>1.8384</v>
      </c>
    </row>
    <row r="27" spans="1:6">
      <c r="A27" t="s">
        <v>7</v>
      </c>
      <c r="B27" s="2" t="s">
        <v>16</v>
      </c>
      <c r="D27" s="4">
        <v>5.1999999999999998E-3</v>
      </c>
      <c r="E27" s="3"/>
      <c r="F27" s="4">
        <v>5.1999999999999998E-3</v>
      </c>
    </row>
    <row r="28" spans="1:6">
      <c r="A28" t="s">
        <v>8</v>
      </c>
      <c r="B28" s="2" t="s">
        <v>16</v>
      </c>
      <c r="D28" s="4">
        <v>1E-3</v>
      </c>
      <c r="E28" s="4"/>
      <c r="F28" s="4">
        <v>1.2999999999999999E-3</v>
      </c>
    </row>
    <row r="29" spans="1:6">
      <c r="A29" t="s">
        <v>45</v>
      </c>
      <c r="B29" s="2" t="s">
        <v>16</v>
      </c>
      <c r="D29" s="103">
        <v>3.725E-4</v>
      </c>
      <c r="E29" s="4"/>
      <c r="F29" s="103">
        <v>3.725E-4</v>
      </c>
    </row>
    <row r="30" spans="1:6">
      <c r="A30" t="s">
        <v>9</v>
      </c>
      <c r="B30" s="2" t="s">
        <v>15</v>
      </c>
      <c r="D30" s="3">
        <v>0.25</v>
      </c>
      <c r="E30" s="3"/>
      <c r="F30" s="3">
        <v>0.25</v>
      </c>
    </row>
    <row r="32" spans="1:6">
      <c r="A32" s="1" t="s">
        <v>13</v>
      </c>
    </row>
    <row r="33" spans="1:6">
      <c r="A33" t="s">
        <v>3</v>
      </c>
      <c r="B33" s="2" t="s">
        <v>15</v>
      </c>
      <c r="D33" s="3">
        <v>24</v>
      </c>
      <c r="E33" s="101"/>
      <c r="F33" s="3">
        <v>26.07</v>
      </c>
    </row>
    <row r="34" spans="1:6">
      <c r="A34" t="s">
        <v>2</v>
      </c>
      <c r="B34" s="2" t="s">
        <v>15</v>
      </c>
      <c r="D34" s="3">
        <v>0</v>
      </c>
      <c r="E34" s="3"/>
      <c r="F34" s="6">
        <v>1</v>
      </c>
    </row>
    <row r="35" spans="1:6">
      <c r="A35" t="s">
        <v>4</v>
      </c>
      <c r="B35" s="2" t="s">
        <v>16</v>
      </c>
      <c r="D35" s="4">
        <v>7.0000000000000007E-2</v>
      </c>
      <c r="E35" s="101"/>
      <c r="F35" s="4">
        <v>0.10009999999999999</v>
      </c>
    </row>
    <row r="36" spans="1:6">
      <c r="A36" s="109" t="s">
        <v>56</v>
      </c>
      <c r="B36" s="2" t="s">
        <v>16</v>
      </c>
      <c r="F36" s="108">
        <v>4.4999999999999997E-3</v>
      </c>
    </row>
    <row r="37" spans="1:6">
      <c r="A37" s="109" t="s">
        <v>57</v>
      </c>
      <c r="B37" s="2" t="s">
        <v>16</v>
      </c>
      <c r="F37" s="108">
        <v>3.0700000000000002E-2</v>
      </c>
    </row>
    <row r="38" spans="1:6">
      <c r="A38" s="109" t="s">
        <v>58</v>
      </c>
      <c r="B38" s="2" t="s">
        <v>16</v>
      </c>
      <c r="D38" s="4">
        <v>-4.1000000000000003E-3</v>
      </c>
      <c r="E38" s="3"/>
      <c r="F38" s="4">
        <v>-4.1000000000000003E-3</v>
      </c>
    </row>
    <row r="39" spans="1:6">
      <c r="A39" t="s">
        <v>5</v>
      </c>
      <c r="B39" s="2" t="s">
        <v>16</v>
      </c>
      <c r="D39" s="4">
        <v>5.7000000000000002E-3</v>
      </c>
      <c r="E39" s="5"/>
      <c r="F39" s="4">
        <v>5.7000000000000002E-3</v>
      </c>
    </row>
    <row r="40" spans="1:6">
      <c r="A40" t="s">
        <v>6</v>
      </c>
      <c r="B40" s="2" t="s">
        <v>16</v>
      </c>
      <c r="D40" s="4">
        <v>5.0000000000000001E-3</v>
      </c>
      <c r="E40" s="7"/>
      <c r="F40" s="4">
        <v>4.7000000000000002E-3</v>
      </c>
    </row>
    <row r="41" spans="1:6">
      <c r="A41" t="s">
        <v>7</v>
      </c>
      <c r="B41" s="2" t="s">
        <v>16</v>
      </c>
      <c r="D41" s="4">
        <v>5.1999999999999998E-3</v>
      </c>
      <c r="E41" s="3"/>
      <c r="F41" s="4">
        <v>5.1999999999999998E-3</v>
      </c>
    </row>
    <row r="42" spans="1:6">
      <c r="A42" t="s">
        <v>8</v>
      </c>
      <c r="B42" s="2" t="s">
        <v>16</v>
      </c>
      <c r="D42" s="4">
        <v>1E-3</v>
      </c>
      <c r="E42" s="4"/>
      <c r="F42" s="4">
        <v>1.2999999999999999E-3</v>
      </c>
    </row>
    <row r="43" spans="1:6">
      <c r="A43" t="s">
        <v>45</v>
      </c>
      <c r="B43" s="2" t="s">
        <v>16</v>
      </c>
      <c r="D43" s="103">
        <v>3.725E-4</v>
      </c>
      <c r="E43" s="4"/>
      <c r="F43" s="103">
        <v>3.725E-4</v>
      </c>
    </row>
    <row r="44" spans="1:6">
      <c r="A44" t="s">
        <v>9</v>
      </c>
      <c r="B44" s="2" t="s">
        <v>15</v>
      </c>
      <c r="D44" s="3">
        <v>0.25</v>
      </c>
      <c r="E44" s="3"/>
      <c r="F44" s="3">
        <v>0.25</v>
      </c>
    </row>
    <row r="46" spans="1:6">
      <c r="A46" s="1" t="s">
        <v>14</v>
      </c>
    </row>
    <row r="47" spans="1:6">
      <c r="A47" t="s">
        <v>3</v>
      </c>
      <c r="B47" s="2" t="s">
        <v>15</v>
      </c>
      <c r="D47" s="3">
        <v>0</v>
      </c>
      <c r="E47" s="101"/>
      <c r="F47" s="3">
        <v>0.96</v>
      </c>
    </row>
    <row r="48" spans="1:6">
      <c r="A48" t="s">
        <v>2</v>
      </c>
      <c r="B48" s="2" t="s">
        <v>15</v>
      </c>
      <c r="D48" s="3">
        <v>0</v>
      </c>
      <c r="E48" s="3"/>
      <c r="F48" s="6">
        <v>0</v>
      </c>
    </row>
    <row r="49" spans="1:6">
      <c r="A49" t="s">
        <v>4</v>
      </c>
      <c r="B49" s="2" t="s">
        <v>16</v>
      </c>
      <c r="D49" s="4">
        <v>4.9599999999999998E-2</v>
      </c>
      <c r="E49" s="101"/>
      <c r="F49" s="4">
        <v>0.1537</v>
      </c>
    </row>
    <row r="50" spans="1:6">
      <c r="A50" s="109" t="s">
        <v>56</v>
      </c>
      <c r="B50" s="2" t="s">
        <v>16</v>
      </c>
      <c r="F50" s="108">
        <v>4.7000000000000002E-3</v>
      </c>
    </row>
    <row r="51" spans="1:6">
      <c r="A51" s="109" t="s">
        <v>58</v>
      </c>
      <c r="B51" s="2" t="s">
        <v>16</v>
      </c>
      <c r="D51" s="4">
        <v>-1.6000000000000001E-3</v>
      </c>
      <c r="E51" s="3"/>
      <c r="F51" s="4">
        <v>-1.6000000000000001E-3</v>
      </c>
    </row>
    <row r="52" spans="1:6">
      <c r="A52" t="s">
        <v>5</v>
      </c>
      <c r="B52" s="2" t="s">
        <v>17</v>
      </c>
      <c r="D52" s="4">
        <v>1.6002000000000001</v>
      </c>
      <c r="E52" s="5"/>
      <c r="F52" s="4">
        <v>1.6002000000000001</v>
      </c>
    </row>
    <row r="53" spans="1:6">
      <c r="A53" t="s">
        <v>6</v>
      </c>
      <c r="B53" s="2" t="s">
        <v>17</v>
      </c>
      <c r="D53" s="4">
        <v>1.3824000000000001</v>
      </c>
      <c r="E53" s="7"/>
      <c r="F53" s="4">
        <v>1.2859</v>
      </c>
    </row>
    <row r="54" spans="1:6">
      <c r="A54" t="s">
        <v>7</v>
      </c>
      <c r="B54" s="2" t="s">
        <v>16</v>
      </c>
      <c r="D54" s="4">
        <v>5.1999999999999998E-3</v>
      </c>
      <c r="E54" s="3"/>
      <c r="F54" s="4">
        <v>5.1999999999999998E-3</v>
      </c>
    </row>
    <row r="55" spans="1:6">
      <c r="A55" t="s">
        <v>8</v>
      </c>
      <c r="B55" s="2" t="s">
        <v>16</v>
      </c>
      <c r="D55" s="4">
        <v>1E-3</v>
      </c>
      <c r="E55" s="4"/>
      <c r="F55" s="4">
        <v>1.2999999999999999E-3</v>
      </c>
    </row>
    <row r="56" spans="1:6">
      <c r="A56" t="s">
        <v>45</v>
      </c>
      <c r="B56" s="2" t="s">
        <v>16</v>
      </c>
      <c r="D56" s="103">
        <v>3.725E-4</v>
      </c>
      <c r="E56" s="4"/>
      <c r="F56" s="103">
        <v>3.725E-4</v>
      </c>
    </row>
    <row r="57" spans="1:6">
      <c r="A57" t="s">
        <v>9</v>
      </c>
      <c r="B57" s="2" t="s">
        <v>15</v>
      </c>
      <c r="D57" s="3">
        <v>0.25</v>
      </c>
      <c r="E57" s="3"/>
      <c r="F57" s="3">
        <v>0.25</v>
      </c>
    </row>
    <row r="59" spans="1:6">
      <c r="A59" s="1" t="s">
        <v>18</v>
      </c>
    </row>
    <row r="60" spans="1:6">
      <c r="A60" t="s">
        <v>19</v>
      </c>
      <c r="B60" s="2" t="s">
        <v>16</v>
      </c>
      <c r="D60" s="4">
        <v>2E-3</v>
      </c>
      <c r="F60" s="4">
        <v>2E-3</v>
      </c>
    </row>
    <row r="61" spans="1:6">
      <c r="A61" t="s">
        <v>20</v>
      </c>
      <c r="B61" s="2" t="s">
        <v>16</v>
      </c>
      <c r="D61" s="4">
        <v>6.4000000000000001E-2</v>
      </c>
      <c r="F61" s="4">
        <v>6.4000000000000001E-2</v>
      </c>
    </row>
    <row r="62" spans="1:6">
      <c r="A62" t="s">
        <v>21</v>
      </c>
      <c r="B62" s="2" t="s">
        <v>16</v>
      </c>
      <c r="D62" s="4">
        <v>7.3999999999999996E-2</v>
      </c>
      <c r="F62" s="4">
        <v>7.3999999999999996E-2</v>
      </c>
    </row>
    <row r="65" spans="1:6">
      <c r="A65" s="1" t="s">
        <v>23</v>
      </c>
      <c r="E65" s="3"/>
    </row>
    <row r="66" spans="1:6">
      <c r="A66" t="s">
        <v>24</v>
      </c>
      <c r="D66" s="4">
        <v>1.1025</v>
      </c>
      <c r="F66" s="4">
        <v>1.0864</v>
      </c>
    </row>
    <row r="67" spans="1:6">
      <c r="A67" t="s">
        <v>46</v>
      </c>
      <c r="D67" s="105">
        <v>0.13</v>
      </c>
      <c r="F67" s="105">
        <v>0.13</v>
      </c>
    </row>
  </sheetData>
  <phoneticPr fontId="2" type="noConversion"/>
  <pageMargins left="0.75" right="0.75" top="1" bottom="1" header="0.5" footer="0.5"/>
  <pageSetup scale="74" orientation="portrait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view="pageLayout" zoomScaleNormal="100" workbookViewId="0">
      <selection activeCell="A18" sqref="A18"/>
    </sheetView>
  </sheetViews>
  <sheetFormatPr defaultRowHeight="12"/>
  <cols>
    <col min="1" max="1" width="73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Rates!A5</f>
        <v>Monthly Service Charge</v>
      </c>
      <c r="B4" s="24" t="str">
        <f>Rates!B5</f>
        <v>$</v>
      </c>
      <c r="C4" s="25">
        <f>Rates!D5</f>
        <v>20.41</v>
      </c>
      <c r="D4" s="26">
        <f>Rates!F5</f>
        <v>20.92</v>
      </c>
    </row>
    <row r="5" spans="1:4">
      <c r="A5" s="27" t="str">
        <f>Rates!A6</f>
        <v>Smart Meter Rate Adder</v>
      </c>
      <c r="B5" s="28" t="str">
        <f>Rates!B6</f>
        <v>$</v>
      </c>
      <c r="C5" s="29">
        <f>Rates!D6</f>
        <v>0</v>
      </c>
      <c r="D5" s="30">
        <f>Rates!F6</f>
        <v>1</v>
      </c>
    </row>
    <row r="6" spans="1:4">
      <c r="A6" s="27" t="str">
        <f>Rates!A7</f>
        <v>Distribution Volumetric Rate</v>
      </c>
      <c r="B6" s="28" t="str">
        <f>Rates!B7</f>
        <v>$/kWh</v>
      </c>
      <c r="C6" s="31">
        <f>Rates!D7</f>
        <v>2.87E-2</v>
      </c>
      <c r="D6" s="32">
        <f>Rates!F7</f>
        <v>2.9399999999999999E-2</v>
      </c>
    </row>
    <row r="7" spans="1:4">
      <c r="A7" s="27" t="str">
        <f>Rates!A8</f>
        <v>Rate Rider for Deferral/Variance Account Disposition - effective until May 31, 2013</v>
      </c>
      <c r="B7" s="28"/>
      <c r="C7" s="31">
        <f>Rates!D8</f>
        <v>0</v>
      </c>
      <c r="D7" s="32">
        <f>Rates!F8</f>
        <v>4.4000000000000003E-3</v>
      </c>
    </row>
    <row r="8" spans="1:4">
      <c r="A8" s="27" t="str">
        <f>Rates!A9</f>
        <v>Rate Rider for Deferral/Variance Account Disposition - effective until December 31, 2010</v>
      </c>
      <c r="B8" s="28" t="str">
        <f>Rates!B9</f>
        <v>$/kWh</v>
      </c>
      <c r="C8" s="31">
        <f>Rates!D9</f>
        <v>-4.1000000000000003E-3</v>
      </c>
      <c r="D8" s="32">
        <f>Rates!F9</f>
        <v>-4.1000000000000003E-3</v>
      </c>
    </row>
    <row r="9" spans="1:4">
      <c r="A9" s="27" t="str">
        <f>Rates!A10</f>
        <v>Retail Transmission Rate - Network Service Rate</v>
      </c>
      <c r="B9" s="28" t="str">
        <f>Rates!B10</f>
        <v>$/kWh</v>
      </c>
      <c r="C9" s="31">
        <f>Rates!D10</f>
        <v>5.7000000000000002E-3</v>
      </c>
      <c r="D9" s="32">
        <f>Rates!F10</f>
        <v>5.7000000000000002E-3</v>
      </c>
    </row>
    <row r="10" spans="1:4">
      <c r="A10" s="27" t="str">
        <f>Rates!A11</f>
        <v>Retail Transmission Rate - Line and Transformation Connection Service Rate</v>
      </c>
      <c r="B10" s="28" t="str">
        <f>Rates!B11</f>
        <v>$/kWh</v>
      </c>
      <c r="C10" s="31">
        <f>Rates!D11</f>
        <v>5.0000000000000001E-3</v>
      </c>
      <c r="D10" s="32">
        <f>Rates!F11</f>
        <v>4.7000000000000002E-3</v>
      </c>
    </row>
    <row r="11" spans="1:4">
      <c r="A11" s="19" t="str">
        <f>Rates!A12</f>
        <v>Wholesale Market Service Rate</v>
      </c>
      <c r="B11" s="20" t="str">
        <f>Rates!B12</f>
        <v>$/kWh</v>
      </c>
      <c r="C11" s="21">
        <f>Rates!D12</f>
        <v>5.1999999999999998E-3</v>
      </c>
      <c r="D11" s="22">
        <f>Rates!F12</f>
        <v>5.1999999999999998E-3</v>
      </c>
    </row>
    <row r="12" spans="1:4">
      <c r="A12" s="27" t="str">
        <f>Rates!A13</f>
        <v>Rural Rate Protection Charge</v>
      </c>
      <c r="B12" s="28" t="str">
        <f>Rates!B13</f>
        <v>$/kWh</v>
      </c>
      <c r="C12" s="31">
        <f>Rates!D13</f>
        <v>1E-3</v>
      </c>
      <c r="D12" s="32">
        <f>Rates!F13</f>
        <v>1.2999999999999999E-3</v>
      </c>
    </row>
    <row r="13" spans="1:4">
      <c r="A13" s="106" t="str">
        <f>Rates!A14</f>
        <v>Special Purpose Charge</v>
      </c>
      <c r="B13" s="28" t="str">
        <f>Rates!B14</f>
        <v>$/kWh</v>
      </c>
      <c r="C13" s="31">
        <f>Rates!D14</f>
        <v>3.725E-4</v>
      </c>
      <c r="D13" s="32">
        <f>Rates!F14</f>
        <v>3.725E-4</v>
      </c>
    </row>
    <row r="14" spans="1:4" ht="12.75" thickBot="1">
      <c r="A14" s="12" t="str">
        <f>Rates!A15</f>
        <v>Standard Supply Service - Administarive Charge (if applicable)</v>
      </c>
      <c r="B14" s="17" t="str">
        <f>Rates!B15</f>
        <v>$</v>
      </c>
      <c r="C14" s="18">
        <f>Rates!D15</f>
        <v>0.25</v>
      </c>
      <c r="D14" s="13">
        <f>Rates!F15</f>
        <v>0.25</v>
      </c>
    </row>
    <row r="16" spans="1:4" ht="12.75" thickBot="1"/>
    <row r="17" spans="1:10" ht="13.5" thickBot="1">
      <c r="A17" s="33" t="s">
        <v>26</v>
      </c>
      <c r="B17" s="34">
        <v>800</v>
      </c>
      <c r="C17" s="35" t="s">
        <v>27</v>
      </c>
      <c r="D17" s="36"/>
      <c r="E17" s="35" t="s">
        <v>28</v>
      </c>
      <c r="G17" s="102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38" t="str">
        <f>IF(D17&gt;0,B17/(D17*24*30.4)," ")</f>
        <v xml:space="preserve"> </v>
      </c>
    </row>
    <row r="19" spans="1:10" ht="12.75" thickBot="1"/>
    <row r="20" spans="1:10" ht="12.75" customHeight="1">
      <c r="A20" s="112" t="str">
        <f>A3</f>
        <v>Residential - R1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7">
        <f>B22*C22</f>
        <v>48</v>
      </c>
      <c r="E22" s="55">
        <f>IF(B17*H17&gt;B18,B18,B17*H17)</f>
        <v>750</v>
      </c>
      <c r="F22" s="56">
        <f>Rates!F61</f>
        <v>6.4000000000000001E-2</v>
      </c>
      <c r="G22" s="57">
        <f>E22*F22</f>
        <v>48</v>
      </c>
      <c r="H22" s="58">
        <f>G22-D22</f>
        <v>0</v>
      </c>
      <c r="I22" s="59">
        <f>IF(ISERROR(H22/D22),1,H22/D22)</f>
        <v>0</v>
      </c>
      <c r="J22" s="60">
        <f t="shared" ref="J22:J43" si="0">IF(ISERROR(G22/G$43),0,G22/G$43)</f>
        <v>0.35589000417292421</v>
      </c>
    </row>
    <row r="23" spans="1:10" ht="12.75" thickBot="1">
      <c r="A23" s="63" t="s">
        <v>36</v>
      </c>
      <c r="B23" s="64">
        <f>IF(B17*Rates!D66&gt;=B18,B17*Rates!D66-B18,0)</f>
        <v>132</v>
      </c>
      <c r="C23" s="65">
        <f>Rates!D62</f>
        <v>7.3999999999999996E-2</v>
      </c>
      <c r="D23" s="66">
        <f>B23*C23</f>
        <v>9.7679999999999989</v>
      </c>
      <c r="E23" s="64">
        <f>IF(B17*H17&gt;=B18,B17*H17-B18,0)</f>
        <v>119.12</v>
      </c>
      <c r="F23" s="65">
        <f>Rates!F62</f>
        <v>7.3999999999999996E-2</v>
      </c>
      <c r="G23" s="66">
        <f>E23*F23</f>
        <v>8.8148800000000005</v>
      </c>
      <c r="H23" s="66">
        <f t="shared" ref="H23:H43" si="1">G23-D23</f>
        <v>-0.95311999999999841</v>
      </c>
      <c r="I23" s="67">
        <f t="shared" ref="I23:I43" si="2">IF(ISERROR(H23/D23),0,H23/D23)</f>
        <v>-9.7575757575757427E-2</v>
      </c>
      <c r="J23" s="68">
        <f t="shared" si="0"/>
        <v>6.5356826666329706E-2</v>
      </c>
    </row>
    <row r="24" spans="1:10" ht="12.75" thickBot="1">
      <c r="A24" s="73" t="s">
        <v>39</v>
      </c>
      <c r="B24" s="74"/>
      <c r="C24" s="75"/>
      <c r="D24" s="76">
        <f>SUM(D22:D23)</f>
        <v>57.768000000000001</v>
      </c>
      <c r="E24" s="75"/>
      <c r="F24" s="75"/>
      <c r="G24" s="76">
        <f>SUM(G22:G23)</f>
        <v>56.814880000000002</v>
      </c>
      <c r="H24" s="76">
        <f t="shared" si="1"/>
        <v>-0.95311999999999841</v>
      </c>
      <c r="I24" s="77">
        <f t="shared" si="2"/>
        <v>-1.6499099847666499E-2</v>
      </c>
      <c r="J24" s="78">
        <f t="shared" si="0"/>
        <v>0.42124683083925391</v>
      </c>
    </row>
    <row r="25" spans="1:10">
      <c r="A25" s="69" t="str">
        <f>A4</f>
        <v>Monthly Service Charge</v>
      </c>
      <c r="B25" s="70">
        <v>1</v>
      </c>
      <c r="C25" s="46">
        <f>C4</f>
        <v>20.41</v>
      </c>
      <c r="D25" s="46">
        <f>B25*C25</f>
        <v>20.41</v>
      </c>
      <c r="E25" s="71">
        <f>B25</f>
        <v>1</v>
      </c>
      <c r="F25" s="47">
        <f>D4</f>
        <v>20.92</v>
      </c>
      <c r="G25" s="47">
        <f>E25*F25</f>
        <v>20.92</v>
      </c>
      <c r="H25" s="47">
        <f t="shared" si="1"/>
        <v>0.51000000000000156</v>
      </c>
      <c r="I25" s="48">
        <f t="shared" si="2"/>
        <v>2.4987751102400861E-2</v>
      </c>
      <c r="J25" s="72">
        <f t="shared" si="0"/>
        <v>0.15510872681869947</v>
      </c>
    </row>
    <row r="26" spans="1:10">
      <c r="A26" s="61" t="str">
        <f>A5</f>
        <v>Smart Meter Rate Adder</v>
      </c>
      <c r="B26" s="43">
        <f>B25</f>
        <v>1</v>
      </c>
      <c r="C26" s="41">
        <f>C5</f>
        <v>0</v>
      </c>
      <c r="D26" s="41">
        <f t="shared" ref="D26:D29" si="3">B26*C26</f>
        <v>0</v>
      </c>
      <c r="E26" s="43">
        <f>B26</f>
        <v>1</v>
      </c>
      <c r="F26" s="41">
        <f>D5</f>
        <v>1</v>
      </c>
      <c r="G26" s="41">
        <f t="shared" ref="G26:G29" si="4">E26*F26</f>
        <v>1</v>
      </c>
      <c r="H26" s="41">
        <f t="shared" si="1"/>
        <v>1</v>
      </c>
      <c r="I26" s="42">
        <f>IF(ISERROR(H26/D26),1,H26/D26)</f>
        <v>1</v>
      </c>
      <c r="J26" s="62">
        <f t="shared" si="0"/>
        <v>7.4143750869359202E-3</v>
      </c>
    </row>
    <row r="27" spans="1:10">
      <c r="A27" s="61" t="str">
        <f>A6</f>
        <v>Distribution Volumetric Rate</v>
      </c>
      <c r="B27" s="43">
        <f>B17</f>
        <v>800</v>
      </c>
      <c r="C27" s="40">
        <f>C6</f>
        <v>2.87E-2</v>
      </c>
      <c r="D27" s="41">
        <f t="shared" si="3"/>
        <v>22.96</v>
      </c>
      <c r="E27" s="43">
        <f>B17</f>
        <v>800</v>
      </c>
      <c r="F27" s="40">
        <f>D6</f>
        <v>2.9399999999999999E-2</v>
      </c>
      <c r="G27" s="41">
        <f t="shared" si="4"/>
        <v>23.52</v>
      </c>
      <c r="H27" s="41">
        <f t="shared" si="1"/>
        <v>0.55999999999999872</v>
      </c>
      <c r="I27" s="42">
        <f t="shared" si="2"/>
        <v>2.4390243902438966E-2</v>
      </c>
      <c r="J27" s="62">
        <f t="shared" si="0"/>
        <v>0.17438610204473284</v>
      </c>
    </row>
    <row r="28" spans="1:10">
      <c r="A28" s="61" t="str">
        <f>A7</f>
        <v>Rate Rider for Deferral/Variance Account Disposition - effective until May 31, 2013</v>
      </c>
      <c r="B28" s="43">
        <f>B17</f>
        <v>800</v>
      </c>
      <c r="C28" s="40">
        <f>C7</f>
        <v>0</v>
      </c>
      <c r="D28" s="41">
        <f t="shared" si="3"/>
        <v>0</v>
      </c>
      <c r="E28" s="43">
        <f>B17</f>
        <v>800</v>
      </c>
      <c r="F28" s="40">
        <f>D7</f>
        <v>4.4000000000000003E-3</v>
      </c>
      <c r="G28" s="41">
        <f t="shared" si="4"/>
        <v>3.52</v>
      </c>
      <c r="H28" s="41">
        <f t="shared" si="1"/>
        <v>3.52</v>
      </c>
      <c r="I28" s="42">
        <f t="shared" si="2"/>
        <v>0</v>
      </c>
      <c r="J28" s="62">
        <f t="shared" si="0"/>
        <v>2.6098600306014439E-2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800</v>
      </c>
      <c r="C29" s="40">
        <f>C8</f>
        <v>-4.1000000000000003E-3</v>
      </c>
      <c r="D29" s="41">
        <f t="shared" si="3"/>
        <v>-3.2800000000000002</v>
      </c>
      <c r="E29" s="43">
        <f>B17</f>
        <v>800</v>
      </c>
      <c r="F29" s="40">
        <f>D8</f>
        <v>-4.1000000000000003E-3</v>
      </c>
      <c r="G29" s="41">
        <f t="shared" si="4"/>
        <v>-3.2800000000000002</v>
      </c>
      <c r="H29" s="41">
        <f t="shared" si="1"/>
        <v>0</v>
      </c>
      <c r="I29" s="42">
        <f t="shared" si="2"/>
        <v>0</v>
      </c>
      <c r="J29" s="62">
        <f t="shared" si="0"/>
        <v>-2.4319150285149822E-2</v>
      </c>
    </row>
    <row r="30" spans="1:10" ht="12.75" thickBot="1">
      <c r="A30" s="73" t="s">
        <v>40</v>
      </c>
      <c r="B30" s="74"/>
      <c r="C30" s="75"/>
      <c r="D30" s="80">
        <f>SUM(D25:D29)</f>
        <v>40.090000000000003</v>
      </c>
      <c r="E30" s="75"/>
      <c r="F30" s="75"/>
      <c r="G30" s="76">
        <f>SUM(G25:G29)</f>
        <v>45.68</v>
      </c>
      <c r="H30" s="76">
        <f t="shared" si="1"/>
        <v>5.5899999999999963</v>
      </c>
      <c r="I30" s="77">
        <f t="shared" si="2"/>
        <v>0.13943626839610865</v>
      </c>
      <c r="J30" s="78">
        <f t="shared" si="0"/>
        <v>0.33868865397123282</v>
      </c>
    </row>
    <row r="31" spans="1:10">
      <c r="A31" s="69" t="str">
        <f>A9</f>
        <v>Retail Transmission Rate - Network Service Rate</v>
      </c>
      <c r="B31" s="44">
        <f>B17*Rates!D66</f>
        <v>882</v>
      </c>
      <c r="C31" s="45">
        <f>C9</f>
        <v>5.7000000000000002E-3</v>
      </c>
      <c r="D31" s="47">
        <f>B31*C31</f>
        <v>5.0274000000000001</v>
      </c>
      <c r="E31" s="44">
        <f>B17*H17</f>
        <v>869.12</v>
      </c>
      <c r="F31" s="45">
        <f>D9</f>
        <v>5.7000000000000002E-3</v>
      </c>
      <c r="G31" s="47">
        <f>E31*F31</f>
        <v>4.9539840000000002</v>
      </c>
      <c r="H31" s="47">
        <f t="shared" si="1"/>
        <v>-7.3415999999999926E-2</v>
      </c>
      <c r="I31" s="48">
        <f t="shared" si="2"/>
        <v>-1.4603174603174588E-2</v>
      </c>
      <c r="J31" s="72">
        <f t="shared" si="0"/>
        <v>3.6730695550679163E-2</v>
      </c>
    </row>
    <row r="32" spans="1:10" ht="12.75" thickBot="1">
      <c r="A32" s="63" t="str">
        <f>A10</f>
        <v>Retail Transmission Rate - Line and Transformation Connection Service Rate</v>
      </c>
      <c r="B32" s="64">
        <f>B17*Rates!D66</f>
        <v>882</v>
      </c>
      <c r="C32" s="65">
        <f>C10</f>
        <v>5.0000000000000001E-3</v>
      </c>
      <c r="D32" s="66">
        <f>B32*C32</f>
        <v>4.41</v>
      </c>
      <c r="E32" s="64">
        <f>B17*H17</f>
        <v>869.12</v>
      </c>
      <c r="F32" s="65">
        <f>D10</f>
        <v>4.7000000000000002E-3</v>
      </c>
      <c r="G32" s="66">
        <f>E32*F32</f>
        <v>4.0848640000000005</v>
      </c>
      <c r="H32" s="66">
        <f t="shared" si="1"/>
        <v>-0.32513599999999965</v>
      </c>
      <c r="I32" s="67">
        <f t="shared" si="2"/>
        <v>-7.3726984126984044E-2</v>
      </c>
      <c r="J32" s="68">
        <f t="shared" si="0"/>
        <v>3.0286713875121416E-2</v>
      </c>
    </row>
    <row r="33" spans="1:10" ht="12.75" thickBot="1">
      <c r="A33" s="73" t="s">
        <v>32</v>
      </c>
      <c r="B33" s="74"/>
      <c r="C33" s="75"/>
      <c r="D33" s="76">
        <f>SUM(D31:D32)</f>
        <v>9.4374000000000002</v>
      </c>
      <c r="E33" s="75"/>
      <c r="F33" s="75"/>
      <c r="G33" s="76">
        <f>SUM(G31:G32)</f>
        <v>9.0388480000000015</v>
      </c>
      <c r="H33" s="76">
        <f t="shared" si="1"/>
        <v>-0.39855199999999869</v>
      </c>
      <c r="I33" s="77">
        <f t="shared" si="2"/>
        <v>-4.2231122978786388E-2</v>
      </c>
      <c r="J33" s="78">
        <f t="shared" si="0"/>
        <v>6.7017409425800589E-2</v>
      </c>
    </row>
    <row r="34" spans="1:10" ht="12.75" thickBot="1">
      <c r="A34" s="81" t="s">
        <v>41</v>
      </c>
      <c r="B34" s="82"/>
      <c r="C34" s="83"/>
      <c r="D34" s="84">
        <f>D30+D33</f>
        <v>49.5274</v>
      </c>
      <c r="E34" s="83"/>
      <c r="F34" s="83"/>
      <c r="G34" s="84">
        <f>G30+G33</f>
        <v>54.718848000000001</v>
      </c>
      <c r="H34" s="84">
        <f t="shared" si="1"/>
        <v>5.1914480000000012</v>
      </c>
      <c r="I34" s="85">
        <f t="shared" si="2"/>
        <v>0.10481971595520866</v>
      </c>
      <c r="J34" s="86">
        <f t="shared" si="0"/>
        <v>0.40570606339703341</v>
      </c>
    </row>
    <row r="35" spans="1:10">
      <c r="A35" s="69" t="str">
        <f>A11</f>
        <v>Wholesale Market Service Rate</v>
      </c>
      <c r="B35" s="44">
        <f>B17*Rates!D66</f>
        <v>882</v>
      </c>
      <c r="C35" s="45">
        <f>C11</f>
        <v>5.1999999999999998E-3</v>
      </c>
      <c r="D35" s="47">
        <f>B35*C35</f>
        <v>4.5863999999999994</v>
      </c>
      <c r="E35" s="44">
        <f>B17*H17</f>
        <v>869.12</v>
      </c>
      <c r="F35" s="45">
        <f>D11</f>
        <v>5.1999999999999998E-3</v>
      </c>
      <c r="G35" s="47">
        <f>E35*F35</f>
        <v>4.5194239999999999</v>
      </c>
      <c r="H35" s="47">
        <f t="shared" si="1"/>
        <v>-6.697599999999948E-2</v>
      </c>
      <c r="I35" s="48">
        <f t="shared" si="2"/>
        <v>-1.4603174603174491E-2</v>
      </c>
      <c r="J35" s="72">
        <f t="shared" si="0"/>
        <v>3.3508704712900288E-2</v>
      </c>
    </row>
    <row r="36" spans="1:10">
      <c r="A36" s="61" t="str">
        <f>A12</f>
        <v>Rural Rate Protection Charge</v>
      </c>
      <c r="B36" s="39">
        <f>B17*Rates!D66</f>
        <v>882</v>
      </c>
      <c r="C36" s="40">
        <f>C12</f>
        <v>1E-3</v>
      </c>
      <c r="D36" s="41">
        <f>B36*C36</f>
        <v>0.88200000000000001</v>
      </c>
      <c r="E36" s="39">
        <f>B17*H17</f>
        <v>869.12</v>
      </c>
      <c r="F36" s="40">
        <f>D12</f>
        <v>1.2999999999999999E-3</v>
      </c>
      <c r="G36" s="41">
        <f>E36*F36</f>
        <v>1.129856</v>
      </c>
      <c r="H36" s="41">
        <f t="shared" si="1"/>
        <v>0.24785599999999997</v>
      </c>
      <c r="I36" s="42">
        <f t="shared" si="2"/>
        <v>0.281015873015873</v>
      </c>
      <c r="J36" s="62">
        <f t="shared" si="0"/>
        <v>8.3771761782250719E-3</v>
      </c>
    </row>
    <row r="37" spans="1:10">
      <c r="A37" s="63" t="s">
        <v>45</v>
      </c>
      <c r="B37" s="64">
        <f>B17*Rates!D66</f>
        <v>882</v>
      </c>
      <c r="C37" s="65">
        <f>Rates!D14</f>
        <v>3.725E-4</v>
      </c>
      <c r="D37" s="66">
        <f>B37*C37</f>
        <v>0.32854499999999998</v>
      </c>
      <c r="E37" s="64">
        <f>B17*Rates!F66</f>
        <v>869.12</v>
      </c>
      <c r="F37" s="65">
        <f>Rates!F14</f>
        <v>3.725E-4</v>
      </c>
      <c r="G37" s="66">
        <f>E37*F37</f>
        <v>0.32374720000000001</v>
      </c>
      <c r="H37" s="41">
        <f>G37-D37</f>
        <v>-4.7977999999999632E-3</v>
      </c>
      <c r="I37" s="42">
        <f>IF(ISERROR(H37/D37),0,H37/D37)</f>
        <v>-1.4603174603174493E-2</v>
      </c>
      <c r="J37" s="62">
        <f t="shared" si="0"/>
        <v>2.400383174145261E-3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1</v>
      </c>
      <c r="C38" s="66">
        <f>C14</f>
        <v>0.25</v>
      </c>
      <c r="D38" s="66">
        <f>B38*C38</f>
        <v>0.25</v>
      </c>
      <c r="E38" s="64">
        <f>B25</f>
        <v>1</v>
      </c>
      <c r="F38" s="66">
        <f>D14</f>
        <v>0.25</v>
      </c>
      <c r="G38" s="66">
        <f>E38*F38</f>
        <v>0.25</v>
      </c>
      <c r="H38" s="66">
        <f t="shared" si="1"/>
        <v>0</v>
      </c>
      <c r="I38" s="67">
        <f t="shared" si="2"/>
        <v>0</v>
      </c>
      <c r="J38" s="68">
        <f t="shared" si="0"/>
        <v>1.8535937717339801E-3</v>
      </c>
    </row>
    <row r="39" spans="1:10" ht="12.75" thickBot="1">
      <c r="A39" s="73" t="s">
        <v>42</v>
      </c>
      <c r="B39" s="74"/>
      <c r="C39" s="75"/>
      <c r="D39" s="76">
        <f>SUM(D35:D38)</f>
        <v>6.0469449999999991</v>
      </c>
      <c r="E39" s="75"/>
      <c r="F39" s="75"/>
      <c r="G39" s="76">
        <f>SUM(G35:G38)</f>
        <v>6.2230271999999998</v>
      </c>
      <c r="H39" s="76">
        <f t="shared" si="1"/>
        <v>0.17608220000000063</v>
      </c>
      <c r="I39" s="77">
        <f t="shared" si="2"/>
        <v>2.9119199860425497E-2</v>
      </c>
      <c r="J39" s="78">
        <f t="shared" si="0"/>
        <v>4.6139857837004597E-2</v>
      </c>
    </row>
    <row r="40" spans="1:10" ht="12.75" thickBot="1">
      <c r="A40" s="87" t="s">
        <v>19</v>
      </c>
      <c r="B40" s="88">
        <f>B17</f>
        <v>800</v>
      </c>
      <c r="C40" s="89">
        <f>Rates!D60</f>
        <v>2E-3</v>
      </c>
      <c r="D40" s="90">
        <f>B40*C40</f>
        <v>1.6</v>
      </c>
      <c r="E40" s="88">
        <f>B17</f>
        <v>800</v>
      </c>
      <c r="F40" s="89">
        <f>Rates!F60</f>
        <v>2E-3</v>
      </c>
      <c r="G40" s="90">
        <f>E40*F40</f>
        <v>1.6</v>
      </c>
      <c r="H40" s="90">
        <f t="shared" si="1"/>
        <v>0</v>
      </c>
      <c r="I40" s="91">
        <f t="shared" si="2"/>
        <v>0</v>
      </c>
      <c r="J40" s="92">
        <f t="shared" si="0"/>
        <v>1.1863000139097473E-2</v>
      </c>
    </row>
    <row r="41" spans="1:10" ht="12.75" thickBot="1">
      <c r="A41" s="73" t="s">
        <v>43</v>
      </c>
      <c r="B41" s="74"/>
      <c r="C41" s="75"/>
      <c r="D41" s="76">
        <f>D24+D34+D39+D40</f>
        <v>114.94234499999999</v>
      </c>
      <c r="E41" s="75"/>
      <c r="F41" s="75"/>
      <c r="G41" s="76">
        <f>G24+G34+G39+G40</f>
        <v>119.35675519999999</v>
      </c>
      <c r="H41" s="76">
        <f t="shared" si="1"/>
        <v>4.4144102000000061</v>
      </c>
      <c r="I41" s="77">
        <f t="shared" si="2"/>
        <v>3.8405430131080123E-2</v>
      </c>
      <c r="J41" s="78">
        <f t="shared" si="0"/>
        <v>0.88495575221238931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14.942504849999999</v>
      </c>
      <c r="E42" s="96"/>
      <c r="F42" s="95">
        <f>Rates!F67</f>
        <v>0.13</v>
      </c>
      <c r="G42" s="90">
        <f>F42*G41</f>
        <v>15.516378176</v>
      </c>
      <c r="H42" s="90">
        <f t="shared" si="1"/>
        <v>0.57387332600000107</v>
      </c>
      <c r="I42" s="91">
        <f t="shared" si="2"/>
        <v>3.8405430131080137E-2</v>
      </c>
      <c r="J42" s="92">
        <f t="shared" si="0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129.88484984999999</v>
      </c>
      <c r="E43" s="83"/>
      <c r="F43" s="83"/>
      <c r="G43" s="104">
        <f>G41+G42</f>
        <v>134.873133376</v>
      </c>
      <c r="H43" s="104">
        <f t="shared" si="1"/>
        <v>4.9882835260000036</v>
      </c>
      <c r="I43" s="85">
        <f t="shared" si="2"/>
        <v>3.8405430131080096E-2</v>
      </c>
      <c r="J43" s="86">
        <f t="shared" si="0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4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4" workbookViewId="0">
      <selection activeCell="A8" sqref="A8"/>
    </sheetView>
  </sheetViews>
  <sheetFormatPr defaultRowHeight="12"/>
  <cols>
    <col min="1" max="1" width="80.14062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4.4000000000000003E-3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90000</v>
      </c>
      <c r="C19" s="35" t="s">
        <v>27</v>
      </c>
      <c r="D19" s="36">
        <v>225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0.54824561403508776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4.1904532641857785E-3</v>
      </c>
    </row>
    <row r="25" spans="1:10" ht="12.75" thickBot="1">
      <c r="A25" s="63" t="s">
        <v>36</v>
      </c>
      <c r="B25" s="64">
        <f>IF(B19*Rates!D66&gt;=B20,B19*Rates!D66-B20,0)</f>
        <v>98475</v>
      </c>
      <c r="C25" s="65">
        <f>Rates!D62</f>
        <v>7.3999999999999996E-2</v>
      </c>
      <c r="D25" s="66">
        <f>B25*C25</f>
        <v>7287.15</v>
      </c>
      <c r="E25" s="64">
        <f>IF(B19*H19&gt;=B20,B19*H19-B20,0)</f>
        <v>97026</v>
      </c>
      <c r="F25" s="65">
        <f>Rates!F62</f>
        <v>7.3999999999999996E-2</v>
      </c>
      <c r="G25" s="66">
        <f>E25*F25</f>
        <v>7179.924</v>
      </c>
      <c r="H25" s="66">
        <f t="shared" si="0"/>
        <v>-107.22599999999966</v>
      </c>
      <c r="I25" s="67">
        <f>IF(ISERROR(H25/D25),0,H25/D25)</f>
        <v>-1.4714394516374667E-2</v>
      </c>
      <c r="J25" s="68">
        <f t="shared" si="1"/>
        <v>0.62681533255012112</v>
      </c>
    </row>
    <row r="26" spans="1:10" ht="12.75" thickBot="1">
      <c r="A26" s="73" t="s">
        <v>39</v>
      </c>
      <c r="B26" s="74"/>
      <c r="C26" s="75"/>
      <c r="D26" s="76">
        <f>SUM(D24:D25)</f>
        <v>7335.15</v>
      </c>
      <c r="E26" s="75"/>
      <c r="F26" s="75"/>
      <c r="G26" s="76">
        <f>SUM(G24:G25)</f>
        <v>7227.924</v>
      </c>
      <c r="H26" s="76">
        <f t="shared" si="0"/>
        <v>-107.22599999999966</v>
      </c>
      <c r="I26" s="77">
        <f>IF(ISERROR(H26/D26),0,H26/D26)</f>
        <v>-1.4618105969203038E-2</v>
      </c>
      <c r="J26" s="78">
        <f t="shared" si="1"/>
        <v>0.63100578581430689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5.2041937496800549E-2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8.7301109670537053E-5</v>
      </c>
    </row>
    <row r="29" spans="1:10">
      <c r="A29" s="61" t="str">
        <f>A6</f>
        <v>Distribution Volumetric Rate</v>
      </c>
      <c r="B29" s="43">
        <f>D19</f>
        <v>225</v>
      </c>
      <c r="C29" s="40">
        <f>C6</f>
        <v>2.4548999999999999</v>
      </c>
      <c r="D29" s="41">
        <f t="shared" si="2"/>
        <v>552.35249999999996</v>
      </c>
      <c r="E29" s="43">
        <f>D19</f>
        <v>225</v>
      </c>
      <c r="F29" s="40">
        <f>D6</f>
        <v>2.5728</v>
      </c>
      <c r="G29" s="41">
        <f t="shared" si="3"/>
        <v>578.88</v>
      </c>
      <c r="H29" s="41">
        <f t="shared" si="0"/>
        <v>26.527500000000032</v>
      </c>
      <c r="I29" s="42">
        <f t="shared" ref="I29:I45" si="4">IF(ISERROR(H29/D29),0,H29/D29)</f>
        <v>4.8026396187217463E-2</v>
      </c>
      <c r="J29" s="62">
        <f t="shared" si="1"/>
        <v>5.0536866366080492E-2</v>
      </c>
    </row>
    <row r="30" spans="1:10">
      <c r="A30" s="61" t="str">
        <f>A7</f>
        <v>Rate Rider for Deferral/Variance Account Disposition - effective until May 31, 2013</v>
      </c>
      <c r="B30" s="43">
        <f>D19</f>
        <v>225</v>
      </c>
      <c r="C30" s="40">
        <f>C7</f>
        <v>0</v>
      </c>
      <c r="D30" s="41">
        <f t="shared" si="2"/>
        <v>0</v>
      </c>
      <c r="E30" s="43">
        <f>D19</f>
        <v>225</v>
      </c>
      <c r="F30" s="40">
        <f>D7</f>
        <v>4.4000000000000003E-3</v>
      </c>
      <c r="G30" s="41">
        <f t="shared" si="3"/>
        <v>0.9900000000000001</v>
      </c>
      <c r="H30" s="41">
        <f t="shared" si="0"/>
        <v>0.9900000000000001</v>
      </c>
      <c r="I30" s="42">
        <f t="shared" si="4"/>
        <v>0</v>
      </c>
      <c r="J30" s="62">
        <f t="shared" si="1"/>
        <v>8.6428098573831694E-5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225</v>
      </c>
      <c r="C31" s="40">
        <f>C8</f>
        <v>-0.20250000000000001</v>
      </c>
      <c r="D31" s="41">
        <f t="shared" si="2"/>
        <v>-45.5625</v>
      </c>
      <c r="E31" s="43">
        <f>D19</f>
        <v>225</v>
      </c>
      <c r="F31" s="40">
        <f>D8</f>
        <v>-0.20250000000000001</v>
      </c>
      <c r="G31" s="41">
        <f t="shared" si="3"/>
        <v>-45.5625</v>
      </c>
      <c r="H31" s="41">
        <f t="shared" si="0"/>
        <v>0</v>
      </c>
      <c r="I31" s="42">
        <f t="shared" si="4"/>
        <v>0</v>
      </c>
      <c r="J31" s="62">
        <f t="shared" si="1"/>
        <v>-3.9776568093638446E-3</v>
      </c>
    </row>
    <row r="32" spans="1:10" ht="12.75" thickBot="1">
      <c r="A32" s="73" t="s">
        <v>40</v>
      </c>
      <c r="B32" s="74"/>
      <c r="C32" s="75"/>
      <c r="D32" s="80">
        <f>SUM(D27:D31)</f>
        <v>1102.9099999999999</v>
      </c>
      <c r="E32" s="75"/>
      <c r="F32" s="75"/>
      <c r="G32" s="76">
        <f>SUM(G27:G31)</f>
        <v>1131.4275</v>
      </c>
      <c r="H32" s="76">
        <f t="shared" si="0"/>
        <v>28.517500000000155</v>
      </c>
      <c r="I32" s="77">
        <f t="shared" si="4"/>
        <v>2.5856597546490792E-2</v>
      </c>
      <c r="J32" s="78">
        <f t="shared" si="1"/>
        <v>9.8774876261761568E-2</v>
      </c>
    </row>
    <row r="33" spans="1:10">
      <c r="A33" s="69" t="str">
        <f>A9</f>
        <v>Retail Transmission Rate - Network Service Rate</v>
      </c>
      <c r="B33" s="44">
        <f>D19*Rates!D66</f>
        <v>248.0625</v>
      </c>
      <c r="C33" s="45">
        <f>C9</f>
        <v>2.1217999999999999</v>
      </c>
      <c r="D33" s="47">
        <f>B33*C33</f>
        <v>526.33901249999997</v>
      </c>
      <c r="E33" s="44">
        <f>D19*H19</f>
        <v>244.44</v>
      </c>
      <c r="F33" s="45">
        <f>D9</f>
        <v>2.1217999999999999</v>
      </c>
      <c r="G33" s="47">
        <f>E33*F33</f>
        <v>518.65279199999998</v>
      </c>
      <c r="H33" s="47">
        <f t="shared" si="0"/>
        <v>-7.6862204999999904</v>
      </c>
      <c r="I33" s="48">
        <f t="shared" si="4"/>
        <v>-1.4603174603174585E-2</v>
      </c>
      <c r="J33" s="72">
        <f t="shared" si="1"/>
        <v>4.5278964275322242E-2</v>
      </c>
    </row>
    <row r="34" spans="1:10" ht="12.75" thickBot="1">
      <c r="A34" s="63" t="str">
        <f>A10</f>
        <v>Retail Transmission Rate - Line and Transformation Connection Service Rate</v>
      </c>
      <c r="B34" s="64">
        <f>D19*Rates!D66</f>
        <v>248.0625</v>
      </c>
      <c r="C34" s="65">
        <f>C10</f>
        <v>1.7882</v>
      </c>
      <c r="D34" s="66">
        <f>B34*C34</f>
        <v>443.58536250000003</v>
      </c>
      <c r="E34" s="64">
        <f>D19*H19</f>
        <v>244.44</v>
      </c>
      <c r="F34" s="65">
        <f>D10</f>
        <v>1.6634</v>
      </c>
      <c r="G34" s="66">
        <f>E34*F34</f>
        <v>406.601496</v>
      </c>
      <c r="H34" s="66">
        <f t="shared" si="0"/>
        <v>-36.983866500000033</v>
      </c>
      <c r="I34" s="67">
        <f t="shared" si="4"/>
        <v>-8.3374857753562667E-2</v>
      </c>
      <c r="J34" s="68">
        <f t="shared" si="1"/>
        <v>3.5496761794500432E-2</v>
      </c>
    </row>
    <row r="35" spans="1:10" ht="12.75" thickBot="1">
      <c r="A35" s="73" t="s">
        <v>32</v>
      </c>
      <c r="B35" s="74"/>
      <c r="C35" s="75"/>
      <c r="D35" s="76">
        <f>SUM(D33:D34)</f>
        <v>969.92437500000005</v>
      </c>
      <c r="E35" s="75"/>
      <c r="F35" s="75"/>
      <c r="G35" s="76">
        <f>SUM(G33:G34)</f>
        <v>925.25428799999997</v>
      </c>
      <c r="H35" s="76">
        <f t="shared" si="0"/>
        <v>-44.67008700000008</v>
      </c>
      <c r="I35" s="77">
        <f t="shared" si="4"/>
        <v>-4.6055226728372589E-2</v>
      </c>
      <c r="J35" s="78">
        <f t="shared" si="1"/>
        <v>8.0775726069822681E-2</v>
      </c>
    </row>
    <row r="36" spans="1:10" ht="12.75" thickBot="1">
      <c r="A36" s="81" t="s">
        <v>41</v>
      </c>
      <c r="B36" s="82"/>
      <c r="C36" s="83"/>
      <c r="D36" s="84">
        <f>D32+D35</f>
        <v>2072.8343749999999</v>
      </c>
      <c r="E36" s="83"/>
      <c r="F36" s="83"/>
      <c r="G36" s="84">
        <f>G32+G35</f>
        <v>2056.6817879999999</v>
      </c>
      <c r="H36" s="84">
        <f t="shared" si="0"/>
        <v>-16.15258700000004</v>
      </c>
      <c r="I36" s="85">
        <f t="shared" si="4"/>
        <v>-7.7925121248532169E-3</v>
      </c>
      <c r="J36" s="86">
        <f t="shared" si="1"/>
        <v>0.17955060233158424</v>
      </c>
    </row>
    <row r="37" spans="1:10">
      <c r="A37" s="69" t="str">
        <f>A13</f>
        <v>Wholesale Market Service Rate</v>
      </c>
      <c r="B37" s="44">
        <f>B19*Rates!D66</f>
        <v>99225</v>
      </c>
      <c r="C37" s="45">
        <f>C13</f>
        <v>5.1999999999999998E-3</v>
      </c>
      <c r="D37" s="47">
        <f>B37*C37</f>
        <v>515.97</v>
      </c>
      <c r="E37" s="44">
        <f>B19*H19</f>
        <v>97776</v>
      </c>
      <c r="F37" s="45">
        <f>D13</f>
        <v>5.1999999999999998E-3</v>
      </c>
      <c r="G37" s="47">
        <f>E37*F37</f>
        <v>508.43519999999995</v>
      </c>
      <c r="H37" s="47">
        <f t="shared" si="0"/>
        <v>-7.5348000000000752</v>
      </c>
      <c r="I37" s="48">
        <f t="shared" si="4"/>
        <v>-1.4603174603174748E-2</v>
      </c>
      <c r="J37" s="72">
        <f t="shared" si="1"/>
        <v>4.4386957155561436E-2</v>
      </c>
    </row>
    <row r="38" spans="1:10">
      <c r="A38" s="61" t="str">
        <f>A14</f>
        <v>Rural Rate Protection Charge</v>
      </c>
      <c r="B38" s="39">
        <f>B19*Rates!D66</f>
        <v>99225</v>
      </c>
      <c r="C38" s="40">
        <f>C14</f>
        <v>1E-3</v>
      </c>
      <c r="D38" s="41">
        <f>B38*C38</f>
        <v>99.225000000000009</v>
      </c>
      <c r="E38" s="39">
        <f>B19*H19</f>
        <v>97776</v>
      </c>
      <c r="F38" s="40">
        <f>D14</f>
        <v>1.2999999999999999E-3</v>
      </c>
      <c r="G38" s="41">
        <f>E38*F38</f>
        <v>127.10879999999999</v>
      </c>
      <c r="H38" s="41">
        <f t="shared" si="0"/>
        <v>27.883799999999979</v>
      </c>
      <c r="I38" s="42">
        <f t="shared" si="4"/>
        <v>0.28101587301587277</v>
      </c>
      <c r="J38" s="62">
        <f t="shared" si="1"/>
        <v>1.1096739288890359E-2</v>
      </c>
    </row>
    <row r="39" spans="1:10">
      <c r="A39" s="63" t="s">
        <v>45</v>
      </c>
      <c r="B39" s="64">
        <f>B19*Rates!D66</f>
        <v>99225</v>
      </c>
      <c r="C39" s="65">
        <f>Rates!D29</f>
        <v>3.725E-4</v>
      </c>
      <c r="D39" s="66">
        <f>B39*C39</f>
        <v>36.961312499999998</v>
      </c>
      <c r="E39" s="64">
        <f>B19*Rates!F66</f>
        <v>97776</v>
      </c>
      <c r="F39" s="65">
        <f>Rates!F29</f>
        <v>3.725E-4</v>
      </c>
      <c r="G39" s="66">
        <f>E39*F39</f>
        <v>36.421559999999999</v>
      </c>
      <c r="H39" s="41">
        <f>G39-D39</f>
        <v>-0.53975249999999875</v>
      </c>
      <c r="I39" s="42">
        <f>IF(ISERROR(H39/D39),0,H39/D39)</f>
        <v>-1.4603174603174569E-2</v>
      </c>
      <c r="J39" s="62">
        <f t="shared" si="1"/>
        <v>3.1796426039320458E-3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2.1825277417634263E-5</v>
      </c>
    </row>
    <row r="41" spans="1:10" ht="12.75" thickBot="1">
      <c r="A41" s="73" t="s">
        <v>42</v>
      </c>
      <c r="B41" s="74"/>
      <c r="C41" s="75"/>
      <c r="D41" s="76">
        <f>SUM(D37:D40)</f>
        <v>652.40631250000001</v>
      </c>
      <c r="E41" s="75"/>
      <c r="F41" s="75"/>
      <c r="G41" s="76">
        <f>SUM(G37:G40)</f>
        <v>672.21555999999998</v>
      </c>
      <c r="H41" s="76">
        <f t="shared" si="0"/>
        <v>19.809247499999969</v>
      </c>
      <c r="I41" s="77">
        <f t="shared" si="4"/>
        <v>3.0363359643305058E-2</v>
      </c>
      <c r="J41" s="78">
        <f t="shared" si="1"/>
        <v>5.8685164325801481E-2</v>
      </c>
    </row>
    <row r="42" spans="1:10" ht="12.75" thickBot="1">
      <c r="A42" s="87" t="s">
        <v>19</v>
      </c>
      <c r="B42" s="88">
        <f>B19</f>
        <v>90000</v>
      </c>
      <c r="C42" s="89">
        <f>Rates!D60</f>
        <v>2E-3</v>
      </c>
      <c r="D42" s="90">
        <f>B42*C42</f>
        <v>180</v>
      </c>
      <c r="E42" s="88">
        <f>B19</f>
        <v>90000</v>
      </c>
      <c r="F42" s="89">
        <f>Rates!F60</f>
        <v>2E-3</v>
      </c>
      <c r="G42" s="90">
        <f>E42*F42</f>
        <v>180</v>
      </c>
      <c r="H42" s="90">
        <f t="shared" si="0"/>
        <v>0</v>
      </c>
      <c r="I42" s="91">
        <f t="shared" si="4"/>
        <v>0</v>
      </c>
      <c r="J42" s="92">
        <f t="shared" si="1"/>
        <v>1.5714199740696669E-2</v>
      </c>
    </row>
    <row r="43" spans="1:10" ht="12.75" thickBot="1">
      <c r="A43" s="73" t="s">
        <v>43</v>
      </c>
      <c r="B43" s="74"/>
      <c r="C43" s="75"/>
      <c r="D43" s="76">
        <f>D26+D36+D41+D42</f>
        <v>10240.390687499999</v>
      </c>
      <c r="E43" s="75"/>
      <c r="F43" s="75"/>
      <c r="G43" s="76">
        <f>G26+G36+G41+G42</f>
        <v>10136.821348000001</v>
      </c>
      <c r="H43" s="76">
        <f t="shared" si="0"/>
        <v>-103.56933949999802</v>
      </c>
      <c r="I43" s="77">
        <f t="shared" si="4"/>
        <v>-1.0113807437681125E-2</v>
      </c>
      <c r="J43" s="78">
        <f t="shared" si="1"/>
        <v>0.88495575221238942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1331.2507893750001</v>
      </c>
      <c r="E44" s="96"/>
      <c r="F44" s="95">
        <f>Rates!F67</f>
        <v>0.13</v>
      </c>
      <c r="G44" s="90">
        <f>F44*G43</f>
        <v>1317.7867752400002</v>
      </c>
      <c r="H44" s="90">
        <f t="shared" si="0"/>
        <v>-13.464014134999843</v>
      </c>
      <c r="I44" s="91">
        <f t="shared" si="4"/>
        <v>-1.0113807437681199E-2</v>
      </c>
      <c r="J44" s="92">
        <f t="shared" si="1"/>
        <v>0.11504424778761063</v>
      </c>
    </row>
    <row r="45" spans="1:10" ht="12.75" thickBot="1">
      <c r="A45" s="81" t="s">
        <v>33</v>
      </c>
      <c r="B45" s="82"/>
      <c r="C45" s="83"/>
      <c r="D45" s="104">
        <f>D43+D44</f>
        <v>11571.641476875</v>
      </c>
      <c r="E45" s="83"/>
      <c r="F45" s="83"/>
      <c r="G45" s="104">
        <f>G43+G44</f>
        <v>11454.608123240001</v>
      </c>
      <c r="H45" s="104">
        <f t="shared" si="0"/>
        <v>-117.033353634999</v>
      </c>
      <c r="I45" s="85">
        <f t="shared" si="4"/>
        <v>-1.011380743768123E-2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2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workbookViewId="0">
      <selection activeCell="A7" sqref="A7"/>
    </sheetView>
  </sheetViews>
  <sheetFormatPr defaultRowHeight="1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>
      <c r="A2" s="107" t="s">
        <v>50</v>
      </c>
    </row>
    <row r="3" spans="1:4" ht="36.75" thickBot="1">
      <c r="A3" s="14" t="str">
        <f>Rates!A17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Rates!A18</f>
        <v>Monthly Service Charge</v>
      </c>
      <c r="B4" s="24" t="str">
        <f>Rates!B18</f>
        <v>$</v>
      </c>
      <c r="C4" s="25">
        <f>Rates!D18</f>
        <v>596.12</v>
      </c>
      <c r="D4" s="26">
        <f>Rates!F18</f>
        <v>596.12</v>
      </c>
    </row>
    <row r="5" spans="1:4">
      <c r="A5" s="27" t="str">
        <f>Rates!A19</f>
        <v>Smart Meter Rate Adder</v>
      </c>
      <c r="B5" s="28" t="str">
        <f>Rates!B19</f>
        <v>$</v>
      </c>
      <c r="C5" s="29">
        <f>Rates!D19</f>
        <v>0</v>
      </c>
      <c r="D5" s="30">
        <f>Rates!F19</f>
        <v>1</v>
      </c>
    </row>
    <row r="6" spans="1:4">
      <c r="A6" s="27" t="str">
        <f>Rates!A20</f>
        <v>Distribution Volumetric Rate</v>
      </c>
      <c r="B6" s="28" t="str">
        <f>Rates!B20</f>
        <v>$/kW</v>
      </c>
      <c r="C6" s="31">
        <f>Rates!D20</f>
        <v>2.4548999999999999</v>
      </c>
      <c r="D6" s="32">
        <f>Rates!F20</f>
        <v>2.5728</v>
      </c>
    </row>
    <row r="7" spans="1:4">
      <c r="A7" s="27" t="str">
        <f>Rates!A21</f>
        <v>Rate Rider for Deferral/Variance Account Disposition - effective until May 31, 2013</v>
      </c>
      <c r="B7" s="28"/>
      <c r="C7" s="31">
        <f>Rates!D21</f>
        <v>0</v>
      </c>
      <c r="D7" s="32">
        <f>Rates!F21</f>
        <v>4.4000000000000003E-3</v>
      </c>
    </row>
    <row r="8" spans="1:4">
      <c r="A8" s="27" t="str">
        <f>Rates!A22</f>
        <v>Rate Rider for Deferral/Variance Account Disposition - effective until December 31, 2010</v>
      </c>
      <c r="B8" s="28" t="str">
        <f>Rates!B22</f>
        <v>$/kW</v>
      </c>
      <c r="C8" s="31">
        <f>Rates!D22</f>
        <v>-0.20250000000000001</v>
      </c>
      <c r="D8" s="32">
        <f>Rates!F22</f>
        <v>-0.20250000000000001</v>
      </c>
    </row>
    <row r="9" spans="1:4">
      <c r="A9" s="27" t="str">
        <f>Rates!A23</f>
        <v>Retail Transmission Rate - Network Service Rate</v>
      </c>
      <c r="B9" s="28" t="str">
        <f>Rates!B23</f>
        <v>$/kW</v>
      </c>
      <c r="C9" s="31">
        <f>Rates!D23</f>
        <v>2.1217999999999999</v>
      </c>
      <c r="D9" s="32">
        <f>Rates!F23</f>
        <v>2.1217999999999999</v>
      </c>
    </row>
    <row r="10" spans="1:4">
      <c r="A10" s="27" t="str">
        <f>Rates!A24</f>
        <v>Retail Transmission Rate - Line and Transformation Connection Service Rate</v>
      </c>
      <c r="B10" s="28" t="str">
        <f>Rates!B24</f>
        <v>$/kW</v>
      </c>
      <c r="C10" s="31">
        <f>Rates!D24</f>
        <v>1.7882</v>
      </c>
      <c r="D10" s="32">
        <f>Rates!F24</f>
        <v>1.6634</v>
      </c>
    </row>
    <row r="11" spans="1:4">
      <c r="A11" s="19" t="str">
        <f>Rates!A25</f>
        <v>Retail Transmission Rate - Network Service Rate - Interval Meter &gt; 1,000 kW</v>
      </c>
      <c r="B11" s="20" t="str">
        <f>Rates!B25</f>
        <v>$/kW</v>
      </c>
      <c r="C11" s="21">
        <f>Rates!D25</f>
        <v>2.2507999999999999</v>
      </c>
      <c r="D11" s="22">
        <f>Rates!F25</f>
        <v>2.2507999999999999</v>
      </c>
    </row>
    <row r="12" spans="1:4">
      <c r="A12" s="19" t="str">
        <f>Rates!A26</f>
        <v>Retail Transmission Rate - Line and Transformation Connection Service Rate - Interval &gt; 1,000 kW</v>
      </c>
      <c r="B12" s="20" t="str">
        <f>Rates!B26</f>
        <v>$/kW</v>
      </c>
      <c r="C12" s="21">
        <f>Rates!D26</f>
        <v>1.9762999999999999</v>
      </c>
      <c r="D12" s="22">
        <f>Rates!F26</f>
        <v>1.8384</v>
      </c>
    </row>
    <row r="13" spans="1:4">
      <c r="A13" s="19" t="str">
        <f>Rates!A27</f>
        <v>Wholesale Market Service Rate</v>
      </c>
      <c r="B13" s="20" t="str">
        <f>Rates!B27</f>
        <v>$/kWh</v>
      </c>
      <c r="C13" s="21">
        <f>Rates!D27</f>
        <v>5.1999999999999998E-3</v>
      </c>
      <c r="D13" s="22">
        <f>Rates!F27</f>
        <v>5.1999999999999998E-3</v>
      </c>
    </row>
    <row r="14" spans="1:4">
      <c r="A14" s="19" t="str">
        <f>Rates!A28</f>
        <v>Rural Rate Protection Charge</v>
      </c>
      <c r="B14" s="20" t="str">
        <f>Rates!B28</f>
        <v>$/kWh</v>
      </c>
      <c r="C14" s="21">
        <f>Rates!D28</f>
        <v>1E-3</v>
      </c>
      <c r="D14" s="22">
        <f>Rates!F28</f>
        <v>1.2999999999999999E-3</v>
      </c>
    </row>
    <row r="15" spans="1:4">
      <c r="A15" s="27" t="str">
        <f>Rates!A29</f>
        <v>Special Purpose Charge</v>
      </c>
      <c r="B15" s="28" t="str">
        <f>Rates!B29</f>
        <v>$/kWh</v>
      </c>
      <c r="C15" s="31">
        <f>Rates!D29</f>
        <v>3.725E-4</v>
      </c>
      <c r="D15" s="32">
        <f>Rates!F29</f>
        <v>3.725E-4</v>
      </c>
    </row>
    <row r="16" spans="1:4" ht="12.75" thickBot="1">
      <c r="A16" s="12" t="str">
        <f>Rates!A30</f>
        <v>Standard Supply Service - Administarive Charge (if applicable)</v>
      </c>
      <c r="B16" s="17" t="str">
        <f>Rates!B30</f>
        <v>$</v>
      </c>
      <c r="C16" s="18">
        <f>Rates!D30</f>
        <v>0.25</v>
      </c>
      <c r="D16" s="13">
        <f>Rates!F30</f>
        <v>0.25</v>
      </c>
    </row>
    <row r="18" spans="1:10" ht="12.75" thickBot="1"/>
    <row r="19" spans="1:10" ht="13.5" thickBot="1">
      <c r="A19" s="33" t="s">
        <v>26</v>
      </c>
      <c r="B19" s="34">
        <v>1100000</v>
      </c>
      <c r="C19" s="35" t="s">
        <v>27</v>
      </c>
      <c r="D19" s="36">
        <v>2500</v>
      </c>
      <c r="E19" s="35" t="s">
        <v>28</v>
      </c>
      <c r="G19" s="37" t="s">
        <v>23</v>
      </c>
      <c r="H19" s="53">
        <f>Rates!F66</f>
        <v>1.0864</v>
      </c>
    </row>
    <row r="20" spans="1:10" ht="13.5" thickBot="1">
      <c r="A20" s="33" t="s">
        <v>29</v>
      </c>
      <c r="B20" s="34">
        <v>750</v>
      </c>
      <c r="C20" s="35" t="s">
        <v>27</v>
      </c>
      <c r="D20" s="37" t="s">
        <v>30</v>
      </c>
      <c r="E20" s="97">
        <f>IF(D19&gt;0,B19/(D19*24*30.4)," ")</f>
        <v>0.60307017543859653</v>
      </c>
    </row>
    <row r="21" spans="1:10" ht="12.75" thickBot="1"/>
    <row r="22" spans="1:10" ht="12.75" customHeight="1">
      <c r="A22" s="112" t="str">
        <f>A3</f>
        <v>Residential - R2</v>
      </c>
      <c r="B22" s="114" t="s">
        <v>31</v>
      </c>
      <c r="C22" s="49" t="s">
        <v>37</v>
      </c>
      <c r="D22" s="49" t="s">
        <v>38</v>
      </c>
      <c r="E22" s="114" t="s">
        <v>31</v>
      </c>
      <c r="F22" s="49" t="s">
        <v>37</v>
      </c>
      <c r="G22" s="49" t="s">
        <v>38</v>
      </c>
      <c r="H22" s="116" t="s">
        <v>44</v>
      </c>
      <c r="I22" s="116"/>
      <c r="J22" s="117"/>
    </row>
    <row r="23" spans="1:10" ht="12.75" thickBot="1">
      <c r="A23" s="113"/>
      <c r="B23" s="115"/>
      <c r="C23" s="50" t="s">
        <v>15</v>
      </c>
      <c r="D23" s="50" t="s">
        <v>15</v>
      </c>
      <c r="E23" s="115"/>
      <c r="F23" s="50" t="s">
        <v>15</v>
      </c>
      <c r="G23" s="50" t="s">
        <v>15</v>
      </c>
      <c r="H23" s="50" t="s">
        <v>15</v>
      </c>
      <c r="I23" s="51" t="s">
        <v>22</v>
      </c>
      <c r="J23" s="52" t="s">
        <v>34</v>
      </c>
    </row>
    <row r="24" spans="1:10">
      <c r="A24" s="54" t="s">
        <v>35</v>
      </c>
      <c r="B24" s="55">
        <f>IF(B19*Rates!D66&gt;B20,B20,B19*Rates!D66)</f>
        <v>750</v>
      </c>
      <c r="C24" s="56">
        <f>Rates!D61</f>
        <v>6.4000000000000001E-2</v>
      </c>
      <c r="D24" s="57">
        <f>B24*C24</f>
        <v>48</v>
      </c>
      <c r="E24" s="55">
        <f>IF(B19*H19&gt;B20,B20,B19*H19)</f>
        <v>750</v>
      </c>
      <c r="F24" s="56">
        <f>Rates!F61</f>
        <v>6.4000000000000001E-2</v>
      </c>
      <c r="G24" s="57">
        <f>E24*F24</f>
        <v>48</v>
      </c>
      <c r="H24" s="58">
        <f t="shared" ref="H24:H45" si="0">G24-D24</f>
        <v>0</v>
      </c>
      <c r="I24" s="59">
        <f>IF(ISERROR(H24/D24),1,H24/D24)</f>
        <v>0</v>
      </c>
      <c r="J24" s="60">
        <f t="shared" ref="J24:J45" si="1">IF(ISERROR(G24/G$45),0,G24/G$45)</f>
        <v>3.6468345174749518E-4</v>
      </c>
    </row>
    <row r="25" spans="1:10" ht="12.75" thickBot="1">
      <c r="A25" s="63" t="s">
        <v>36</v>
      </c>
      <c r="B25" s="64">
        <f>IF(B19*Rates!D66&gt;=B20,B19*Rates!D66-B20,0)</f>
        <v>1212000</v>
      </c>
      <c r="C25" s="65">
        <f>Rates!D62</f>
        <v>7.3999999999999996E-2</v>
      </c>
      <c r="D25" s="66">
        <f>B25*C25</f>
        <v>89688</v>
      </c>
      <c r="E25" s="64">
        <f>IF(B19*H19&gt;=B20,B19*H19-B20,0)</f>
        <v>1194290</v>
      </c>
      <c r="F25" s="65">
        <f>Rates!F62</f>
        <v>7.3999999999999996E-2</v>
      </c>
      <c r="G25" s="66">
        <f>E25*F25</f>
        <v>88377.459999999992</v>
      </c>
      <c r="H25" s="66">
        <f t="shared" si="0"/>
        <v>-1310.5400000000081</v>
      </c>
      <c r="I25" s="67">
        <f>IF(ISERROR(H25/D25),0,H25/D25)</f>
        <v>-1.4612211221122204E-2</v>
      </c>
      <c r="J25" s="68">
        <f t="shared" si="1"/>
        <v>0.67145410769742053</v>
      </c>
    </row>
    <row r="26" spans="1:10" ht="12.75" thickBot="1">
      <c r="A26" s="73" t="s">
        <v>39</v>
      </c>
      <c r="B26" s="74"/>
      <c r="C26" s="75"/>
      <c r="D26" s="76">
        <f>SUM(D24:D25)</f>
        <v>89736</v>
      </c>
      <c r="E26" s="75"/>
      <c r="F26" s="75"/>
      <c r="G26" s="76">
        <f>SUM(G24:G25)</f>
        <v>88425.459999999992</v>
      </c>
      <c r="H26" s="76">
        <f t="shared" si="0"/>
        <v>-1310.5400000000081</v>
      </c>
      <c r="I26" s="77">
        <f>IF(ISERROR(H26/D26),0,H26/D26)</f>
        <v>-1.460439511455835E-2</v>
      </c>
      <c r="J26" s="78">
        <f t="shared" si="1"/>
        <v>0.67181879114916798</v>
      </c>
    </row>
    <row r="27" spans="1:10">
      <c r="A27" s="69" t="str">
        <f>A4</f>
        <v>Monthly Service Charge</v>
      </c>
      <c r="B27" s="70">
        <v>1</v>
      </c>
      <c r="C27" s="46">
        <f>C4</f>
        <v>596.12</v>
      </c>
      <c r="D27" s="46">
        <f t="shared" ref="D27:D31" si="2">B27*C27</f>
        <v>596.12</v>
      </c>
      <c r="E27" s="71">
        <f>B27</f>
        <v>1</v>
      </c>
      <c r="F27" s="47">
        <f>D4</f>
        <v>596.12</v>
      </c>
      <c r="G27" s="47">
        <f t="shared" ref="G27:G31" si="3">E27*F27</f>
        <v>596.12</v>
      </c>
      <c r="H27" s="47">
        <f t="shared" si="0"/>
        <v>0</v>
      </c>
      <c r="I27" s="48">
        <f>IF(ISERROR(H27/D27),0,H27/D27)</f>
        <v>0</v>
      </c>
      <c r="J27" s="72">
        <f t="shared" si="1"/>
        <v>4.5290645678274337E-3</v>
      </c>
    </row>
    <row r="28" spans="1:10">
      <c r="A28" s="61" t="str">
        <f>A5</f>
        <v>Smart Meter Rate Adder</v>
      </c>
      <c r="B28" s="43">
        <f>B27</f>
        <v>1</v>
      </c>
      <c r="C28" s="41">
        <f>C5</f>
        <v>0</v>
      </c>
      <c r="D28" s="41">
        <f t="shared" si="2"/>
        <v>0</v>
      </c>
      <c r="E28" s="43">
        <f>B28</f>
        <v>1</v>
      </c>
      <c r="F28" s="41">
        <f>D5</f>
        <v>1</v>
      </c>
      <c r="G28" s="41">
        <f t="shared" si="3"/>
        <v>1</v>
      </c>
      <c r="H28" s="41">
        <f t="shared" si="0"/>
        <v>1</v>
      </c>
      <c r="I28" s="42">
        <f>IF(ISERROR(H28/D28),1,H28/D28)</f>
        <v>1</v>
      </c>
      <c r="J28" s="62">
        <f t="shared" si="1"/>
        <v>7.5975719114061499E-6</v>
      </c>
    </row>
    <row r="29" spans="1:10">
      <c r="A29" s="61" t="str">
        <f>A6</f>
        <v>Distribution Volumetric Rate</v>
      </c>
      <c r="B29" s="43">
        <f>D19</f>
        <v>2500</v>
      </c>
      <c r="C29" s="40">
        <f>C6</f>
        <v>2.4548999999999999</v>
      </c>
      <c r="D29" s="41">
        <f t="shared" si="2"/>
        <v>6137.25</v>
      </c>
      <c r="E29" s="43">
        <f>D19</f>
        <v>2500</v>
      </c>
      <c r="F29" s="40">
        <f>D6</f>
        <v>2.5728</v>
      </c>
      <c r="G29" s="41">
        <f t="shared" si="3"/>
        <v>6432</v>
      </c>
      <c r="H29" s="41">
        <f t="shared" si="0"/>
        <v>294.75</v>
      </c>
      <c r="I29" s="42">
        <f t="shared" ref="I29:I45" si="4">IF(ISERROR(H29/D29),0,H29/D29)</f>
        <v>4.80263961872174E-2</v>
      </c>
      <c r="J29" s="62">
        <f t="shared" si="1"/>
        <v>4.8867582534164358E-2</v>
      </c>
    </row>
    <row r="30" spans="1:10">
      <c r="A30" s="61" t="str">
        <f>A7</f>
        <v>Rate Rider for Deferral/Variance Account Disposition - effective until May 31, 2013</v>
      </c>
      <c r="B30" s="43">
        <f>D19</f>
        <v>2500</v>
      </c>
      <c r="C30" s="40">
        <f>C7</f>
        <v>0</v>
      </c>
      <c r="D30" s="41">
        <f t="shared" si="2"/>
        <v>0</v>
      </c>
      <c r="E30" s="43">
        <f>D19</f>
        <v>2500</v>
      </c>
      <c r="F30" s="40">
        <f>D7</f>
        <v>4.4000000000000003E-3</v>
      </c>
      <c r="G30" s="41">
        <f t="shared" si="3"/>
        <v>11</v>
      </c>
      <c r="H30" s="41">
        <f t="shared" si="0"/>
        <v>11</v>
      </c>
      <c r="I30" s="42">
        <f t="shared" si="4"/>
        <v>0</v>
      </c>
      <c r="J30" s="62">
        <f t="shared" si="1"/>
        <v>8.3573291025467648E-5</v>
      </c>
    </row>
    <row r="31" spans="1:10" ht="12.75" thickBot="1">
      <c r="A31" s="61" t="str">
        <f>A8</f>
        <v>Rate Rider for Deferral/Variance Account Disposition - effective until December 31, 2010</v>
      </c>
      <c r="B31" s="43">
        <f>D19</f>
        <v>2500</v>
      </c>
      <c r="C31" s="40">
        <f>C8</f>
        <v>-0.20250000000000001</v>
      </c>
      <c r="D31" s="41">
        <f t="shared" si="2"/>
        <v>-506.25000000000006</v>
      </c>
      <c r="E31" s="43">
        <f>D19</f>
        <v>2500</v>
      </c>
      <c r="F31" s="40">
        <f>D8</f>
        <v>-0.20250000000000001</v>
      </c>
      <c r="G31" s="41">
        <f t="shared" si="3"/>
        <v>-506.25000000000006</v>
      </c>
      <c r="H31" s="41">
        <f t="shared" si="0"/>
        <v>0</v>
      </c>
      <c r="I31" s="42">
        <f t="shared" si="4"/>
        <v>0</v>
      </c>
      <c r="J31" s="62">
        <f t="shared" si="1"/>
        <v>-3.8462707801493637E-3</v>
      </c>
    </row>
    <row r="32" spans="1:10" ht="12.75" thickBot="1">
      <c r="A32" s="73" t="s">
        <v>40</v>
      </c>
      <c r="B32" s="74"/>
      <c r="C32" s="75"/>
      <c r="D32" s="80">
        <f>SUM(D27:D31)</f>
        <v>6227.12</v>
      </c>
      <c r="E32" s="75"/>
      <c r="F32" s="75"/>
      <c r="G32" s="76">
        <f>SUM(G27:G31)</f>
        <v>6533.87</v>
      </c>
      <c r="H32" s="76">
        <f t="shared" si="0"/>
        <v>306.75</v>
      </c>
      <c r="I32" s="77">
        <f t="shared" si="4"/>
        <v>4.9260332224206373E-2</v>
      </c>
      <c r="J32" s="78">
        <f t="shared" si="1"/>
        <v>4.9641547184779297E-2</v>
      </c>
    </row>
    <row r="33" spans="1:10">
      <c r="A33" s="69" t="str">
        <f>A11</f>
        <v>Retail Transmission Rate - Network Service Rate - Interval Meter &gt; 1,000 kW</v>
      </c>
      <c r="B33" s="44">
        <f>D19*Rates!D66</f>
        <v>2756.25</v>
      </c>
      <c r="C33" s="45">
        <f>C11</f>
        <v>2.2507999999999999</v>
      </c>
      <c r="D33" s="47">
        <f>B33*C33</f>
        <v>6203.7674999999999</v>
      </c>
      <c r="E33" s="44">
        <f>D19*H19</f>
        <v>2716</v>
      </c>
      <c r="F33" s="45">
        <f>D11</f>
        <v>2.2507999999999999</v>
      </c>
      <c r="G33" s="47">
        <f>E33*F33</f>
        <v>6113.1727999999994</v>
      </c>
      <c r="H33" s="47">
        <f t="shared" si="0"/>
        <v>-90.594700000000557</v>
      </c>
      <c r="I33" s="48">
        <f t="shared" si="4"/>
        <v>-1.4603174603174693E-2</v>
      </c>
      <c r="J33" s="72">
        <f t="shared" si="1"/>
        <v>4.6445269954852077E-2</v>
      </c>
    </row>
    <row r="34" spans="1:10" ht="12.75" thickBot="1">
      <c r="A34" s="63" t="str">
        <f>A12</f>
        <v>Retail Transmission Rate - Line and Transformation Connection Service Rate - Interval &gt; 1,000 kW</v>
      </c>
      <c r="B34" s="64">
        <f>D19*Rates!D66</f>
        <v>2756.25</v>
      </c>
      <c r="C34" s="65">
        <f>C12</f>
        <v>1.9762999999999999</v>
      </c>
      <c r="D34" s="66">
        <f>B34*C34</f>
        <v>5447.1768750000001</v>
      </c>
      <c r="E34" s="64">
        <f>D19*H19</f>
        <v>2716</v>
      </c>
      <c r="F34" s="65">
        <f>D12</f>
        <v>1.8384</v>
      </c>
      <c r="G34" s="66">
        <f>E34*F34</f>
        <v>4993.0944</v>
      </c>
      <c r="H34" s="66">
        <f t="shared" si="0"/>
        <v>-454.08247500000016</v>
      </c>
      <c r="I34" s="67">
        <f t="shared" si="4"/>
        <v>-8.3361066736060432E-2</v>
      </c>
      <c r="J34" s="68">
        <f t="shared" si="1"/>
        <v>3.7935393764439343E-2</v>
      </c>
    </row>
    <row r="35" spans="1:10" ht="12.75" thickBot="1">
      <c r="A35" s="73" t="s">
        <v>32</v>
      </c>
      <c r="B35" s="74"/>
      <c r="C35" s="75"/>
      <c r="D35" s="76">
        <f>SUM(D33:D34)</f>
        <v>11650.944374999999</v>
      </c>
      <c r="E35" s="75"/>
      <c r="F35" s="75"/>
      <c r="G35" s="76">
        <f>SUM(G33:G34)</f>
        <v>11106.267199999998</v>
      </c>
      <c r="H35" s="76">
        <f t="shared" si="0"/>
        <v>-544.67717500000072</v>
      </c>
      <c r="I35" s="77">
        <f t="shared" si="4"/>
        <v>-4.6749615951196297E-2</v>
      </c>
      <c r="J35" s="78">
        <f t="shared" si="1"/>
        <v>8.4380663719291413E-2</v>
      </c>
    </row>
    <row r="36" spans="1:10" ht="12.75" thickBot="1">
      <c r="A36" s="81" t="s">
        <v>41</v>
      </c>
      <c r="B36" s="82"/>
      <c r="C36" s="83"/>
      <c r="D36" s="84">
        <f>D32+D35</f>
        <v>17878.064374999998</v>
      </c>
      <c r="E36" s="83"/>
      <c r="F36" s="83"/>
      <c r="G36" s="84">
        <f>G32+G35</f>
        <v>17640.137199999997</v>
      </c>
      <c r="H36" s="84">
        <f t="shared" si="0"/>
        <v>-237.92717500000072</v>
      </c>
      <c r="I36" s="85">
        <f t="shared" si="4"/>
        <v>-1.3308329694388447E-2</v>
      </c>
      <c r="J36" s="86">
        <f t="shared" si="1"/>
        <v>0.13402221090407071</v>
      </c>
    </row>
    <row r="37" spans="1:10">
      <c r="A37" s="69" t="str">
        <f>A13</f>
        <v>Wholesale Market Service Rate</v>
      </c>
      <c r="B37" s="44">
        <f>B19*Rates!D66</f>
        <v>1212750</v>
      </c>
      <c r="C37" s="45">
        <f>C13</f>
        <v>5.1999999999999998E-3</v>
      </c>
      <c r="D37" s="47">
        <f>B37*C37</f>
        <v>6306.2999999999993</v>
      </c>
      <c r="E37" s="44">
        <f>B19*H19</f>
        <v>1195040</v>
      </c>
      <c r="F37" s="45">
        <f>D13</f>
        <v>5.1999999999999998E-3</v>
      </c>
      <c r="G37" s="47">
        <f>E37*F37</f>
        <v>6214.2079999999996</v>
      </c>
      <c r="H37" s="47">
        <f t="shared" si="0"/>
        <v>-92.091999999999643</v>
      </c>
      <c r="I37" s="48">
        <f t="shared" si="4"/>
        <v>-1.4603174603174549E-2</v>
      </c>
      <c r="J37" s="72">
        <f t="shared" si="1"/>
        <v>4.7212892152435383E-2</v>
      </c>
    </row>
    <row r="38" spans="1:10">
      <c r="A38" s="61" t="str">
        <f>A14</f>
        <v>Rural Rate Protection Charge</v>
      </c>
      <c r="B38" s="39">
        <f>B19*Rates!D66</f>
        <v>1212750</v>
      </c>
      <c r="C38" s="40">
        <f>C14</f>
        <v>1E-3</v>
      </c>
      <c r="D38" s="41">
        <f>B38*C38</f>
        <v>1212.75</v>
      </c>
      <c r="E38" s="39">
        <f>B19*H19</f>
        <v>1195040</v>
      </c>
      <c r="F38" s="40">
        <f>D14</f>
        <v>1.2999999999999999E-3</v>
      </c>
      <c r="G38" s="41">
        <f>E38*F38</f>
        <v>1553.5519999999999</v>
      </c>
      <c r="H38" s="41">
        <f t="shared" si="0"/>
        <v>340.80199999999991</v>
      </c>
      <c r="I38" s="42">
        <f t="shared" si="4"/>
        <v>0.28101587301587294</v>
      </c>
      <c r="J38" s="62">
        <f t="shared" si="1"/>
        <v>1.1803223038108846E-2</v>
      </c>
    </row>
    <row r="39" spans="1:10">
      <c r="A39" s="63" t="s">
        <v>45</v>
      </c>
      <c r="B39" s="64">
        <f>B19*Rates!D66</f>
        <v>1212750</v>
      </c>
      <c r="C39" s="65">
        <f>Rates!D29</f>
        <v>3.725E-4</v>
      </c>
      <c r="D39" s="66">
        <f>B39*C39</f>
        <v>451.74937499999999</v>
      </c>
      <c r="E39" s="64">
        <f>B19*Rates!F66</f>
        <v>1195040</v>
      </c>
      <c r="F39" s="65">
        <f>Rates!F29</f>
        <v>3.725E-4</v>
      </c>
      <c r="G39" s="66">
        <f>E39*F39</f>
        <v>445.1524</v>
      </c>
      <c r="H39" s="41">
        <f>G39-D39</f>
        <v>-6.5969749999999863</v>
      </c>
      <c r="I39" s="42">
        <f>IF(ISERROR(H39/D39),0,H39/D39)</f>
        <v>-1.4603174603174573E-2</v>
      </c>
      <c r="J39" s="62">
        <f t="shared" si="1"/>
        <v>3.3820773705350348E-3</v>
      </c>
    </row>
    <row r="40" spans="1:10" ht="12.75" thickBot="1">
      <c r="A40" s="63" t="str">
        <f>A16</f>
        <v>Standard Supply Service - Administarive Charge (if applicable)</v>
      </c>
      <c r="B40" s="79">
        <f>B27</f>
        <v>1</v>
      </c>
      <c r="C40" s="66">
        <f>C16</f>
        <v>0.25</v>
      </c>
      <c r="D40" s="66">
        <f>B40*C40</f>
        <v>0.25</v>
      </c>
      <c r="E40" s="64">
        <f>B27</f>
        <v>1</v>
      </c>
      <c r="F40" s="66">
        <f>D16</f>
        <v>0.25</v>
      </c>
      <c r="G40" s="66">
        <f>E40*F40</f>
        <v>0.25</v>
      </c>
      <c r="H40" s="66">
        <f t="shared" si="0"/>
        <v>0</v>
      </c>
      <c r="I40" s="67">
        <f t="shared" si="4"/>
        <v>0</v>
      </c>
      <c r="J40" s="68">
        <f t="shared" si="1"/>
        <v>1.8993929778515375E-6</v>
      </c>
    </row>
    <row r="41" spans="1:10" ht="12.75" thickBot="1">
      <c r="A41" s="73" t="s">
        <v>42</v>
      </c>
      <c r="B41" s="74"/>
      <c r="C41" s="75"/>
      <c r="D41" s="76">
        <f>SUM(D37:D40)</f>
        <v>7971.0493749999996</v>
      </c>
      <c r="E41" s="75"/>
      <c r="F41" s="75"/>
      <c r="G41" s="76">
        <f>SUM(G37:G40)</f>
        <v>8213.1623999999993</v>
      </c>
      <c r="H41" s="76">
        <f t="shared" si="0"/>
        <v>242.11302499999965</v>
      </c>
      <c r="I41" s="77">
        <f t="shared" si="4"/>
        <v>3.0374046579030211E-2</v>
      </c>
      <c r="J41" s="78">
        <f t="shared" si="1"/>
        <v>6.2400091954057116E-2</v>
      </c>
    </row>
    <row r="42" spans="1:10" ht="12.75" thickBot="1">
      <c r="A42" s="87" t="s">
        <v>19</v>
      </c>
      <c r="B42" s="88">
        <f>B19</f>
        <v>1100000</v>
      </c>
      <c r="C42" s="89">
        <f>Rates!D60</f>
        <v>2E-3</v>
      </c>
      <c r="D42" s="90">
        <f>B42*C42</f>
        <v>2200</v>
      </c>
      <c r="E42" s="88">
        <f>B19</f>
        <v>1100000</v>
      </c>
      <c r="F42" s="89">
        <f>Rates!F60</f>
        <v>2E-3</v>
      </c>
      <c r="G42" s="90">
        <f>E42*F42</f>
        <v>2200</v>
      </c>
      <c r="H42" s="90">
        <f t="shared" si="0"/>
        <v>0</v>
      </c>
      <c r="I42" s="91">
        <f t="shared" si="4"/>
        <v>0</v>
      </c>
      <c r="J42" s="92">
        <f t="shared" si="1"/>
        <v>1.6714658205093529E-2</v>
      </c>
    </row>
    <row r="43" spans="1:10" ht="12.75" thickBot="1">
      <c r="A43" s="73" t="s">
        <v>43</v>
      </c>
      <c r="B43" s="74"/>
      <c r="C43" s="75"/>
      <c r="D43" s="76">
        <f>D26+D36+D41+D42</f>
        <v>117785.11375</v>
      </c>
      <c r="E43" s="75"/>
      <c r="F43" s="75"/>
      <c r="G43" s="76">
        <f>G26+G36+G41+G42</f>
        <v>116478.75959999999</v>
      </c>
      <c r="H43" s="76">
        <f t="shared" si="0"/>
        <v>-1306.3541500000138</v>
      </c>
      <c r="I43" s="77">
        <f t="shared" si="4"/>
        <v>-1.1090995359335158E-2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15312.064787500001</v>
      </c>
      <c r="E44" s="96"/>
      <c r="F44" s="95">
        <f>Rates!F67</f>
        <v>0.13</v>
      </c>
      <c r="G44" s="90">
        <f>F44*G43</f>
        <v>15142.238748</v>
      </c>
      <c r="H44" s="90">
        <f t="shared" si="0"/>
        <v>-169.82603950000157</v>
      </c>
      <c r="I44" s="91">
        <f t="shared" si="4"/>
        <v>-1.1090995359335143E-2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133097.1785375</v>
      </c>
      <c r="E45" s="83"/>
      <c r="F45" s="83"/>
      <c r="G45" s="104">
        <f>G43+G44</f>
        <v>131620.99834799999</v>
      </c>
      <c r="H45" s="104">
        <f t="shared" si="0"/>
        <v>-1476.1801895000099</v>
      </c>
      <c r="I45" s="85">
        <f t="shared" si="4"/>
        <v>-1.1090995359335115E-2</v>
      </c>
      <c r="J45" s="86">
        <f t="shared" si="1"/>
        <v>1</v>
      </c>
    </row>
  </sheetData>
  <mergeCells count="4">
    <mergeCell ref="A22:A23"/>
    <mergeCell ref="B22:B23"/>
    <mergeCell ref="E22:E23"/>
    <mergeCell ref="H22:J22"/>
  </mergeCells>
  <phoneticPr fontId="2" type="noConversion"/>
  <pageMargins left="0.75" right="0.75" top="1" bottom="1" header="0.5" footer="0.5"/>
  <pageSetup scale="70" orientation="landscape" verticalDpi="1200" r:id="rId1"/>
  <headerFooter alignWithMargins="0">
    <oddHeader>&amp;C&amp;"Arial,Bold"&amp;16Electricity Distribution Impacts
Rates Effective December 1, 2010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5"/>
  <sheetViews>
    <sheetView topLeftCell="A4" workbookViewId="0">
      <selection activeCell="D32" sqref="D32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Rates!A32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Rates!B33</f>
        <v>$</v>
      </c>
      <c r="C4" s="25">
        <f>Rates!D33</f>
        <v>24</v>
      </c>
      <c r="D4" s="26">
        <f>Rates!F33</f>
        <v>26.07</v>
      </c>
    </row>
    <row r="5" spans="1:4">
      <c r="A5" s="27" t="str">
        <f>Rates!A34</f>
        <v>Smart Meter Rate Adder</v>
      </c>
      <c r="B5" s="28" t="str">
        <f>Rates!B34</f>
        <v>$</v>
      </c>
      <c r="C5" s="29">
        <f>Rates!D34</f>
        <v>0</v>
      </c>
      <c r="D5" s="30">
        <f>Rates!F34</f>
        <v>1</v>
      </c>
    </row>
    <row r="6" spans="1:4">
      <c r="A6" s="27" t="str">
        <f>Rates!A35</f>
        <v>Distribution Volumetric Rate</v>
      </c>
      <c r="B6" s="28" t="str">
        <f>Rates!B35</f>
        <v>$/kWh</v>
      </c>
      <c r="C6" s="31">
        <f>Rates!D35</f>
        <v>7.0000000000000007E-2</v>
      </c>
      <c r="D6" s="32">
        <f>Rates!F35</f>
        <v>0.10009999999999999</v>
      </c>
    </row>
    <row r="7" spans="1:4">
      <c r="A7" s="27" t="str">
        <f>Rates!A36</f>
        <v>Rate Rider for Deferral/Variance Account Disposition - effective until May 31, 2013</v>
      </c>
      <c r="B7" s="28" t="str">
        <f>Rates!B36</f>
        <v>$/kWh</v>
      </c>
      <c r="C7" s="31">
        <f>Rates!D36</f>
        <v>0</v>
      </c>
      <c r="D7" s="32">
        <f>Rates!F36</f>
        <v>4.4999999999999997E-3</v>
      </c>
    </row>
    <row r="8" spans="1:4">
      <c r="A8" s="27" t="str">
        <f>Rates!A37</f>
        <v>Rate Rider for Deferral/Variance Account Disposition - effective until November 30, 2015</v>
      </c>
      <c r="B8" s="28" t="str">
        <f>Rates!B37</f>
        <v>$/kWh</v>
      </c>
      <c r="C8" s="31">
        <f>Rates!D37</f>
        <v>0</v>
      </c>
      <c r="D8" s="32">
        <f>Rates!F37</f>
        <v>3.0700000000000002E-2</v>
      </c>
    </row>
    <row r="9" spans="1:4">
      <c r="A9" s="27" t="str">
        <f>Rates!A38</f>
        <v>Rate Rider for Deferral/Variance Account Disposition - effective until December 31, 2010</v>
      </c>
      <c r="B9" s="28" t="str">
        <f>Rates!B38</f>
        <v>$/kWh</v>
      </c>
      <c r="C9" s="31">
        <f>Rates!D38</f>
        <v>-4.1000000000000003E-3</v>
      </c>
      <c r="D9" s="32">
        <f>Rates!F38</f>
        <v>-4.1000000000000003E-3</v>
      </c>
    </row>
    <row r="10" spans="1:4">
      <c r="A10" s="27" t="str">
        <f>Rates!A39</f>
        <v>Retail Transmission Rate - Network Service Rate</v>
      </c>
      <c r="B10" s="28" t="str">
        <f>Rates!B39</f>
        <v>$/kWh</v>
      </c>
      <c r="C10" s="31">
        <f>Rates!D39</f>
        <v>5.7000000000000002E-3</v>
      </c>
      <c r="D10" s="32">
        <f>Rates!F39</f>
        <v>5.7000000000000002E-3</v>
      </c>
    </row>
    <row r="11" spans="1:4">
      <c r="A11" s="27" t="str">
        <f>Rates!A40</f>
        <v>Retail Transmission Rate - Line and Transformation Connection Service Rate</v>
      </c>
      <c r="B11" s="28" t="str">
        <f>Rates!B40</f>
        <v>$/kWh</v>
      </c>
      <c r="C11" s="31">
        <f>Rates!D40</f>
        <v>5.0000000000000001E-3</v>
      </c>
      <c r="D11" s="32">
        <f>Rates!F40</f>
        <v>4.7000000000000002E-3</v>
      </c>
    </row>
    <row r="12" spans="1:4">
      <c r="A12" s="27" t="str">
        <f>Rates!A41</f>
        <v>Wholesale Market Service Rate</v>
      </c>
      <c r="B12" s="28" t="str">
        <f>Rates!B41</f>
        <v>$/kWh</v>
      </c>
      <c r="C12" s="31">
        <f>Rates!D41</f>
        <v>5.1999999999999998E-3</v>
      </c>
      <c r="D12" s="32">
        <f>Rates!F41</f>
        <v>5.1999999999999998E-3</v>
      </c>
    </row>
    <row r="13" spans="1:4">
      <c r="A13" s="27" t="str">
        <f>Rates!A42</f>
        <v>Rural Rate Protection Charge</v>
      </c>
      <c r="B13" s="28" t="str">
        <f>Rates!B42</f>
        <v>$/kWh</v>
      </c>
      <c r="C13" s="31">
        <f>Rates!D42</f>
        <v>1E-3</v>
      </c>
      <c r="D13" s="32">
        <f>Rates!F42</f>
        <v>1.2999999999999999E-3</v>
      </c>
    </row>
    <row r="14" spans="1:4">
      <c r="A14" s="27" t="str">
        <f>Rates!A43</f>
        <v>Special Purpose Charge</v>
      </c>
      <c r="B14" s="28" t="str">
        <f>Rates!B43</f>
        <v>$/kWh</v>
      </c>
      <c r="C14" s="31">
        <f>Rates!D43</f>
        <v>3.725E-4</v>
      </c>
      <c r="D14" s="32">
        <f>Rates!F43</f>
        <v>3.725E-4</v>
      </c>
    </row>
    <row r="15" spans="1:4" ht="12.75" thickBot="1">
      <c r="A15" s="12" t="str">
        <f>Rates!A44</f>
        <v>Standard Supply Service - Administarive Charge (if applicable)</v>
      </c>
      <c r="B15" s="17" t="str">
        <f>Rates!B44</f>
        <v>$</v>
      </c>
      <c r="C15" s="18">
        <f>Rates!D44</f>
        <v>0.25</v>
      </c>
      <c r="D15" s="13">
        <f>Rates!F44</f>
        <v>0.25</v>
      </c>
    </row>
    <row r="17" spans="1:10" ht="12.75" thickBot="1"/>
    <row r="18" spans="1:10" ht="13.5" thickBot="1">
      <c r="A18" s="33" t="s">
        <v>26</v>
      </c>
      <c r="B18" s="34">
        <v>287</v>
      </c>
      <c r="C18" s="35" t="s">
        <v>27</v>
      </c>
      <c r="D18" s="36"/>
      <c r="E18" s="35" t="s">
        <v>28</v>
      </c>
      <c r="G18" s="37" t="s">
        <v>23</v>
      </c>
      <c r="H18" s="53">
        <f>Rates!F66</f>
        <v>1.0864</v>
      </c>
    </row>
    <row r="19" spans="1:10" ht="13.5" thickBot="1">
      <c r="A19" s="33" t="s">
        <v>29</v>
      </c>
      <c r="B19" s="34">
        <v>750</v>
      </c>
      <c r="C19" s="35" t="s">
        <v>27</v>
      </c>
      <c r="D19" s="37" t="s">
        <v>30</v>
      </c>
      <c r="E19" s="38" t="str">
        <f>IF(D18&gt;0,B18/(D18*24*30.4)," ")</f>
        <v xml:space="preserve"> </v>
      </c>
    </row>
    <row r="20" spans="1:10" ht="12.75" thickBot="1"/>
    <row r="21" spans="1:10" ht="12.75" customHeight="1">
      <c r="A21" s="112" t="str">
        <f>A3</f>
        <v>Seasonal</v>
      </c>
      <c r="B21" s="114" t="s">
        <v>31</v>
      </c>
      <c r="C21" s="49" t="s">
        <v>37</v>
      </c>
      <c r="D21" s="49" t="s">
        <v>38</v>
      </c>
      <c r="E21" s="114" t="s">
        <v>31</v>
      </c>
      <c r="F21" s="49" t="s">
        <v>37</v>
      </c>
      <c r="G21" s="49" t="s">
        <v>38</v>
      </c>
      <c r="H21" s="116" t="s">
        <v>44</v>
      </c>
      <c r="I21" s="116"/>
      <c r="J21" s="117"/>
    </row>
    <row r="22" spans="1:10" ht="12.75" thickBot="1">
      <c r="A22" s="113"/>
      <c r="B22" s="115"/>
      <c r="C22" s="50" t="s">
        <v>15</v>
      </c>
      <c r="D22" s="50" t="s">
        <v>15</v>
      </c>
      <c r="E22" s="115"/>
      <c r="F22" s="50" t="s">
        <v>15</v>
      </c>
      <c r="G22" s="50" t="s">
        <v>15</v>
      </c>
      <c r="H22" s="50" t="s">
        <v>15</v>
      </c>
      <c r="I22" s="51" t="s">
        <v>22</v>
      </c>
      <c r="J22" s="52" t="s">
        <v>34</v>
      </c>
    </row>
    <row r="23" spans="1:10">
      <c r="A23" s="54" t="s">
        <v>35</v>
      </c>
      <c r="B23" s="55">
        <f>IF(B18*Rates!D66&gt;B19,B19,B18*Rates!D66)</f>
        <v>316.41750000000002</v>
      </c>
      <c r="C23" s="56">
        <f>Rates!D61</f>
        <v>6.4000000000000001E-2</v>
      </c>
      <c r="D23" s="58">
        <f>B23*C23</f>
        <v>20.250720000000001</v>
      </c>
      <c r="E23" s="55">
        <f>IF(B18*H18&gt;B19,B19,B18*H18)</f>
        <v>311.79680000000002</v>
      </c>
      <c r="F23" s="56">
        <f>Rates!F61</f>
        <v>6.4000000000000001E-2</v>
      </c>
      <c r="G23" s="58">
        <f>E23*F23</f>
        <v>19.954995200000003</v>
      </c>
      <c r="H23" s="58">
        <f t="shared" ref="H23:H45" si="0">G23-D23</f>
        <v>-0.29572479999999857</v>
      </c>
      <c r="I23" s="59">
        <f>IF(ISERROR(H23/D23),1,H23/D23)</f>
        <v>-1.4603174603174531E-2</v>
      </c>
      <c r="J23" s="60">
        <f t="shared" ref="J23:J45" si="1">IF(ISERROR(G23/G$45),0,G23/G$45)</f>
        <v>0.19429530705042855</v>
      </c>
    </row>
    <row r="24" spans="1:10" ht="12.75" thickBot="1">
      <c r="A24" s="63" t="s">
        <v>36</v>
      </c>
      <c r="B24" s="64">
        <f>IF(B18*Rates!D66&gt;=B19,B18*Rates!D66-B19,0)</f>
        <v>0</v>
      </c>
      <c r="C24" s="65">
        <f>Rates!D62</f>
        <v>7.3999999999999996E-2</v>
      </c>
      <c r="D24" s="66">
        <f>B24*C24</f>
        <v>0</v>
      </c>
      <c r="E24" s="64">
        <f>IF(B18*H18&gt;=B19,B18*H18-B19,0)</f>
        <v>0</v>
      </c>
      <c r="F24" s="65">
        <f>Rates!F62</f>
        <v>7.3999999999999996E-2</v>
      </c>
      <c r="G24" s="66">
        <f>E24*F24</f>
        <v>0</v>
      </c>
      <c r="H24" s="66">
        <f t="shared" si="0"/>
        <v>0</v>
      </c>
      <c r="I24" s="67">
        <f>IF(ISERROR(H24/D24),0,H24/D24)</f>
        <v>0</v>
      </c>
      <c r="J24" s="68">
        <f t="shared" si="1"/>
        <v>0</v>
      </c>
    </row>
    <row r="25" spans="1:10" ht="12.75" thickBot="1">
      <c r="A25" s="73" t="s">
        <v>39</v>
      </c>
      <c r="B25" s="74"/>
      <c r="C25" s="75"/>
      <c r="D25" s="76">
        <f>SUM(D23:D24)</f>
        <v>20.250720000000001</v>
      </c>
      <c r="E25" s="75"/>
      <c r="F25" s="75"/>
      <c r="G25" s="76">
        <f>SUM(G23:G24)</f>
        <v>19.954995200000003</v>
      </c>
      <c r="H25" s="76">
        <f t="shared" si="0"/>
        <v>-0.29572479999999857</v>
      </c>
      <c r="I25" s="77">
        <f>IF(ISERROR(H25/D25),0,H25/D25)</f>
        <v>-1.4603174603174531E-2</v>
      </c>
      <c r="J25" s="78">
        <f t="shared" si="1"/>
        <v>0.19429530705042855</v>
      </c>
    </row>
    <row r="26" spans="1:10">
      <c r="A26" s="69" t="str">
        <f t="shared" ref="A26:A31" si="2">A4</f>
        <v>Monthly Service Charge</v>
      </c>
      <c r="B26" s="70">
        <v>1</v>
      </c>
      <c r="C26" s="46">
        <f t="shared" ref="C26:C31" si="3">C4</f>
        <v>24</v>
      </c>
      <c r="D26" s="46">
        <f t="shared" ref="D26:D31" si="4">B26*C26</f>
        <v>24</v>
      </c>
      <c r="E26" s="71">
        <f>B26</f>
        <v>1</v>
      </c>
      <c r="F26" s="47">
        <f t="shared" ref="F26:F31" si="5">D4</f>
        <v>26.07</v>
      </c>
      <c r="G26" s="47">
        <f t="shared" ref="G26:G31" si="6">E26*F26</f>
        <v>26.07</v>
      </c>
      <c r="H26" s="47">
        <f t="shared" si="0"/>
        <v>2.0700000000000003</v>
      </c>
      <c r="I26" s="48">
        <f>IF(ISERROR(H26/D26),0,H26/D26)</f>
        <v>8.6250000000000007E-2</v>
      </c>
      <c r="J26" s="72">
        <f t="shared" si="1"/>
        <v>0.2538351226867081</v>
      </c>
    </row>
    <row r="27" spans="1:10">
      <c r="A27" s="61" t="str">
        <f t="shared" si="2"/>
        <v>Smart Meter Rate Adder</v>
      </c>
      <c r="B27" s="43">
        <f>B26</f>
        <v>1</v>
      </c>
      <c r="C27" s="41">
        <f t="shared" si="3"/>
        <v>0</v>
      </c>
      <c r="D27" s="41">
        <f t="shared" si="4"/>
        <v>0</v>
      </c>
      <c r="E27" s="43">
        <f>B27</f>
        <v>1</v>
      </c>
      <c r="F27" s="41">
        <f t="shared" si="5"/>
        <v>1</v>
      </c>
      <c r="G27" s="41">
        <f t="shared" si="6"/>
        <v>1</v>
      </c>
      <c r="H27" s="41">
        <f t="shared" si="0"/>
        <v>1</v>
      </c>
      <c r="I27" s="42">
        <f>IF(ISERROR(H27/D27),1,H27/D27)</f>
        <v>1</v>
      </c>
      <c r="J27" s="62">
        <f t="shared" si="1"/>
        <v>9.7366752085426972E-3</v>
      </c>
    </row>
    <row r="28" spans="1:10">
      <c r="A28" s="61" t="str">
        <f t="shared" si="2"/>
        <v>Distribution Volumetric Rate</v>
      </c>
      <c r="B28" s="43">
        <f>B18</f>
        <v>287</v>
      </c>
      <c r="C28" s="40">
        <f t="shared" si="3"/>
        <v>7.0000000000000007E-2</v>
      </c>
      <c r="D28" s="41">
        <f t="shared" si="4"/>
        <v>20.090000000000003</v>
      </c>
      <c r="E28" s="43">
        <f>B18</f>
        <v>287</v>
      </c>
      <c r="F28" s="40">
        <f t="shared" si="5"/>
        <v>0.10009999999999999</v>
      </c>
      <c r="G28" s="41">
        <f t="shared" si="6"/>
        <v>28.7287</v>
      </c>
      <c r="H28" s="41">
        <f t="shared" si="0"/>
        <v>8.6386999999999965</v>
      </c>
      <c r="I28" s="42">
        <f t="shared" ref="I28:I45" si="7">IF(ISERROR(H28/D28),0,H28/D28)</f>
        <v>0.42999999999999977</v>
      </c>
      <c r="J28" s="62">
        <f t="shared" si="1"/>
        <v>0.27972202106366056</v>
      </c>
    </row>
    <row r="29" spans="1:10">
      <c r="A29" s="61" t="str">
        <f t="shared" si="2"/>
        <v>Rate Rider for Deferral/Variance Account Disposition - effective until May 31, 2013</v>
      </c>
      <c r="B29" s="43">
        <f>B18</f>
        <v>287</v>
      </c>
      <c r="C29" s="40">
        <f t="shared" si="3"/>
        <v>0</v>
      </c>
      <c r="D29" s="41">
        <f t="shared" si="4"/>
        <v>0</v>
      </c>
      <c r="E29" s="43">
        <f>B18</f>
        <v>287</v>
      </c>
      <c r="F29" s="40">
        <f t="shared" si="5"/>
        <v>4.4999999999999997E-3</v>
      </c>
      <c r="G29" s="41">
        <f t="shared" si="6"/>
        <v>1.2914999999999999</v>
      </c>
      <c r="H29" s="41">
        <f t="shared" si="0"/>
        <v>1.2914999999999999</v>
      </c>
      <c r="I29" s="42">
        <f t="shared" si="7"/>
        <v>0</v>
      </c>
      <c r="J29" s="62">
        <f t="shared" si="1"/>
        <v>1.2574916031832892E-2</v>
      </c>
    </row>
    <row r="30" spans="1:10">
      <c r="A30" s="61" t="str">
        <f t="shared" si="2"/>
        <v>Rate Rider for Deferral/Variance Account Disposition - effective until November 30, 2015</v>
      </c>
      <c r="B30" s="43">
        <f>B18</f>
        <v>287</v>
      </c>
      <c r="C30" s="40">
        <f t="shared" si="3"/>
        <v>0</v>
      </c>
      <c r="D30" s="41">
        <f t="shared" si="4"/>
        <v>0</v>
      </c>
      <c r="E30" s="43">
        <f>B18</f>
        <v>287</v>
      </c>
      <c r="F30" s="40">
        <f t="shared" si="5"/>
        <v>3.0700000000000002E-2</v>
      </c>
      <c r="G30" s="41">
        <f t="shared" si="6"/>
        <v>8.8109000000000002</v>
      </c>
      <c r="H30" s="41">
        <f t="shared" si="0"/>
        <v>8.8109000000000002</v>
      </c>
      <c r="I30" s="42">
        <f t="shared" si="7"/>
        <v>0</v>
      </c>
      <c r="J30" s="62">
        <f t="shared" si="1"/>
        <v>8.5788871594948843E-2</v>
      </c>
    </row>
    <row r="31" spans="1:10" ht="12.75" thickBot="1">
      <c r="A31" s="61" t="str">
        <f t="shared" si="2"/>
        <v>Rate Rider for Deferral/Variance Account Disposition - effective until December 31, 2010</v>
      </c>
      <c r="B31" s="43">
        <f>B18</f>
        <v>287</v>
      </c>
      <c r="C31" s="40">
        <f t="shared" si="3"/>
        <v>-4.1000000000000003E-3</v>
      </c>
      <c r="D31" s="41">
        <f t="shared" si="4"/>
        <v>-1.1767000000000001</v>
      </c>
      <c r="E31" s="43">
        <f>B18</f>
        <v>287</v>
      </c>
      <c r="F31" s="40">
        <f t="shared" si="5"/>
        <v>-4.1000000000000003E-3</v>
      </c>
      <c r="G31" s="41">
        <f t="shared" si="6"/>
        <v>-1.1767000000000001</v>
      </c>
      <c r="H31" s="41">
        <f t="shared" si="0"/>
        <v>0</v>
      </c>
      <c r="I31" s="42">
        <f t="shared" si="7"/>
        <v>0</v>
      </c>
      <c r="J31" s="62">
        <f t="shared" si="1"/>
        <v>-1.1457145717892192E-2</v>
      </c>
    </row>
    <row r="32" spans="1:10" ht="12.75" thickBot="1">
      <c r="A32" s="73" t="s">
        <v>40</v>
      </c>
      <c r="B32" s="74"/>
      <c r="C32" s="75"/>
      <c r="D32" s="76">
        <f>SUM(D26:D31)</f>
        <v>42.913300000000007</v>
      </c>
      <c r="E32" s="75"/>
      <c r="F32" s="75"/>
      <c r="G32" s="76">
        <f>SUM(G26:G31)</f>
        <v>64.724400000000003</v>
      </c>
      <c r="H32" s="76">
        <f t="shared" si="0"/>
        <v>21.811099999999996</v>
      </c>
      <c r="I32" s="77">
        <f t="shared" si="7"/>
        <v>0.50825967706981268</v>
      </c>
      <c r="J32" s="78">
        <f t="shared" si="1"/>
        <v>0.6302004608678009</v>
      </c>
    </row>
    <row r="33" spans="1:10">
      <c r="A33" s="69" t="str">
        <f>A10</f>
        <v>Retail Transmission Rate - Network Service Rate</v>
      </c>
      <c r="B33" s="44">
        <f>B18*Rates!D66</f>
        <v>316.41750000000002</v>
      </c>
      <c r="C33" s="45">
        <f>C10</f>
        <v>5.7000000000000002E-3</v>
      </c>
      <c r="D33" s="47">
        <f>B33*C33</f>
        <v>1.8035797500000001</v>
      </c>
      <c r="E33" s="44">
        <f>B18*H18</f>
        <v>311.79680000000002</v>
      </c>
      <c r="F33" s="45">
        <f>D10</f>
        <v>5.7000000000000002E-3</v>
      </c>
      <c r="G33" s="47">
        <f>E33*F33</f>
        <v>1.7772417600000001</v>
      </c>
      <c r="H33" s="47">
        <f t="shared" si="0"/>
        <v>-2.6337990000000033E-2</v>
      </c>
      <c r="I33" s="48">
        <f t="shared" si="7"/>
        <v>-1.460317460317462E-2</v>
      </c>
      <c r="J33" s="72">
        <f t="shared" si="1"/>
        <v>1.730442578417879E-2</v>
      </c>
    </row>
    <row r="34" spans="1:10" ht="12.75" thickBot="1">
      <c r="A34" s="63" t="str">
        <f>A11</f>
        <v>Retail Transmission Rate - Line and Transformation Connection Service Rate</v>
      </c>
      <c r="B34" s="64">
        <f>B18*Rates!D66</f>
        <v>316.41750000000002</v>
      </c>
      <c r="C34" s="65">
        <f>C11</f>
        <v>5.0000000000000001E-3</v>
      </c>
      <c r="D34" s="66">
        <f>B34*C34</f>
        <v>1.5820875000000001</v>
      </c>
      <c r="E34" s="64">
        <f>B18*H18</f>
        <v>311.79680000000002</v>
      </c>
      <c r="F34" s="65">
        <f>D11</f>
        <v>4.7000000000000002E-3</v>
      </c>
      <c r="G34" s="66">
        <f>E34*F34</f>
        <v>1.4654449600000001</v>
      </c>
      <c r="H34" s="66">
        <f t="shared" si="0"/>
        <v>-0.11664253999999996</v>
      </c>
      <c r="I34" s="67">
        <f t="shared" si="7"/>
        <v>-7.3726984126984099E-2</v>
      </c>
      <c r="J34" s="68">
        <f t="shared" si="1"/>
        <v>1.4268561611515846E-2</v>
      </c>
    </row>
    <row r="35" spans="1:10" ht="12.75" thickBot="1">
      <c r="A35" s="73" t="s">
        <v>32</v>
      </c>
      <c r="B35" s="74"/>
      <c r="C35" s="75"/>
      <c r="D35" s="76">
        <f>SUM(D33:D34)</f>
        <v>3.38566725</v>
      </c>
      <c r="E35" s="75"/>
      <c r="F35" s="75"/>
      <c r="G35" s="76">
        <f>SUM(G33:G34)</f>
        <v>3.24268672</v>
      </c>
      <c r="H35" s="76">
        <f t="shared" si="0"/>
        <v>-0.14298052999999999</v>
      </c>
      <c r="I35" s="77">
        <f t="shared" si="7"/>
        <v>-4.2231122978786527E-2</v>
      </c>
      <c r="J35" s="78">
        <f t="shared" si="1"/>
        <v>3.1572987395694634E-2</v>
      </c>
    </row>
    <row r="36" spans="1:10" ht="12.75" thickBot="1">
      <c r="A36" s="81" t="s">
        <v>41</v>
      </c>
      <c r="B36" s="82"/>
      <c r="C36" s="83"/>
      <c r="D36" s="84">
        <f>D32+D35</f>
        <v>46.298967250000004</v>
      </c>
      <c r="E36" s="83"/>
      <c r="F36" s="83"/>
      <c r="G36" s="84">
        <f>G32+G35</f>
        <v>67.967086719999998</v>
      </c>
      <c r="H36" s="84">
        <f t="shared" si="0"/>
        <v>21.668119469999993</v>
      </c>
      <c r="I36" s="85">
        <f t="shared" si="7"/>
        <v>0.46800438016249685</v>
      </c>
      <c r="J36" s="86">
        <f t="shared" si="1"/>
        <v>0.66177344826349549</v>
      </c>
    </row>
    <row r="37" spans="1:10">
      <c r="A37" s="69" t="str">
        <f>A12</f>
        <v>Wholesale Market Service Rate</v>
      </c>
      <c r="B37" s="44">
        <f>B18*Rates!D66</f>
        <v>316.41750000000002</v>
      </c>
      <c r="C37" s="45">
        <f>C12</f>
        <v>5.1999999999999998E-3</v>
      </c>
      <c r="D37" s="47">
        <f>B37*C37</f>
        <v>1.6453709999999999</v>
      </c>
      <c r="E37" s="44">
        <f>B18*H18</f>
        <v>311.79680000000002</v>
      </c>
      <c r="F37" s="45">
        <f>D12</f>
        <v>5.1999999999999998E-3</v>
      </c>
      <c r="G37" s="47">
        <f>E37*F37</f>
        <v>1.62134336</v>
      </c>
      <c r="H37" s="47">
        <f t="shared" si="0"/>
        <v>-2.4027639999999906E-2</v>
      </c>
      <c r="I37" s="48">
        <f t="shared" si="7"/>
        <v>-1.4603174603174547E-2</v>
      </c>
      <c r="J37" s="72">
        <f t="shared" si="1"/>
        <v>1.5786493697847317E-2</v>
      </c>
    </row>
    <row r="38" spans="1:10">
      <c r="A38" s="61" t="str">
        <f>A13</f>
        <v>Rural Rate Protection Charge</v>
      </c>
      <c r="B38" s="39">
        <f>B18*Rates!D66</f>
        <v>316.41750000000002</v>
      </c>
      <c r="C38" s="40">
        <f>C13</f>
        <v>1E-3</v>
      </c>
      <c r="D38" s="41">
        <f>B38*C38</f>
        <v>0.31641750000000002</v>
      </c>
      <c r="E38" s="39">
        <f>B18*H18</f>
        <v>311.79680000000002</v>
      </c>
      <c r="F38" s="40">
        <f>D13</f>
        <v>1.2999999999999999E-3</v>
      </c>
      <c r="G38" s="41">
        <f>E38*F38</f>
        <v>0.40533584</v>
      </c>
      <c r="H38" s="41">
        <f t="shared" si="0"/>
        <v>8.8918339999999985E-2</v>
      </c>
      <c r="I38" s="42">
        <f t="shared" si="7"/>
        <v>0.28101587301587294</v>
      </c>
      <c r="J38" s="62">
        <f t="shared" si="1"/>
        <v>3.9466234244618292E-3</v>
      </c>
    </row>
    <row r="39" spans="1:10">
      <c r="A39" s="63" t="s">
        <v>45</v>
      </c>
      <c r="B39" s="64">
        <f>B18*Rates!D66</f>
        <v>316.41750000000002</v>
      </c>
      <c r="C39" s="65">
        <f>Rates!D43</f>
        <v>3.725E-4</v>
      </c>
      <c r="D39" s="66">
        <f>B39*C39</f>
        <v>0.11786551875000001</v>
      </c>
      <c r="E39" s="64">
        <f>B18*Rates!F66</f>
        <v>311.79680000000002</v>
      </c>
      <c r="F39" s="65">
        <f>Rates!F43</f>
        <v>3.725E-4</v>
      </c>
      <c r="G39" s="66">
        <f>E39*F39</f>
        <v>0.116144308</v>
      </c>
      <c r="H39" s="41">
        <f>G39-D39</f>
        <v>-1.7212107500000073E-3</v>
      </c>
      <c r="I39" s="42">
        <f>IF(ISERROR(H39/D39),0,H39/D39)</f>
        <v>-1.4603174603174665E-2</v>
      </c>
      <c r="J39" s="62">
        <f t="shared" si="1"/>
        <v>1.1308594043169472E-3</v>
      </c>
    </row>
    <row r="40" spans="1:10" ht="12.75" thickBot="1">
      <c r="A40" s="63" t="str">
        <f>A15</f>
        <v>Standard Supply Service - Administarive Charge (if applicable)</v>
      </c>
      <c r="B40" s="79">
        <f>B26</f>
        <v>1</v>
      </c>
      <c r="C40" s="66">
        <f>C15</f>
        <v>0.25</v>
      </c>
      <c r="D40" s="66">
        <f>B40*C40</f>
        <v>0.25</v>
      </c>
      <c r="E40" s="64">
        <f>B26</f>
        <v>1</v>
      </c>
      <c r="F40" s="66">
        <f>D15</f>
        <v>0.25</v>
      </c>
      <c r="G40" s="66">
        <f>E40*F40</f>
        <v>0.25</v>
      </c>
      <c r="H40" s="66">
        <f t="shared" si="0"/>
        <v>0</v>
      </c>
      <c r="I40" s="67">
        <f t="shared" si="7"/>
        <v>0</v>
      </c>
      <c r="J40" s="68">
        <f t="shared" si="1"/>
        <v>2.4341688021356743E-3</v>
      </c>
    </row>
    <row r="41" spans="1:10" ht="12.75" thickBot="1">
      <c r="A41" s="73" t="s">
        <v>42</v>
      </c>
      <c r="B41" s="74"/>
      <c r="C41" s="75"/>
      <c r="D41" s="76">
        <f>SUM(D37:D40)</f>
        <v>2.3296540187499999</v>
      </c>
      <c r="E41" s="75"/>
      <c r="F41" s="75"/>
      <c r="G41" s="76">
        <f>SUM(G37:G40)</f>
        <v>2.3928235080000002</v>
      </c>
      <c r="H41" s="76">
        <f t="shared" si="0"/>
        <v>6.3169489250000321E-2</v>
      </c>
      <c r="I41" s="77">
        <f t="shared" si="7"/>
        <v>2.7115395136611129E-2</v>
      </c>
      <c r="J41" s="78">
        <f t="shared" si="1"/>
        <v>2.3298145328761771E-2</v>
      </c>
    </row>
    <row r="42" spans="1:10" ht="12.75" thickBot="1">
      <c r="A42" s="87" t="s">
        <v>19</v>
      </c>
      <c r="B42" s="88">
        <f>B18</f>
        <v>287</v>
      </c>
      <c r="C42" s="89">
        <f>Rates!D60</f>
        <v>2E-3</v>
      </c>
      <c r="D42" s="90">
        <f>B42*C42</f>
        <v>0.57400000000000007</v>
      </c>
      <c r="E42" s="88">
        <f>B18</f>
        <v>287</v>
      </c>
      <c r="F42" s="89">
        <f>Rates!F60</f>
        <v>2E-3</v>
      </c>
      <c r="G42" s="90">
        <f>E42*F42</f>
        <v>0.57400000000000007</v>
      </c>
      <c r="H42" s="90">
        <f t="shared" si="0"/>
        <v>0</v>
      </c>
      <c r="I42" s="91">
        <f t="shared" si="7"/>
        <v>0</v>
      </c>
      <c r="J42" s="92">
        <f t="shared" si="1"/>
        <v>5.5888515697035089E-3</v>
      </c>
    </row>
    <row r="43" spans="1:10" ht="12.75" thickBot="1">
      <c r="A43" s="73" t="s">
        <v>43</v>
      </c>
      <c r="B43" s="74"/>
      <c r="C43" s="75"/>
      <c r="D43" s="76">
        <f>D25+D36+D41+D42</f>
        <v>69.453341268750009</v>
      </c>
      <c r="E43" s="75"/>
      <c r="F43" s="75"/>
      <c r="G43" s="76">
        <f>G25+G36+G41+G42</f>
        <v>90.888905428000001</v>
      </c>
      <c r="H43" s="76">
        <f t="shared" si="0"/>
        <v>21.435564159249992</v>
      </c>
      <c r="I43" s="77">
        <f t="shared" si="7"/>
        <v>0.30863258365504664</v>
      </c>
      <c r="J43" s="78">
        <f t="shared" si="1"/>
        <v>0.88495575221238931</v>
      </c>
    </row>
    <row r="44" spans="1:10" ht="12.75" thickBot="1">
      <c r="A44" s="93" t="s">
        <v>46</v>
      </c>
      <c r="B44" s="94"/>
      <c r="C44" s="95">
        <f>Rates!D67</f>
        <v>0.13</v>
      </c>
      <c r="D44" s="90">
        <f>C44*D43</f>
        <v>9.028934364937502</v>
      </c>
      <c r="E44" s="96"/>
      <c r="F44" s="95">
        <f>Rates!F67</f>
        <v>0.13</v>
      </c>
      <c r="G44" s="90">
        <f>F44*G43</f>
        <v>11.81555770564</v>
      </c>
      <c r="H44" s="90">
        <f t="shared" si="0"/>
        <v>2.7866233407024978</v>
      </c>
      <c r="I44" s="91">
        <f t="shared" si="7"/>
        <v>0.30863258365504653</v>
      </c>
      <c r="J44" s="92">
        <f t="shared" si="1"/>
        <v>0.11504424778761062</v>
      </c>
    </row>
    <row r="45" spans="1:10" ht="12.75" thickBot="1">
      <c r="A45" s="81" t="s">
        <v>33</v>
      </c>
      <c r="B45" s="82"/>
      <c r="C45" s="83"/>
      <c r="D45" s="104">
        <f>D43+D44</f>
        <v>78.482275633687507</v>
      </c>
      <c r="E45" s="83"/>
      <c r="F45" s="83"/>
      <c r="G45" s="104">
        <f>G43+G44</f>
        <v>102.70446313364</v>
      </c>
      <c r="H45" s="104">
        <f t="shared" si="0"/>
        <v>24.222187499952497</v>
      </c>
      <c r="I45" s="85">
        <f t="shared" si="7"/>
        <v>0.30863258365504675</v>
      </c>
      <c r="J45" s="86">
        <f t="shared" si="1"/>
        <v>1</v>
      </c>
    </row>
  </sheetData>
  <mergeCells count="4">
    <mergeCell ref="A21:A22"/>
    <mergeCell ref="B21:B22"/>
    <mergeCell ref="E21:E22"/>
    <mergeCell ref="H21:J21"/>
  </mergeCells>
  <phoneticPr fontId="2" type="noConversion"/>
  <pageMargins left="0.75" right="0.75" top="1" bottom="1" header="0.5" footer="0.5"/>
  <pageSetup scale="75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workbookViewId="0">
      <selection activeCell="D30" sqref="D30"/>
    </sheetView>
  </sheetViews>
  <sheetFormatPr defaultRowHeight="12"/>
  <cols>
    <col min="1" max="1" width="73.14062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/>
    <row r="3" spans="1:4" ht="36.75" thickBot="1">
      <c r="A3" s="14" t="str">
        <f>Rates!A46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December 1, 2010</v>
      </c>
    </row>
    <row r="4" spans="1:4">
      <c r="A4" s="23" t="str">
        <f>Rates!A33</f>
        <v>Monthly Service Charge</v>
      </c>
      <c r="B4" s="24" t="str">
        <f>Rates!B47</f>
        <v>$</v>
      </c>
      <c r="C4" s="25">
        <f>Rates!D47</f>
        <v>0</v>
      </c>
      <c r="D4" s="26">
        <f>Rates!F47</f>
        <v>0.96</v>
      </c>
    </row>
    <row r="5" spans="1:4">
      <c r="A5" s="27" t="str">
        <f>Rates!A34</f>
        <v>Smart Meter Rate Adder</v>
      </c>
      <c r="B5" s="28" t="str">
        <f>Rates!B48</f>
        <v>$</v>
      </c>
      <c r="C5" s="29">
        <f>Rates!D48</f>
        <v>0</v>
      </c>
      <c r="D5" s="30">
        <f>Rates!F48</f>
        <v>0</v>
      </c>
    </row>
    <row r="6" spans="1:4">
      <c r="A6" s="27" t="str">
        <f>Rates!A35</f>
        <v>Distribution Volumetric Rate</v>
      </c>
      <c r="B6" s="28" t="str">
        <f>Rates!B49</f>
        <v>$/kWh</v>
      </c>
      <c r="C6" s="31">
        <f>Rates!D49</f>
        <v>4.9599999999999998E-2</v>
      </c>
      <c r="D6" s="32">
        <f>Rates!F49</f>
        <v>0.1537</v>
      </c>
    </row>
    <row r="7" spans="1:4">
      <c r="A7" s="27" t="str">
        <f>Rates!A36</f>
        <v>Rate Rider for Deferral/Variance Account Disposition - effective until May 31, 2013</v>
      </c>
      <c r="B7" s="28" t="str">
        <f>Rates!B50</f>
        <v>$/kWh</v>
      </c>
      <c r="C7" s="31">
        <f>Rates!D50</f>
        <v>0</v>
      </c>
      <c r="D7" s="32">
        <f>Rates!F50</f>
        <v>4.7000000000000002E-3</v>
      </c>
    </row>
    <row r="8" spans="1:4">
      <c r="A8" s="27" t="str">
        <f>Rates!A38</f>
        <v>Rate Rider for Deferral/Variance Account Disposition - effective until December 31, 2010</v>
      </c>
      <c r="B8" s="28" t="str">
        <f>Rates!B51</f>
        <v>$/kWh</v>
      </c>
      <c r="C8" s="31">
        <f>Rates!D51</f>
        <v>-1.6000000000000001E-3</v>
      </c>
      <c r="D8" s="32">
        <f>Rates!F51</f>
        <v>-1.6000000000000001E-3</v>
      </c>
    </row>
    <row r="9" spans="1:4">
      <c r="A9" s="27" t="str">
        <f>Rates!A39</f>
        <v>Retail Transmission Rate - Network Service Rate</v>
      </c>
      <c r="B9" s="28" t="str">
        <f>Rates!B52</f>
        <v>$/kW</v>
      </c>
      <c r="C9" s="31">
        <f>Rates!D52</f>
        <v>1.6002000000000001</v>
      </c>
      <c r="D9" s="32">
        <f>Rates!F52</f>
        <v>1.6002000000000001</v>
      </c>
    </row>
    <row r="10" spans="1:4">
      <c r="A10" s="27" t="str">
        <f>Rates!A40</f>
        <v>Retail Transmission Rate - Line and Transformation Connection Service Rate</v>
      </c>
      <c r="B10" s="28" t="str">
        <f>Rates!B53</f>
        <v>$/kW</v>
      </c>
      <c r="C10" s="31">
        <f>Rates!D53</f>
        <v>1.3824000000000001</v>
      </c>
      <c r="D10" s="32">
        <f>Rates!F53</f>
        <v>1.2859</v>
      </c>
    </row>
    <row r="11" spans="1:4">
      <c r="A11" s="27" t="str">
        <f>Rates!A41</f>
        <v>Wholesale Market Service Rate</v>
      </c>
      <c r="B11" s="28" t="str">
        <f>Rates!B54</f>
        <v>$/kWh</v>
      </c>
      <c r="C11" s="31">
        <f>Rates!D54</f>
        <v>5.1999999999999998E-3</v>
      </c>
      <c r="D11" s="32">
        <f>Rates!F54</f>
        <v>5.1999999999999998E-3</v>
      </c>
    </row>
    <row r="12" spans="1:4">
      <c r="A12" s="27" t="str">
        <f>Rates!A42</f>
        <v>Rural Rate Protection Charge</v>
      </c>
      <c r="B12" s="28" t="str">
        <f>Rates!B55</f>
        <v>$/kWh</v>
      </c>
      <c r="C12" s="31">
        <f>Rates!D55</f>
        <v>1E-3</v>
      </c>
      <c r="D12" s="32">
        <f>Rates!F55</f>
        <v>1.2999999999999999E-3</v>
      </c>
    </row>
    <row r="13" spans="1:4">
      <c r="A13" s="27" t="str">
        <f>Rates!A56</f>
        <v>Special Purpose Charge</v>
      </c>
      <c r="B13" s="28" t="str">
        <f>Rates!B56</f>
        <v>$/kWh</v>
      </c>
      <c r="C13" s="31">
        <f>Rates!D56</f>
        <v>3.725E-4</v>
      </c>
      <c r="D13" s="32">
        <f>Rates!F56</f>
        <v>3.725E-4</v>
      </c>
    </row>
    <row r="14" spans="1:4" ht="12.75" thickBot="1">
      <c r="A14" s="12" t="str">
        <f>Rates!A44</f>
        <v>Standard Supply Service - Administarive Charge (if applicable)</v>
      </c>
      <c r="B14" s="17" t="str">
        <f>Rates!B57</f>
        <v>$</v>
      </c>
      <c r="C14" s="18">
        <f>Rates!D57</f>
        <v>0.25</v>
      </c>
      <c r="D14" s="13">
        <f>Rates!F57</f>
        <v>0.25</v>
      </c>
    </row>
    <row r="16" spans="1:4" ht="12.75" thickBot="1"/>
    <row r="17" spans="1:10" ht="13.5" thickBot="1">
      <c r="A17" s="33" t="s">
        <v>26</v>
      </c>
      <c r="B17" s="34">
        <v>25000</v>
      </c>
      <c r="C17" s="35" t="s">
        <v>27</v>
      </c>
      <c r="D17" s="36">
        <v>71.459999999999994</v>
      </c>
      <c r="E17" s="35" t="s">
        <v>28</v>
      </c>
      <c r="G17" s="37" t="s">
        <v>23</v>
      </c>
      <c r="H17" s="53">
        <f>Rates!F66</f>
        <v>1.0864</v>
      </c>
    </row>
    <row r="18" spans="1:10" ht="13.5" thickBot="1">
      <c r="A18" s="33" t="s">
        <v>29</v>
      </c>
      <c r="B18" s="34">
        <v>750</v>
      </c>
      <c r="C18" s="35" t="s">
        <v>27</v>
      </c>
      <c r="D18" s="37" t="s">
        <v>30</v>
      </c>
      <c r="E18" s="98">
        <f>IF(D17&gt;0,B17/(D17*24*30.4)," ")</f>
        <v>0.47950393055125928</v>
      </c>
    </row>
    <row r="19" spans="1:10" ht="12.75" thickBot="1"/>
    <row r="20" spans="1:10" ht="12.75" customHeight="1">
      <c r="A20" s="112" t="str">
        <f>A3</f>
        <v>Street Lighting</v>
      </c>
      <c r="B20" s="114" t="s">
        <v>31</v>
      </c>
      <c r="C20" s="49" t="s">
        <v>37</v>
      </c>
      <c r="D20" s="49" t="s">
        <v>38</v>
      </c>
      <c r="E20" s="114" t="s">
        <v>31</v>
      </c>
      <c r="F20" s="49" t="s">
        <v>37</v>
      </c>
      <c r="G20" s="49" t="s">
        <v>38</v>
      </c>
      <c r="H20" s="116" t="s">
        <v>44</v>
      </c>
      <c r="I20" s="116"/>
      <c r="J20" s="117"/>
    </row>
    <row r="21" spans="1:10" ht="12.75" thickBot="1">
      <c r="A21" s="113"/>
      <c r="B21" s="115"/>
      <c r="C21" s="50" t="s">
        <v>15</v>
      </c>
      <c r="D21" s="50" t="s">
        <v>15</v>
      </c>
      <c r="E21" s="115"/>
      <c r="F21" s="50" t="s">
        <v>15</v>
      </c>
      <c r="G21" s="50" t="s">
        <v>15</v>
      </c>
      <c r="H21" s="50" t="s">
        <v>15</v>
      </c>
      <c r="I21" s="51" t="s">
        <v>22</v>
      </c>
      <c r="J21" s="52" t="s">
        <v>34</v>
      </c>
    </row>
    <row r="22" spans="1:10">
      <c r="A22" s="54" t="s">
        <v>35</v>
      </c>
      <c r="B22" s="55">
        <f>IF(B17*Rates!D66&gt;B18,B18,B17*Rates!D66)</f>
        <v>750</v>
      </c>
      <c r="C22" s="56">
        <f>Rates!D61</f>
        <v>6.4000000000000001E-2</v>
      </c>
      <c r="D22" s="58">
        <f>B22*C22</f>
        <v>48</v>
      </c>
      <c r="E22" s="55">
        <f>IF(B17*H17&gt;B18,B18,B17*H17)</f>
        <v>750</v>
      </c>
      <c r="F22" s="56">
        <f>Rates!F61</f>
        <v>6.4000000000000001E-2</v>
      </c>
      <c r="G22" s="58">
        <f>E22*F22</f>
        <v>48</v>
      </c>
      <c r="H22" s="58">
        <f t="shared" ref="H22:H43" si="0">G22-D22</f>
        <v>0</v>
      </c>
      <c r="I22" s="59">
        <f>IF(ISERROR(H22/D22),1,H22/D22)</f>
        <v>0</v>
      </c>
      <c r="J22" s="60">
        <f t="shared" ref="J22:J43" si="1">IF(ISERROR(G22/G$43),0,G22/G$43)</f>
        <v>6.1553780432625892E-3</v>
      </c>
    </row>
    <row r="23" spans="1:10" ht="12.75" thickBot="1">
      <c r="A23" s="63" t="s">
        <v>36</v>
      </c>
      <c r="B23" s="64">
        <f>IF(B17*Rates!D66&gt;=B18,B17*Rates!D66-B18,0)</f>
        <v>26812.5</v>
      </c>
      <c r="C23" s="65">
        <f>Rates!D62</f>
        <v>7.3999999999999996E-2</v>
      </c>
      <c r="D23" s="66">
        <f>B23*C23</f>
        <v>1984.125</v>
      </c>
      <c r="E23" s="64">
        <f>IF(B17*H17&gt;=B18,B17*H17-B18,0)</f>
        <v>26410</v>
      </c>
      <c r="F23" s="65">
        <f>Rates!F62</f>
        <v>7.3999999999999996E-2</v>
      </c>
      <c r="G23" s="66">
        <f>E23*F23</f>
        <v>1954.34</v>
      </c>
      <c r="H23" s="66">
        <f t="shared" si="0"/>
        <v>-29.785000000000082</v>
      </c>
      <c r="I23" s="67">
        <f>IF(ISERROR(H23/D23),0,H23/D23)</f>
        <v>-1.5011655011655052E-2</v>
      </c>
      <c r="J23" s="68">
        <f t="shared" si="1"/>
        <v>0.25061878177228769</v>
      </c>
    </row>
    <row r="24" spans="1:10" ht="12.75" thickBot="1">
      <c r="A24" s="73" t="s">
        <v>39</v>
      </c>
      <c r="B24" s="74"/>
      <c r="C24" s="75"/>
      <c r="D24" s="76">
        <f>SUM(D22:D23)</f>
        <v>2032.125</v>
      </c>
      <c r="E24" s="75"/>
      <c r="F24" s="75"/>
      <c r="G24" s="76">
        <f>SUM(G22:G23)</f>
        <v>2002.34</v>
      </c>
      <c r="H24" s="76">
        <f t="shared" si="0"/>
        <v>-29.785000000000082</v>
      </c>
      <c r="I24" s="77">
        <f>IF(ISERROR(H24/D24),0,H24/D24)</f>
        <v>-1.4657070800270693E-2</v>
      </c>
      <c r="J24" s="78">
        <f t="shared" si="1"/>
        <v>0.2567741598155503</v>
      </c>
    </row>
    <row r="25" spans="1:10">
      <c r="A25" s="69" t="str">
        <f>A4</f>
        <v>Monthly Service Charge</v>
      </c>
      <c r="B25" s="70">
        <v>428</v>
      </c>
      <c r="C25" s="46">
        <f>C4</f>
        <v>0</v>
      </c>
      <c r="D25" s="46">
        <f t="shared" ref="D25:D29" si="2">B25*C25</f>
        <v>0</v>
      </c>
      <c r="E25" s="71">
        <f>B25</f>
        <v>428</v>
      </c>
      <c r="F25" s="47">
        <f>D4</f>
        <v>0.96</v>
      </c>
      <c r="G25" s="47">
        <f t="shared" ref="G25:G29" si="3">E25*F25</f>
        <v>410.88</v>
      </c>
      <c r="H25" s="47">
        <f t="shared" si="0"/>
        <v>410.88</v>
      </c>
      <c r="I25" s="48">
        <f>IF(ISERROR(H25/D25),0,H25/D25)</f>
        <v>0</v>
      </c>
      <c r="J25" s="72">
        <f t="shared" si="1"/>
        <v>5.2690036050327765E-2</v>
      </c>
    </row>
    <row r="26" spans="1:10">
      <c r="A26" s="61" t="str">
        <f>A5</f>
        <v>Smart Meter Rate Adder</v>
      </c>
      <c r="B26" s="43">
        <f>B25</f>
        <v>428</v>
      </c>
      <c r="C26" s="41">
        <f>C5</f>
        <v>0</v>
      </c>
      <c r="D26" s="41">
        <f t="shared" si="2"/>
        <v>0</v>
      </c>
      <c r="E26" s="43">
        <f>B26</f>
        <v>428</v>
      </c>
      <c r="F26" s="41">
        <f>D5</f>
        <v>0</v>
      </c>
      <c r="G26" s="41">
        <f t="shared" si="3"/>
        <v>0</v>
      </c>
      <c r="H26" s="41">
        <f t="shared" si="0"/>
        <v>0</v>
      </c>
      <c r="I26" s="42">
        <f>IF(ISERROR(H26/D26),0,H26/D26)</f>
        <v>0</v>
      </c>
      <c r="J26" s="62">
        <f t="shared" si="1"/>
        <v>0</v>
      </c>
    </row>
    <row r="27" spans="1:10">
      <c r="A27" s="61" t="str">
        <f>A6</f>
        <v>Distribution Volumetric Rate</v>
      </c>
      <c r="B27" s="43">
        <f>B17</f>
        <v>25000</v>
      </c>
      <c r="C27" s="40">
        <f>C6</f>
        <v>4.9599999999999998E-2</v>
      </c>
      <c r="D27" s="41">
        <f t="shared" si="2"/>
        <v>1240</v>
      </c>
      <c r="E27" s="43">
        <f>B17</f>
        <v>25000</v>
      </c>
      <c r="F27" s="40">
        <f>D6</f>
        <v>0.1537</v>
      </c>
      <c r="G27" s="41">
        <f t="shared" si="3"/>
        <v>3842.5</v>
      </c>
      <c r="H27" s="41">
        <f t="shared" si="0"/>
        <v>2602.5</v>
      </c>
      <c r="I27" s="42">
        <f t="shared" ref="I27:I43" si="4">IF(ISERROR(H27/D27),0,H27/D27)</f>
        <v>2.098790322580645</v>
      </c>
      <c r="J27" s="62">
        <f t="shared" si="1"/>
        <v>0.49275083606742709</v>
      </c>
    </row>
    <row r="28" spans="1:10">
      <c r="A28" s="61" t="str">
        <f>A7</f>
        <v>Rate Rider for Deferral/Variance Account Disposition - effective until May 31, 2013</v>
      </c>
      <c r="B28" s="43">
        <f>B17</f>
        <v>25000</v>
      </c>
      <c r="C28" s="40">
        <f>C7</f>
        <v>0</v>
      </c>
      <c r="D28" s="41">
        <f t="shared" si="2"/>
        <v>0</v>
      </c>
      <c r="E28" s="43">
        <f>B17</f>
        <v>25000</v>
      </c>
      <c r="F28" s="40">
        <f>D7</f>
        <v>4.7000000000000002E-3</v>
      </c>
      <c r="G28" s="41">
        <f t="shared" si="3"/>
        <v>117.5</v>
      </c>
      <c r="H28" s="41">
        <f t="shared" si="0"/>
        <v>117.5</v>
      </c>
      <c r="I28" s="42">
        <f t="shared" si="4"/>
        <v>0</v>
      </c>
      <c r="J28" s="62">
        <f t="shared" si="1"/>
        <v>1.5067852501736548E-2</v>
      </c>
    </row>
    <row r="29" spans="1:10" ht="12.75" thickBot="1">
      <c r="A29" s="61" t="str">
        <f>A8</f>
        <v>Rate Rider for Deferral/Variance Account Disposition - effective until December 31, 2010</v>
      </c>
      <c r="B29" s="43">
        <f>B17</f>
        <v>25000</v>
      </c>
      <c r="C29" s="40">
        <f>C8</f>
        <v>-1.6000000000000001E-3</v>
      </c>
      <c r="D29" s="41">
        <f t="shared" si="2"/>
        <v>-40</v>
      </c>
      <c r="E29" s="43">
        <f>B17</f>
        <v>25000</v>
      </c>
      <c r="F29" s="40">
        <f>D8</f>
        <v>-1.6000000000000001E-3</v>
      </c>
      <c r="G29" s="41">
        <f t="shared" si="3"/>
        <v>-40</v>
      </c>
      <c r="H29" s="41">
        <f t="shared" si="0"/>
        <v>0</v>
      </c>
      <c r="I29" s="42">
        <f t="shared" si="4"/>
        <v>0</v>
      </c>
      <c r="J29" s="62">
        <f t="shared" si="1"/>
        <v>-5.1294817027188249E-3</v>
      </c>
    </row>
    <row r="30" spans="1:10" ht="12.75" thickBot="1">
      <c r="A30" s="73" t="s">
        <v>40</v>
      </c>
      <c r="B30" s="74"/>
      <c r="C30" s="75"/>
      <c r="D30" s="76">
        <f>SUM(D25:D29)</f>
        <v>1200</v>
      </c>
      <c r="E30" s="75"/>
      <c r="F30" s="75"/>
      <c r="G30" s="76">
        <f>SUM(G25:G29)</f>
        <v>4330.88</v>
      </c>
      <c r="H30" s="76">
        <f t="shared" si="0"/>
        <v>3130.88</v>
      </c>
      <c r="I30" s="77">
        <f t="shared" si="4"/>
        <v>2.6090666666666666</v>
      </c>
      <c r="J30" s="78">
        <f t="shared" si="1"/>
        <v>0.55537924291677254</v>
      </c>
    </row>
    <row r="31" spans="1:10">
      <c r="A31" s="69" t="str">
        <f>A9</f>
        <v>Retail Transmission Rate - Network Service Rate</v>
      </c>
      <c r="B31" s="99">
        <f>D17*Rates!D66</f>
        <v>78.784649999999999</v>
      </c>
      <c r="C31" s="45">
        <f>C9</f>
        <v>1.6002000000000001</v>
      </c>
      <c r="D31" s="47">
        <f>B31*C31</f>
        <v>126.07119693</v>
      </c>
      <c r="E31" s="99">
        <f>D17*H17</f>
        <v>77.634143999999992</v>
      </c>
      <c r="F31" s="45">
        <f>D9</f>
        <v>1.6002000000000001</v>
      </c>
      <c r="G31" s="47">
        <f>E31*F31</f>
        <v>124.2301572288</v>
      </c>
      <c r="H31" s="47">
        <f t="shared" si="0"/>
        <v>-1.8410397012000033</v>
      </c>
      <c r="I31" s="48">
        <f t="shared" si="4"/>
        <v>-1.4603174603174628E-2</v>
      </c>
      <c r="J31" s="72">
        <f t="shared" si="1"/>
        <v>1.5930907960775308E-2</v>
      </c>
    </row>
    <row r="32" spans="1:10" ht="12.75" thickBot="1">
      <c r="A32" s="63" t="str">
        <f>A10</f>
        <v>Retail Transmission Rate - Line and Transformation Connection Service Rate</v>
      </c>
      <c r="B32" s="100">
        <f>D17*Rates!D66</f>
        <v>78.784649999999999</v>
      </c>
      <c r="C32" s="65">
        <f>C10</f>
        <v>1.3824000000000001</v>
      </c>
      <c r="D32" s="66">
        <f>B32*C32</f>
        <v>108.91190016</v>
      </c>
      <c r="E32" s="100">
        <f>D17*H17</f>
        <v>77.634143999999992</v>
      </c>
      <c r="F32" s="65">
        <f>D10</f>
        <v>1.2859</v>
      </c>
      <c r="G32" s="66">
        <f>E32*F32</f>
        <v>99.829745769599995</v>
      </c>
      <c r="H32" s="66">
        <f t="shared" si="0"/>
        <v>-9.0821543904000066</v>
      </c>
      <c r="I32" s="67">
        <f t="shared" si="4"/>
        <v>-8.3389917695473312E-2</v>
      </c>
      <c r="J32" s="68">
        <f t="shared" si="1"/>
        <v>1.280187135780588E-2</v>
      </c>
    </row>
    <row r="33" spans="1:10" ht="12.75" thickBot="1">
      <c r="A33" s="73" t="s">
        <v>32</v>
      </c>
      <c r="B33" s="74"/>
      <c r="C33" s="75"/>
      <c r="D33" s="76">
        <f>SUM(D31:D32)</f>
        <v>234.98309709</v>
      </c>
      <c r="E33" s="75"/>
      <c r="F33" s="75"/>
      <c r="G33" s="76">
        <f>SUM(G31:G32)</f>
        <v>224.05990299839999</v>
      </c>
      <c r="H33" s="76">
        <f t="shared" si="0"/>
        <v>-10.92319409160001</v>
      </c>
      <c r="I33" s="77">
        <f t="shared" si="4"/>
        <v>-4.6485020526460925E-2</v>
      </c>
      <c r="J33" s="78">
        <f t="shared" si="1"/>
        <v>2.8732779318581186E-2</v>
      </c>
    </row>
    <row r="34" spans="1:10" ht="12.75" thickBot="1">
      <c r="A34" s="81" t="s">
        <v>41</v>
      </c>
      <c r="B34" s="82"/>
      <c r="C34" s="83"/>
      <c r="D34" s="84">
        <f>D30+D33</f>
        <v>1434.98309709</v>
      </c>
      <c r="E34" s="83"/>
      <c r="F34" s="83"/>
      <c r="G34" s="84">
        <f>G30+G33</f>
        <v>4554.9399029983997</v>
      </c>
      <c r="H34" s="84">
        <f t="shared" si="0"/>
        <v>3119.9568059083995</v>
      </c>
      <c r="I34" s="85">
        <f t="shared" si="4"/>
        <v>2.1742115375681812</v>
      </c>
      <c r="J34" s="86">
        <f t="shared" si="1"/>
        <v>0.58411202223535375</v>
      </c>
    </row>
    <row r="35" spans="1:10">
      <c r="A35" s="69" t="str">
        <f>A11</f>
        <v>Wholesale Market Service Rate</v>
      </c>
      <c r="B35" s="44">
        <f>B17*Rates!D66</f>
        <v>27562.5</v>
      </c>
      <c r="C35" s="45">
        <f>C11</f>
        <v>5.1999999999999998E-3</v>
      </c>
      <c r="D35" s="47">
        <f>B35*C35</f>
        <v>143.32499999999999</v>
      </c>
      <c r="E35" s="44">
        <f>B17*H17</f>
        <v>27160</v>
      </c>
      <c r="F35" s="45">
        <f>D11</f>
        <v>5.1999999999999998E-3</v>
      </c>
      <c r="G35" s="47">
        <f>E35*F35</f>
        <v>141.232</v>
      </c>
      <c r="H35" s="47">
        <f t="shared" si="0"/>
        <v>-2.0929999999999893</v>
      </c>
      <c r="I35" s="48">
        <f t="shared" si="4"/>
        <v>-1.4603174603174529E-2</v>
      </c>
      <c r="J35" s="72">
        <f t="shared" si="1"/>
        <v>1.8111173995959625E-2</v>
      </c>
    </row>
    <row r="36" spans="1:10">
      <c r="A36" s="61" t="str">
        <f>A12</f>
        <v>Rural Rate Protection Charge</v>
      </c>
      <c r="B36" s="39">
        <f>B17*Rates!D66</f>
        <v>27562.5</v>
      </c>
      <c r="C36" s="40">
        <f>C12</f>
        <v>1E-3</v>
      </c>
      <c r="D36" s="41">
        <f>B36*C36</f>
        <v>27.5625</v>
      </c>
      <c r="E36" s="39">
        <f>B17*H17</f>
        <v>27160</v>
      </c>
      <c r="F36" s="40">
        <f>D12</f>
        <v>1.2999999999999999E-3</v>
      </c>
      <c r="G36" s="41">
        <f>E36*F36</f>
        <v>35.308</v>
      </c>
      <c r="H36" s="41">
        <f t="shared" si="0"/>
        <v>7.7454999999999998</v>
      </c>
      <c r="I36" s="42">
        <f t="shared" si="4"/>
        <v>0.281015873015873</v>
      </c>
      <c r="J36" s="62">
        <f t="shared" si="1"/>
        <v>4.5277934989899063E-3</v>
      </c>
    </row>
    <row r="37" spans="1:10">
      <c r="A37" s="63" t="s">
        <v>45</v>
      </c>
      <c r="B37" s="64">
        <f>B17*Rates!D66</f>
        <v>27562.5</v>
      </c>
      <c r="C37" s="65">
        <f>Rates!D56</f>
        <v>3.725E-4</v>
      </c>
      <c r="D37" s="66">
        <f>B37*C37</f>
        <v>10.26703125</v>
      </c>
      <c r="E37" s="64">
        <f>B17*Rates!F66</f>
        <v>27160</v>
      </c>
      <c r="F37" s="65">
        <f>Rates!F56</f>
        <v>3.725E-4</v>
      </c>
      <c r="G37" s="66">
        <f>E37*F37</f>
        <v>10.117100000000001</v>
      </c>
      <c r="H37" s="41">
        <f>G37-D37</f>
        <v>-0.14993124999999985</v>
      </c>
      <c r="I37" s="42">
        <f>IF(ISERROR(H37/D37),0,H37/D37)</f>
        <v>-1.4603174603174588E-2</v>
      </c>
      <c r="J37" s="62">
        <f t="shared" si="1"/>
        <v>1.2973869833644155E-3</v>
      </c>
    </row>
    <row r="38" spans="1:10" ht="12.75" thickBot="1">
      <c r="A38" s="63" t="str">
        <f>A14</f>
        <v>Standard Supply Service - Administarive Charge (if applicable)</v>
      </c>
      <c r="B38" s="79">
        <f>B25</f>
        <v>428</v>
      </c>
      <c r="C38" s="66">
        <f>C14</f>
        <v>0.25</v>
      </c>
      <c r="D38" s="66">
        <f>B38*C38</f>
        <v>107</v>
      </c>
      <c r="E38" s="64">
        <f>B25</f>
        <v>428</v>
      </c>
      <c r="F38" s="66">
        <f>D14</f>
        <v>0.25</v>
      </c>
      <c r="G38" s="66">
        <f>E38*F38</f>
        <v>107</v>
      </c>
      <c r="H38" s="66">
        <f t="shared" si="0"/>
        <v>0</v>
      </c>
      <c r="I38" s="67">
        <f t="shared" si="4"/>
        <v>0</v>
      </c>
      <c r="J38" s="68">
        <f t="shared" si="1"/>
        <v>1.3721363554772856E-2</v>
      </c>
    </row>
    <row r="39" spans="1:10" ht="12.75" thickBot="1">
      <c r="A39" s="73" t="s">
        <v>42</v>
      </c>
      <c r="B39" s="74"/>
      <c r="C39" s="75"/>
      <c r="D39" s="76">
        <f>SUM(D35:D38)</f>
        <v>288.15453124999999</v>
      </c>
      <c r="E39" s="75"/>
      <c r="F39" s="75"/>
      <c r="G39" s="76">
        <f>SUM(G35:G38)</f>
        <v>293.65710000000001</v>
      </c>
      <c r="H39" s="76">
        <f t="shared" si="0"/>
        <v>5.5025687500000231</v>
      </c>
      <c r="I39" s="77">
        <f t="shared" si="4"/>
        <v>1.9095895268868943E-2</v>
      </c>
      <c r="J39" s="78">
        <f t="shared" si="1"/>
        <v>3.7657718033086804E-2</v>
      </c>
    </row>
    <row r="40" spans="1:10" ht="12.75" thickBot="1">
      <c r="A40" s="87" t="s">
        <v>19</v>
      </c>
      <c r="B40" s="88">
        <f>B17</f>
        <v>25000</v>
      </c>
      <c r="C40" s="89">
        <f>Rates!D60</f>
        <v>2E-3</v>
      </c>
      <c r="D40" s="90">
        <f>B40*C40</f>
        <v>50</v>
      </c>
      <c r="E40" s="88">
        <f>B17</f>
        <v>25000</v>
      </c>
      <c r="F40" s="89">
        <f>Rates!F60</f>
        <v>2E-3</v>
      </c>
      <c r="G40" s="90">
        <f>E40*F40</f>
        <v>50</v>
      </c>
      <c r="H40" s="90">
        <f t="shared" si="0"/>
        <v>0</v>
      </c>
      <c r="I40" s="91">
        <f t="shared" si="4"/>
        <v>0</v>
      </c>
      <c r="J40" s="92">
        <f t="shared" si="1"/>
        <v>6.4118521283985305E-3</v>
      </c>
    </row>
    <row r="41" spans="1:10" ht="12.75" thickBot="1">
      <c r="A41" s="73" t="s">
        <v>43</v>
      </c>
      <c r="B41" s="74"/>
      <c r="C41" s="75"/>
      <c r="D41" s="76">
        <f>D24+D34+D39+D40</f>
        <v>3805.2626283400004</v>
      </c>
      <c r="E41" s="75"/>
      <c r="F41" s="75"/>
      <c r="G41" s="76">
        <f>G24+G34+G39+G40</f>
        <v>6900.9370029984002</v>
      </c>
      <c r="H41" s="76">
        <f t="shared" si="0"/>
        <v>3095.6743746583998</v>
      </c>
      <c r="I41" s="77">
        <f t="shared" si="4"/>
        <v>0.81352449936125704</v>
      </c>
      <c r="J41" s="78">
        <f t="shared" si="1"/>
        <v>0.88495575221238942</v>
      </c>
    </row>
    <row r="42" spans="1:10" ht="12.75" thickBot="1">
      <c r="A42" s="93" t="s">
        <v>46</v>
      </c>
      <c r="B42" s="94"/>
      <c r="C42" s="95">
        <f>Rates!D67</f>
        <v>0.13</v>
      </c>
      <c r="D42" s="90">
        <f>C42*D41</f>
        <v>494.68414168420009</v>
      </c>
      <c r="E42" s="96"/>
      <c r="F42" s="95">
        <f>Rates!F67</f>
        <v>0.13</v>
      </c>
      <c r="G42" s="90">
        <f>F42*G41</f>
        <v>897.12181038979202</v>
      </c>
      <c r="H42" s="90">
        <f t="shared" si="0"/>
        <v>402.43766870559193</v>
      </c>
      <c r="I42" s="91">
        <f t="shared" si="4"/>
        <v>0.81352449936125681</v>
      </c>
      <c r="J42" s="92">
        <f t="shared" si="1"/>
        <v>0.11504424778761062</v>
      </c>
    </row>
    <row r="43" spans="1:10" ht="12.75" thickBot="1">
      <c r="A43" s="81" t="s">
        <v>33</v>
      </c>
      <c r="B43" s="82"/>
      <c r="C43" s="83"/>
      <c r="D43" s="104">
        <f>D41+D42</f>
        <v>4299.9467700242003</v>
      </c>
      <c r="E43" s="83"/>
      <c r="F43" s="83"/>
      <c r="G43" s="104">
        <f>G41+G42</f>
        <v>7798.058813388192</v>
      </c>
      <c r="H43" s="104">
        <f t="shared" si="0"/>
        <v>3498.1120433639917</v>
      </c>
      <c r="I43" s="85">
        <f t="shared" si="4"/>
        <v>0.81352449936125704</v>
      </c>
      <c r="J43" s="86">
        <f t="shared" si="1"/>
        <v>1</v>
      </c>
    </row>
  </sheetData>
  <mergeCells count="4">
    <mergeCell ref="A20:A21"/>
    <mergeCell ref="B20:B21"/>
    <mergeCell ref="E20:E21"/>
    <mergeCell ref="H20:J20"/>
  </mergeCells>
  <phoneticPr fontId="2" type="noConversion"/>
  <pageMargins left="0.75" right="0.75" top="1" bottom="1" header="0.5" footer="0.5"/>
  <pageSetup scale="76" orientation="landscape" verticalDpi="1200" r:id="rId1"/>
  <headerFooter alignWithMargins="0">
    <oddHeader xml:space="preserve">&amp;C&amp;"Arial,Bold"&amp;16Electricity Distribution Impacts
Rates Effective December 1, 2010&amp;"Arial,Regular"&amp;10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Rates</vt:lpstr>
      <vt:lpstr>Residential R1 Impact</vt:lpstr>
      <vt:lpstr>Residential R2 Impact</vt:lpstr>
      <vt:lpstr>Residential R2 Impact Interval</vt:lpstr>
      <vt:lpstr>Seasonal Impact</vt:lpstr>
      <vt:lpstr>Street Light Impact</vt:lpstr>
    </vt:vector>
  </TitlesOfParts>
  <Company>FortisOntario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2010-11-18T18:43:46Z</cp:lastPrinted>
  <dcterms:created xsi:type="dcterms:W3CDTF">2010-01-19T01:47:37Z</dcterms:created>
  <dcterms:modified xsi:type="dcterms:W3CDTF">2010-11-18T18:44:11Z</dcterms:modified>
</cp:coreProperties>
</file>