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780" windowHeight="12120"/>
  </bookViews>
  <sheets>
    <sheet name="Cover Sheet" sheetId="22" r:id="rId1"/>
    <sheet name="Tariff Sheet" sheetId="6" r:id="rId2"/>
    <sheet name="Forecast Data" sheetId="7" r:id="rId3"/>
    <sheet name="2007 GLP DRO" sheetId="12" r:id="rId4"/>
    <sheet name="Customer Forecast" sheetId="8" r:id="rId5"/>
    <sheet name="2011 Dx Revenue Forecast" sheetId="11" r:id="rId6"/>
    <sheet name="Cost Allocation Sheet O1" sheetId="23" r:id="rId7"/>
    <sheet name="2011 Cost Allocation Design" sheetId="25" r:id="rId8"/>
    <sheet name="2011 Allocated Revenues" sheetId="14" r:id="rId9"/>
    <sheet name="2011 RRRP Determination" sheetId="17" r:id="rId10"/>
    <sheet name="2011 Non-RRRP Rate Design" sheetId="20" r:id="rId11"/>
    <sheet name="Sheet1" sheetId="26" r:id="rId12"/>
  </sheets>
  <calcPr calcId="125725" iterate="1" calcOnSave="0"/>
</workbook>
</file>

<file path=xl/calcChain.xml><?xml version="1.0" encoding="utf-8"?>
<calcChain xmlns="http://schemas.openxmlformats.org/spreadsheetml/2006/main">
  <c r="H18" i="6"/>
  <c r="H5" i="20"/>
  <c r="G6"/>
  <c r="H6" s="1"/>
  <c r="D6"/>
  <c r="K7" s="1"/>
  <c r="C4" i="25"/>
  <c r="C5"/>
  <c r="C6"/>
  <c r="C7"/>
  <c r="C8"/>
  <c r="D5" s="1"/>
  <c r="G5" s="1"/>
  <c r="E4"/>
  <c r="E5"/>
  <c r="E6"/>
  <c r="E7"/>
  <c r="G6" i="17"/>
  <c r="D7" i="11"/>
  <c r="D6" i="17" s="1"/>
  <c r="D15" s="1"/>
  <c r="I15"/>
  <c r="J15"/>
  <c r="E7" i="11"/>
  <c r="F6" i="17" s="1"/>
  <c r="F15" s="1"/>
  <c r="D9" i="11"/>
  <c r="D5" i="20" s="1"/>
  <c r="E9" i="11"/>
  <c r="E5" i="20" s="1"/>
  <c r="G17" i="12"/>
  <c r="I17" s="1"/>
  <c r="E10" i="11"/>
  <c r="E6" i="20" s="1"/>
  <c r="J14" i="17"/>
  <c r="E6" i="11"/>
  <c r="E5" i="17" s="1"/>
  <c r="E14" s="1"/>
  <c r="D6" i="11"/>
  <c r="D5" i="17" s="1"/>
  <c r="D14" s="1"/>
  <c r="K14" s="1"/>
  <c r="I14"/>
  <c r="G5"/>
  <c r="H5" s="1"/>
  <c r="H6"/>
  <c r="I14" i="25"/>
  <c r="K14" s="1"/>
  <c r="I16"/>
  <c r="I15"/>
  <c r="I13"/>
  <c r="E13"/>
  <c r="G15" i="12"/>
  <c r="F6" i="11"/>
  <c r="H6" s="1"/>
  <c r="I15" i="12"/>
  <c r="G16"/>
  <c r="F7" i="11" s="1"/>
  <c r="H7" s="1"/>
  <c r="G18" i="12"/>
  <c r="F10" i="11" s="1"/>
  <c r="H10" s="1"/>
  <c r="H7" i="6"/>
  <c r="H6"/>
  <c r="F6" i="14"/>
  <c r="E7"/>
  <c r="D8"/>
  <c r="H5"/>
  <c r="H6"/>
  <c r="H7"/>
  <c r="H8"/>
  <c r="F16" i="12"/>
  <c r="F17"/>
  <c r="F18"/>
  <c r="F15"/>
  <c r="J15" s="1"/>
  <c r="D9"/>
  <c r="E9"/>
  <c r="D21" i="6" s="1"/>
  <c r="F9" i="12"/>
  <c r="G9"/>
  <c r="H9"/>
  <c r="C9"/>
  <c r="D6" i="25" l="1"/>
  <c r="G6" s="1"/>
  <c r="D6" i="14"/>
  <c r="L14" i="17"/>
  <c r="J17" i="12"/>
  <c r="H17" s="1"/>
  <c r="G9" i="11" s="1"/>
  <c r="I9" s="1"/>
  <c r="D5" i="14"/>
  <c r="D7"/>
  <c r="E5"/>
  <c r="E8"/>
  <c r="I18" i="12"/>
  <c r="J18" s="1"/>
  <c r="H18" s="1"/>
  <c r="G10" i="11" s="1"/>
  <c r="I10" s="1"/>
  <c r="J10" s="1"/>
  <c r="F9"/>
  <c r="H9" s="1"/>
  <c r="J9" s="1"/>
  <c r="L15" i="17"/>
  <c r="E8" i="25"/>
  <c r="F5" s="1"/>
  <c r="H5" s="1"/>
  <c r="I5" s="1"/>
  <c r="C14" s="1"/>
  <c r="D4"/>
  <c r="D7"/>
  <c r="G7" s="1"/>
  <c r="H15" i="12"/>
  <c r="G6" i="11" s="1"/>
  <c r="I6" s="1"/>
  <c r="H8"/>
  <c r="H11" s="1"/>
  <c r="J6"/>
  <c r="M14" i="17"/>
  <c r="G14" s="1"/>
  <c r="K15"/>
  <c r="H14"/>
  <c r="F6" i="25"/>
  <c r="H6" s="1"/>
  <c r="G4"/>
  <c r="I6"/>
  <c r="C15" s="1"/>
  <c r="I16" i="12"/>
  <c r="I19" s="1"/>
  <c r="E17" i="25"/>
  <c r="D8" l="1"/>
  <c r="F4"/>
  <c r="F8" s="1"/>
  <c r="F7"/>
  <c r="H7" s="1"/>
  <c r="I7" s="1"/>
  <c r="C16" s="1"/>
  <c r="M15" i="17"/>
  <c r="G15" s="1"/>
  <c r="J16" i="12"/>
  <c r="H4" i="25"/>
  <c r="I4" s="1"/>
  <c r="C13" l="1"/>
  <c r="I8"/>
  <c r="H16" i="12"/>
  <c r="G7" i="11" s="1"/>
  <c r="I7" s="1"/>
  <c r="J19" i="12"/>
  <c r="H15" i="17"/>
  <c r="J7" i="11" l="1"/>
  <c r="J8" s="1"/>
  <c r="J11" s="1"/>
  <c r="I8"/>
  <c r="I11" s="1"/>
  <c r="C17" i="25"/>
  <c r="D13"/>
  <c r="F14" l="1"/>
  <c r="F15"/>
  <c r="F16"/>
  <c r="F13"/>
  <c r="D15"/>
  <c r="D16"/>
  <c r="D14"/>
  <c r="D17"/>
  <c r="H15" l="1"/>
  <c r="M5" i="20"/>
  <c r="M7" i="14"/>
  <c r="G15" i="25"/>
  <c r="M8" i="14"/>
  <c r="G16" i="25"/>
  <c r="M6" i="20"/>
  <c r="H16" i="25"/>
  <c r="M6" i="14"/>
  <c r="G14" i="25"/>
  <c r="M6" i="17"/>
  <c r="H14" i="25"/>
  <c r="H13"/>
  <c r="F17"/>
  <c r="M5" i="17"/>
  <c r="M5" i="14"/>
  <c r="G13" i="25"/>
  <c r="K5" i="17" l="1"/>
  <c r="M7"/>
  <c r="L5"/>
  <c r="L6"/>
  <c r="J6" s="1"/>
  <c r="K6"/>
  <c r="I6" s="1"/>
  <c r="K6" i="14"/>
  <c r="I6" s="1"/>
  <c r="L6"/>
  <c r="J6" s="1"/>
  <c r="L7" i="20"/>
  <c r="K6"/>
  <c r="I6" s="1"/>
  <c r="L6"/>
  <c r="J6" s="1"/>
  <c r="K8" i="14"/>
  <c r="I8" s="1"/>
  <c r="L8"/>
  <c r="J8" s="1"/>
  <c r="K7"/>
  <c r="I7" s="1"/>
  <c r="L7"/>
  <c r="J7" s="1"/>
  <c r="K5"/>
  <c r="L5"/>
  <c r="M9"/>
  <c r="K5" i="20"/>
  <c r="L5"/>
  <c r="K8" l="1"/>
  <c r="I5"/>
  <c r="H14" i="6" s="1"/>
  <c r="I5" i="14"/>
  <c r="K9"/>
  <c r="I16" i="17"/>
  <c r="H10" i="6" s="1"/>
  <c r="K16" i="17"/>
  <c r="L7"/>
  <c r="J5"/>
  <c r="I5"/>
  <c r="K7"/>
  <c r="L8" i="20"/>
  <c r="J5"/>
  <c r="H15" i="6" s="1"/>
  <c r="L9" i="14"/>
  <c r="J5"/>
  <c r="J7" i="20"/>
  <c r="H7"/>
  <c r="M7"/>
  <c r="G7" l="1"/>
  <c r="M8"/>
  <c r="H24" i="6"/>
  <c r="H19"/>
  <c r="K17" i="17"/>
  <c r="L16"/>
  <c r="J16" l="1"/>
  <c r="H11" i="6" s="1"/>
  <c r="L17" i="17"/>
  <c r="M16"/>
  <c r="M17" l="1"/>
  <c r="M19" s="1"/>
  <c r="H21" i="6" s="1"/>
  <c r="G16" i="17"/>
  <c r="H16"/>
</calcChain>
</file>

<file path=xl/sharedStrings.xml><?xml version="1.0" encoding="utf-8"?>
<sst xmlns="http://schemas.openxmlformats.org/spreadsheetml/2006/main" count="407" uniqueCount="207">
  <si>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</si>
  <si>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</si>
  <si>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</si>
  <si>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</si>
  <si>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</si>
  <si>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</si>
  <si>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</si>
  <si>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</si>
  <si>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</si>
  <si>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</si>
  <si>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</si>
  <si>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</si>
  <si>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</si>
  <si>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</si>
  <si>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</si>
  <si>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</si>
  <si>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</si>
  <si>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</si>
  <si>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</si>
  <si>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</si>
  <si>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</si>
  <si>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</si>
  <si>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</si>
  <si>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</si>
  <si>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</si>
  <si>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</si>
  <si>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</si>
  <si>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</si>
  <si>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</si>
  <si>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</si>
  <si>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</si>
  <si>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</si>
  <si>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</si>
  <si>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</si>
  <si>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</si>
  <si>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</si>
  <si>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</si>
  <si>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</si>
  <si>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</si>
  <si>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</si>
  <si>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</si>
  <si>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</si>
  <si>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</si>
  <si>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</si>
  <si>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</si>
  <si>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</si>
  <si>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</si>
  <si>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</si>
  <si>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</si>
  <si>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</si>
  <si>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</si>
  <si>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</si>
  <si>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</si>
  <si>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</si>
  <si>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</si>
  <si>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</si>
  <si>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</si>
  <si>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</si>
  <si>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</si>
  <si>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</si>
  <si>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</si>
  <si>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</si>
  <si>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</si>
  <si>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</si>
  <si>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</si>
  <si>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</si>
  <si>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</si>
  <si>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</si>
  <si>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</si>
  <si>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</si>
  <si>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</si>
  <si>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</si>
  <si>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</si>
  <si>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</si>
  <si>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</si>
  <si>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</si>
  <si>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</si>
  <si>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</si>
  <si>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</si>
  <si>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</si>
  <si>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</si>
  <si>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</si>
  <si>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</si>
  <si>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</si>
  <si>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</si>
  <si>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</si>
  <si>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</si>
  <si>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</si>
  <si>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</si>
  <si>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</si>
  <si>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</si>
  <si>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</si>
  <si>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</si>
  <si>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</si>
  <si>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</si>
  <si>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</si>
  <si>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</si>
  <si>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</si>
  <si>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</si>
  <si>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Algoma Load and Customer Forecast Information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</si>
  <si>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</si>
  <si>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</si>
  <si>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</si>
  <si>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</si>
  <si>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</si>
  <si>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</si>
  <si>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</si>
  <si>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</si>
  <si>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</si>
  <si>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</si>
  <si>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</si>
  <si>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</si>
  <si>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</si>
  <si>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</si>
  <si>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</si>
  <si>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2010 Algoma Customer Count By Rate Class</t>
  </si>
  <si>
    <t>Actual</t>
  </si>
  <si>
    <t>Forecast</t>
  </si>
  <si>
    <t>Change</t>
  </si>
  <si>
    <t>Rate Class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</si>
  <si>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</si>
  <si>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</si>
  <si>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</si>
  <si>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</si>
  <si>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</si>
  <si>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</si>
  <si>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</si>
  <si>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</si>
  <si>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</si>
  <si>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</si>
  <si>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</si>
  <si>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</si>
  <si>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Street Lights</t>
  </si>
  <si>
    <t>2011 Algoma Customer Count By Rate Class</t>
  </si>
  <si>
    <t>Billing Metric</t>
  </si>
  <si>
    <t>No. of Cust.</t>
  </si>
  <si>
    <t>Charge Determinant</t>
  </si>
  <si>
    <t>Rates</t>
  </si>
  <si>
    <t>Revenue</t>
  </si>
  <si>
    <t>Volumetric</t>
  </si>
  <si>
    <t>Residential</t>
  </si>
  <si>
    <t>R1 Energy Rate</t>
  </si>
  <si>
    <t>R2 Demand Rate</t>
  </si>
  <si>
    <t>Total Residential</t>
  </si>
  <si>
    <t>Street Lights (conn.)</t>
  </si>
  <si>
    <t>2011 Weather Normalized Forecasted Revenue Recovery Summary</t>
  </si>
  <si>
    <t>Table C10 - Revenue Recovery Summary</t>
  </si>
  <si>
    <t>EB-2007-0744 Draft Rate Order</t>
  </si>
  <si>
    <t>2007 Revenue Requirement</t>
  </si>
  <si>
    <t>Total Rvenue from Rates</t>
  </si>
  <si>
    <t>RRRP</t>
  </si>
  <si>
    <t>Approved Deferrals</t>
  </si>
  <si>
    <t>Annual Revenue Shortfall</t>
  </si>
  <si>
    <t>Simulated Distribution Rates to Recover Total Revenue Requirement</t>
  </si>
  <si>
    <t>Data From EB-2007-0744 Draft Rate Order</t>
  </si>
  <si>
    <t>No. of Customers</t>
  </si>
  <si>
    <t>Volumetric Distribution Charge</t>
  </si>
  <si>
    <t>Fixed Revenue Amount</t>
  </si>
  <si>
    <t>Variable Revenue Amount</t>
  </si>
  <si>
    <t>Street Lighting based on number of connections</t>
  </si>
  <si>
    <t>Application of Rate Indexing Methodology</t>
  </si>
  <si>
    <t>2011 Distribution Base Rate Determination</t>
  </si>
  <si>
    <t>The Rural and Remote Rate Protection Amount Required for 2011</t>
  </si>
  <si>
    <t>Delivery Charges Indexed by Simple Average of Other LDC Increases in Current Year</t>
  </si>
  <si>
    <t>2007 Board Approved Tariff, EB-2007-0744</t>
  </si>
  <si>
    <t>Effective September 2007</t>
  </si>
  <si>
    <t>Delivery Charges</t>
  </si>
  <si>
    <t>Proposed July 1, 2010</t>
  </si>
  <si>
    <t>Proposed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</si>
  <si>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</si>
  <si>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</si>
  <si>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</si>
  <si>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</si>
  <si>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</si>
  <si>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</si>
  <si>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</si>
  <si>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</si>
  <si>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</si>
  <si>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</si>
  <si>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</si>
  <si>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</si>
  <si>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</si>
  <si>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</si>
  <si>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</si>
  <si>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>2011 Forecasted Revenue @ 100% R|C</t>
  </si>
  <si>
    <t xml:space="preserve">EB-2010-0278   </t>
  </si>
  <si>
    <t>2010 Electricity Distribution Rate Application</t>
  </si>
  <si>
    <t>Distribution Rate Design Module</t>
  </si>
  <si>
    <t>EB-2009-0278</t>
  </si>
  <si>
    <t>Revenue Requirement Input Does Not Equal Output</t>
  </si>
  <si>
    <t>The target Revenue to Cost Ratio for the Seasonal Class is 115% as per the Settlement Agreement.</t>
  </si>
  <si>
    <t>Note 1:</t>
  </si>
  <si>
    <t>Note 2:</t>
  </si>
  <si>
    <t>Target R|C Ratio</t>
  </si>
  <si>
    <t>Note 3:</t>
  </si>
  <si>
    <t>The target Revenue to Cost Ratio for the Residential R-2 Class is 50% of the gap to the nearest boundary.</t>
  </si>
  <si>
    <t>Hold Residential - R2 Fixed Charge at $596.12</t>
  </si>
  <si>
    <t>Note 1:  Sheet O2 of the Cost Allocation Model determines the minimum fixed charge as</t>
  </si>
  <si>
    <r>
      <t>Monthly Service Charge</t>
    </r>
    <r>
      <rPr>
        <vertAlign val="superscript"/>
        <sz val="10"/>
        <rFont val="Arial"/>
        <family val="2"/>
      </rPr>
      <t>1</t>
    </r>
  </si>
  <si>
    <t xml:space="preserve">The resulting variable charge with this minimum charge is </t>
  </si>
  <si>
    <t>N/A</t>
  </si>
  <si>
    <t>Proposed December 1, 2010</t>
  </si>
  <si>
    <t>Draft Rate Order</t>
  </si>
  <si>
    <t>November 22, 2010</t>
  </si>
  <si>
    <t>Simple Average Increase in Delivery Charge for 2011using the Board's Decision and Order EB-2009-0278</t>
  </si>
  <si>
    <t>The target Revenue to Cost Ratio for the Street Lighting Class is 25% of the gap to the nearest boundary.</t>
  </si>
  <si>
    <t>(Set MSC at $0.96 per connection per month)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</si>
</sst>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[$-409]mmm\-yy;@"/>
    <numFmt numFmtId="169" formatCode="_(&quot;$&quot;* #,##0_);_(&quot;$&quot;* \(#,##0\);_(&quot;$&quot;* &quot;-&quot;??_);_(@_)"/>
    <numFmt numFmtId="170" formatCode="_(&quot;$&quot;* #,##0.0000_);_(&quot;$&quot;* \(#,##0.0000\);_(&quot;$&quot;* &quot;-&quot;??_);_(@_)"/>
  </numFmts>
  <fonts count="25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6" fontId="9" fillId="2" borderId="0" xfId="0" applyNumberFormat="1" applyFont="1" applyFill="1" applyBorder="1"/>
    <xf numFmtId="6" fontId="10" fillId="2" borderId="0" xfId="0" applyNumberFormat="1" applyFont="1" applyFill="1" applyBorder="1"/>
    <xf numFmtId="6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6" fontId="14" fillId="2" borderId="0" xfId="0" applyNumberFormat="1" applyFont="1" applyFill="1" applyBorder="1"/>
    <xf numFmtId="6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6" fontId="17" fillId="2" borderId="5" xfId="0" applyNumberFormat="1" applyFont="1" applyFill="1" applyBorder="1"/>
    <xf numFmtId="6" fontId="13" fillId="2" borderId="1" xfId="0" applyNumberFormat="1" applyFont="1" applyFill="1" applyBorder="1"/>
    <xf numFmtId="6" fontId="17" fillId="2" borderId="6" xfId="0" applyNumberFormat="1" applyFont="1" applyFill="1" applyBorder="1"/>
    <xf numFmtId="6" fontId="13" fillId="2" borderId="7" xfId="0" applyNumberFormat="1" applyFont="1" applyFill="1" applyBorder="1"/>
    <xf numFmtId="0" fontId="14" fillId="3" borderId="3" xfId="0" applyFont="1" applyFill="1" applyBorder="1"/>
    <xf numFmtId="6" fontId="17" fillId="3" borderId="8" xfId="0" applyNumberFormat="1" applyFont="1" applyFill="1" applyBorder="1"/>
    <xf numFmtId="6" fontId="14" fillId="3" borderId="9" xfId="0" applyNumberFormat="1" applyFont="1" applyFill="1" applyBorder="1"/>
    <xf numFmtId="6" fontId="17" fillId="2" borderId="3" xfId="0" applyNumberFormat="1" applyFont="1" applyFill="1" applyBorder="1"/>
    <xf numFmtId="6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6" fontId="17" fillId="2" borderId="3" xfId="0" applyNumberFormat="1" applyFont="1" applyFill="1" applyBorder="1" applyAlignment="1">
      <alignment horizontal="right"/>
    </xf>
    <xf numFmtId="6" fontId="13" fillId="2" borderId="10" xfId="0" applyNumberFormat="1" applyFont="1" applyFill="1" applyBorder="1" applyAlignment="1">
      <alignment horizontal="right"/>
    </xf>
    <xf numFmtId="6" fontId="14" fillId="2" borderId="10" xfId="0" applyNumberFormat="1" applyFont="1" applyFill="1" applyBorder="1"/>
    <xf numFmtId="6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6" fontId="17" fillId="2" borderId="6" xfId="0" applyNumberFormat="1" applyFont="1" applyFill="1" applyBorder="1" applyAlignment="1">
      <alignment horizontal="right"/>
    </xf>
    <xf numFmtId="6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6" fontId="20" fillId="3" borderId="3" xfId="0" applyNumberFormat="1" applyFont="1" applyFill="1" applyBorder="1"/>
    <xf numFmtId="6" fontId="19" fillId="3" borderId="10" xfId="0" applyNumberFormat="1" applyFont="1" applyFill="1" applyBorder="1"/>
    <xf numFmtId="6" fontId="13" fillId="2" borderId="3" xfId="0" applyNumberFormat="1" applyFont="1" applyFill="1" applyBorder="1"/>
    <xf numFmtId="6" fontId="17" fillId="3" borderId="11" xfId="0" applyNumberFormat="1" applyFont="1" applyFill="1" applyBorder="1"/>
    <xf numFmtId="6" fontId="14" fillId="3" borderId="12" xfId="0" applyNumberFormat="1" applyFont="1" applyFill="1" applyBorder="1"/>
    <xf numFmtId="6" fontId="17" fillId="3" borderId="3" xfId="0" applyNumberFormat="1" applyFont="1" applyFill="1" applyBorder="1"/>
    <xf numFmtId="6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5" fontId="0" fillId="0" borderId="13" xfId="1" applyNumberFormat="1" applyFont="1" applyBorder="1"/>
    <xf numFmtId="43" fontId="0" fillId="0" borderId="13" xfId="1" applyFont="1" applyBorder="1"/>
    <xf numFmtId="167" fontId="0" fillId="0" borderId="13" xfId="1" applyNumberFormat="1" applyFont="1" applyBorder="1"/>
    <xf numFmtId="165" fontId="0" fillId="0" borderId="13" xfId="0" applyNumberFormat="1" applyBorder="1"/>
    <xf numFmtId="0" fontId="0" fillId="0" borderId="13" xfId="0" applyBorder="1"/>
    <xf numFmtId="165" fontId="14" fillId="0" borderId="13" xfId="0" applyNumberFormat="1" applyFont="1" applyBorder="1"/>
    <xf numFmtId="165" fontId="14" fillId="0" borderId="0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left" indent="1"/>
    </xf>
    <xf numFmtId="0" fontId="14" fillId="0" borderId="13" xfId="0" applyFont="1" applyBorder="1" applyAlignment="1">
      <alignment horizontal="left"/>
    </xf>
    <xf numFmtId="165" fontId="1" fillId="0" borderId="13" xfId="1" applyNumberFormat="1" applyBorder="1"/>
    <xf numFmtId="43" fontId="0" fillId="0" borderId="13" xfId="0" applyNumberFormat="1" applyBorder="1"/>
    <xf numFmtId="165" fontId="1" fillId="0" borderId="13" xfId="1" applyNumberFormat="1" applyFont="1" applyBorder="1"/>
    <xf numFmtId="165" fontId="22" fillId="0" borderId="13" xfId="0" applyNumberFormat="1" applyFont="1" applyBorder="1"/>
    <xf numFmtId="167" fontId="1" fillId="0" borderId="13" xfId="1" applyNumberFormat="1" applyBorder="1"/>
    <xf numFmtId="166" fontId="1" fillId="0" borderId="13" xfId="3" applyNumberFormat="1" applyBorder="1" applyAlignment="1">
      <alignment horizontal="center"/>
    </xf>
    <xf numFmtId="43" fontId="1" fillId="0" borderId="13" xfId="1" applyBorder="1"/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169" fontId="14" fillId="0" borderId="13" xfId="2" applyNumberFormat="1" applyFont="1" applyBorder="1"/>
    <xf numFmtId="44" fontId="0" fillId="0" borderId="0" xfId="2" applyFont="1"/>
    <xf numFmtId="1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13" xfId="0" applyFill="1" applyBorder="1"/>
    <xf numFmtId="43" fontId="0" fillId="3" borderId="13" xfId="1" applyFont="1" applyFill="1" applyBorder="1"/>
    <xf numFmtId="167" fontId="0" fillId="3" borderId="13" xfId="1" applyNumberFormat="1" applyFont="1" applyFill="1" applyBorder="1"/>
    <xf numFmtId="168" fontId="0" fillId="0" borderId="13" xfId="0" applyNumberFormat="1" applyBorder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6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6" fontId="1" fillId="0" borderId="13" xfId="3" applyNumberFormat="1" applyFont="1" applyBorder="1" applyAlignment="1">
      <alignment horizontal="center"/>
    </xf>
    <xf numFmtId="166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5" fontId="0" fillId="0" borderId="13" xfId="1" applyNumberFormat="1" applyFont="1" applyFill="1" applyBorder="1"/>
    <xf numFmtId="0" fontId="14" fillId="0" borderId="13" xfId="0" applyFont="1" applyFill="1" applyBorder="1"/>
    <xf numFmtId="165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5" fontId="1" fillId="3" borderId="13" xfId="1" applyNumberFormat="1" applyFill="1" applyBorder="1"/>
    <xf numFmtId="166" fontId="1" fillId="3" borderId="13" xfId="3" applyNumberFormat="1" applyFill="1" applyBorder="1" applyAlignment="1">
      <alignment horizontal="center"/>
    </xf>
    <xf numFmtId="43" fontId="1" fillId="3" borderId="13" xfId="1" applyFill="1" applyBorder="1"/>
    <xf numFmtId="167" fontId="1" fillId="3" borderId="13" xfId="1" applyNumberFormat="1" applyFill="1" applyBorder="1"/>
    <xf numFmtId="165" fontId="0" fillId="3" borderId="13" xfId="0" applyNumberFormat="1" applyFill="1" applyBorder="1"/>
    <xf numFmtId="43" fontId="1" fillId="0" borderId="13" xfId="1" applyFont="1" applyBorder="1"/>
    <xf numFmtId="0" fontId="0" fillId="0" borderId="0" xfId="0" applyAlignment="1">
      <alignment horizontal="left" indent="4"/>
    </xf>
    <xf numFmtId="170" fontId="0" fillId="0" borderId="0" xfId="0" applyNumberFormat="1"/>
    <xf numFmtId="43" fontId="0" fillId="0" borderId="13" xfId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10" fontId="14" fillId="7" borderId="13" xfId="3" applyNumberFormat="1" applyFont="1" applyFill="1" applyBorder="1"/>
    <xf numFmtId="0" fontId="1" fillId="0" borderId="13" xfId="0" applyFont="1" applyBorder="1" applyAlignment="1">
      <alignment horizontal="left"/>
    </xf>
    <xf numFmtId="0" fontId="23" fillId="0" borderId="0" xfId="0" quotePrefix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quotePrefix="1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6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4" fontId="5" fillId="2" borderId="0" xfId="0" applyNumberFormat="1" applyFont="1" applyFill="1" applyAlignment="1">
      <alignment horizontal="left" indent="1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6"/>
  <sheetViews>
    <sheetView showGridLines="0" tabSelected="1" workbookViewId="0"/>
  </sheetViews>
  <sheetFormatPr defaultRowHeight="12.75"/>
  <cols>
    <col min="1" max="1" width="5" customWidth="1"/>
    <col min="9" max="9" width="47" customWidth="1"/>
  </cols>
  <sheetData>
    <row r="20" spans="2:9" ht="33.75">
      <c r="B20" s="139" t="s">
        <v>1</v>
      </c>
      <c r="C20" s="139"/>
      <c r="D20" s="139"/>
      <c r="E20" s="139"/>
      <c r="F20" s="139"/>
      <c r="G20" s="139"/>
      <c r="H20" s="139"/>
      <c r="I20" s="139"/>
    </row>
    <row r="21" spans="2:9" ht="33.75">
      <c r="B21" s="139" t="s">
        <v>187</v>
      </c>
      <c r="C21" s="139"/>
      <c r="D21" s="139"/>
      <c r="E21" s="139"/>
      <c r="F21" s="139"/>
      <c r="G21" s="139"/>
      <c r="H21" s="139"/>
      <c r="I21" s="139"/>
    </row>
    <row r="22" spans="2:9" ht="33.75">
      <c r="B22" s="139" t="s">
        <v>186</v>
      </c>
      <c r="C22" s="139"/>
      <c r="D22" s="139"/>
      <c r="E22" s="139"/>
      <c r="F22" s="139"/>
      <c r="G22" s="139"/>
      <c r="H22" s="139"/>
      <c r="I22" s="139"/>
    </row>
    <row r="23" spans="2:9" ht="33.75">
      <c r="B23" s="139" t="s">
        <v>188</v>
      </c>
      <c r="C23" s="139"/>
      <c r="D23" s="139"/>
      <c r="E23" s="139"/>
      <c r="F23" s="139"/>
      <c r="G23" s="139"/>
      <c r="H23" s="139"/>
      <c r="I23" s="139"/>
    </row>
    <row r="24" spans="2:9" ht="33.75">
      <c r="B24" s="138"/>
      <c r="C24" s="138"/>
      <c r="D24" s="138"/>
      <c r="E24" s="138"/>
      <c r="F24" s="138"/>
      <c r="G24" s="138"/>
      <c r="H24" s="138"/>
      <c r="I24" s="138"/>
    </row>
    <row r="25" spans="2:9" ht="33.75">
      <c r="B25" s="137" t="s">
        <v>202</v>
      </c>
      <c r="C25" s="136"/>
      <c r="D25" s="136"/>
      <c r="E25" s="136"/>
      <c r="F25" s="136"/>
      <c r="G25" s="136"/>
      <c r="H25" s="136"/>
      <c r="I25" s="136"/>
    </row>
    <row r="26" spans="2:9" ht="33.75">
      <c r="B26" s="136" t="s">
        <v>203</v>
      </c>
      <c r="C26" s="136"/>
      <c r="D26" s="136"/>
      <c r="E26" s="136"/>
      <c r="F26" s="136"/>
      <c r="G26" s="136"/>
      <c r="H26" s="136"/>
      <c r="I26" s="136"/>
    </row>
  </sheetData>
  <mergeCells count="7">
    <mergeCell ref="B26:I26"/>
    <mergeCell ref="B25:I25"/>
    <mergeCell ref="B24:I24"/>
    <mergeCell ref="B20:I20"/>
    <mergeCell ref="B21:I21"/>
    <mergeCell ref="B22:I22"/>
    <mergeCell ref="B23:I23"/>
  </mergeCells>
  <phoneticPr fontId="3" type="noConversion"/>
  <pageMargins left="0.75" right="0.75" top="1" bottom="1" header="0.5" footer="0.5"/>
  <pageSetup scale="77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9"/>
  <sheetViews>
    <sheetView showGridLines="0" workbookViewId="0">
      <selection activeCell="J32" sqref="J32"/>
    </sheetView>
  </sheetViews>
  <sheetFormatPr defaultRowHeight="12.75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2.28515625" bestFit="1" customWidth="1"/>
  </cols>
  <sheetData>
    <row r="2" spans="2:13">
      <c r="B2" s="145" t="s">
        <v>161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9" t="s">
        <v>80</v>
      </c>
      <c r="C3" s="149" t="s">
        <v>81</v>
      </c>
      <c r="D3" s="166" t="s">
        <v>82</v>
      </c>
      <c r="E3" s="145" t="s">
        <v>83</v>
      </c>
      <c r="F3" s="145"/>
      <c r="G3" s="145" t="s">
        <v>93</v>
      </c>
      <c r="H3" s="145"/>
      <c r="I3" s="145" t="s">
        <v>91</v>
      </c>
      <c r="J3" s="145"/>
      <c r="K3" s="145" t="s">
        <v>84</v>
      </c>
      <c r="L3" s="145"/>
      <c r="M3" s="145"/>
    </row>
    <row r="4" spans="2:13" ht="38.25">
      <c r="B4" s="149"/>
      <c r="C4" s="149"/>
      <c r="D4" s="166"/>
      <c r="E4" s="69" t="s">
        <v>73</v>
      </c>
      <c r="F4" s="69" t="s">
        <v>72</v>
      </c>
      <c r="G4" s="70" t="s">
        <v>89</v>
      </c>
      <c r="H4" s="70" t="s">
        <v>90</v>
      </c>
      <c r="I4" s="70" t="s">
        <v>85</v>
      </c>
      <c r="J4" s="70" t="s">
        <v>86</v>
      </c>
      <c r="K4" s="70" t="s">
        <v>87</v>
      </c>
      <c r="L4" s="70" t="s">
        <v>88</v>
      </c>
      <c r="M4" s="70" t="s">
        <v>21</v>
      </c>
    </row>
    <row r="5" spans="2:13">
      <c r="B5" s="71" t="s">
        <v>69</v>
      </c>
      <c r="C5" s="72" t="s">
        <v>73</v>
      </c>
      <c r="D5" s="73">
        <f>'2011 Dx Revenue Forecast'!D6</f>
        <v>8038.583333333333</v>
      </c>
      <c r="E5" s="86">
        <f>'2011 Dx Revenue Forecast'!E6</f>
        <v>106119297</v>
      </c>
      <c r="F5" s="86"/>
      <c r="G5" s="91">
        <f>'2011 Allocated Revenues'!G5</f>
        <v>0.13646721756898086</v>
      </c>
      <c r="H5" s="91">
        <f>1-G5</f>
        <v>0.86353278243101916</v>
      </c>
      <c r="I5" s="92">
        <f>K5/(D5*12)</f>
        <v>20.481631796322748</v>
      </c>
      <c r="J5" s="90">
        <f>L5/E5</f>
        <v>0.11780980770687884</v>
      </c>
      <c r="K5" s="86">
        <f>G5*M5</f>
        <v>1975719.6479686813</v>
      </c>
      <c r="L5" s="86">
        <f>H5*M5</f>
        <v>12501893.973559164</v>
      </c>
      <c r="M5" s="77">
        <f>'2011 Cost Allocation Design'!F13</f>
        <v>14477613.621527845</v>
      </c>
    </row>
    <row r="6" spans="2:13">
      <c r="B6" s="71" t="s">
        <v>70</v>
      </c>
      <c r="C6" s="72" t="s">
        <v>72</v>
      </c>
      <c r="D6" s="73">
        <f>'2011 Dx Revenue Forecast'!D7</f>
        <v>48</v>
      </c>
      <c r="E6" s="86"/>
      <c r="F6" s="86">
        <f>'2011 Dx Revenue Forecast'!E7</f>
        <v>151952</v>
      </c>
      <c r="G6" s="91">
        <f>'2011 Allocated Revenues'!G6</f>
        <v>0.12009689562634947</v>
      </c>
      <c r="H6" s="91">
        <f>1-G6</f>
        <v>0.87990310437365049</v>
      </c>
      <c r="I6" s="92">
        <f>K6/(D6*12)</f>
        <v>596.12</v>
      </c>
      <c r="J6" s="90">
        <f>L6/F6</f>
        <v>16.555901121889196</v>
      </c>
      <c r="K6" s="86">
        <f>G6*M6</f>
        <v>343365.12</v>
      </c>
      <c r="L6" s="86">
        <f>H6*M6</f>
        <v>2515702.2872733073</v>
      </c>
      <c r="M6" s="77">
        <f>'2011 Cost Allocation Design'!F14</f>
        <v>2859067.4072733074</v>
      </c>
    </row>
    <row r="7" spans="2:13">
      <c r="B7" s="78"/>
      <c r="C7" s="78"/>
      <c r="D7" s="78"/>
      <c r="E7" s="78"/>
      <c r="F7" s="78"/>
      <c r="G7" s="78"/>
      <c r="H7" s="78"/>
      <c r="I7" s="78"/>
      <c r="J7" s="78"/>
      <c r="K7" s="79">
        <f>SUM(K5:K6)</f>
        <v>2319084.7679686812</v>
      </c>
      <c r="L7" s="79">
        <f>SUM(L5:L6)</f>
        <v>15017596.26083247</v>
      </c>
      <c r="M7" s="79">
        <f>SUM(M5:M6)</f>
        <v>17336681.028801151</v>
      </c>
    </row>
    <row r="8" spans="2:13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2:13">
      <c r="B9" s="145" t="s">
        <v>160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2:13" ht="12.75" customHeight="1">
      <c r="B10" s="145" t="s">
        <v>163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2:13">
      <c r="B11" s="168" t="s">
        <v>204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70"/>
      <c r="M11" s="134">
        <v>2.5000000000000001E-2</v>
      </c>
    </row>
    <row r="12" spans="2:13">
      <c r="B12" s="149" t="s">
        <v>80</v>
      </c>
      <c r="C12" s="149" t="s">
        <v>81</v>
      </c>
      <c r="D12" s="166" t="s">
        <v>82</v>
      </c>
      <c r="E12" s="145" t="s">
        <v>83</v>
      </c>
      <c r="F12" s="145"/>
      <c r="G12" s="145" t="s">
        <v>93</v>
      </c>
      <c r="H12" s="145"/>
      <c r="I12" s="145" t="s">
        <v>91</v>
      </c>
      <c r="J12" s="145"/>
      <c r="K12" s="145" t="s">
        <v>84</v>
      </c>
      <c r="L12" s="145"/>
      <c r="M12" s="145"/>
    </row>
    <row r="13" spans="2:13" ht="38.25">
      <c r="B13" s="149"/>
      <c r="C13" s="149"/>
      <c r="D13" s="166"/>
      <c r="E13" s="69" t="s">
        <v>73</v>
      </c>
      <c r="F13" s="69" t="s">
        <v>72</v>
      </c>
      <c r="G13" s="70" t="s">
        <v>89</v>
      </c>
      <c r="H13" s="70" t="s">
        <v>90</v>
      </c>
      <c r="I13" s="70" t="s">
        <v>85</v>
      </c>
      <c r="J13" s="70" t="s">
        <v>86</v>
      </c>
      <c r="K13" s="70" t="s">
        <v>87</v>
      </c>
      <c r="L13" s="70" t="s">
        <v>88</v>
      </c>
      <c r="M13" s="70" t="s">
        <v>21</v>
      </c>
    </row>
    <row r="14" spans="2:13">
      <c r="B14" s="71" t="s">
        <v>69</v>
      </c>
      <c r="C14" s="72" t="s">
        <v>73</v>
      </c>
      <c r="D14" s="73">
        <f>D5</f>
        <v>8038.583333333333</v>
      </c>
      <c r="E14" s="86">
        <f>E5</f>
        <v>106119297</v>
      </c>
      <c r="F14" s="86"/>
      <c r="G14" s="91">
        <f>K14/M14</f>
        <v>0.39262855307074379</v>
      </c>
      <c r="H14" s="91">
        <f>L14/M14</f>
        <v>0.60737144692925615</v>
      </c>
      <c r="I14" s="92">
        <f>'Tariff Sheet'!D6*(1+'2011 RRRP Determination'!M11)</f>
        <v>20.920249999999999</v>
      </c>
      <c r="J14" s="90">
        <f>'Tariff Sheet'!D7*(1+'2011 RRRP Determination'!M11)</f>
        <v>2.9417499999999996E-2</v>
      </c>
      <c r="K14" s="86">
        <f>D14*I14*12</f>
        <v>2018030.0757499998</v>
      </c>
      <c r="L14" s="86">
        <f>J14*E14</f>
        <v>3121764.4194974997</v>
      </c>
      <c r="M14" s="77">
        <f>K14+L14</f>
        <v>5139794.4952475</v>
      </c>
    </row>
    <row r="15" spans="2:13">
      <c r="B15" s="121" t="s">
        <v>70</v>
      </c>
      <c r="C15" s="122" t="s">
        <v>72</v>
      </c>
      <c r="D15" s="123">
        <f>D6</f>
        <v>48</v>
      </c>
      <c r="E15" s="124"/>
      <c r="F15" s="124">
        <f>F6</f>
        <v>151952</v>
      </c>
      <c r="G15" s="125">
        <f>K15/M15</f>
        <v>0.47929775786936496</v>
      </c>
      <c r="H15" s="125">
        <f>L15/M15</f>
        <v>0.52070224213063498</v>
      </c>
      <c r="I15" s="126">
        <f>'Tariff Sheet'!D10*(1+'2011 RRRP Determination'!M11)</f>
        <v>611.02299999999991</v>
      </c>
      <c r="J15" s="127">
        <f>'Tariff Sheet'!D11*(1+'2011 RRRP Determination'!M11)</f>
        <v>2.5162724999999995</v>
      </c>
      <c r="K15" s="124">
        <f>D15*I15*12</f>
        <v>351949.24799999996</v>
      </c>
      <c r="L15" s="124">
        <f>J15*F15</f>
        <v>382352.63891999994</v>
      </c>
      <c r="M15" s="128">
        <f>K15+L15</f>
        <v>734301.88691999996</v>
      </c>
    </row>
    <row r="16" spans="2:13">
      <c r="B16" s="71" t="s">
        <v>196</v>
      </c>
      <c r="C16" s="72"/>
      <c r="D16" s="73"/>
      <c r="E16" s="86"/>
      <c r="F16" s="86"/>
      <c r="G16" s="91">
        <f>K16/M16</f>
        <v>0.46760756865303904</v>
      </c>
      <c r="H16" s="91">
        <f>L16/M16</f>
        <v>0.5323924313469609</v>
      </c>
      <c r="I16" s="92">
        <f>I6</f>
        <v>596.12</v>
      </c>
      <c r="J16" s="90">
        <f>L16/F15</f>
        <v>2.5727648660103188</v>
      </c>
      <c r="K16" s="86">
        <f>D15*I6*12</f>
        <v>343365.12</v>
      </c>
      <c r="L16" s="86">
        <f>M15-K16</f>
        <v>390936.76691999997</v>
      </c>
      <c r="M16" s="77">
        <f>K16+L16</f>
        <v>734301.88691999996</v>
      </c>
    </row>
    <row r="17" spans="2:13">
      <c r="B17" s="78"/>
      <c r="C17" s="78"/>
      <c r="D17" s="78"/>
      <c r="E17" s="78"/>
      <c r="F17" s="78"/>
      <c r="G17" s="78"/>
      <c r="H17" s="78"/>
      <c r="I17" s="78"/>
      <c r="J17" s="78"/>
      <c r="K17" s="79">
        <f>K14+K16</f>
        <v>2361395.19575</v>
      </c>
      <c r="L17" s="79">
        <f>L14+L16</f>
        <v>3512701.1864174996</v>
      </c>
      <c r="M17" s="79">
        <f>M14+M16</f>
        <v>5874096.3821674995</v>
      </c>
    </row>
    <row r="18" spans="2:13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2:13">
      <c r="B19" s="167" t="s">
        <v>162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95">
        <f>M7-M17</f>
        <v>11462584.646633651</v>
      </c>
    </row>
  </sheetData>
  <mergeCells count="20">
    <mergeCell ref="B19:L19"/>
    <mergeCell ref="B8:M8"/>
    <mergeCell ref="G12:H12"/>
    <mergeCell ref="I12:J12"/>
    <mergeCell ref="K12:M12"/>
    <mergeCell ref="B10:M10"/>
    <mergeCell ref="B11:L11"/>
    <mergeCell ref="B12:B13"/>
    <mergeCell ref="C12:C13"/>
    <mergeCell ref="D12:D13"/>
    <mergeCell ref="E12:F12"/>
    <mergeCell ref="B9:M9"/>
    <mergeCell ref="B2:M2"/>
    <mergeCell ref="B3:B4"/>
    <mergeCell ref="C3:C4"/>
    <mergeCell ref="D3:D4"/>
    <mergeCell ref="E3:F3"/>
    <mergeCell ref="I3:J3"/>
    <mergeCell ref="K3:M3"/>
    <mergeCell ref="G3:H3"/>
  </mergeCells>
  <phoneticPr fontId="3" type="noConversion"/>
  <pageMargins left="0.75" right="0.75" top="1" bottom="1" header="0.5" footer="0.5"/>
  <pageSetup scale="94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8"/>
  <sheetViews>
    <sheetView showGridLines="0" workbookViewId="0">
      <selection activeCell="E15" sqref="E15"/>
    </sheetView>
  </sheetViews>
  <sheetFormatPr defaultRowHeight="12.75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>
      <c r="B2" s="145" t="s">
        <v>161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9" t="s">
        <v>80</v>
      </c>
      <c r="C3" s="149" t="s">
        <v>81</v>
      </c>
      <c r="D3" s="166" t="s">
        <v>82</v>
      </c>
      <c r="E3" s="145" t="s">
        <v>83</v>
      </c>
      <c r="F3" s="145"/>
      <c r="G3" s="146" t="s">
        <v>93</v>
      </c>
      <c r="H3" s="148"/>
      <c r="I3" s="145" t="s">
        <v>91</v>
      </c>
      <c r="J3" s="145"/>
      <c r="K3" s="145" t="s">
        <v>84</v>
      </c>
      <c r="L3" s="145"/>
      <c r="M3" s="145"/>
    </row>
    <row r="4" spans="2:13" ht="38.25">
      <c r="B4" s="149"/>
      <c r="C4" s="149"/>
      <c r="D4" s="166"/>
      <c r="E4" s="69" t="s">
        <v>73</v>
      </c>
      <c r="F4" s="69" t="s">
        <v>72</v>
      </c>
      <c r="G4" s="70" t="s">
        <v>89</v>
      </c>
      <c r="H4" s="70" t="s">
        <v>90</v>
      </c>
      <c r="I4" s="70" t="s">
        <v>85</v>
      </c>
      <c r="J4" s="70" t="s">
        <v>86</v>
      </c>
      <c r="K4" s="70" t="s">
        <v>87</v>
      </c>
      <c r="L4" s="70" t="s">
        <v>88</v>
      </c>
      <c r="M4" s="70" t="s">
        <v>21</v>
      </c>
    </row>
    <row r="5" spans="2:13">
      <c r="B5" s="71" t="s">
        <v>16</v>
      </c>
      <c r="C5" s="72" t="s">
        <v>73</v>
      </c>
      <c r="D5" s="73">
        <f>'2011 Dx Revenue Forecast'!D9</f>
        <v>3659.75</v>
      </c>
      <c r="E5" s="86">
        <f>'2011 Dx Revenue Forecast'!E9</f>
        <v>12622297</v>
      </c>
      <c r="F5" s="86"/>
      <c r="G5" s="91">
        <v>0.4752483746356832</v>
      </c>
      <c r="H5" s="91">
        <f>1-G5</f>
        <v>0.52475162536431674</v>
      </c>
      <c r="I5" s="92">
        <f>K5/(D5*12)</f>
        <v>26.066979921476147</v>
      </c>
      <c r="J5" s="90">
        <f>L5/E5</f>
        <v>0.10014243340605536</v>
      </c>
      <c r="K5" s="86">
        <f>G5*M5</f>
        <v>1144783.557211468</v>
      </c>
      <c r="L5" s="86">
        <f>H5*M5</f>
        <v>1264027.5367539523</v>
      </c>
      <c r="M5" s="77">
        <f>'2011 Cost Allocation Design'!F15</f>
        <v>2408811.0939654205</v>
      </c>
    </row>
    <row r="6" spans="2:13">
      <c r="B6" s="121" t="s">
        <v>71</v>
      </c>
      <c r="C6" s="122" t="s">
        <v>73</v>
      </c>
      <c r="D6" s="123">
        <f>'2011 Dx Revenue Forecast'!D10</f>
        <v>1052</v>
      </c>
      <c r="E6" s="124">
        <f>'2011 Dx Revenue Forecast'!E10</f>
        <v>791996</v>
      </c>
      <c r="F6" s="124"/>
      <c r="G6" s="125">
        <f>'2011 Allocated Revenues'!G8</f>
        <v>0</v>
      </c>
      <c r="H6" s="125">
        <f>1-G6</f>
        <v>1</v>
      </c>
      <c r="I6" s="126">
        <f>K6/(D6*12)</f>
        <v>0</v>
      </c>
      <c r="J6" s="127">
        <f>L6/E6</f>
        <v>0.10510012327514824</v>
      </c>
      <c r="K6" s="124">
        <f>M6*G6</f>
        <v>0</v>
      </c>
      <c r="L6" s="124">
        <f>H6*M6</f>
        <v>83238.877233424311</v>
      </c>
      <c r="M6" s="128">
        <f>'2011 Cost Allocation Design'!F16</f>
        <v>83238.877233424311</v>
      </c>
    </row>
    <row r="7" spans="2:13">
      <c r="B7" s="71" t="s">
        <v>71</v>
      </c>
      <c r="C7" s="135" t="s">
        <v>206</v>
      </c>
      <c r="D7" s="73"/>
      <c r="E7" s="86"/>
      <c r="F7" s="86"/>
      <c r="G7" s="91">
        <f>K7/M7</f>
        <v>0.14559350633736848</v>
      </c>
      <c r="H7" s="91">
        <f>L7/M7</f>
        <v>0.85440649366263155</v>
      </c>
      <c r="I7" s="129">
        <v>0.96</v>
      </c>
      <c r="J7" s="90">
        <f>L7/E6</f>
        <v>8.9798227811029752E-2</v>
      </c>
      <c r="K7" s="86">
        <f>(I7*D6*12)</f>
        <v>12119.039999999999</v>
      </c>
      <c r="L7" s="86">
        <f>M6-K7</f>
        <v>71119.837233424318</v>
      </c>
      <c r="M7" s="77">
        <f>K7+L7</f>
        <v>83238.877233424311</v>
      </c>
    </row>
    <row r="8" spans="2:13">
      <c r="B8" s="78"/>
      <c r="C8" s="78"/>
      <c r="D8" s="78"/>
      <c r="E8" s="78"/>
      <c r="F8" s="78"/>
      <c r="G8" s="78"/>
      <c r="H8" s="78"/>
      <c r="I8" s="78"/>
      <c r="J8" s="78"/>
      <c r="K8" s="79">
        <f>K5+K7</f>
        <v>1156902.597211468</v>
      </c>
      <c r="L8" s="79">
        <f>L5+L7</f>
        <v>1335147.3739873767</v>
      </c>
      <c r="M8" s="79">
        <f>M5+M7</f>
        <v>2492049.9711988447</v>
      </c>
    </row>
    <row r="10" spans="2:13">
      <c r="M10" s="80"/>
    </row>
    <row r="11" spans="2:13">
      <c r="B11" s="81"/>
    </row>
    <row r="12" spans="2:13">
      <c r="F12" s="97"/>
    </row>
    <row r="13" spans="2:13">
      <c r="F13" s="96"/>
    </row>
    <row r="14" spans="2:13">
      <c r="F14" s="96"/>
    </row>
    <row r="15" spans="2:13">
      <c r="F15" s="98"/>
    </row>
    <row r="17" spans="6:6">
      <c r="F17" s="96"/>
    </row>
    <row r="18" spans="6:6">
      <c r="F18" s="98"/>
    </row>
  </sheetData>
  <mergeCells count="8">
    <mergeCell ref="B2:M2"/>
    <mergeCell ref="B3:B4"/>
    <mergeCell ref="C3:C4"/>
    <mergeCell ref="D3:D4"/>
    <mergeCell ref="E3:F3"/>
    <mergeCell ref="I3:J3"/>
    <mergeCell ref="K3:M3"/>
    <mergeCell ref="G3:H3"/>
  </mergeCells>
  <phoneticPr fontId="3" type="noConversion"/>
  <pageMargins left="0.75" right="0.75" top="1" bottom="1" header="0.5" footer="0.5"/>
  <pageSetup scale="96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24"/>
  <sheetViews>
    <sheetView showGridLines="0" workbookViewId="0">
      <selection activeCell="H35" sqref="H35"/>
    </sheetView>
  </sheetViews>
  <sheetFormatPr defaultRowHeight="12.75"/>
  <cols>
    <col min="1" max="1" width="3.42578125" customWidth="1"/>
    <col min="2" max="2" width="40.140625" customWidth="1"/>
    <col min="3" max="3" width="6.42578125" style="67" bestFit="1" customWidth="1"/>
    <col min="4" max="4" width="11" bestFit="1" customWidth="1"/>
    <col min="5" max="5" width="2.85546875" customWidth="1"/>
    <col min="6" max="6" width="11.28515625" bestFit="1" customWidth="1"/>
    <col min="7" max="7" width="2.85546875" customWidth="1"/>
    <col min="8" max="8" width="11.28515625" bestFit="1" customWidth="1"/>
  </cols>
  <sheetData>
    <row r="2" spans="2:8" ht="15.75">
      <c r="B2" s="141" t="s">
        <v>164</v>
      </c>
      <c r="C2" s="142"/>
      <c r="D2" s="142"/>
      <c r="E2" s="143"/>
      <c r="F2" s="140" t="s">
        <v>168</v>
      </c>
      <c r="G2" s="140"/>
      <c r="H2" s="140"/>
    </row>
    <row r="3" spans="2:8" ht="15.75">
      <c r="B3" s="141" t="s">
        <v>166</v>
      </c>
      <c r="C3" s="142"/>
      <c r="D3" s="142"/>
      <c r="E3" s="143"/>
      <c r="F3" s="140" t="s">
        <v>166</v>
      </c>
      <c r="G3" s="140"/>
      <c r="H3" s="140"/>
    </row>
    <row r="4" spans="2:8" ht="38.25">
      <c r="B4" s="71" t="s">
        <v>94</v>
      </c>
      <c r="C4" s="69" t="s">
        <v>81</v>
      </c>
      <c r="D4" s="70" t="s">
        <v>165</v>
      </c>
      <c r="E4" s="99"/>
      <c r="F4" s="70" t="s">
        <v>167</v>
      </c>
      <c r="G4" s="99"/>
      <c r="H4" s="70" t="s">
        <v>201</v>
      </c>
    </row>
    <row r="5" spans="2:8">
      <c r="B5" s="71" t="s">
        <v>69</v>
      </c>
      <c r="C5" s="72"/>
      <c r="D5" s="78"/>
      <c r="E5" s="100"/>
      <c r="F5" s="78"/>
      <c r="G5" s="100"/>
      <c r="H5" s="78"/>
    </row>
    <row r="6" spans="2:8">
      <c r="B6" s="78" t="s">
        <v>85</v>
      </c>
      <c r="C6" s="72" t="s">
        <v>95</v>
      </c>
      <c r="D6" s="75">
        <v>20.41</v>
      </c>
      <c r="E6" s="101"/>
      <c r="F6" s="132" t="s">
        <v>200</v>
      </c>
      <c r="G6" s="100"/>
      <c r="H6" s="75">
        <f>'2011 RRRP Determination'!I14</f>
        <v>20.920249999999999</v>
      </c>
    </row>
    <row r="7" spans="2:8">
      <c r="B7" s="78" t="s">
        <v>96</v>
      </c>
      <c r="C7" s="72" t="s">
        <v>97</v>
      </c>
      <c r="D7" s="76">
        <v>2.87E-2</v>
      </c>
      <c r="E7" s="102"/>
      <c r="F7" s="132" t="s">
        <v>200</v>
      </c>
      <c r="G7" s="100"/>
      <c r="H7" s="76">
        <f>'2011 RRRP Determination'!J14</f>
        <v>2.9417499999999996E-2</v>
      </c>
    </row>
    <row r="8" spans="2:8">
      <c r="B8" s="78"/>
      <c r="C8" s="72"/>
      <c r="D8" s="78"/>
      <c r="E8" s="100"/>
      <c r="F8" s="78"/>
      <c r="G8" s="100"/>
      <c r="H8" s="78"/>
    </row>
    <row r="9" spans="2:8">
      <c r="B9" s="71" t="s">
        <v>70</v>
      </c>
      <c r="C9" s="72"/>
      <c r="D9" s="78"/>
      <c r="E9" s="100"/>
      <c r="F9" s="78"/>
      <c r="G9" s="100"/>
      <c r="H9" s="78"/>
    </row>
    <row r="10" spans="2:8">
      <c r="B10" s="78" t="s">
        <v>85</v>
      </c>
      <c r="C10" s="72" t="s">
        <v>95</v>
      </c>
      <c r="D10" s="75">
        <v>596.12</v>
      </c>
      <c r="E10" s="101"/>
      <c r="F10" s="132" t="s">
        <v>200</v>
      </c>
      <c r="G10" s="100"/>
      <c r="H10" s="87">
        <f>'2011 RRRP Determination'!I16</f>
        <v>596.12</v>
      </c>
    </row>
    <row r="11" spans="2:8">
      <c r="B11" s="78" t="s">
        <v>96</v>
      </c>
      <c r="C11" s="72" t="s">
        <v>98</v>
      </c>
      <c r="D11" s="76">
        <v>2.4548999999999999</v>
      </c>
      <c r="E11" s="102"/>
      <c r="F11" s="132" t="s">
        <v>200</v>
      </c>
      <c r="G11" s="100"/>
      <c r="H11" s="76">
        <f>'2011 RRRP Determination'!J16</f>
        <v>2.5727648660103188</v>
      </c>
    </row>
    <row r="12" spans="2:8">
      <c r="B12" s="78"/>
      <c r="C12" s="72"/>
      <c r="D12" s="78"/>
      <c r="E12" s="100"/>
      <c r="F12" s="78"/>
      <c r="G12" s="100"/>
      <c r="H12" s="78"/>
    </row>
    <row r="13" spans="2:8">
      <c r="B13" s="71" t="s">
        <v>16</v>
      </c>
      <c r="C13" s="72"/>
      <c r="D13" s="78"/>
      <c r="E13" s="100"/>
      <c r="F13" s="78"/>
      <c r="G13" s="100"/>
      <c r="H13" s="78"/>
    </row>
    <row r="14" spans="2:8">
      <c r="B14" s="78" t="s">
        <v>85</v>
      </c>
      <c r="C14" s="72" t="s">
        <v>95</v>
      </c>
      <c r="D14" s="75">
        <v>24</v>
      </c>
      <c r="E14" s="101"/>
      <c r="F14" s="132" t="s">
        <v>200</v>
      </c>
      <c r="G14" s="100"/>
      <c r="H14" s="87">
        <f>'2011 Non-RRRP Rate Design'!I5</f>
        <v>26.066979921476147</v>
      </c>
    </row>
    <row r="15" spans="2:8">
      <c r="B15" s="78" t="s">
        <v>96</v>
      </c>
      <c r="C15" s="72" t="s">
        <v>97</v>
      </c>
      <c r="D15" s="76">
        <v>7.0000000000000007E-2</v>
      </c>
      <c r="E15" s="102"/>
      <c r="F15" s="132" t="s">
        <v>200</v>
      </c>
      <c r="G15" s="100"/>
      <c r="H15" s="76">
        <f>'2011 Non-RRRP Rate Design'!J5</f>
        <v>0.10014243340605536</v>
      </c>
    </row>
    <row r="16" spans="2:8">
      <c r="B16" s="78"/>
      <c r="C16" s="72"/>
      <c r="D16" s="78"/>
      <c r="E16" s="100"/>
      <c r="F16" s="78"/>
      <c r="G16" s="100"/>
      <c r="H16" s="78"/>
    </row>
    <row r="17" spans="2:8">
      <c r="B17" s="71" t="s">
        <v>71</v>
      </c>
      <c r="C17" s="72"/>
      <c r="D17" s="78"/>
      <c r="E17" s="100"/>
      <c r="F17" s="78"/>
      <c r="G17" s="100"/>
      <c r="H17" s="78"/>
    </row>
    <row r="18" spans="2:8" ht="14.25">
      <c r="B18" s="78" t="s">
        <v>198</v>
      </c>
      <c r="C18" s="72" t="s">
        <v>95</v>
      </c>
      <c r="D18" s="75">
        <v>0</v>
      </c>
      <c r="E18" s="101"/>
      <c r="F18" s="132" t="s">
        <v>200</v>
      </c>
      <c r="G18" s="100"/>
      <c r="H18" s="87">
        <f>'2011 Non-RRRP Rate Design'!I7</f>
        <v>0.96</v>
      </c>
    </row>
    <row r="19" spans="2:8">
      <c r="B19" s="78" t="s">
        <v>96</v>
      </c>
      <c r="C19" s="72" t="s">
        <v>97</v>
      </c>
      <c r="D19" s="76">
        <v>4.9599999999999998E-2</v>
      </c>
      <c r="E19" s="102"/>
      <c r="F19" s="132" t="s">
        <v>200</v>
      </c>
      <c r="G19" s="100"/>
      <c r="H19" s="76">
        <f>'2011 Non-RRRP Rate Design'!J7</f>
        <v>8.9798227811029752E-2</v>
      </c>
    </row>
    <row r="20" spans="2:8" ht="12" customHeight="1">
      <c r="B20" s="78"/>
      <c r="C20" s="72"/>
      <c r="D20" s="78"/>
      <c r="E20" s="100"/>
      <c r="F20" s="78"/>
      <c r="G20" s="100"/>
      <c r="H20" s="78"/>
    </row>
    <row r="21" spans="2:8">
      <c r="B21" s="71" t="s">
        <v>169</v>
      </c>
      <c r="C21" s="72" t="s">
        <v>95</v>
      </c>
      <c r="D21" s="74">
        <f>'2007 GLP DRO'!E9</f>
        <v>8861800</v>
      </c>
      <c r="E21" s="100"/>
      <c r="F21" s="133" t="s">
        <v>200</v>
      </c>
      <c r="G21" s="100"/>
      <c r="H21" s="74">
        <f>'2011 RRRP Determination'!M19</f>
        <v>11462584.646633651</v>
      </c>
    </row>
    <row r="23" spans="2:8">
      <c r="B23" t="s">
        <v>197</v>
      </c>
      <c r="H23" s="96">
        <v>0.96</v>
      </c>
    </row>
    <row r="24" spans="2:8">
      <c r="B24" s="130" t="s">
        <v>199</v>
      </c>
      <c r="H24" s="131">
        <f>'2011 Non-RRRP Rate Design'!J7</f>
        <v>8.9798227811029752E-2</v>
      </c>
    </row>
  </sheetData>
  <mergeCells count="4">
    <mergeCell ref="F2:H2"/>
    <mergeCell ref="F3:H3"/>
    <mergeCell ref="B2:E2"/>
    <mergeCell ref="B3:E3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showGridLines="0" workbookViewId="0">
      <selection activeCell="B23" sqref="B23:I23"/>
    </sheetView>
  </sheetViews>
  <sheetFormatPr defaultRowHeight="12.75"/>
  <cols>
    <col min="1" max="1" width="35.5703125" bestFit="1" customWidth="1"/>
    <col min="2" max="11" width="12.28515625" bestFit="1" customWidth="1"/>
  </cols>
  <sheetData>
    <row r="1" spans="1:11" ht="15.75">
      <c r="A1" s="140" t="s">
        <v>99</v>
      </c>
      <c r="B1" s="140"/>
      <c r="C1" s="140"/>
      <c r="D1" s="140"/>
      <c r="E1" s="140"/>
      <c r="F1" s="140"/>
      <c r="G1" s="140"/>
      <c r="H1" s="140"/>
      <c r="I1" s="140"/>
      <c r="J1" s="140"/>
      <c r="K1" s="78"/>
    </row>
    <row r="2" spans="1:11" ht="25.5">
      <c r="A2" s="78"/>
      <c r="B2" s="69">
        <v>2003</v>
      </c>
      <c r="C2" s="69">
        <v>2004</v>
      </c>
      <c r="D2" s="69">
        <v>2005</v>
      </c>
      <c r="E2" s="69">
        <v>2006</v>
      </c>
      <c r="F2" s="70" t="s">
        <v>170</v>
      </c>
      <c r="G2" s="70">
        <v>2007</v>
      </c>
      <c r="H2" s="70">
        <v>2008</v>
      </c>
      <c r="I2" s="116">
        <v>2009</v>
      </c>
      <c r="J2" s="116" t="s">
        <v>100</v>
      </c>
      <c r="K2" s="116" t="s">
        <v>101</v>
      </c>
    </row>
    <row r="3" spans="1:11">
      <c r="A3" s="71" t="s">
        <v>5</v>
      </c>
      <c r="B3" s="78"/>
      <c r="C3" s="78"/>
      <c r="D3" s="78"/>
      <c r="E3" s="78"/>
      <c r="F3" s="78"/>
      <c r="G3" s="78"/>
      <c r="H3" s="78"/>
      <c r="I3" s="117"/>
      <c r="J3" s="117"/>
      <c r="K3" s="78"/>
    </row>
    <row r="4" spans="1:11">
      <c r="A4" s="78" t="s">
        <v>102</v>
      </c>
      <c r="B4" s="74">
        <v>7837</v>
      </c>
      <c r="C4" s="74">
        <v>7763</v>
      </c>
      <c r="D4" s="74">
        <v>7758</v>
      </c>
      <c r="E4" s="74">
        <v>7740</v>
      </c>
      <c r="F4" s="74">
        <v>7740</v>
      </c>
      <c r="G4" s="74">
        <v>7814.5</v>
      </c>
      <c r="H4" s="74">
        <v>7923</v>
      </c>
      <c r="I4" s="118">
        <v>7997</v>
      </c>
      <c r="J4" s="118">
        <v>8024</v>
      </c>
      <c r="K4" s="118">
        <v>8049</v>
      </c>
    </row>
    <row r="5" spans="1:11">
      <c r="A5" s="78" t="s">
        <v>103</v>
      </c>
      <c r="B5" s="74"/>
      <c r="C5" s="74">
        <v>-74</v>
      </c>
      <c r="D5" s="74">
        <v>-5</v>
      </c>
      <c r="E5" s="74">
        <v>-18</v>
      </c>
      <c r="F5" s="74"/>
      <c r="G5" s="74">
        <v>74.5</v>
      </c>
      <c r="H5" s="74">
        <v>108.5</v>
      </c>
      <c r="I5" s="118">
        <v>74</v>
      </c>
      <c r="J5" s="118">
        <v>27</v>
      </c>
      <c r="K5" s="118">
        <v>25</v>
      </c>
    </row>
    <row r="6" spans="1:11">
      <c r="A6" s="78" t="s">
        <v>104</v>
      </c>
      <c r="B6" s="74">
        <v>108693027</v>
      </c>
      <c r="C6" s="74">
        <v>105879912</v>
      </c>
      <c r="D6" s="74">
        <v>103661767</v>
      </c>
      <c r="E6" s="74">
        <v>99478516</v>
      </c>
      <c r="F6" s="74">
        <v>104428305.5</v>
      </c>
      <c r="G6" s="74">
        <v>100674579</v>
      </c>
      <c r="H6" s="74">
        <v>103691076</v>
      </c>
      <c r="I6" s="118">
        <v>103761012</v>
      </c>
      <c r="J6" s="118"/>
      <c r="K6" s="78"/>
    </row>
    <row r="7" spans="1:11">
      <c r="A7" s="78" t="s">
        <v>105</v>
      </c>
      <c r="B7" s="74"/>
      <c r="C7" s="74"/>
      <c r="D7" s="74"/>
      <c r="E7" s="74"/>
      <c r="F7" s="74"/>
      <c r="G7" s="74"/>
      <c r="H7" s="74"/>
      <c r="I7" s="118">
        <v>103317932</v>
      </c>
      <c r="J7" s="118">
        <v>104754767</v>
      </c>
      <c r="K7" s="118">
        <v>106119297</v>
      </c>
    </row>
    <row r="8" spans="1:11">
      <c r="A8" s="78" t="s">
        <v>106</v>
      </c>
      <c r="B8" s="74">
        <v>13869.213602143678</v>
      </c>
      <c r="C8" s="74">
        <v>13639.045729743655</v>
      </c>
      <c r="D8" s="74">
        <v>13361.918922402681</v>
      </c>
      <c r="E8" s="74">
        <v>12852.521447028425</v>
      </c>
      <c r="F8" s="74">
        <v>13492.029134366925</v>
      </c>
      <c r="G8" s="74">
        <v>12883.048051698765</v>
      </c>
      <c r="H8" s="74">
        <v>13087.350246118895</v>
      </c>
      <c r="I8" s="118">
        <v>12974.992122045767</v>
      </c>
      <c r="J8" s="118"/>
      <c r="K8" s="78"/>
    </row>
    <row r="9" spans="1:11">
      <c r="A9" s="78" t="s">
        <v>107</v>
      </c>
      <c r="B9" s="74"/>
      <c r="C9" s="74"/>
      <c r="D9" s="74"/>
      <c r="E9" s="74"/>
      <c r="F9" s="74"/>
      <c r="G9" s="74"/>
      <c r="H9" s="74"/>
      <c r="I9" s="118">
        <v>12919.58634487933</v>
      </c>
      <c r="J9" s="118">
        <v>13055.180333998005</v>
      </c>
      <c r="K9" s="118">
        <v>13184.159150204994</v>
      </c>
    </row>
    <row r="10" spans="1:11">
      <c r="A10" s="78"/>
      <c r="B10" s="74"/>
      <c r="C10" s="74"/>
      <c r="D10" s="74"/>
      <c r="E10" s="74"/>
      <c r="F10" s="74"/>
      <c r="G10" s="74"/>
      <c r="H10" s="74"/>
      <c r="I10" s="118"/>
      <c r="J10" s="118"/>
      <c r="K10" s="118"/>
    </row>
    <row r="11" spans="1:11">
      <c r="A11" s="71" t="s">
        <v>16</v>
      </c>
      <c r="B11" s="74"/>
      <c r="C11" s="74"/>
      <c r="D11" s="74"/>
      <c r="E11" s="74"/>
      <c r="F11" s="74"/>
      <c r="G11" s="74"/>
      <c r="H11" s="74"/>
      <c r="I11" s="118"/>
      <c r="J11" s="118"/>
      <c r="K11" s="78"/>
    </row>
    <row r="12" spans="1:11">
      <c r="A12" s="78" t="s">
        <v>102</v>
      </c>
      <c r="B12" s="74">
        <v>3577</v>
      </c>
      <c r="C12" s="74">
        <v>3646</v>
      </c>
      <c r="D12" s="74">
        <v>3652</v>
      </c>
      <c r="E12" s="74">
        <v>3707</v>
      </c>
      <c r="F12" s="74">
        <v>3707</v>
      </c>
      <c r="G12" s="74">
        <v>3717.5</v>
      </c>
      <c r="H12" s="74">
        <v>3688</v>
      </c>
      <c r="I12" s="118">
        <v>3643</v>
      </c>
      <c r="J12" s="118">
        <v>3654</v>
      </c>
      <c r="K12" s="118">
        <v>3665</v>
      </c>
    </row>
    <row r="13" spans="1:11">
      <c r="A13" s="78" t="s">
        <v>103</v>
      </c>
      <c r="B13" s="74"/>
      <c r="C13" s="74">
        <v>69</v>
      </c>
      <c r="D13" s="74">
        <v>6</v>
      </c>
      <c r="E13" s="74">
        <v>55</v>
      </c>
      <c r="F13" s="74"/>
      <c r="G13" s="74">
        <v>10.5</v>
      </c>
      <c r="H13" s="74">
        <v>-29.5</v>
      </c>
      <c r="I13" s="118">
        <v>-45</v>
      </c>
      <c r="J13" s="118">
        <v>11</v>
      </c>
      <c r="K13" s="118">
        <v>11</v>
      </c>
    </row>
    <row r="14" spans="1:11">
      <c r="A14" s="78" t="s">
        <v>104</v>
      </c>
      <c r="B14" s="74">
        <v>11867258</v>
      </c>
      <c r="C14" s="74">
        <v>11692754</v>
      </c>
      <c r="D14" s="74">
        <v>11678117</v>
      </c>
      <c r="E14" s="74">
        <v>11746043</v>
      </c>
      <c r="F14" s="74">
        <v>11746043</v>
      </c>
      <c r="G14" s="74">
        <v>11665350.75</v>
      </c>
      <c r="H14" s="74">
        <v>11591418</v>
      </c>
      <c r="I14" s="118">
        <v>12341792</v>
      </c>
      <c r="J14" s="118"/>
      <c r="K14" s="78"/>
    </row>
    <row r="15" spans="1:11">
      <c r="A15" s="78" t="s">
        <v>105</v>
      </c>
      <c r="B15" s="74"/>
      <c r="C15" s="74"/>
      <c r="D15" s="74"/>
      <c r="E15" s="74"/>
      <c r="F15" s="74"/>
      <c r="G15" s="74"/>
      <c r="H15" s="74"/>
      <c r="I15" s="118">
        <v>12289090</v>
      </c>
      <c r="J15" s="118">
        <v>12459994</v>
      </c>
      <c r="K15" s="118">
        <v>12622297</v>
      </c>
    </row>
    <row r="16" spans="1:11">
      <c r="A16" s="78" t="s">
        <v>106</v>
      </c>
      <c r="B16" s="74">
        <v>3317.6566955549342</v>
      </c>
      <c r="C16" s="74">
        <v>3207.0087767416348</v>
      </c>
      <c r="D16" s="74">
        <v>3197.7319277108436</v>
      </c>
      <c r="E16" s="74">
        <v>3168.6115457243054</v>
      </c>
      <c r="F16" s="74">
        <v>3168.6115457243054</v>
      </c>
      <c r="G16" s="74">
        <v>3137.9558170813721</v>
      </c>
      <c r="H16" s="74">
        <v>3143.0092190889372</v>
      </c>
      <c r="I16" s="118">
        <v>3387.8100466648366</v>
      </c>
      <c r="J16" s="118"/>
      <c r="K16" s="78"/>
    </row>
    <row r="17" spans="1:11">
      <c r="A17" s="78" t="s">
        <v>107</v>
      </c>
      <c r="B17" s="74"/>
      <c r="C17" s="74"/>
      <c r="D17" s="74"/>
      <c r="E17" s="74"/>
      <c r="F17" s="74"/>
      <c r="G17" s="74"/>
      <c r="H17" s="74"/>
      <c r="I17" s="118">
        <v>3373.343398298106</v>
      </c>
      <c r="J17" s="118">
        <v>3409.9600437876302</v>
      </c>
      <c r="K17" s="118">
        <v>3444.0100954979534</v>
      </c>
    </row>
    <row r="18" spans="1:11">
      <c r="A18" s="78"/>
      <c r="B18" s="74"/>
      <c r="C18" s="74"/>
      <c r="D18" s="74"/>
      <c r="E18" s="74"/>
      <c r="F18" s="74"/>
      <c r="G18" s="74"/>
      <c r="H18" s="74"/>
      <c r="I18" s="118"/>
      <c r="J18" s="118"/>
      <c r="K18" s="78"/>
    </row>
    <row r="19" spans="1:11">
      <c r="A19" s="119" t="s">
        <v>70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78"/>
    </row>
    <row r="20" spans="1:11">
      <c r="A20" s="117" t="s">
        <v>102</v>
      </c>
      <c r="B20" s="118">
        <v>49</v>
      </c>
      <c r="C20" s="118">
        <v>49</v>
      </c>
      <c r="D20" s="118">
        <v>47</v>
      </c>
      <c r="E20" s="118">
        <v>45</v>
      </c>
      <c r="F20" s="118">
        <v>47</v>
      </c>
      <c r="G20" s="118">
        <v>47</v>
      </c>
      <c r="H20" s="118">
        <v>48</v>
      </c>
      <c r="I20" s="118">
        <v>48</v>
      </c>
      <c r="J20" s="118">
        <v>48</v>
      </c>
      <c r="K20" s="118">
        <v>48</v>
      </c>
    </row>
    <row r="21" spans="1:11">
      <c r="A21" s="117" t="s">
        <v>104</v>
      </c>
      <c r="B21" s="118"/>
      <c r="C21" s="118">
        <v>30337868</v>
      </c>
      <c r="D21" s="118">
        <v>66360103</v>
      </c>
      <c r="E21" s="118">
        <v>68290099</v>
      </c>
      <c r="F21" s="118">
        <v>50139889</v>
      </c>
      <c r="G21" s="118">
        <v>75340938</v>
      </c>
      <c r="H21" s="118">
        <v>66017652</v>
      </c>
      <c r="I21" s="118">
        <v>69931763</v>
      </c>
      <c r="J21" s="118"/>
      <c r="K21" s="78"/>
    </row>
    <row r="22" spans="1:11">
      <c r="A22" s="117" t="s">
        <v>108</v>
      </c>
      <c r="B22" s="118"/>
      <c r="C22" s="118">
        <v>163453</v>
      </c>
      <c r="D22" s="118">
        <v>182693</v>
      </c>
      <c r="E22" s="118">
        <v>180802</v>
      </c>
      <c r="F22" s="118">
        <v>197392</v>
      </c>
      <c r="G22" s="118">
        <v>191492</v>
      </c>
      <c r="H22" s="118">
        <v>159280</v>
      </c>
      <c r="I22" s="118">
        <v>150499</v>
      </c>
      <c r="J22" s="118"/>
      <c r="K22" s="78"/>
    </row>
    <row r="23" spans="1:11">
      <c r="A23" s="117" t="s">
        <v>105</v>
      </c>
      <c r="B23" s="118"/>
      <c r="C23" s="118"/>
      <c r="D23" s="118"/>
      <c r="E23" s="118"/>
      <c r="F23" s="118"/>
      <c r="G23" s="118"/>
      <c r="H23" s="118"/>
      <c r="I23" s="118">
        <v>69808980</v>
      </c>
      <c r="J23" s="118">
        <v>70228773</v>
      </c>
      <c r="K23" s="118">
        <v>70606900</v>
      </c>
    </row>
    <row r="24" spans="1:11">
      <c r="A24" s="117" t="s">
        <v>109</v>
      </c>
      <c r="B24" s="118"/>
      <c r="C24" s="118"/>
      <c r="D24" s="118"/>
      <c r="E24" s="118"/>
      <c r="F24" s="118"/>
      <c r="G24" s="118"/>
      <c r="H24" s="118"/>
      <c r="I24" s="118">
        <v>150235</v>
      </c>
      <c r="J24" s="118">
        <v>151138</v>
      </c>
      <c r="K24" s="118">
        <v>151952</v>
      </c>
    </row>
    <row r="25" spans="1:11">
      <c r="A25" s="78" t="s">
        <v>106</v>
      </c>
      <c r="B25" s="118"/>
      <c r="C25" s="118">
        <v>619140.16326530615</v>
      </c>
      <c r="D25" s="118">
        <v>1411917.0851063831</v>
      </c>
      <c r="E25" s="118">
        <v>1517557.7555555555</v>
      </c>
      <c r="F25" s="118">
        <v>1066806.1489361702</v>
      </c>
      <c r="G25" s="118">
        <v>1602998.6808510639</v>
      </c>
      <c r="H25" s="118">
        <v>1375367.75</v>
      </c>
      <c r="I25" s="118">
        <v>1456911.7291666667</v>
      </c>
      <c r="J25" s="118"/>
      <c r="K25" s="118"/>
    </row>
    <row r="26" spans="1:11">
      <c r="A26" s="78" t="s">
        <v>110</v>
      </c>
      <c r="B26" s="118"/>
      <c r="C26" s="118">
        <v>3335.7755102040815</v>
      </c>
      <c r="D26" s="118">
        <v>3887.0851063829787</v>
      </c>
      <c r="E26" s="118">
        <v>4017.8222222222221</v>
      </c>
      <c r="F26" s="118">
        <v>4199.8297872340427</v>
      </c>
      <c r="G26" s="118">
        <v>4074.2978723404253</v>
      </c>
      <c r="H26" s="118">
        <v>3318.3333333333335</v>
      </c>
      <c r="I26" s="118">
        <v>3135.3958333333335</v>
      </c>
      <c r="J26" s="118"/>
      <c r="K26" s="118"/>
    </row>
    <row r="27" spans="1:11">
      <c r="A27" s="78" t="s">
        <v>107</v>
      </c>
      <c r="B27" s="118"/>
      <c r="C27" s="118"/>
      <c r="D27" s="118"/>
      <c r="E27" s="118"/>
      <c r="F27" s="118"/>
      <c r="G27" s="118"/>
      <c r="H27" s="118"/>
      <c r="I27" s="118">
        <v>1454353.75</v>
      </c>
      <c r="J27" s="118">
        <v>1463099.4375</v>
      </c>
      <c r="K27" s="118">
        <v>1470977.0833333333</v>
      </c>
    </row>
    <row r="28" spans="1:11">
      <c r="A28" s="78" t="s">
        <v>111</v>
      </c>
      <c r="B28" s="118"/>
      <c r="C28" s="118"/>
      <c r="D28" s="118"/>
      <c r="E28" s="118"/>
      <c r="F28" s="118"/>
      <c r="G28" s="118"/>
      <c r="H28" s="118"/>
      <c r="I28" s="118">
        <v>3129.8958333333335</v>
      </c>
      <c r="J28" s="118">
        <v>3148.7083333333335</v>
      </c>
      <c r="K28" s="118">
        <v>3165.6666666666665</v>
      </c>
    </row>
    <row r="29" spans="1:11">
      <c r="A29" s="78"/>
      <c r="B29" s="74"/>
      <c r="C29" s="74"/>
      <c r="D29" s="74"/>
      <c r="E29" s="74"/>
      <c r="F29" s="74"/>
      <c r="G29" s="74"/>
      <c r="H29" s="74"/>
      <c r="I29" s="118"/>
      <c r="J29" s="118"/>
      <c r="K29" s="78"/>
    </row>
    <row r="30" spans="1:11">
      <c r="A30" s="71" t="s">
        <v>11</v>
      </c>
      <c r="B30" s="74"/>
      <c r="C30" s="74"/>
      <c r="D30" s="74"/>
      <c r="E30" s="74"/>
      <c r="F30" s="74"/>
      <c r="G30" s="74"/>
      <c r="H30" s="74"/>
      <c r="I30" s="118"/>
      <c r="J30" s="118"/>
      <c r="K30" s="78"/>
    </row>
    <row r="31" spans="1:11">
      <c r="A31" s="78" t="s">
        <v>102</v>
      </c>
      <c r="B31" s="74">
        <v>104</v>
      </c>
      <c r="C31" s="74">
        <v>103</v>
      </c>
      <c r="D31" s="74">
        <v>100</v>
      </c>
      <c r="E31" s="74">
        <v>99</v>
      </c>
      <c r="F31" s="74">
        <v>99</v>
      </c>
      <c r="G31" s="118">
        <v>32</v>
      </c>
      <c r="H31" s="118">
        <v>32</v>
      </c>
      <c r="I31" s="118">
        <v>32</v>
      </c>
      <c r="J31" s="118">
        <v>32</v>
      </c>
      <c r="K31" s="118">
        <v>32</v>
      </c>
    </row>
    <row r="32" spans="1:11">
      <c r="A32" s="78" t="s">
        <v>104</v>
      </c>
      <c r="B32" s="74">
        <v>935668</v>
      </c>
      <c r="C32" s="74">
        <v>1002422</v>
      </c>
      <c r="D32" s="74">
        <v>1046222</v>
      </c>
      <c r="E32" s="74">
        <v>1056913</v>
      </c>
      <c r="F32" s="74">
        <v>1010306.25</v>
      </c>
      <c r="G32" s="74">
        <v>816298</v>
      </c>
      <c r="H32" s="74">
        <v>791996</v>
      </c>
      <c r="I32" s="118">
        <v>791996</v>
      </c>
      <c r="J32" s="118">
        <v>791996</v>
      </c>
      <c r="K32" s="118">
        <v>791996</v>
      </c>
    </row>
    <row r="33" spans="1:11">
      <c r="A33" s="78" t="s">
        <v>108</v>
      </c>
      <c r="B33" s="74"/>
      <c r="C33" s="74"/>
      <c r="D33" s="74"/>
      <c r="E33" s="74"/>
      <c r="F33" s="74"/>
      <c r="G33" s="74"/>
      <c r="H33" s="74">
        <v>2304</v>
      </c>
      <c r="I33" s="118">
        <v>2304</v>
      </c>
      <c r="J33" s="118">
        <v>2304</v>
      </c>
      <c r="K33" s="118">
        <v>2304</v>
      </c>
    </row>
    <row r="34" spans="1:11">
      <c r="A34" s="78"/>
      <c r="B34" s="78"/>
      <c r="C34" s="78"/>
      <c r="D34" s="78"/>
      <c r="E34" s="78"/>
      <c r="F34" s="78"/>
      <c r="G34" s="78"/>
      <c r="H34" s="78"/>
      <c r="I34" s="117"/>
      <c r="J34" s="117"/>
      <c r="K34" s="78"/>
    </row>
    <row r="35" spans="1:11">
      <c r="A35" s="71" t="s">
        <v>112</v>
      </c>
      <c r="B35" s="78"/>
      <c r="C35" s="78"/>
      <c r="D35" s="78"/>
      <c r="E35" s="78"/>
      <c r="F35" s="78"/>
      <c r="G35" s="78"/>
      <c r="H35" s="78"/>
      <c r="I35" s="117"/>
      <c r="J35" s="117"/>
      <c r="K35" s="78"/>
    </row>
    <row r="36" spans="1:11">
      <c r="A36" s="78" t="s">
        <v>102</v>
      </c>
      <c r="B36" s="77">
        <v>11567</v>
      </c>
      <c r="C36" s="77">
        <v>11561</v>
      </c>
      <c r="D36" s="77">
        <v>11557</v>
      </c>
      <c r="E36" s="77">
        <v>11591</v>
      </c>
      <c r="F36" s="77">
        <v>11593</v>
      </c>
      <c r="G36" s="77">
        <v>11611</v>
      </c>
      <c r="H36" s="77">
        <v>11691</v>
      </c>
      <c r="I36" s="118">
        <v>11720</v>
      </c>
      <c r="J36" s="77">
        <v>11758</v>
      </c>
      <c r="K36" s="77">
        <v>11794</v>
      </c>
    </row>
    <row r="37" spans="1:11">
      <c r="A37" s="78" t="s">
        <v>104</v>
      </c>
      <c r="B37" s="77"/>
      <c r="C37" s="77">
        <v>148912956</v>
      </c>
      <c r="D37" s="77">
        <v>182746209</v>
      </c>
      <c r="E37" s="77">
        <v>180571571</v>
      </c>
      <c r="F37" s="77">
        <v>167324543.75</v>
      </c>
      <c r="G37" s="77">
        <v>188497165.75</v>
      </c>
      <c r="H37" s="77">
        <v>182092142</v>
      </c>
      <c r="I37" s="118">
        <v>186826563</v>
      </c>
      <c r="J37" s="77"/>
      <c r="K37" s="77"/>
    </row>
    <row r="38" spans="1:11">
      <c r="A38" s="78" t="s">
        <v>108</v>
      </c>
      <c r="B38" s="77"/>
      <c r="C38" s="77">
        <v>163453</v>
      </c>
      <c r="D38" s="77">
        <v>182693</v>
      </c>
      <c r="E38" s="77">
        <v>180802</v>
      </c>
      <c r="F38" s="77">
        <v>197392</v>
      </c>
      <c r="G38" s="77">
        <v>191492</v>
      </c>
      <c r="H38" s="77">
        <v>161584</v>
      </c>
      <c r="I38" s="118">
        <v>152803</v>
      </c>
      <c r="J38" s="77"/>
      <c r="K38" s="78"/>
    </row>
    <row r="39" spans="1:11">
      <c r="A39" s="78" t="s">
        <v>113</v>
      </c>
      <c r="B39" s="78"/>
      <c r="C39" s="78"/>
      <c r="D39" s="78"/>
      <c r="E39" s="78"/>
      <c r="F39" s="78"/>
      <c r="G39" s="78"/>
      <c r="H39" s="78"/>
      <c r="I39" s="118">
        <v>186207998</v>
      </c>
      <c r="J39" s="77">
        <v>188235530</v>
      </c>
      <c r="K39" s="77">
        <v>190140490</v>
      </c>
    </row>
    <row r="40" spans="1:11">
      <c r="A40" s="78" t="s">
        <v>114</v>
      </c>
      <c r="B40" s="78"/>
      <c r="C40" s="78"/>
      <c r="D40" s="78"/>
      <c r="E40" s="78"/>
      <c r="F40" s="78"/>
      <c r="G40" s="78"/>
      <c r="H40" s="78"/>
      <c r="I40" s="118">
        <v>152539</v>
      </c>
      <c r="J40" s="77">
        <v>153442</v>
      </c>
      <c r="K40" s="77">
        <v>154256</v>
      </c>
    </row>
  </sheetData>
  <mergeCells count="1">
    <mergeCell ref="A1:J1"/>
  </mergeCells>
  <phoneticPr fontId="3" type="noConversion"/>
  <pageMargins left="0.75" right="0.75" top="1" bottom="1" header="0.5" footer="0.5"/>
  <pageSetup scale="7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21"/>
  <sheetViews>
    <sheetView showGridLines="0" workbookViewId="0">
      <selection activeCell="J19" sqref="J19"/>
    </sheetView>
  </sheetViews>
  <sheetFormatPr defaultRowHeight="12.75"/>
  <cols>
    <col min="1" max="1" width="4.42578125" customWidth="1"/>
    <col min="2" max="2" width="17.42578125" customWidth="1"/>
    <col min="3" max="8" width="12.7109375" customWidth="1"/>
    <col min="9" max="9" width="10.28515625" bestFit="1" customWidth="1"/>
    <col min="10" max="10" width="11.28515625" bestFit="1" customWidth="1"/>
  </cols>
  <sheetData>
    <row r="2" spans="2:10">
      <c r="B2" s="144" t="s">
        <v>146</v>
      </c>
      <c r="C2" s="144"/>
      <c r="D2" s="144"/>
      <c r="E2" s="144"/>
      <c r="F2" s="144"/>
      <c r="G2" s="144"/>
      <c r="H2" s="144"/>
    </row>
    <row r="3" spans="2:10">
      <c r="B3" s="144" t="s">
        <v>147</v>
      </c>
      <c r="C3" s="144"/>
      <c r="D3" s="144"/>
      <c r="E3" s="144"/>
      <c r="F3" s="144"/>
      <c r="G3" s="144"/>
      <c r="H3" s="144"/>
    </row>
    <row r="4" spans="2:10" ht="38.25">
      <c r="B4" s="71"/>
      <c r="C4" s="94" t="s">
        <v>148</v>
      </c>
      <c r="D4" s="94" t="s">
        <v>149</v>
      </c>
      <c r="E4" s="94" t="s">
        <v>150</v>
      </c>
      <c r="F4" s="94" t="s">
        <v>151</v>
      </c>
      <c r="G4" s="94" t="s">
        <v>21</v>
      </c>
      <c r="H4" s="94" t="s">
        <v>152</v>
      </c>
    </row>
    <row r="5" spans="2:10">
      <c r="B5" s="71" t="s">
        <v>69</v>
      </c>
      <c r="C5" s="74">
        <v>12420000</v>
      </c>
      <c r="D5" s="74">
        <v>4821500</v>
      </c>
      <c r="E5" s="74">
        <v>7926800</v>
      </c>
      <c r="F5" s="74"/>
      <c r="G5" s="74">
        <v>12748300</v>
      </c>
      <c r="H5" s="74"/>
    </row>
    <row r="6" spans="2:10">
      <c r="B6" s="71" t="s">
        <v>70</v>
      </c>
      <c r="C6" s="74">
        <v>2098200</v>
      </c>
      <c r="D6" s="74">
        <v>834900</v>
      </c>
      <c r="E6" s="74">
        <v>935000</v>
      </c>
      <c r="F6" s="74"/>
      <c r="G6" s="74">
        <v>1769900</v>
      </c>
      <c r="H6" s="74"/>
    </row>
    <row r="7" spans="2:10">
      <c r="B7" s="71" t="s">
        <v>16</v>
      </c>
      <c r="C7" s="74">
        <v>2710100</v>
      </c>
      <c r="D7" s="74">
        <v>1880500</v>
      </c>
      <c r="E7" s="74"/>
      <c r="F7" s="74">
        <v>829600</v>
      </c>
      <c r="G7" s="74">
        <v>2710100</v>
      </c>
      <c r="H7" s="74"/>
    </row>
    <row r="8" spans="2:10">
      <c r="B8" s="71" t="s">
        <v>71</v>
      </c>
      <c r="C8" s="74">
        <v>53800</v>
      </c>
      <c r="D8" s="74">
        <v>44200</v>
      </c>
      <c r="E8" s="74"/>
      <c r="F8" s="74"/>
      <c r="G8" s="74">
        <v>44200</v>
      </c>
      <c r="H8" s="74">
        <v>9500</v>
      </c>
    </row>
    <row r="9" spans="2:10">
      <c r="B9" s="71" t="s">
        <v>112</v>
      </c>
      <c r="C9" s="77">
        <f t="shared" ref="C9:H9" si="0">SUM(C5:C8)</f>
        <v>17282100</v>
      </c>
      <c r="D9" s="77">
        <f t="shared" si="0"/>
        <v>7581100</v>
      </c>
      <c r="E9" s="77">
        <f t="shared" si="0"/>
        <v>8861800</v>
      </c>
      <c r="F9" s="77">
        <f t="shared" si="0"/>
        <v>829600</v>
      </c>
      <c r="G9" s="77">
        <f t="shared" si="0"/>
        <v>17272500</v>
      </c>
      <c r="H9" s="77">
        <f t="shared" si="0"/>
        <v>9500</v>
      </c>
    </row>
    <row r="10" spans="2:10">
      <c r="C10" s="68"/>
      <c r="D10" s="68"/>
      <c r="E10" s="68"/>
      <c r="F10" s="68"/>
      <c r="G10" s="68"/>
      <c r="H10" s="68"/>
    </row>
    <row r="11" spans="2:10">
      <c r="C11" s="68"/>
      <c r="D11" s="68"/>
      <c r="E11" s="68"/>
      <c r="F11" s="68"/>
      <c r="G11" s="68"/>
      <c r="H11" s="68"/>
    </row>
    <row r="12" spans="2:10">
      <c r="B12" s="144" t="s">
        <v>153</v>
      </c>
      <c r="C12" s="144"/>
      <c r="D12" s="144"/>
      <c r="E12" s="144"/>
      <c r="F12" s="144"/>
      <c r="G12" s="144"/>
      <c r="H12" s="144"/>
      <c r="I12" s="144"/>
      <c r="J12" s="144"/>
    </row>
    <row r="13" spans="2:10">
      <c r="B13" s="144" t="s">
        <v>154</v>
      </c>
      <c r="C13" s="144"/>
      <c r="D13" s="144"/>
      <c r="E13" s="144"/>
      <c r="F13" s="144"/>
      <c r="G13" s="144"/>
      <c r="H13" s="144"/>
      <c r="I13" s="144"/>
      <c r="J13" s="144"/>
    </row>
    <row r="14" spans="2:10" ht="38.25">
      <c r="B14" s="78"/>
      <c r="C14" s="93" t="s">
        <v>81</v>
      </c>
      <c r="D14" s="94" t="s">
        <v>83</v>
      </c>
      <c r="E14" s="94" t="s">
        <v>155</v>
      </c>
      <c r="F14" s="94" t="s">
        <v>138</v>
      </c>
      <c r="G14" s="94" t="s">
        <v>85</v>
      </c>
      <c r="H14" s="94" t="s">
        <v>156</v>
      </c>
      <c r="I14" s="94" t="s">
        <v>157</v>
      </c>
      <c r="J14" s="94" t="s">
        <v>158</v>
      </c>
    </row>
    <row r="15" spans="2:10">
      <c r="B15" s="71" t="s">
        <v>69</v>
      </c>
      <c r="C15" s="72" t="s">
        <v>73</v>
      </c>
      <c r="D15" s="74">
        <v>101468266</v>
      </c>
      <c r="E15" s="74">
        <v>7775</v>
      </c>
      <c r="F15" s="77">
        <f>G5+H5</f>
        <v>12748300</v>
      </c>
      <c r="G15" s="87">
        <f>'Tariff Sheet'!D6</f>
        <v>20.41</v>
      </c>
      <c r="H15" s="76">
        <f>J15/D15</f>
        <v>0.1068713148207342</v>
      </c>
      <c r="I15" s="77">
        <f>E15*G15*12</f>
        <v>1904253</v>
      </c>
      <c r="J15" s="77">
        <f>F15-I15</f>
        <v>10844047</v>
      </c>
    </row>
    <row r="16" spans="2:10">
      <c r="B16" s="71" t="s">
        <v>70</v>
      </c>
      <c r="C16" s="72" t="s">
        <v>72</v>
      </c>
      <c r="D16" s="74">
        <v>191492</v>
      </c>
      <c r="E16" s="74">
        <v>51</v>
      </c>
      <c r="F16" s="77">
        <f>G6+H6</f>
        <v>1769900</v>
      </c>
      <c r="G16" s="87">
        <f>'Tariff Sheet'!D10</f>
        <v>596.12</v>
      </c>
      <c r="H16" s="76">
        <f>J16/D16</f>
        <v>7.3375104965220483</v>
      </c>
      <c r="I16" s="77">
        <f>E16*G16*12</f>
        <v>364825.44</v>
      </c>
      <c r="J16" s="77">
        <f>F16-I16</f>
        <v>1405074.56</v>
      </c>
    </row>
    <row r="17" spans="2:10">
      <c r="B17" s="71" t="s">
        <v>16</v>
      </c>
      <c r="C17" s="72" t="s">
        <v>73</v>
      </c>
      <c r="D17" s="74">
        <v>11657297</v>
      </c>
      <c r="E17" s="74">
        <v>3696</v>
      </c>
      <c r="F17" s="77">
        <f>G7+H7</f>
        <v>2710100</v>
      </c>
      <c r="G17" s="87">
        <f>'Tariff Sheet'!D14</f>
        <v>24</v>
      </c>
      <c r="H17" s="76">
        <f>J17/D17</f>
        <v>0.14116926076430925</v>
      </c>
      <c r="I17" s="77">
        <f>E17*G17*12</f>
        <v>1064448</v>
      </c>
      <c r="J17" s="77">
        <f>F17-I17</f>
        <v>1645652</v>
      </c>
    </row>
    <row r="18" spans="2:10">
      <c r="B18" s="71" t="s">
        <v>71</v>
      </c>
      <c r="C18" s="72" t="s">
        <v>73</v>
      </c>
      <c r="D18" s="74">
        <v>891877</v>
      </c>
      <c r="E18" s="74">
        <v>1052</v>
      </c>
      <c r="F18" s="77">
        <f>G8+H8</f>
        <v>53700</v>
      </c>
      <c r="G18" s="87">
        <f>'Tariff Sheet'!D18</f>
        <v>0</v>
      </c>
      <c r="H18" s="76">
        <f>J18/D18</f>
        <v>6.0210096235243198E-2</v>
      </c>
      <c r="I18" s="77">
        <f>E18*G18*12</f>
        <v>0</v>
      </c>
      <c r="J18" s="77">
        <f>F18-I18</f>
        <v>53700</v>
      </c>
    </row>
    <row r="19" spans="2:10">
      <c r="B19" s="71" t="s">
        <v>112</v>
      </c>
      <c r="C19" s="78"/>
      <c r="D19" s="78"/>
      <c r="E19" s="77">
        <v>12574</v>
      </c>
      <c r="F19" s="77">
        <v>17282000</v>
      </c>
      <c r="G19" s="78"/>
      <c r="H19" s="78"/>
      <c r="I19" s="77">
        <f>SUM(I15:I18)</f>
        <v>3333526.44</v>
      </c>
      <c r="J19" s="77">
        <f>SUM(J15:J18)</f>
        <v>13948473.560000001</v>
      </c>
    </row>
    <row r="21" spans="2:10">
      <c r="B21" t="s">
        <v>159</v>
      </c>
    </row>
  </sheetData>
  <mergeCells count="4">
    <mergeCell ref="B2:H2"/>
    <mergeCell ref="B3:H3"/>
    <mergeCell ref="B12:J12"/>
    <mergeCell ref="B13:J13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"/>
  <sheetViews>
    <sheetView showGridLines="0" workbookViewId="0">
      <selection activeCell="B23" sqref="B23:I23"/>
    </sheetView>
  </sheetViews>
  <sheetFormatPr defaultRowHeight="12.75"/>
  <cols>
    <col min="1" max="1" width="17.42578125" customWidth="1"/>
    <col min="2" max="2" width="7.7109375" bestFit="1" customWidth="1"/>
    <col min="3" max="16" width="7.7109375" customWidth="1"/>
    <col min="17" max="17" width="8" bestFit="1" customWidth="1"/>
  </cols>
  <sheetData>
    <row r="1" spans="1:17">
      <c r="A1" s="144" t="s">
        <v>115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>
      <c r="A3" s="93"/>
      <c r="B3" s="145" t="s">
        <v>116</v>
      </c>
      <c r="C3" s="145"/>
      <c r="D3" s="146" t="s">
        <v>117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  <c r="Q3" s="93" t="s">
        <v>118</v>
      </c>
    </row>
    <row r="4" spans="1:17">
      <c r="A4" s="78" t="s">
        <v>119</v>
      </c>
      <c r="B4" s="103">
        <v>39417</v>
      </c>
      <c r="C4" s="103">
        <v>39783</v>
      </c>
      <c r="D4" s="103">
        <v>40148</v>
      </c>
      <c r="E4" s="72" t="s">
        <v>120</v>
      </c>
      <c r="F4" s="72" t="s">
        <v>121</v>
      </c>
      <c r="G4" s="72" t="s">
        <v>122</v>
      </c>
      <c r="H4" s="72" t="s">
        <v>123</v>
      </c>
      <c r="I4" s="72" t="s">
        <v>124</v>
      </c>
      <c r="J4" s="72" t="s">
        <v>125</v>
      </c>
      <c r="K4" s="72" t="s">
        <v>126</v>
      </c>
      <c r="L4" s="72" t="s">
        <v>127</v>
      </c>
      <c r="M4" s="72" t="s">
        <v>128</v>
      </c>
      <c r="N4" s="72" t="s">
        <v>129</v>
      </c>
      <c r="O4" s="72" t="s">
        <v>130</v>
      </c>
      <c r="P4" s="72" t="s">
        <v>131</v>
      </c>
      <c r="Q4" s="78"/>
    </row>
    <row r="5" spans="1:17">
      <c r="A5" s="88" t="s">
        <v>69</v>
      </c>
      <c r="B5" s="86">
        <v>7814.5</v>
      </c>
      <c r="C5" s="86">
        <v>7923</v>
      </c>
      <c r="D5" s="86">
        <v>7997</v>
      </c>
      <c r="E5" s="86">
        <v>7999</v>
      </c>
      <c r="F5" s="86">
        <v>8001</v>
      </c>
      <c r="G5" s="86">
        <v>8003</v>
      </c>
      <c r="H5" s="86">
        <v>8005</v>
      </c>
      <c r="I5" s="86">
        <v>8008</v>
      </c>
      <c r="J5" s="86">
        <v>8011</v>
      </c>
      <c r="K5" s="86">
        <v>8014</v>
      </c>
      <c r="L5" s="86">
        <v>8016</v>
      </c>
      <c r="M5" s="86">
        <v>8018</v>
      </c>
      <c r="N5" s="86">
        <v>8020</v>
      </c>
      <c r="O5" s="86">
        <v>8022</v>
      </c>
      <c r="P5" s="86">
        <v>8024</v>
      </c>
      <c r="Q5" s="77">
        <v>27</v>
      </c>
    </row>
    <row r="6" spans="1:17">
      <c r="A6" s="88" t="s">
        <v>70</v>
      </c>
      <c r="B6" s="86">
        <v>47</v>
      </c>
      <c r="C6" s="86">
        <v>48</v>
      </c>
      <c r="D6" s="86">
        <v>48</v>
      </c>
      <c r="E6" s="86">
        <v>48</v>
      </c>
      <c r="F6" s="86">
        <v>48</v>
      </c>
      <c r="G6" s="86">
        <v>48</v>
      </c>
      <c r="H6" s="86">
        <v>48</v>
      </c>
      <c r="I6" s="86">
        <v>48</v>
      </c>
      <c r="J6" s="86">
        <v>48</v>
      </c>
      <c r="K6" s="86">
        <v>48</v>
      </c>
      <c r="L6" s="86">
        <v>48</v>
      </c>
      <c r="M6" s="86">
        <v>48</v>
      </c>
      <c r="N6" s="86">
        <v>48</v>
      </c>
      <c r="O6" s="86">
        <v>48</v>
      </c>
      <c r="P6" s="86">
        <v>48</v>
      </c>
      <c r="Q6" s="77"/>
    </row>
    <row r="7" spans="1:17">
      <c r="A7" s="88" t="s">
        <v>16</v>
      </c>
      <c r="B7" s="86">
        <v>3717.5</v>
      </c>
      <c r="C7" s="86">
        <v>3688</v>
      </c>
      <c r="D7" s="86">
        <v>3643</v>
      </c>
      <c r="E7" s="86">
        <v>3643</v>
      </c>
      <c r="F7" s="86">
        <v>3643</v>
      </c>
      <c r="G7" s="86">
        <v>3643</v>
      </c>
      <c r="H7" s="86">
        <v>3645</v>
      </c>
      <c r="I7" s="86">
        <v>3647</v>
      </c>
      <c r="J7" s="86">
        <v>3649</v>
      </c>
      <c r="K7" s="86">
        <v>3651</v>
      </c>
      <c r="L7" s="86">
        <v>3653</v>
      </c>
      <c r="M7" s="86">
        <v>3654</v>
      </c>
      <c r="N7" s="86">
        <v>3654</v>
      </c>
      <c r="O7" s="86">
        <v>3654</v>
      </c>
      <c r="P7" s="86">
        <v>3654</v>
      </c>
      <c r="Q7" s="77">
        <v>11</v>
      </c>
    </row>
    <row r="8" spans="1:17">
      <c r="A8" s="86" t="s">
        <v>132</v>
      </c>
      <c r="B8" s="86">
        <v>32</v>
      </c>
      <c r="C8" s="86">
        <v>32</v>
      </c>
      <c r="D8" s="86">
        <v>32</v>
      </c>
      <c r="E8" s="86">
        <v>32</v>
      </c>
      <c r="F8" s="86">
        <v>32</v>
      </c>
      <c r="G8" s="86">
        <v>32</v>
      </c>
      <c r="H8" s="86">
        <v>32</v>
      </c>
      <c r="I8" s="86">
        <v>32</v>
      </c>
      <c r="J8" s="86">
        <v>32</v>
      </c>
      <c r="K8" s="86">
        <v>32</v>
      </c>
      <c r="L8" s="86">
        <v>32</v>
      </c>
      <c r="M8" s="86">
        <v>32</v>
      </c>
      <c r="N8" s="86">
        <v>32</v>
      </c>
      <c r="O8" s="86">
        <v>32</v>
      </c>
      <c r="P8" s="86">
        <v>32</v>
      </c>
      <c r="Q8" s="77">
        <v>0</v>
      </c>
    </row>
    <row r="9" spans="1:17">
      <c r="A9" s="86" t="s">
        <v>4</v>
      </c>
      <c r="B9" s="86">
        <v>11611</v>
      </c>
      <c r="C9" s="86">
        <v>11691</v>
      </c>
      <c r="D9" s="86">
        <v>11720</v>
      </c>
      <c r="E9" s="86">
        <v>11722</v>
      </c>
      <c r="F9" s="86">
        <v>11724</v>
      </c>
      <c r="G9" s="86">
        <v>11726</v>
      </c>
      <c r="H9" s="86">
        <v>11730</v>
      </c>
      <c r="I9" s="86">
        <v>11735</v>
      </c>
      <c r="J9" s="86">
        <v>11740</v>
      </c>
      <c r="K9" s="86">
        <v>11745</v>
      </c>
      <c r="L9" s="86">
        <v>11749</v>
      </c>
      <c r="M9" s="86">
        <v>11752</v>
      </c>
      <c r="N9" s="86">
        <v>11754</v>
      </c>
      <c r="O9" s="86">
        <v>11756</v>
      </c>
      <c r="P9" s="86">
        <v>11758</v>
      </c>
      <c r="Q9" s="86">
        <v>38</v>
      </c>
    </row>
    <row r="12" spans="1:17">
      <c r="A12" s="144" t="s">
        <v>133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</row>
    <row r="13" spans="1:17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>
      <c r="A14" s="93"/>
      <c r="B14" s="145" t="s">
        <v>116</v>
      </c>
      <c r="C14" s="145"/>
      <c r="D14" s="145" t="s">
        <v>117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93" t="s">
        <v>118</v>
      </c>
    </row>
    <row r="15" spans="1:17">
      <c r="A15" s="78" t="s">
        <v>119</v>
      </c>
      <c r="B15" s="103">
        <v>39783</v>
      </c>
      <c r="C15" s="103">
        <v>40148</v>
      </c>
      <c r="D15" s="103">
        <v>40513</v>
      </c>
      <c r="E15" s="72" t="s">
        <v>120</v>
      </c>
      <c r="F15" s="72" t="s">
        <v>121</v>
      </c>
      <c r="G15" s="72" t="s">
        <v>122</v>
      </c>
      <c r="H15" s="72" t="s">
        <v>123</v>
      </c>
      <c r="I15" s="72" t="s">
        <v>124</v>
      </c>
      <c r="J15" s="72" t="s">
        <v>125</v>
      </c>
      <c r="K15" s="72" t="s">
        <v>126</v>
      </c>
      <c r="L15" s="72" t="s">
        <v>127</v>
      </c>
      <c r="M15" s="72" t="s">
        <v>128</v>
      </c>
      <c r="N15" s="72" t="s">
        <v>129</v>
      </c>
      <c r="O15" s="72" t="s">
        <v>130</v>
      </c>
      <c r="P15" s="72" t="s">
        <v>131</v>
      </c>
      <c r="Q15" s="78"/>
    </row>
    <row r="16" spans="1:17">
      <c r="A16" s="88" t="s">
        <v>69</v>
      </c>
      <c r="B16" s="86">
        <v>7923</v>
      </c>
      <c r="C16" s="86">
        <v>7997</v>
      </c>
      <c r="D16" s="86">
        <v>8024</v>
      </c>
      <c r="E16" s="86">
        <v>8026</v>
      </c>
      <c r="F16" s="86">
        <v>8028</v>
      </c>
      <c r="G16" s="86">
        <v>8030</v>
      </c>
      <c r="H16" s="86">
        <v>8032</v>
      </c>
      <c r="I16" s="86">
        <v>8035</v>
      </c>
      <c r="J16" s="86">
        <v>8038</v>
      </c>
      <c r="K16" s="86">
        <v>8041</v>
      </c>
      <c r="L16" s="86">
        <v>8043</v>
      </c>
      <c r="M16" s="86">
        <v>8045</v>
      </c>
      <c r="N16" s="86">
        <v>8047</v>
      </c>
      <c r="O16" s="86">
        <v>8049</v>
      </c>
      <c r="P16" s="86">
        <v>8049</v>
      </c>
      <c r="Q16" s="77">
        <v>25</v>
      </c>
    </row>
    <row r="17" spans="1:17">
      <c r="A17" s="88" t="s">
        <v>70</v>
      </c>
      <c r="B17" s="86">
        <v>48</v>
      </c>
      <c r="C17" s="86">
        <v>48</v>
      </c>
      <c r="D17" s="86">
        <v>48</v>
      </c>
      <c r="E17" s="86">
        <v>48</v>
      </c>
      <c r="F17" s="86">
        <v>48</v>
      </c>
      <c r="G17" s="86">
        <v>48</v>
      </c>
      <c r="H17" s="86">
        <v>48</v>
      </c>
      <c r="I17" s="86">
        <v>48</v>
      </c>
      <c r="J17" s="86">
        <v>48</v>
      </c>
      <c r="K17" s="86">
        <v>48</v>
      </c>
      <c r="L17" s="86">
        <v>48</v>
      </c>
      <c r="M17" s="86">
        <v>48</v>
      </c>
      <c r="N17" s="86">
        <v>48</v>
      </c>
      <c r="O17" s="86">
        <v>48</v>
      </c>
      <c r="P17" s="86">
        <v>48</v>
      </c>
      <c r="Q17" s="77"/>
    </row>
    <row r="18" spans="1:17">
      <c r="A18" s="88" t="s">
        <v>16</v>
      </c>
      <c r="B18" s="86">
        <v>3688</v>
      </c>
      <c r="C18" s="86">
        <v>3643</v>
      </c>
      <c r="D18" s="86">
        <v>3654</v>
      </c>
      <c r="E18" s="86">
        <v>3654</v>
      </c>
      <c r="F18" s="86">
        <v>3654</v>
      </c>
      <c r="G18" s="86">
        <v>3654</v>
      </c>
      <c r="H18" s="86">
        <v>3655</v>
      </c>
      <c r="I18" s="86">
        <v>3657</v>
      </c>
      <c r="J18" s="86">
        <v>3659</v>
      </c>
      <c r="K18" s="86">
        <v>3661</v>
      </c>
      <c r="L18" s="86">
        <v>3663</v>
      </c>
      <c r="M18" s="86">
        <v>3665</v>
      </c>
      <c r="N18" s="86">
        <v>3665</v>
      </c>
      <c r="O18" s="86">
        <v>3665</v>
      </c>
      <c r="P18" s="86">
        <v>3665</v>
      </c>
      <c r="Q18" s="77">
        <v>11</v>
      </c>
    </row>
    <row r="19" spans="1:17">
      <c r="A19" s="86" t="s">
        <v>132</v>
      </c>
      <c r="B19" s="86">
        <v>32</v>
      </c>
      <c r="C19" s="86">
        <v>32</v>
      </c>
      <c r="D19" s="86">
        <v>32</v>
      </c>
      <c r="E19" s="86">
        <v>32</v>
      </c>
      <c r="F19" s="86">
        <v>32</v>
      </c>
      <c r="G19" s="86">
        <v>32</v>
      </c>
      <c r="H19" s="86">
        <v>32</v>
      </c>
      <c r="I19" s="86">
        <v>32</v>
      </c>
      <c r="J19" s="86">
        <v>32</v>
      </c>
      <c r="K19" s="86">
        <v>32</v>
      </c>
      <c r="L19" s="86">
        <v>32</v>
      </c>
      <c r="M19" s="86">
        <v>32</v>
      </c>
      <c r="N19" s="86">
        <v>32</v>
      </c>
      <c r="O19" s="86">
        <v>32</v>
      </c>
      <c r="P19" s="86">
        <v>32</v>
      </c>
      <c r="Q19" s="77">
        <v>0</v>
      </c>
    </row>
    <row r="20" spans="1:17">
      <c r="A20" s="86" t="s">
        <v>4</v>
      </c>
      <c r="B20" s="86">
        <v>11691</v>
      </c>
      <c r="C20" s="86">
        <v>11720</v>
      </c>
      <c r="D20" s="86">
        <v>11758</v>
      </c>
      <c r="E20" s="86">
        <v>11760</v>
      </c>
      <c r="F20" s="86">
        <v>11762</v>
      </c>
      <c r="G20" s="86">
        <v>11764</v>
      </c>
      <c r="H20" s="86">
        <v>11767</v>
      </c>
      <c r="I20" s="86">
        <v>11772</v>
      </c>
      <c r="J20" s="86">
        <v>11777</v>
      </c>
      <c r="K20" s="86">
        <v>11782</v>
      </c>
      <c r="L20" s="86">
        <v>11786</v>
      </c>
      <c r="M20" s="86">
        <v>11790</v>
      </c>
      <c r="N20" s="86">
        <v>11792</v>
      </c>
      <c r="O20" s="86">
        <v>11794</v>
      </c>
      <c r="P20" s="86">
        <v>11794</v>
      </c>
      <c r="Q20" s="86">
        <v>36</v>
      </c>
    </row>
  </sheetData>
  <mergeCells count="6">
    <mergeCell ref="B14:C14"/>
    <mergeCell ref="A1:Q1"/>
    <mergeCell ref="B3:C3"/>
    <mergeCell ref="A12:Q12"/>
    <mergeCell ref="D14:P14"/>
    <mergeCell ref="D3:P3"/>
  </mergeCells>
  <phoneticPr fontId="3" type="noConversion"/>
  <pageMargins left="0.75" right="0.75" top="1" bottom="1" header="0.5" footer="0.5"/>
  <pageSetup scale="86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11"/>
  <sheetViews>
    <sheetView showGridLines="0" workbookViewId="0">
      <selection activeCell="J11" sqref="J11"/>
    </sheetView>
  </sheetViews>
  <sheetFormatPr defaultRowHeight="12.75"/>
  <cols>
    <col min="1" max="1" width="2.42578125" customWidth="1"/>
    <col min="2" max="2" width="19.42578125" customWidth="1"/>
    <col min="3" max="3" width="7.42578125" customWidth="1"/>
    <col min="4" max="4" width="7.7109375" customWidth="1"/>
    <col min="5" max="5" width="13.42578125" customWidth="1"/>
    <col min="6" max="8" width="10.42578125" bestFit="1" customWidth="1"/>
    <col min="9" max="10" width="11.28515625" bestFit="1" customWidth="1"/>
  </cols>
  <sheetData>
    <row r="2" spans="2:10">
      <c r="B2" s="145" t="s">
        <v>145</v>
      </c>
      <c r="C2" s="145"/>
      <c r="D2" s="145"/>
      <c r="E2" s="145"/>
      <c r="F2" s="145"/>
      <c r="G2" s="145"/>
      <c r="H2" s="145"/>
      <c r="I2" s="145"/>
      <c r="J2" s="145"/>
    </row>
    <row r="3" spans="2:10" ht="12.75" customHeight="1">
      <c r="B3" s="149" t="s">
        <v>80</v>
      </c>
      <c r="C3" s="150" t="s">
        <v>134</v>
      </c>
      <c r="D3" s="150" t="s">
        <v>135</v>
      </c>
      <c r="E3" s="150" t="s">
        <v>136</v>
      </c>
      <c r="F3" s="149" t="s">
        <v>137</v>
      </c>
      <c r="G3" s="149"/>
      <c r="H3" s="149" t="s">
        <v>138</v>
      </c>
      <c r="I3" s="149"/>
      <c r="J3" s="149"/>
    </row>
    <row r="4" spans="2:10">
      <c r="B4" s="149"/>
      <c r="C4" s="150"/>
      <c r="D4" s="150"/>
      <c r="E4" s="150"/>
      <c r="F4" s="83" t="s">
        <v>87</v>
      </c>
      <c r="G4" s="83" t="s">
        <v>139</v>
      </c>
      <c r="H4" s="83" t="s">
        <v>87</v>
      </c>
      <c r="I4" s="83" t="s">
        <v>139</v>
      </c>
      <c r="J4" s="83" t="s">
        <v>4</v>
      </c>
    </row>
    <row r="5" spans="2:10">
      <c r="B5" s="84" t="s">
        <v>140</v>
      </c>
      <c r="C5" s="78"/>
      <c r="D5" s="78"/>
      <c r="E5" s="78"/>
      <c r="F5" s="78"/>
      <c r="G5" s="78"/>
      <c r="H5" s="78"/>
      <c r="I5" s="78"/>
      <c r="J5" s="78"/>
    </row>
    <row r="6" spans="2:10">
      <c r="B6" s="85" t="s">
        <v>141</v>
      </c>
      <c r="C6" s="72" t="s">
        <v>73</v>
      </c>
      <c r="D6" s="86">
        <f>AVERAGE('Customer Forecast'!E16:P16)</f>
        <v>8038.583333333333</v>
      </c>
      <c r="E6" s="86">
        <f>'Forecast Data'!K7</f>
        <v>106119297</v>
      </c>
      <c r="F6" s="87">
        <f>'2007 GLP DRO'!G15</f>
        <v>20.41</v>
      </c>
      <c r="G6" s="90">
        <f>'2007 GLP DRO'!H15</f>
        <v>0.1068713148207342</v>
      </c>
      <c r="H6" s="88">
        <f>D6*F6*12</f>
        <v>1968809.83</v>
      </c>
      <c r="I6" s="77">
        <f>E6*G6</f>
        <v>11341108.798241993</v>
      </c>
      <c r="J6" s="77">
        <f>H6+I6</f>
        <v>13309918.628241993</v>
      </c>
    </row>
    <row r="7" spans="2:10">
      <c r="B7" s="85" t="s">
        <v>142</v>
      </c>
      <c r="C7" s="72" t="s">
        <v>72</v>
      </c>
      <c r="D7" s="86">
        <f>AVERAGE('Customer Forecast'!E17:P17)</f>
        <v>48</v>
      </c>
      <c r="E7" s="86">
        <f>'Forecast Data'!K24</f>
        <v>151952</v>
      </c>
      <c r="F7" s="87">
        <f>'2007 GLP DRO'!G16</f>
        <v>596.12</v>
      </c>
      <c r="G7" s="90">
        <f>'2007 GLP DRO'!H16</f>
        <v>7.3375104965220483</v>
      </c>
      <c r="H7" s="88">
        <f>D7*F7*12</f>
        <v>343365.12</v>
      </c>
      <c r="I7" s="77">
        <f>E7*G7</f>
        <v>1114949.3949675183</v>
      </c>
      <c r="J7" s="77">
        <f>H7+I7</f>
        <v>1458314.5149675184</v>
      </c>
    </row>
    <row r="8" spans="2:10">
      <c r="B8" s="84" t="s">
        <v>143</v>
      </c>
      <c r="C8" s="72"/>
      <c r="D8" s="86"/>
      <c r="E8" s="77"/>
      <c r="F8" s="87"/>
      <c r="G8" s="90"/>
      <c r="H8" s="89">
        <f>SUM(H6:H7)</f>
        <v>2312174.9500000002</v>
      </c>
      <c r="I8" s="89">
        <f>SUM(I6:I7)</f>
        <v>12456058.193209512</v>
      </c>
      <c r="J8" s="77">
        <f>SUM(J6:J7)</f>
        <v>14768233.143209511</v>
      </c>
    </row>
    <row r="9" spans="2:10">
      <c r="B9" s="71" t="s">
        <v>16</v>
      </c>
      <c r="C9" s="72" t="s">
        <v>73</v>
      </c>
      <c r="D9" s="86">
        <f>AVERAGE('Customer Forecast'!E18:P18)</f>
        <v>3659.75</v>
      </c>
      <c r="E9" s="86">
        <f>'Forecast Data'!K15</f>
        <v>12622297</v>
      </c>
      <c r="F9" s="87">
        <f>'2007 GLP DRO'!G17</f>
        <v>24</v>
      </c>
      <c r="G9" s="90">
        <f>'2007 GLP DRO'!H17</f>
        <v>0.14116926076430925</v>
      </c>
      <c r="H9" s="88">
        <f>D9*F9*12</f>
        <v>1054008</v>
      </c>
      <c r="I9" s="77">
        <f>E9*G9</f>
        <v>1781880.3366375582</v>
      </c>
      <c r="J9" s="77">
        <f>H9+I9</f>
        <v>2835888.3366375584</v>
      </c>
    </row>
    <row r="10" spans="2:10">
      <c r="B10" s="71" t="s">
        <v>144</v>
      </c>
      <c r="C10" s="72" t="s">
        <v>73</v>
      </c>
      <c r="D10" s="86">
        <v>1052</v>
      </c>
      <c r="E10" s="86">
        <f>'Forecast Data'!K32</f>
        <v>791996</v>
      </c>
      <c r="F10" s="87">
        <f>'2007 GLP DRO'!G18</f>
        <v>0</v>
      </c>
      <c r="G10" s="90">
        <f>'2007 GLP DRO'!H18</f>
        <v>6.0210096235243198E-2</v>
      </c>
      <c r="H10" s="88">
        <f>D10*F10*12</f>
        <v>0</v>
      </c>
      <c r="I10" s="77">
        <f>E10*G10</f>
        <v>47686.155377927673</v>
      </c>
      <c r="J10" s="77">
        <f>H10+I10</f>
        <v>47686.155377927673</v>
      </c>
    </row>
    <row r="11" spans="2:10">
      <c r="B11" s="78"/>
      <c r="C11" s="78"/>
      <c r="D11" s="86"/>
      <c r="E11" s="78"/>
      <c r="F11" s="87"/>
      <c r="G11" s="77"/>
      <c r="H11" s="77">
        <f>SUM(H8:H10)</f>
        <v>3366182.95</v>
      </c>
      <c r="I11" s="77">
        <f>SUM(I8:I10)</f>
        <v>14285624.685224999</v>
      </c>
      <c r="J11" s="77">
        <f>SUM(J8:J10)</f>
        <v>17651807.635224998</v>
      </c>
    </row>
  </sheetData>
  <mergeCells count="7">
    <mergeCell ref="B2:J2"/>
    <mergeCell ref="B3:B4"/>
    <mergeCell ref="C3:C4"/>
    <mergeCell ref="D3:D4"/>
    <mergeCell ref="E3:E4"/>
    <mergeCell ref="F3:G3"/>
    <mergeCell ref="H3:J3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topLeftCell="A31" workbookViewId="0">
      <selection activeCell="E70" sqref="E70"/>
    </sheetView>
  </sheetViews>
  <sheetFormatPr defaultRowHeight="12.75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21.75">
      <c r="A1" s="157" t="s">
        <v>0</v>
      </c>
      <c r="B1" s="157"/>
      <c r="C1" s="157"/>
      <c r="D1" s="157"/>
      <c r="E1" s="157"/>
      <c r="F1" s="157"/>
      <c r="G1" s="1"/>
      <c r="H1" s="1"/>
      <c r="I1" s="1"/>
      <c r="J1" s="1"/>
      <c r="K1" s="1"/>
      <c r="L1" s="1"/>
      <c r="M1" s="1"/>
      <c r="N1" s="1"/>
      <c r="O1" s="1"/>
    </row>
    <row r="2" spans="1:15" ht="20.25">
      <c r="A2" s="158" t="s">
        <v>1</v>
      </c>
      <c r="B2" s="158"/>
      <c r="C2" s="158"/>
      <c r="D2" s="158"/>
      <c r="E2" s="158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>
      <c r="A3" s="159" t="s">
        <v>185</v>
      </c>
      <c r="B3" s="159"/>
      <c r="C3" s="159"/>
      <c r="D3" s="159"/>
      <c r="E3" s="159"/>
      <c r="F3" s="1"/>
      <c r="G3" s="2"/>
      <c r="H3" s="1"/>
      <c r="I3" s="1"/>
      <c r="J3" s="1"/>
      <c r="K3" s="1"/>
      <c r="L3" s="1"/>
      <c r="M3" s="1"/>
      <c r="N3" s="1"/>
      <c r="O3" s="1"/>
    </row>
    <row r="4" spans="1:15" ht="18">
      <c r="A4" s="160">
        <v>40330</v>
      </c>
      <c r="B4" s="160"/>
      <c r="C4" s="160"/>
      <c r="D4" s="160"/>
      <c r="E4" s="160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0.25">
      <c r="A5" s="3" t="s">
        <v>2</v>
      </c>
      <c r="B5" s="4"/>
      <c r="C5" s="5"/>
      <c r="D5" s="5"/>
      <c r="E5" s="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7"/>
      <c r="B6" s="7"/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">
      <c r="A7" s="9"/>
      <c r="B7" s="10"/>
      <c r="C7" s="11"/>
      <c r="D7" s="12"/>
      <c r="E7" s="13"/>
      <c r="F7" s="13"/>
      <c r="G7" s="13"/>
      <c r="H7" s="12"/>
      <c r="I7" s="12"/>
      <c r="J7" s="12"/>
      <c r="K7" s="12"/>
      <c r="L7" s="12"/>
      <c r="M7" s="10"/>
      <c r="N7" s="10"/>
      <c r="O7" s="10"/>
    </row>
    <row r="8" spans="1:15">
      <c r="A8" s="14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0"/>
      <c r="N8" s="10"/>
      <c r="O8" s="10"/>
    </row>
    <row r="9" spans="1:15">
      <c r="A9" s="9"/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0"/>
      <c r="N9" s="10"/>
      <c r="O9" s="10"/>
    </row>
    <row r="10" spans="1:15">
      <c r="A10" s="15"/>
      <c r="B10" s="16"/>
      <c r="C10" s="17"/>
      <c r="D10" s="18"/>
      <c r="E10" s="18"/>
      <c r="F10" s="18"/>
      <c r="G10" s="12"/>
      <c r="H10" s="12"/>
      <c r="I10" s="12"/>
      <c r="J10" s="12"/>
      <c r="K10" s="12"/>
      <c r="L10" s="12"/>
      <c r="M10" s="10"/>
      <c r="N10" s="10"/>
      <c r="O10" s="10"/>
    </row>
    <row r="11" spans="1:15">
      <c r="A11" s="15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>
      <c r="A12" s="15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>
      <c r="A13" s="19"/>
      <c r="B13" s="20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0"/>
      <c r="N13" s="10"/>
      <c r="O13" s="10"/>
    </row>
    <row r="14" spans="1:15">
      <c r="A14" s="1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0"/>
      <c r="N14" s="10"/>
      <c r="O14" s="10"/>
    </row>
    <row r="15" spans="1:15" ht="13.5" thickBot="1">
      <c r="A15" s="22"/>
      <c r="B15" s="23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0"/>
      <c r="N15" s="10"/>
      <c r="O15" s="10"/>
    </row>
    <row r="16" spans="1:15">
      <c r="A16" s="24"/>
      <c r="B16" s="25"/>
      <c r="C16" s="26"/>
      <c r="D16" s="27">
        <v>1</v>
      </c>
      <c r="E16" s="27">
        <v>2</v>
      </c>
      <c r="F16" s="27">
        <v>3</v>
      </c>
      <c r="G16" s="27">
        <v>4</v>
      </c>
      <c r="H16" s="27">
        <v>5</v>
      </c>
      <c r="I16" s="27">
        <v>6</v>
      </c>
      <c r="J16" s="27">
        <v>7</v>
      </c>
      <c r="K16" s="27">
        <v>8</v>
      </c>
      <c r="L16" s="27">
        <v>9</v>
      </c>
      <c r="M16" s="27">
        <v>10</v>
      </c>
      <c r="N16" s="27">
        <v>11</v>
      </c>
      <c r="O16" s="27">
        <v>12</v>
      </c>
    </row>
    <row r="17" spans="1:15" ht="51.75" thickBot="1">
      <c r="A17" s="28" t="s">
        <v>3</v>
      </c>
      <c r="B17" s="29"/>
      <c r="C17" s="30" t="s">
        <v>4</v>
      </c>
      <c r="D17" s="31" t="s">
        <v>5</v>
      </c>
      <c r="E17" s="31" t="s">
        <v>6</v>
      </c>
      <c r="F17" s="31" t="s">
        <v>7</v>
      </c>
      <c r="G17" s="31" t="s">
        <v>8</v>
      </c>
      <c r="H17" s="31" t="s">
        <v>9</v>
      </c>
      <c r="I17" s="31" t="s">
        <v>10</v>
      </c>
      <c r="J17" s="31" t="s">
        <v>11</v>
      </c>
      <c r="K17" s="31" t="s">
        <v>12</v>
      </c>
      <c r="L17" s="31" t="s">
        <v>13</v>
      </c>
      <c r="M17" s="31" t="s">
        <v>14</v>
      </c>
      <c r="N17" s="31" t="s">
        <v>15</v>
      </c>
      <c r="O17" s="31" t="s">
        <v>16</v>
      </c>
    </row>
    <row r="18" spans="1:15">
      <c r="A18" s="32" t="s">
        <v>17</v>
      </c>
      <c r="B18" s="33" t="s">
        <v>18</v>
      </c>
      <c r="C18" s="34">
        <v>18585008</v>
      </c>
      <c r="D18" s="35">
        <v>13865405</v>
      </c>
      <c r="E18" s="35">
        <v>1717567</v>
      </c>
      <c r="F18" s="35">
        <v>0</v>
      </c>
      <c r="G18" s="35">
        <v>0</v>
      </c>
      <c r="H18" s="35">
        <v>0</v>
      </c>
      <c r="I18" s="35">
        <v>0</v>
      </c>
      <c r="J18" s="35">
        <v>42237</v>
      </c>
      <c r="K18" s="35">
        <v>0</v>
      </c>
      <c r="L18" s="35">
        <v>0</v>
      </c>
      <c r="M18" s="35">
        <v>0</v>
      </c>
      <c r="N18" s="35">
        <v>0</v>
      </c>
      <c r="O18" s="35">
        <v>2959799</v>
      </c>
    </row>
    <row r="19" spans="1:15" ht="13.5" thickBot="1">
      <c r="A19" s="32" t="s">
        <v>19</v>
      </c>
      <c r="B19" s="33" t="s">
        <v>20</v>
      </c>
      <c r="C19" s="36">
        <v>343057</v>
      </c>
      <c r="D19" s="37">
        <v>217489.68270909949</v>
      </c>
      <c r="E19" s="37">
        <v>88132.624542482896</v>
      </c>
      <c r="F19" s="37">
        <v>0</v>
      </c>
      <c r="G19" s="37">
        <v>0</v>
      </c>
      <c r="H19" s="37">
        <v>0</v>
      </c>
      <c r="I19" s="37">
        <v>0</v>
      </c>
      <c r="J19" s="37">
        <v>5003.2895272679543</v>
      </c>
      <c r="K19" s="37">
        <v>0</v>
      </c>
      <c r="L19" s="37">
        <v>0</v>
      </c>
      <c r="M19" s="37">
        <v>0</v>
      </c>
      <c r="N19" s="37">
        <v>0</v>
      </c>
      <c r="O19" s="37">
        <v>32431.403221149769</v>
      </c>
    </row>
    <row r="20" spans="1:15" ht="13.5" thickBot="1">
      <c r="A20" s="32"/>
      <c r="B20" s="38" t="s">
        <v>21</v>
      </c>
      <c r="C20" s="39">
        <v>18928065</v>
      </c>
      <c r="D20" s="40">
        <v>14082894.6827091</v>
      </c>
      <c r="E20" s="40">
        <v>1805699.6245424829</v>
      </c>
      <c r="F20" s="40">
        <v>0</v>
      </c>
      <c r="G20" s="40">
        <v>0</v>
      </c>
      <c r="H20" s="40">
        <v>0</v>
      </c>
      <c r="I20" s="40">
        <v>0</v>
      </c>
      <c r="J20" s="40">
        <v>47240.289527267953</v>
      </c>
      <c r="K20" s="40">
        <v>0</v>
      </c>
      <c r="L20" s="40">
        <v>0</v>
      </c>
      <c r="M20" s="40">
        <v>0</v>
      </c>
      <c r="N20" s="40">
        <v>0</v>
      </c>
      <c r="O20" s="40">
        <v>2992230.4032211499</v>
      </c>
    </row>
    <row r="21" spans="1:15" ht="13.5" thickTop="1">
      <c r="A21" s="32"/>
      <c r="B21" s="33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3"/>
      <c r="O21" s="43"/>
    </row>
    <row r="22" spans="1:15">
      <c r="A22" s="32"/>
      <c r="B22" s="44" t="s">
        <v>22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3"/>
      <c r="N22" s="43"/>
      <c r="O22" s="43"/>
    </row>
    <row r="23" spans="1:15">
      <c r="A23" s="32" t="s">
        <v>23</v>
      </c>
      <c r="B23" s="33" t="s">
        <v>24</v>
      </c>
      <c r="C23" s="41">
        <v>4712464.3508517938</v>
      </c>
      <c r="D23" s="42">
        <v>2835058.6867799037</v>
      </c>
      <c r="E23" s="42">
        <v>1290516.5675966546</v>
      </c>
      <c r="F23" s="42">
        <v>0</v>
      </c>
      <c r="G23" s="42">
        <v>0</v>
      </c>
      <c r="H23" s="42">
        <v>0</v>
      </c>
      <c r="I23" s="42">
        <v>0</v>
      </c>
      <c r="J23" s="42">
        <v>87388.00029362386</v>
      </c>
      <c r="K23" s="42">
        <v>0</v>
      </c>
      <c r="L23" s="42">
        <v>0</v>
      </c>
      <c r="M23" s="42">
        <v>0</v>
      </c>
      <c r="N23" s="42">
        <v>0</v>
      </c>
      <c r="O23" s="42">
        <v>499501.0961816113</v>
      </c>
    </row>
    <row r="24" spans="1:15">
      <c r="A24" s="32" t="s">
        <v>25</v>
      </c>
      <c r="B24" s="33" t="s">
        <v>26</v>
      </c>
      <c r="C24" s="41">
        <v>1693808.4044454272</v>
      </c>
      <c r="D24" s="42">
        <v>1394715.018301195</v>
      </c>
      <c r="E24" s="42">
        <v>91659.222664461937</v>
      </c>
      <c r="F24" s="42">
        <v>0</v>
      </c>
      <c r="G24" s="42">
        <v>0</v>
      </c>
      <c r="H24" s="42">
        <v>0</v>
      </c>
      <c r="I24" s="42">
        <v>0</v>
      </c>
      <c r="J24" s="42">
        <v>11235.291425316285</v>
      </c>
      <c r="K24" s="42">
        <v>0</v>
      </c>
      <c r="L24" s="42">
        <v>0</v>
      </c>
      <c r="M24" s="42">
        <v>0</v>
      </c>
      <c r="N24" s="42">
        <v>0</v>
      </c>
      <c r="O24" s="42">
        <v>196198.87205445388</v>
      </c>
    </row>
    <row r="25" spans="1:15">
      <c r="A25" s="32" t="s">
        <v>27</v>
      </c>
      <c r="B25" s="33" t="s">
        <v>28</v>
      </c>
      <c r="C25" s="41">
        <v>2632963.9007266099</v>
      </c>
      <c r="D25" s="42">
        <v>1725449.2149465042</v>
      </c>
      <c r="E25" s="42">
        <v>583912.1785581687</v>
      </c>
      <c r="F25" s="42">
        <v>0</v>
      </c>
      <c r="G25" s="42">
        <v>0</v>
      </c>
      <c r="H25" s="42">
        <v>0</v>
      </c>
      <c r="I25" s="42">
        <v>0</v>
      </c>
      <c r="J25" s="42">
        <v>40419.72860932102</v>
      </c>
      <c r="K25" s="42">
        <v>0</v>
      </c>
      <c r="L25" s="42">
        <v>0</v>
      </c>
      <c r="M25" s="42">
        <v>0</v>
      </c>
      <c r="N25" s="42">
        <v>0</v>
      </c>
      <c r="O25" s="42">
        <v>283182.77861261601</v>
      </c>
    </row>
    <row r="26" spans="1:15">
      <c r="A26" s="32" t="s">
        <v>29</v>
      </c>
      <c r="B26" s="33" t="s">
        <v>30</v>
      </c>
      <c r="C26" s="45">
        <v>4056672.0247569596</v>
      </c>
      <c r="D26" s="46">
        <v>2563127.9349853685</v>
      </c>
      <c r="E26" s="46">
        <v>975345.29367472359</v>
      </c>
      <c r="F26" s="46">
        <v>0</v>
      </c>
      <c r="G26" s="46">
        <v>0</v>
      </c>
      <c r="H26" s="46">
        <v>0</v>
      </c>
      <c r="I26" s="46">
        <v>0</v>
      </c>
      <c r="J26" s="46">
        <v>70644.214183055301</v>
      </c>
      <c r="K26" s="46">
        <v>0</v>
      </c>
      <c r="L26" s="46">
        <v>0</v>
      </c>
      <c r="M26" s="46">
        <v>0</v>
      </c>
      <c r="N26" s="46">
        <v>0</v>
      </c>
      <c r="O26" s="46">
        <v>447554.5819138122</v>
      </c>
    </row>
    <row r="27" spans="1:15">
      <c r="A27" s="32" t="s">
        <v>31</v>
      </c>
      <c r="B27" s="33" t="s">
        <v>32</v>
      </c>
      <c r="C27" s="41">
        <v>751038</v>
      </c>
      <c r="D27" s="42">
        <v>456887.51527834096</v>
      </c>
      <c r="E27" s="42">
        <v>209627.82992079962</v>
      </c>
      <c r="F27" s="42">
        <v>0</v>
      </c>
      <c r="G27" s="42">
        <v>0</v>
      </c>
      <c r="H27" s="42">
        <v>0</v>
      </c>
      <c r="I27" s="42">
        <v>0</v>
      </c>
      <c r="J27" s="42">
        <v>11218.929030918629</v>
      </c>
      <c r="K27" s="42">
        <v>0</v>
      </c>
      <c r="L27" s="42">
        <v>0</v>
      </c>
      <c r="M27" s="42">
        <v>0</v>
      </c>
      <c r="N27" s="42">
        <v>0</v>
      </c>
      <c r="O27" s="42">
        <v>73303.72576994088</v>
      </c>
    </row>
    <row r="28" spans="1:15" ht="13.5" thickBot="1">
      <c r="A28" s="32" t="s">
        <v>33</v>
      </c>
      <c r="B28" s="33" t="s">
        <v>34</v>
      </c>
      <c r="C28" s="36">
        <v>2342458</v>
      </c>
      <c r="D28" s="37">
        <v>1425014.2006980632</v>
      </c>
      <c r="E28" s="37">
        <v>653820.96141688759</v>
      </c>
      <c r="F28" s="37">
        <v>0</v>
      </c>
      <c r="G28" s="37">
        <v>0</v>
      </c>
      <c r="H28" s="37">
        <v>0</v>
      </c>
      <c r="I28" s="37">
        <v>0</v>
      </c>
      <c r="J28" s="37">
        <v>34991.398650810734</v>
      </c>
      <c r="K28" s="37">
        <v>0</v>
      </c>
      <c r="L28" s="37">
        <v>0</v>
      </c>
      <c r="M28" s="37">
        <v>0</v>
      </c>
      <c r="N28" s="37">
        <v>0</v>
      </c>
      <c r="O28" s="37">
        <v>228631.4392342387</v>
      </c>
    </row>
    <row r="29" spans="1:15" ht="13.5" thickBot="1">
      <c r="A29" s="32"/>
      <c r="B29" s="38" t="s">
        <v>35</v>
      </c>
      <c r="C29" s="39">
        <v>16189404.680780791</v>
      </c>
      <c r="D29" s="40">
        <v>10400252.570989376</v>
      </c>
      <c r="E29" s="40">
        <v>3804882.053831696</v>
      </c>
      <c r="F29" s="40">
        <v>0</v>
      </c>
      <c r="G29" s="40">
        <v>0</v>
      </c>
      <c r="H29" s="40">
        <v>0</v>
      </c>
      <c r="I29" s="40">
        <v>0</v>
      </c>
      <c r="J29" s="40">
        <v>255897.56219304583</v>
      </c>
      <c r="K29" s="40">
        <v>0</v>
      </c>
      <c r="L29" s="40">
        <v>0</v>
      </c>
      <c r="M29" s="40">
        <v>0</v>
      </c>
      <c r="N29" s="40">
        <v>0</v>
      </c>
      <c r="O29" s="40">
        <v>1728372.4937666729</v>
      </c>
    </row>
    <row r="30" spans="1:15" ht="13.5" thickTop="1">
      <c r="A30" s="32"/>
      <c r="B30" s="44"/>
      <c r="C30" s="41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>
      <c r="A31" s="32"/>
      <c r="B31" s="44" t="s">
        <v>36</v>
      </c>
      <c r="C31" s="41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</row>
    <row r="32" spans="1:15">
      <c r="A32" s="32"/>
      <c r="B32" s="33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3"/>
      <c r="O32" s="43"/>
    </row>
    <row r="33" spans="1:15">
      <c r="A33" s="32" t="s">
        <v>37</v>
      </c>
      <c r="B33" s="33" t="s">
        <v>38</v>
      </c>
      <c r="C33" s="41">
        <v>2738660</v>
      </c>
      <c r="D33" s="42">
        <v>1666040.2837035959</v>
      </c>
      <c r="E33" s="42">
        <v>764407.86310532503</v>
      </c>
      <c r="F33" s="42">
        <v>0</v>
      </c>
      <c r="G33" s="42">
        <v>0</v>
      </c>
      <c r="H33" s="42">
        <v>0</v>
      </c>
      <c r="I33" s="42">
        <v>0</v>
      </c>
      <c r="J33" s="42">
        <v>40909.823710405617</v>
      </c>
      <c r="K33" s="42">
        <v>0</v>
      </c>
      <c r="L33" s="42">
        <v>0</v>
      </c>
      <c r="M33" s="42">
        <v>0</v>
      </c>
      <c r="N33" s="42">
        <v>0</v>
      </c>
      <c r="O33" s="42">
        <v>267302.02948067378</v>
      </c>
    </row>
    <row r="34" spans="1:15">
      <c r="A34" s="32"/>
      <c r="B34" s="33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3"/>
      <c r="O34" s="43"/>
    </row>
    <row r="35" spans="1:15">
      <c r="A35" s="32"/>
      <c r="B35" s="44" t="s">
        <v>39</v>
      </c>
      <c r="C35" s="41">
        <v>18928064.680780791</v>
      </c>
      <c r="D35" s="48">
        <v>12066292.854692971</v>
      </c>
      <c r="E35" s="48">
        <v>4569289.9169370215</v>
      </c>
      <c r="F35" s="48">
        <v>0</v>
      </c>
      <c r="G35" s="48">
        <v>0</v>
      </c>
      <c r="H35" s="48">
        <v>0</v>
      </c>
      <c r="I35" s="48">
        <v>0</v>
      </c>
      <c r="J35" s="48">
        <v>296807.38590345148</v>
      </c>
      <c r="K35" s="48">
        <v>0</v>
      </c>
      <c r="L35" s="48">
        <v>0</v>
      </c>
      <c r="M35" s="48">
        <v>0</v>
      </c>
      <c r="N35" s="48">
        <v>0</v>
      </c>
      <c r="O35" s="48">
        <v>1995674.5232473467</v>
      </c>
    </row>
    <row r="36" spans="1:15">
      <c r="A36" s="49"/>
      <c r="B36" s="33"/>
      <c r="C36" s="152" t="s">
        <v>189</v>
      </c>
      <c r="D36" s="152"/>
      <c r="E36" s="153"/>
      <c r="F36" s="42"/>
      <c r="G36" s="42"/>
      <c r="H36" s="42"/>
      <c r="I36" s="42"/>
      <c r="J36" s="42"/>
      <c r="K36" s="42"/>
      <c r="L36" s="42"/>
      <c r="M36" s="43"/>
      <c r="N36" s="43"/>
      <c r="O36" s="43"/>
    </row>
    <row r="37" spans="1:15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>
      <c r="A38" s="32"/>
      <c r="B38" s="33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3"/>
      <c r="O38" s="43"/>
    </row>
    <row r="39" spans="1:15">
      <c r="A39" s="32"/>
      <c r="B39" s="44" t="s">
        <v>40</v>
      </c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>
      <c r="A40" s="32"/>
      <c r="B40" s="44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>
      <c r="A41" s="32"/>
      <c r="B41" s="50" t="s">
        <v>41</v>
      </c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>
      <c r="A42" s="32" t="s">
        <v>42</v>
      </c>
      <c r="B42" s="33" t="s">
        <v>43</v>
      </c>
      <c r="C42" s="41">
        <v>101557857.99858268</v>
      </c>
      <c r="D42" s="42">
        <v>61697988.792122856</v>
      </c>
      <c r="E42" s="42">
        <v>27444170.372349057</v>
      </c>
      <c r="F42" s="42">
        <v>0</v>
      </c>
      <c r="G42" s="42">
        <v>0</v>
      </c>
      <c r="H42" s="42">
        <v>0</v>
      </c>
      <c r="I42" s="42">
        <v>0</v>
      </c>
      <c r="J42" s="42">
        <v>1706422.4545467549</v>
      </c>
      <c r="K42" s="42">
        <v>0</v>
      </c>
      <c r="L42" s="42">
        <v>0</v>
      </c>
      <c r="M42" s="42">
        <v>0</v>
      </c>
      <c r="N42" s="42">
        <v>0</v>
      </c>
      <c r="O42" s="42">
        <v>10709276.379564019</v>
      </c>
    </row>
    <row r="43" spans="1:15">
      <c r="A43" s="32" t="s">
        <v>44</v>
      </c>
      <c r="B43" s="33" t="s">
        <v>45</v>
      </c>
      <c r="C43" s="41">
        <v>10530381.620285748</v>
      </c>
      <c r="D43" s="42">
        <v>6406067.1942365952</v>
      </c>
      <c r="E43" s="42">
        <v>2939213.5248793997</v>
      </c>
      <c r="F43" s="42">
        <v>0</v>
      </c>
      <c r="G43" s="42">
        <v>0</v>
      </c>
      <c r="H43" s="42">
        <v>0</v>
      </c>
      <c r="I43" s="42">
        <v>0</v>
      </c>
      <c r="J43" s="42">
        <v>157301.76644387591</v>
      </c>
      <c r="K43" s="42">
        <v>0</v>
      </c>
      <c r="L43" s="42">
        <v>0</v>
      </c>
      <c r="M43" s="42">
        <v>0</v>
      </c>
      <c r="N43" s="42">
        <v>0</v>
      </c>
      <c r="O43" s="42">
        <v>1027799.1347258753</v>
      </c>
    </row>
    <row r="44" spans="1:15">
      <c r="A44" s="32" t="s">
        <v>46</v>
      </c>
      <c r="B44" s="33" t="s">
        <v>47</v>
      </c>
      <c r="C44" s="45">
        <v>-46509937.492378518</v>
      </c>
      <c r="D44" s="46">
        <v>-28210059.258172177</v>
      </c>
      <c r="E44" s="46">
        <v>-12079333.816318255</v>
      </c>
      <c r="F44" s="46">
        <v>0</v>
      </c>
      <c r="G44" s="46">
        <v>0</v>
      </c>
      <c r="H44" s="46">
        <v>0</v>
      </c>
      <c r="I44" s="46">
        <v>0</v>
      </c>
      <c r="J44" s="46">
        <v>-884122.23344109172</v>
      </c>
      <c r="K44" s="46">
        <v>0</v>
      </c>
      <c r="L44" s="46">
        <v>0</v>
      </c>
      <c r="M44" s="46">
        <v>0</v>
      </c>
      <c r="N44" s="46">
        <v>0</v>
      </c>
      <c r="O44" s="46">
        <v>-5336422.1844469989</v>
      </c>
    </row>
    <row r="45" spans="1:15" ht="13.5" thickBot="1">
      <c r="A45" s="32" t="s">
        <v>48</v>
      </c>
      <c r="B45" s="33" t="s">
        <v>49</v>
      </c>
      <c r="C45" s="51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</row>
    <row r="46" spans="1:15" ht="13.5" thickBot="1">
      <c r="A46" s="32"/>
      <c r="B46" s="38" t="s">
        <v>50</v>
      </c>
      <c r="C46" s="39">
        <v>65578302.126489908</v>
      </c>
      <c r="D46" s="40">
        <v>39893996.72818727</v>
      </c>
      <c r="E46" s="40">
        <v>18304050.080910202</v>
      </c>
      <c r="F46" s="40">
        <v>0</v>
      </c>
      <c r="G46" s="40">
        <v>0</v>
      </c>
      <c r="H46" s="40">
        <v>0</v>
      </c>
      <c r="I46" s="40">
        <v>0</v>
      </c>
      <c r="J46" s="40">
        <v>979601.98754953907</v>
      </c>
      <c r="K46" s="40">
        <v>0</v>
      </c>
      <c r="L46" s="40">
        <v>0</v>
      </c>
      <c r="M46" s="40">
        <v>0</v>
      </c>
      <c r="N46" s="40">
        <v>0</v>
      </c>
      <c r="O46" s="40">
        <v>6400653.3298428962</v>
      </c>
    </row>
    <row r="47" spans="1:15" ht="13.5" thickTop="1">
      <c r="A47" s="32"/>
      <c r="B47" s="44"/>
      <c r="C47" s="41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</row>
    <row r="48" spans="1:15">
      <c r="A48" s="32"/>
      <c r="B48" s="44" t="s">
        <v>51</v>
      </c>
      <c r="C48" s="4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</row>
    <row r="49" spans="1:15">
      <c r="A49" s="32"/>
      <c r="B49" s="33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3"/>
      <c r="O49" s="43"/>
    </row>
    <row r="50" spans="1:15">
      <c r="A50" s="32"/>
      <c r="B50" s="44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3"/>
      <c r="O50" s="43"/>
    </row>
    <row r="51" spans="1:15">
      <c r="A51" s="32" t="s">
        <v>52</v>
      </c>
      <c r="B51" s="33" t="s">
        <v>53</v>
      </c>
      <c r="C51" s="41">
        <v>17166389</v>
      </c>
      <c r="D51" s="42">
        <v>9553250.0156923775</v>
      </c>
      <c r="E51" s="42">
        <v>6404606.1671284735</v>
      </c>
      <c r="F51" s="42">
        <v>0</v>
      </c>
      <c r="G51" s="42">
        <v>0</v>
      </c>
      <c r="H51" s="42">
        <v>0</v>
      </c>
      <c r="I51" s="42">
        <v>0</v>
      </c>
      <c r="J51" s="42">
        <v>72227.126422115965</v>
      </c>
      <c r="K51" s="42">
        <v>0</v>
      </c>
      <c r="L51" s="42">
        <v>0</v>
      </c>
      <c r="M51" s="42">
        <v>0</v>
      </c>
      <c r="N51" s="42">
        <v>0</v>
      </c>
      <c r="O51" s="42">
        <v>1136305.690757032</v>
      </c>
    </row>
    <row r="52" spans="1:15">
      <c r="A52" s="32"/>
      <c r="B52" s="33" t="s">
        <v>54</v>
      </c>
      <c r="C52" s="41">
        <v>9039236.6560238302</v>
      </c>
      <c r="D52" s="42">
        <v>5955222.9200276025</v>
      </c>
      <c r="E52" s="42">
        <v>1966087.9688192853</v>
      </c>
      <c r="F52" s="42">
        <v>0</v>
      </c>
      <c r="G52" s="42">
        <v>0</v>
      </c>
      <c r="H52" s="42">
        <v>0</v>
      </c>
      <c r="I52" s="42">
        <v>0</v>
      </c>
      <c r="J52" s="42">
        <v>139043.02032826116</v>
      </c>
      <c r="K52" s="42">
        <v>0</v>
      </c>
      <c r="L52" s="42">
        <v>0</v>
      </c>
      <c r="M52" s="42">
        <v>0</v>
      </c>
      <c r="N52" s="42">
        <v>0</v>
      </c>
      <c r="O52" s="42">
        <v>978882.74684868124</v>
      </c>
    </row>
    <row r="53" spans="1:15">
      <c r="A53" s="32"/>
      <c r="B53" s="53" t="s">
        <v>55</v>
      </c>
      <c r="C53" s="41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</row>
    <row r="54" spans="1:15">
      <c r="A54" s="32"/>
      <c r="B54" s="54" t="s">
        <v>56</v>
      </c>
      <c r="C54" s="55">
        <v>26205625.656023826</v>
      </c>
      <c r="D54" s="56">
        <v>15508472.93571998</v>
      </c>
      <c r="E54" s="56">
        <v>8370694.1359477583</v>
      </c>
      <c r="F54" s="56">
        <v>0</v>
      </c>
      <c r="G54" s="56">
        <v>0</v>
      </c>
      <c r="H54" s="56">
        <v>0</v>
      </c>
      <c r="I54" s="56">
        <v>0</v>
      </c>
      <c r="J54" s="56">
        <v>211270.14675037714</v>
      </c>
      <c r="K54" s="56">
        <v>0</v>
      </c>
      <c r="L54" s="56">
        <v>0</v>
      </c>
      <c r="M54" s="56">
        <v>0</v>
      </c>
      <c r="N54" s="56">
        <v>0</v>
      </c>
      <c r="O54" s="56">
        <v>2115188.4376057135</v>
      </c>
    </row>
    <row r="55" spans="1:15">
      <c r="A55" s="32"/>
      <c r="B55" s="44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1:15">
      <c r="A56" s="32"/>
      <c r="B56" s="44" t="s">
        <v>57</v>
      </c>
      <c r="C56" s="41">
        <v>3930843.8484035744</v>
      </c>
      <c r="D56" s="47">
        <v>2326270.9403579971</v>
      </c>
      <c r="E56" s="47">
        <v>1255604.1203921637</v>
      </c>
      <c r="F56" s="47">
        <v>0</v>
      </c>
      <c r="G56" s="47">
        <v>0</v>
      </c>
      <c r="H56" s="47">
        <v>0</v>
      </c>
      <c r="I56" s="47">
        <v>0</v>
      </c>
      <c r="J56" s="47">
        <v>31690.522012556568</v>
      </c>
      <c r="K56" s="47">
        <v>0</v>
      </c>
      <c r="L56" s="47">
        <v>0</v>
      </c>
      <c r="M56" s="47">
        <v>0</v>
      </c>
      <c r="N56" s="47">
        <v>0</v>
      </c>
      <c r="O56" s="47">
        <v>317278.26564085699</v>
      </c>
    </row>
    <row r="57" spans="1:15">
      <c r="A57" s="32"/>
      <c r="B57" s="57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3"/>
      <c r="N57" s="43"/>
      <c r="O57" s="43"/>
    </row>
    <row r="58" spans="1:15" ht="13.5" thickBot="1">
      <c r="A58" s="32"/>
      <c r="B58" s="38" t="s">
        <v>58</v>
      </c>
      <c r="C58" s="58">
        <v>69509145.974893481</v>
      </c>
      <c r="D58" s="59">
        <v>42220267.668545268</v>
      </c>
      <c r="E58" s="59">
        <v>19559654.201302364</v>
      </c>
      <c r="F58" s="59">
        <v>0</v>
      </c>
      <c r="G58" s="59">
        <v>0</v>
      </c>
      <c r="H58" s="59">
        <v>0</v>
      </c>
      <c r="I58" s="59">
        <v>0</v>
      </c>
      <c r="J58" s="59">
        <v>1011292.5095620956</v>
      </c>
      <c r="K58" s="59">
        <v>0</v>
      </c>
      <c r="L58" s="59">
        <v>0</v>
      </c>
      <c r="M58" s="59">
        <v>0</v>
      </c>
      <c r="N58" s="59">
        <v>0</v>
      </c>
      <c r="O58" s="59">
        <v>6717931.5954837529</v>
      </c>
    </row>
    <row r="59" spans="1:15" ht="13.5" thickTop="1">
      <c r="A59" s="49"/>
      <c r="B59" s="44"/>
      <c r="C59" s="154" t="s">
        <v>59</v>
      </c>
      <c r="D59" s="155"/>
      <c r="E59" s="156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1:15">
      <c r="A60" s="32"/>
      <c r="B60" s="44" t="s">
        <v>60</v>
      </c>
      <c r="C60" s="4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</row>
    <row r="61" spans="1:15">
      <c r="A61" s="32"/>
      <c r="B61" s="44"/>
      <c r="C61" s="41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1:15">
      <c r="A62" s="32"/>
      <c r="B62" s="44" t="s">
        <v>61</v>
      </c>
      <c r="C62" s="41">
        <v>2738660.3192192097</v>
      </c>
      <c r="D62" s="47">
        <v>3682642.1117197238</v>
      </c>
      <c r="E62" s="47">
        <v>-1999182.4292892131</v>
      </c>
      <c r="F62" s="47">
        <v>0</v>
      </c>
      <c r="G62" s="47">
        <v>0</v>
      </c>
      <c r="H62" s="47">
        <v>0</v>
      </c>
      <c r="I62" s="47">
        <v>0</v>
      </c>
      <c r="J62" s="47">
        <v>-208657.27266577788</v>
      </c>
      <c r="K62" s="47">
        <v>0</v>
      </c>
      <c r="L62" s="47">
        <v>0</v>
      </c>
      <c r="M62" s="47">
        <v>0</v>
      </c>
      <c r="N62" s="47">
        <v>0</v>
      </c>
      <c r="O62" s="47">
        <v>1263857.909454477</v>
      </c>
    </row>
    <row r="63" spans="1:15">
      <c r="A63" s="32"/>
      <c r="B63" s="44"/>
      <c r="C63" s="41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>
      <c r="A64" s="32"/>
      <c r="B64" s="44" t="s">
        <v>62</v>
      </c>
      <c r="C64" s="4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</row>
    <row r="65" spans="1:15">
      <c r="A65" s="32"/>
      <c r="B65" s="33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3"/>
      <c r="N65" s="43"/>
      <c r="O65" s="43"/>
    </row>
    <row r="66" spans="1:15">
      <c r="A66" s="32"/>
      <c r="B66" s="38" t="s">
        <v>63</v>
      </c>
      <c r="C66" s="60">
        <v>2738660.3192192097</v>
      </c>
      <c r="D66" s="61">
        <v>3682642.1117197238</v>
      </c>
      <c r="E66" s="61">
        <v>-1999182.4292892131</v>
      </c>
      <c r="F66" s="61">
        <v>0</v>
      </c>
      <c r="G66" s="61">
        <v>0</v>
      </c>
      <c r="H66" s="61">
        <v>0</v>
      </c>
      <c r="I66" s="61">
        <v>0</v>
      </c>
      <c r="J66" s="61">
        <v>-208657.27266577788</v>
      </c>
      <c r="K66" s="61">
        <v>0</v>
      </c>
      <c r="L66" s="61">
        <v>0</v>
      </c>
      <c r="M66" s="61">
        <v>0</v>
      </c>
      <c r="N66" s="61">
        <v>0</v>
      </c>
      <c r="O66" s="61">
        <v>1263857.909454477</v>
      </c>
    </row>
    <row r="67" spans="1:15">
      <c r="A67" s="32"/>
      <c r="B67" s="33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3"/>
      <c r="N67" s="43"/>
      <c r="O67" s="43"/>
    </row>
    <row r="68" spans="1:15">
      <c r="A68" s="32"/>
      <c r="B68" s="44" t="s">
        <v>64</v>
      </c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>
      <c r="A69" s="32"/>
      <c r="B69" s="33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3"/>
      <c r="N69" s="43"/>
      <c r="O69" s="43"/>
    </row>
    <row r="70" spans="1:15">
      <c r="A70" s="62"/>
      <c r="B70" s="63" t="s">
        <v>65</v>
      </c>
      <c r="C70" s="64">
        <v>1.0000000168648626</v>
      </c>
      <c r="D70" s="65">
        <v>1.1671268758599544</v>
      </c>
      <c r="E70" s="65">
        <v>0.3951816709745824</v>
      </c>
      <c r="F70" s="65" t="s">
        <v>66</v>
      </c>
      <c r="G70" s="65" t="s">
        <v>66</v>
      </c>
      <c r="H70" s="65" t="s">
        <v>66</v>
      </c>
      <c r="I70" s="65" t="s">
        <v>66</v>
      </c>
      <c r="J70" s="65">
        <v>0.15916143523003418</v>
      </c>
      <c r="K70" s="65" t="s">
        <v>66</v>
      </c>
      <c r="L70" s="65" t="s">
        <v>66</v>
      </c>
      <c r="M70" s="65" t="s">
        <v>66</v>
      </c>
      <c r="N70" s="65" t="s">
        <v>66</v>
      </c>
      <c r="O70" s="65">
        <v>1.4993579205251439</v>
      </c>
    </row>
    <row r="71" spans="1:15">
      <c r="A71" s="32"/>
      <c r="B71" s="33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>
      <c r="A72" s="32"/>
      <c r="B72" s="33" t="s">
        <v>67</v>
      </c>
      <c r="C72" s="41">
        <v>0.31921920960303396</v>
      </c>
      <c r="D72" s="42">
        <v>2016601.8280161284</v>
      </c>
      <c r="E72" s="42">
        <v>-2763590.2923945384</v>
      </c>
      <c r="F72" s="42">
        <v>0</v>
      </c>
      <c r="G72" s="42">
        <v>0</v>
      </c>
      <c r="H72" s="42">
        <v>0</v>
      </c>
      <c r="I72" s="42">
        <v>0</v>
      </c>
      <c r="J72" s="42">
        <v>-249567.09637618353</v>
      </c>
      <c r="K72" s="42">
        <v>0</v>
      </c>
      <c r="L72" s="42">
        <v>0</v>
      </c>
      <c r="M72" s="42">
        <v>0</v>
      </c>
      <c r="N72" s="42">
        <v>0</v>
      </c>
      <c r="O72" s="42">
        <v>996555.87997380318</v>
      </c>
    </row>
    <row r="73" spans="1:15">
      <c r="A73" s="32"/>
      <c r="B73" s="33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3"/>
      <c r="N73" s="43"/>
      <c r="O73" s="43"/>
    </row>
    <row r="74" spans="1:15" ht="13.5" thickBot="1">
      <c r="A74" s="32"/>
      <c r="B74" s="33" t="s">
        <v>68</v>
      </c>
      <c r="C74" s="66" t="s">
        <v>66</v>
      </c>
      <c r="D74" s="66" t="s">
        <v>66</v>
      </c>
      <c r="E74" s="66" t="s">
        <v>66</v>
      </c>
      <c r="F74" s="66" t="s">
        <v>66</v>
      </c>
      <c r="G74" s="66" t="s">
        <v>66</v>
      </c>
      <c r="H74" s="66" t="s">
        <v>66</v>
      </c>
      <c r="I74" s="66" t="s">
        <v>66</v>
      </c>
      <c r="J74" s="66" t="s">
        <v>66</v>
      </c>
      <c r="K74" s="66" t="s">
        <v>66</v>
      </c>
      <c r="L74" s="66" t="s">
        <v>66</v>
      </c>
      <c r="M74" s="66" t="s">
        <v>66</v>
      </c>
      <c r="N74" s="66" t="s">
        <v>66</v>
      </c>
      <c r="O74" s="66" t="s">
        <v>66</v>
      </c>
    </row>
  </sheetData>
  <mergeCells count="7">
    <mergeCell ref="C15:L15"/>
    <mergeCell ref="C36:E36"/>
    <mergeCell ref="C59:E59"/>
    <mergeCell ref="A1:F1"/>
    <mergeCell ref="A2:E2"/>
    <mergeCell ref="A3:E3"/>
    <mergeCell ref="A4:E4"/>
  </mergeCells>
  <phoneticPr fontId="3" type="noConversion"/>
  <conditionalFormatting sqref="C36 C59">
    <cfRule type="cellIs" dxfId="0" priority="1" stopIfTrue="1" operator="equal">
      <formula>"Error"</formula>
    </cfRule>
  </conditionalFormatting>
  <pageMargins left="0.75" right="0.75" top="1" bottom="1" header="0.5" footer="0.5"/>
  <pageSetup scale="61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22"/>
  <sheetViews>
    <sheetView showGridLines="0" workbookViewId="0">
      <selection activeCell="H16" sqref="H16"/>
    </sheetView>
  </sheetViews>
  <sheetFormatPr defaultRowHeight="12.75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2" spans="2:12">
      <c r="B2" s="145" t="s">
        <v>179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2:12" ht="51">
      <c r="B3" s="78"/>
      <c r="C3" s="106" t="s">
        <v>171</v>
      </c>
      <c r="D3" s="106" t="s">
        <v>172</v>
      </c>
      <c r="E3" s="106" t="s">
        <v>173</v>
      </c>
      <c r="F3" s="106" t="s">
        <v>174</v>
      </c>
      <c r="G3" s="106" t="s">
        <v>181</v>
      </c>
      <c r="H3" s="106" t="s">
        <v>182</v>
      </c>
      <c r="I3" s="107" t="s">
        <v>183</v>
      </c>
      <c r="J3" s="78"/>
      <c r="K3" s="78"/>
    </row>
    <row r="4" spans="2:12">
      <c r="B4" s="78" t="s">
        <v>69</v>
      </c>
      <c r="C4" s="86">
        <f>'Cost Allocation Sheet O1'!D35</f>
        <v>12066292.854692971</v>
      </c>
      <c r="D4" s="91">
        <f>C4/C$8</f>
        <v>0.63748159456285369</v>
      </c>
      <c r="E4" s="86">
        <f>'Cost Allocation Sheet O1'!D19</f>
        <v>217489.68270909949</v>
      </c>
      <c r="F4" s="91">
        <f>E4/E$8</f>
        <v>0.63397535310196096</v>
      </c>
      <c r="G4" s="86">
        <f>D4*G$8</f>
        <v>12876371.519516898</v>
      </c>
      <c r="H4" s="86">
        <f>F4*H$8</f>
        <v>234622.86662667993</v>
      </c>
      <c r="I4" s="77">
        <f>G4-H4</f>
        <v>12641748.652890218</v>
      </c>
      <c r="J4" s="78"/>
      <c r="K4" s="78"/>
    </row>
    <row r="5" spans="2:12">
      <c r="B5" s="78" t="s">
        <v>70</v>
      </c>
      <c r="C5" s="86">
        <f>'Cost Allocation Sheet O1'!E35</f>
        <v>4569289.9169370215</v>
      </c>
      <c r="D5" s="91">
        <f>C5/C$8</f>
        <v>0.2414029111796408</v>
      </c>
      <c r="E5" s="86">
        <f>'Cost Allocation Sheet O1'!E19</f>
        <v>88132.624542482896</v>
      </c>
      <c r="F5" s="91">
        <f>E5/E$8</f>
        <v>0.25690373478017609</v>
      </c>
      <c r="G5" s="86">
        <f>D5*G$8</f>
        <v>4876052.2605731739</v>
      </c>
      <c r="H5" s="86">
        <f>F5*H$8</f>
        <v>95075.44797491713</v>
      </c>
      <c r="I5" s="77">
        <f>G5-H5</f>
        <v>4780976.8125982564</v>
      </c>
      <c r="J5" s="78"/>
      <c r="K5" s="78"/>
    </row>
    <row r="6" spans="2:12">
      <c r="B6" s="78" t="s">
        <v>16</v>
      </c>
      <c r="C6" s="86">
        <f>'Cost Allocation Sheet O1'!O35</f>
        <v>1995674.5232473467</v>
      </c>
      <c r="D6" s="91">
        <f>C6/C$8</f>
        <v>0.1054346842587514</v>
      </c>
      <c r="E6" s="86">
        <f>'Cost Allocation Sheet O1'!O19</f>
        <v>32431.403221149769</v>
      </c>
      <c r="F6" s="91">
        <f>E6/E$8</f>
        <v>9.4536485835152048E-2</v>
      </c>
      <c r="G6" s="86">
        <f>D6*G$8</f>
        <v>2129655.4710565628</v>
      </c>
      <c r="H6" s="86">
        <f>F6*H$8</f>
        <v>34986.251750844742</v>
      </c>
      <c r="I6" s="77">
        <f>G6-H6</f>
        <v>2094669.2193057181</v>
      </c>
      <c r="J6" s="78"/>
      <c r="K6" s="78"/>
    </row>
    <row r="7" spans="2:12">
      <c r="B7" s="78" t="s">
        <v>71</v>
      </c>
      <c r="C7" s="86">
        <f>'Cost Allocation Sheet O1'!J35</f>
        <v>296807.38590345148</v>
      </c>
      <c r="D7" s="91">
        <f>C7/C$8</f>
        <v>1.5680809998754087E-2</v>
      </c>
      <c r="E7" s="86">
        <f>'Cost Allocation Sheet O1'!J19</f>
        <v>5003.2895272679543</v>
      </c>
      <c r="F7" s="91">
        <f>E7/E$8</f>
        <v>1.4584426282710899E-2</v>
      </c>
      <c r="G7" s="86">
        <f>D7*G$8</f>
        <v>316733.74885336403</v>
      </c>
      <c r="H7" s="86">
        <f>F7*H$8</f>
        <v>5397.4336475582149</v>
      </c>
      <c r="I7" s="77">
        <f>G7-H7</f>
        <v>311336.31520580582</v>
      </c>
      <c r="J7" s="78"/>
      <c r="K7" s="78"/>
    </row>
    <row r="8" spans="2:12">
      <c r="B8" s="78"/>
      <c r="C8" s="77">
        <f>SUM(C4:C7)</f>
        <v>18928064.680780791</v>
      </c>
      <c r="D8" s="91">
        <f>SUM(D4:D7)</f>
        <v>1</v>
      </c>
      <c r="E8" s="77">
        <f>SUM(E4:E7)</f>
        <v>343057.00000000012</v>
      </c>
      <c r="F8" s="91">
        <f>SUM(F4:F7)</f>
        <v>1</v>
      </c>
      <c r="G8" s="120">
        <v>20198813</v>
      </c>
      <c r="H8" s="120">
        <v>370082</v>
      </c>
      <c r="I8" s="77">
        <f>SUM(I4:I7)</f>
        <v>19828730.999999996</v>
      </c>
      <c r="J8" s="78"/>
      <c r="K8" s="78"/>
    </row>
    <row r="9" spans="2:12">
      <c r="B9" s="163"/>
      <c r="C9" s="164"/>
      <c r="D9" s="164"/>
      <c r="E9" s="164"/>
      <c r="F9" s="164"/>
      <c r="G9" s="164"/>
      <c r="H9" s="164"/>
      <c r="I9" s="164"/>
      <c r="J9" s="164"/>
      <c r="K9" s="165"/>
    </row>
    <row r="10" spans="2:12">
      <c r="B10" s="163"/>
      <c r="C10" s="164"/>
      <c r="D10" s="164"/>
      <c r="E10" s="164"/>
      <c r="F10" s="164"/>
      <c r="G10" s="164"/>
      <c r="H10" s="164"/>
      <c r="I10" s="164"/>
      <c r="J10" s="164"/>
      <c r="K10" s="165"/>
    </row>
    <row r="11" spans="2:12">
      <c r="B11" s="145" t="s">
        <v>180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05"/>
    </row>
    <row r="12" spans="2:12" ht="51">
      <c r="B12" s="78"/>
      <c r="C12" s="106" t="s">
        <v>184</v>
      </c>
      <c r="D12" s="106" t="s">
        <v>175</v>
      </c>
      <c r="E12" s="108" t="s">
        <v>75</v>
      </c>
      <c r="F12" s="106" t="s">
        <v>176</v>
      </c>
      <c r="G12" s="106" t="s">
        <v>177</v>
      </c>
      <c r="H12" s="108" t="s">
        <v>74</v>
      </c>
      <c r="I12" s="109" t="s">
        <v>178</v>
      </c>
      <c r="J12" s="110" t="s">
        <v>76</v>
      </c>
      <c r="K12" s="110" t="s">
        <v>193</v>
      </c>
    </row>
    <row r="13" spans="2:12">
      <c r="B13" s="78" t="s">
        <v>69</v>
      </c>
      <c r="C13" s="86">
        <f>I4</f>
        <v>12641748.652890218</v>
      </c>
      <c r="D13" s="91">
        <f>C13/C$17</f>
        <v>0.63754703479966623</v>
      </c>
      <c r="E13" s="111">
        <f>1-(E14+E15+E16)</f>
        <v>0.73013313971165617</v>
      </c>
      <c r="F13" s="86">
        <f>E13*C$17</f>
        <v>14477613.621527845</v>
      </c>
      <c r="G13" s="86">
        <f>F13-C13</f>
        <v>1835864.9686376266</v>
      </c>
      <c r="H13" s="111">
        <f>F13/C13</f>
        <v>1.1452223912249593</v>
      </c>
      <c r="I13" s="112">
        <f>'Cost Allocation Sheet O1'!D70</f>
        <v>1.1671268758599544</v>
      </c>
      <c r="J13" s="72" t="s">
        <v>77</v>
      </c>
      <c r="K13" s="113" t="s">
        <v>92</v>
      </c>
    </row>
    <row r="14" spans="2:12">
      <c r="B14" s="78" t="s">
        <v>70</v>
      </c>
      <c r="C14" s="86">
        <f>I5</f>
        <v>4780976.8125982564</v>
      </c>
      <c r="D14" s="91">
        <f>C14/C$17</f>
        <v>0.2411136049300511</v>
      </c>
      <c r="E14" s="111">
        <v>0.14418811810364002</v>
      </c>
      <c r="F14" s="86">
        <f>E14*C$17</f>
        <v>2859067.4072733074</v>
      </c>
      <c r="G14" s="86">
        <f>F14-C14</f>
        <v>-1921909.405324949</v>
      </c>
      <c r="H14" s="111">
        <f>F14/C14</f>
        <v>0.59800905115026626</v>
      </c>
      <c r="I14" s="112">
        <f>'Cost Allocation Sheet O1'!E70</f>
        <v>0.3951816709745824</v>
      </c>
      <c r="J14" s="72" t="s">
        <v>78</v>
      </c>
      <c r="K14" s="91">
        <f>I14+((0.8-I14)*1/2)</f>
        <v>0.59759083548729119</v>
      </c>
    </row>
    <row r="15" spans="2:12">
      <c r="B15" s="78" t="s">
        <v>16</v>
      </c>
      <c r="C15" s="86">
        <f>I6</f>
        <v>2094669.2193057181</v>
      </c>
      <c r="D15" s="91">
        <f>C15/C$17</f>
        <v>0.10563808744521869</v>
      </c>
      <c r="E15" s="111">
        <v>0.12148084988219474</v>
      </c>
      <c r="F15" s="86">
        <f>E15*C$17</f>
        <v>2408811.0939654205</v>
      </c>
      <c r="G15" s="86">
        <f>F15-C15</f>
        <v>314141.87465970241</v>
      </c>
      <c r="H15" s="111">
        <f>F15/C15</f>
        <v>1.1499720680307821</v>
      </c>
      <c r="I15" s="112">
        <f>'Cost Allocation Sheet O1'!O70</f>
        <v>1.4993579205251439</v>
      </c>
      <c r="J15" s="72" t="s">
        <v>77</v>
      </c>
      <c r="K15" s="113">
        <v>1.1499999999999999</v>
      </c>
    </row>
    <row r="16" spans="2:12">
      <c r="B16" s="78" t="s">
        <v>71</v>
      </c>
      <c r="C16" s="86">
        <f>I7</f>
        <v>311336.31520580582</v>
      </c>
      <c r="D16" s="91">
        <f>C16/C$17</f>
        <v>1.5701272825064089E-2</v>
      </c>
      <c r="E16" s="111">
        <v>4.1978923025091383E-3</v>
      </c>
      <c r="F16" s="86">
        <f>E16*C$17</f>
        <v>83238.877233424311</v>
      </c>
      <c r="G16" s="86">
        <f>F16-C16</f>
        <v>-228097.43797238151</v>
      </c>
      <c r="H16" s="111">
        <f>F16/C16</f>
        <v>0.26736000000000021</v>
      </c>
      <c r="I16" s="112">
        <f>'Cost Allocation Sheet O1'!J70</f>
        <v>0.15916143523003418</v>
      </c>
      <c r="J16" s="72" t="s">
        <v>79</v>
      </c>
      <c r="K16" s="91">
        <v>0.26740000000000003</v>
      </c>
    </row>
    <row r="17" spans="2:12">
      <c r="B17" s="78"/>
      <c r="C17" s="86">
        <f>SUM(C13:C16)</f>
        <v>19828730.999999996</v>
      </c>
      <c r="D17" s="91">
        <f>SUM(D13:D16)</f>
        <v>1</v>
      </c>
      <c r="E17" s="111">
        <f>SUM(E13:E16)</f>
        <v>1</v>
      </c>
      <c r="F17" s="86">
        <f>SUM(F13:F16)</f>
        <v>19828730.999999993</v>
      </c>
      <c r="G17" s="78"/>
      <c r="H17" s="114"/>
      <c r="I17" s="78"/>
      <c r="J17" s="115"/>
      <c r="K17" s="78"/>
      <c r="L17" s="104"/>
    </row>
    <row r="20" spans="2:12">
      <c r="B20" t="s">
        <v>191</v>
      </c>
      <c r="C20" s="161" t="s">
        <v>190</v>
      </c>
      <c r="D20" s="161"/>
      <c r="E20" s="161"/>
      <c r="F20" s="161"/>
      <c r="G20" s="161"/>
      <c r="H20" s="161"/>
      <c r="I20" s="161"/>
      <c r="J20" s="161"/>
      <c r="K20" s="161"/>
    </row>
    <row r="21" spans="2:12">
      <c r="B21" t="s">
        <v>192</v>
      </c>
      <c r="C21" s="161" t="s">
        <v>195</v>
      </c>
      <c r="D21" s="161"/>
      <c r="E21" s="161"/>
      <c r="F21" s="161"/>
      <c r="G21" s="161"/>
      <c r="H21" s="161"/>
      <c r="I21" s="161"/>
      <c r="J21" s="161"/>
      <c r="K21" s="161"/>
    </row>
    <row r="22" spans="2:12">
      <c r="B22" t="s">
        <v>194</v>
      </c>
      <c r="C22" s="162" t="s">
        <v>205</v>
      </c>
      <c r="D22" s="161"/>
      <c r="E22" s="161"/>
      <c r="F22" s="161"/>
      <c r="G22" s="161"/>
      <c r="H22" s="161"/>
      <c r="I22" s="161"/>
      <c r="J22" s="161"/>
      <c r="K22" s="161"/>
    </row>
  </sheetData>
  <mergeCells count="7">
    <mergeCell ref="C20:K20"/>
    <mergeCell ref="C22:K22"/>
    <mergeCell ref="C21:K21"/>
    <mergeCell ref="B2:K2"/>
    <mergeCell ref="B11:K11"/>
    <mergeCell ref="B9:K9"/>
    <mergeCell ref="B10:K10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1"/>
  <sheetViews>
    <sheetView showGridLines="0" workbookViewId="0">
      <selection activeCell="I7" sqref="I7"/>
    </sheetView>
  </sheetViews>
  <sheetFormatPr defaultRowHeight="12.75"/>
  <cols>
    <col min="1" max="1" width="3.710937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>
      <c r="B2" s="145" t="s">
        <v>161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9" t="s">
        <v>80</v>
      </c>
      <c r="C3" s="149" t="s">
        <v>81</v>
      </c>
      <c r="D3" s="166" t="s">
        <v>82</v>
      </c>
      <c r="E3" s="145" t="s">
        <v>83</v>
      </c>
      <c r="F3" s="145"/>
      <c r="G3" s="146" t="s">
        <v>93</v>
      </c>
      <c r="H3" s="148"/>
      <c r="I3" s="145" t="s">
        <v>91</v>
      </c>
      <c r="J3" s="145"/>
      <c r="K3" s="145" t="s">
        <v>84</v>
      </c>
      <c r="L3" s="145"/>
      <c r="M3" s="145"/>
    </row>
    <row r="4" spans="2:13" ht="38.25">
      <c r="B4" s="149"/>
      <c r="C4" s="149"/>
      <c r="D4" s="166"/>
      <c r="E4" s="69" t="s">
        <v>73</v>
      </c>
      <c r="F4" s="69" t="s">
        <v>72</v>
      </c>
      <c r="G4" s="70" t="s">
        <v>89</v>
      </c>
      <c r="H4" s="70" t="s">
        <v>90</v>
      </c>
      <c r="I4" s="70" t="s">
        <v>85</v>
      </c>
      <c r="J4" s="70" t="s">
        <v>86</v>
      </c>
      <c r="K4" s="70" t="s">
        <v>87</v>
      </c>
      <c r="L4" s="70" t="s">
        <v>88</v>
      </c>
      <c r="M4" s="70" t="s">
        <v>21</v>
      </c>
    </row>
    <row r="5" spans="2:13">
      <c r="B5" s="71" t="s">
        <v>69</v>
      </c>
      <c r="C5" s="72" t="s">
        <v>73</v>
      </c>
      <c r="D5" s="73">
        <f>'2011 Dx Revenue Forecast'!D6</f>
        <v>8038.583333333333</v>
      </c>
      <c r="E5" s="86">
        <f>'2011 Dx Revenue Forecast'!E6</f>
        <v>106119297</v>
      </c>
      <c r="F5" s="86"/>
      <c r="G5" s="91">
        <v>0.13646721756898086</v>
      </c>
      <c r="H5" s="91">
        <f>1-G5</f>
        <v>0.86353278243101916</v>
      </c>
      <c r="I5" s="92">
        <f>K5/(D5*12)</f>
        <v>20.481631796322748</v>
      </c>
      <c r="J5" s="90">
        <f>L5/E5</f>
        <v>0.11780980770687884</v>
      </c>
      <c r="K5" s="86">
        <f>G5*M5</f>
        <v>1975719.6479686813</v>
      </c>
      <c r="L5" s="86">
        <f>H5*M5</f>
        <v>12501893.973559164</v>
      </c>
      <c r="M5" s="77">
        <f>'2011 Cost Allocation Design'!F13</f>
        <v>14477613.621527845</v>
      </c>
    </row>
    <row r="6" spans="2:13">
      <c r="B6" s="71" t="s">
        <v>70</v>
      </c>
      <c r="C6" s="72" t="s">
        <v>72</v>
      </c>
      <c r="D6" s="73">
        <f>'2011 Dx Revenue Forecast'!D7</f>
        <v>48</v>
      </c>
      <c r="E6" s="86"/>
      <c r="F6" s="86">
        <f>'2011 Dx Revenue Forecast'!E7</f>
        <v>151952</v>
      </c>
      <c r="G6" s="91">
        <v>0.12009689562634947</v>
      </c>
      <c r="H6" s="91">
        <f>1-G6</f>
        <v>0.87990310437365049</v>
      </c>
      <c r="I6" s="92">
        <f>K6/(D6*12)</f>
        <v>596.12</v>
      </c>
      <c r="J6" s="90">
        <f>L6/F6</f>
        <v>16.555901121889196</v>
      </c>
      <c r="K6" s="86">
        <f>G6*M6</f>
        <v>343365.12</v>
      </c>
      <c r="L6" s="86">
        <f>H6*M6</f>
        <v>2515702.2872733073</v>
      </c>
      <c r="M6" s="77">
        <f>'2011 Cost Allocation Design'!F14</f>
        <v>2859067.4072733074</v>
      </c>
    </row>
    <row r="7" spans="2:13">
      <c r="B7" s="71" t="s">
        <v>16</v>
      </c>
      <c r="C7" s="72" t="s">
        <v>73</v>
      </c>
      <c r="D7" s="73">
        <f>'2011 Dx Revenue Forecast'!D9</f>
        <v>3659.75</v>
      </c>
      <c r="E7" s="86">
        <f>'2011 Dx Revenue Forecast'!E9</f>
        <v>12622297</v>
      </c>
      <c r="F7" s="86"/>
      <c r="G7" s="91">
        <v>0.43756357758419173</v>
      </c>
      <c r="H7" s="91">
        <f>1-G7</f>
        <v>0.56243642241580827</v>
      </c>
      <c r="I7" s="92">
        <f>K7/(D7*12)</f>
        <v>24</v>
      </c>
      <c r="J7" s="90">
        <f>L7/E7</f>
        <v>0.10733411628370181</v>
      </c>
      <c r="K7" s="86">
        <f>G7*M7</f>
        <v>1054008</v>
      </c>
      <c r="L7" s="86">
        <f>H7*M7</f>
        <v>1354803.0939654205</v>
      </c>
      <c r="M7" s="77">
        <f>'2011 Cost Allocation Design'!F15</f>
        <v>2408811.0939654205</v>
      </c>
    </row>
    <row r="8" spans="2:13">
      <c r="B8" s="71" t="s">
        <v>71</v>
      </c>
      <c r="C8" s="72" t="s">
        <v>73</v>
      </c>
      <c r="D8" s="73">
        <f>'2011 Dx Revenue Forecast'!D10</f>
        <v>1052</v>
      </c>
      <c r="E8" s="86">
        <f>'2011 Dx Revenue Forecast'!E10</f>
        <v>791996</v>
      </c>
      <c r="F8" s="86"/>
      <c r="G8" s="91">
        <v>0</v>
      </c>
      <c r="H8" s="91">
        <f>1-G8</f>
        <v>1</v>
      </c>
      <c r="I8" s="92">
        <f>K8/(D8*12)</f>
        <v>0</v>
      </c>
      <c r="J8" s="90">
        <f>L8/E8</f>
        <v>0.10510012327514824</v>
      </c>
      <c r="K8" s="86">
        <f>G8*M8</f>
        <v>0</v>
      </c>
      <c r="L8" s="86">
        <f>H8*M8</f>
        <v>83238.877233424311</v>
      </c>
      <c r="M8" s="77">
        <f>'2011 Cost Allocation Design'!F16</f>
        <v>83238.877233424311</v>
      </c>
    </row>
    <row r="9" spans="2:13">
      <c r="B9" s="78"/>
      <c r="C9" s="78"/>
      <c r="D9" s="78"/>
      <c r="E9" s="78"/>
      <c r="F9" s="78"/>
      <c r="G9" s="78"/>
      <c r="H9" s="78"/>
      <c r="I9" s="78"/>
      <c r="J9" s="78"/>
      <c r="K9" s="79">
        <f>SUM(K5:K8)</f>
        <v>3373092.7679686812</v>
      </c>
      <c r="L9" s="79">
        <f>SUM(L5:L8)</f>
        <v>16455638.232031316</v>
      </c>
      <c r="M9" s="79">
        <f>SUM(M5:M8)</f>
        <v>19828730.999999993</v>
      </c>
    </row>
    <row r="11" spans="2:13">
      <c r="M11" s="80"/>
    </row>
  </sheetData>
  <mergeCells count="8">
    <mergeCell ref="B2:M2"/>
    <mergeCell ref="B3:B4"/>
    <mergeCell ref="C3:C4"/>
    <mergeCell ref="D3:D4"/>
    <mergeCell ref="E3:F3"/>
    <mergeCell ref="I3:J3"/>
    <mergeCell ref="K3:M3"/>
    <mergeCell ref="G3:H3"/>
  </mergeCells>
  <phoneticPr fontId="3" type="noConversion"/>
  <pageMargins left="0.75" right="0.75" top="1" bottom="1" header="0.5" footer="0.5"/>
  <pageSetup scale="96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 Data</vt:lpstr>
      <vt:lpstr>2007 GLP DRO</vt:lpstr>
      <vt:lpstr>Customer Forecast</vt:lpstr>
      <vt:lpstr>2011 Dx Revenue Forecast</vt:lpstr>
      <vt:lpstr>Cost Allocation Sheet O1</vt:lpstr>
      <vt:lpstr>2011 Cost Allocation Design</vt:lpstr>
      <vt:lpstr>2011 Allocated Revenues</vt:lpstr>
      <vt:lpstr>2011 RRRP Determination</vt:lpstr>
      <vt:lpstr>2011 Non-RRRP Rate Design</vt:lpstr>
      <vt:lpstr>Sheet1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2010-11-17T21:06:15Z</cp:lastPrinted>
  <dcterms:created xsi:type="dcterms:W3CDTF">2010-05-25T18:02:24Z</dcterms:created>
  <dcterms:modified xsi:type="dcterms:W3CDTF">2010-11-18T19:10:31Z</dcterms:modified>
</cp:coreProperties>
</file>