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firstSheet="6" activeTab="7"/>
  </bookViews>
  <sheets>
    <sheet name="1. LDC Information" sheetId="1" r:id="rId1"/>
    <sheet name="2. Smart Meter Data" sheetId="2" r:id="rId2"/>
    <sheet name="3.  LDC Assumptions and Data" sheetId="3" r:id="rId3"/>
    <sheet name="4. Smart Meter Rev Req" sheetId="4" r:id="rId4"/>
    <sheet name="5. PILs" sheetId="5" r:id="rId5"/>
    <sheet name="6. Avg Nt Fix Ass &amp;UCC" sheetId="6" r:id="rId6"/>
    <sheet name="7. Funding Adder Collected" sheetId="7" r:id="rId7"/>
    <sheet name="8. Smart Meter Rate  Adder" sheetId="8" r:id="rId8"/>
  </sheets>
  <externalReferences>
    <externalReference r:id="rId11"/>
    <externalReference r:id="rId12"/>
  </externalReferences>
  <definedNames>
    <definedName name="CDM_2007">#REF!</definedName>
    <definedName name="EDR_06_OthInfo">'[1]4. 2006 Smart Meter Information'!#REF!</definedName>
    <definedName name="EDR06Tariffs">'[1]3. 2006 Tariff Sheet'!#REF!</definedName>
    <definedName name="impactdata">'[2]8-7 OTHER CHGS, COMMOD (Input)'!$B$15:$AS$118</definedName>
    <definedName name="Model_Organization">#REF!</definedName>
    <definedName name="OtherRateCharges">#REF!</definedName>
    <definedName name="PriceCapParams">#REF!</definedName>
    <definedName name="_xlnm.Print_Area" localSheetId="0">'1. LDC Information'!$A$1:$G$21</definedName>
    <definedName name="_xlnm.Print_Area" localSheetId="1">'2. Smart Meter Data'!$A$1:$L$148</definedName>
    <definedName name="_xlnm.Print_Titles" localSheetId="1">'2. Smart Meter Data'!$1:$1</definedName>
    <definedName name="_xlnm.Print_Titles" localSheetId="5">'6. Avg Nt Fix Ass &amp;UCC'!$1:$2</definedName>
    <definedName name="Rate_Riders">#REF!</definedName>
    <definedName name="RPP_Data">#REF!</definedName>
    <definedName name="terr_name">'[2]1-1 GENERAL (Input)'!$C$56:$D$59</definedName>
    <definedName name="UtilityInfo">#REF!</definedName>
    <definedName name="Z_Factor_Analysis">#REF!</definedName>
  </definedNames>
  <calcPr fullCalcOnLoad="1"/>
</workbook>
</file>

<file path=xl/sharedStrings.xml><?xml version="1.0" encoding="utf-8"?>
<sst xmlns="http://schemas.openxmlformats.org/spreadsheetml/2006/main" count="433" uniqueCount="290">
  <si>
    <t>Name of LDC:</t>
  </si>
  <si>
    <t>Licence Number:</t>
  </si>
  <si>
    <t>Date of Submission:</t>
  </si>
  <si>
    <t>Contact Information</t>
  </si>
  <si>
    <t>Name:</t>
  </si>
  <si>
    <t>Title:</t>
  </si>
  <si>
    <t>Phone Number:</t>
  </si>
  <si>
    <t>E-Mail Address:</t>
  </si>
  <si>
    <t>Smart Meter</t>
  </si>
  <si>
    <t>Comp. Hard.</t>
  </si>
  <si>
    <t>Comp. Soft.</t>
  </si>
  <si>
    <t>Tools &amp; Equipment</t>
  </si>
  <si>
    <t>Sheet 2.  Smart Meter Capital Cost and Operational Expense Data</t>
  </si>
  <si>
    <t>Other Equipment</t>
  </si>
  <si>
    <t xml:space="preserve">Smart Meter Unit Installation Plan: </t>
  </si>
  <si>
    <t>assume calendar year installation</t>
  </si>
  <si>
    <t>Total</t>
  </si>
  <si>
    <t>Planned number of Residential smart meters to be installed</t>
  </si>
  <si>
    <t>Planned number of General Service Less Than 50 kW smart meters</t>
  </si>
  <si>
    <t>Planned number of General Service Greater Than 50 kW smart meters</t>
  </si>
  <si>
    <t>Planned Meter Installation (Residential and Less Than 50 kW only)</t>
  </si>
  <si>
    <t xml:space="preserve">Other Unit Installation Plan: </t>
  </si>
  <si>
    <t>Planned number of Collectors to be installed</t>
  </si>
  <si>
    <t>Planned number of Repeaters to be installed</t>
  </si>
  <si>
    <t>Other : Please specify</t>
  </si>
  <si>
    <t>Capital Costs</t>
  </si>
  <si>
    <t>1.1 ADVANCED METERING COMMUNICATION DEVICE (AMCD)</t>
  </si>
  <si>
    <t>Asset Type</t>
  </si>
  <si>
    <t xml:space="preserve">1.1.1 Smart Meter  </t>
  </si>
  <si>
    <t>may include new meters and modules, etc.</t>
  </si>
  <si>
    <t xml:space="preserve">1.1.2 Installation Cost </t>
  </si>
  <si>
    <t>may include socket kits plus shipping, labour, benefits, vehicle, etc.</t>
  </si>
  <si>
    <t>1.1.3a Workforce Automation Hardware</t>
  </si>
  <si>
    <t>may include fieldworker handhelds, barcode hardware, etc.</t>
  </si>
  <si>
    <t>1.1.3b Workforce Automation Software</t>
  </si>
  <si>
    <t>Total Advanced Metering Communication Device (AMCD)</t>
  </si>
  <si>
    <t>1.2 ADVANCED METERING REGIONAL COLLECTOR (AMRC) (includes LAN)</t>
  </si>
  <si>
    <t>1.2.1 Collectors</t>
  </si>
  <si>
    <t>1.2.2 Repeaters</t>
  </si>
  <si>
    <t>may include radio licence, etc.</t>
  </si>
  <si>
    <t>1.2.3 Installation</t>
  </si>
  <si>
    <t>may include meter seals and rings, collector computer hardware, etc.</t>
  </si>
  <si>
    <t>Total Advanced Metering Regional Collector (AMRC) (includes LAN)</t>
  </si>
  <si>
    <t>1.3 ADVANCED METERING CONTROL COMPUTER (AMCC)</t>
  </si>
  <si>
    <t>1.3.1 Computer Hardware</t>
  </si>
  <si>
    <t>1.3.2 Computer Software</t>
  </si>
  <si>
    <t>1.3.3 Computer Software Licence &amp; Installation (includes hardware &amp; software)</t>
  </si>
  <si>
    <t>may include AS/400 disc space, backup &amp; recovery computer, UPS, etc</t>
  </si>
  <si>
    <t>Total Advanced Metering Control Computer (AMCC)</t>
  </si>
  <si>
    <t>1.4 WIDE AREA NETWORK (WAN)</t>
  </si>
  <si>
    <t>1.4.1 Activation Fees</t>
  </si>
  <si>
    <t>Total Wide Area Network (WAN)</t>
  </si>
  <si>
    <t>1.5 OTHER AMI CAPITAL COSTS RELATED TO MINIMUM FUNCTIONALITY</t>
  </si>
  <si>
    <t>1.5.1 Customer equipment (including repair of damaged equipment)</t>
  </si>
  <si>
    <t>1.5.2 AMI Interface to CIS</t>
  </si>
  <si>
    <t>1.5.3 Professional Fees</t>
  </si>
  <si>
    <t>1.5.4 Integration</t>
  </si>
  <si>
    <t>1.5.5 Program Management</t>
  </si>
  <si>
    <t>1.5.6 Other AMI Capital</t>
  </si>
  <si>
    <t>Total Other AMI Capital Costs Related To Minimum Functionality</t>
  </si>
  <si>
    <t>Total Capital Costs</t>
  </si>
  <si>
    <t>O M &amp; A</t>
  </si>
  <si>
    <t>2.1 ADVANCED METERING COMMUNICATION DEVICE (AMCD)</t>
  </si>
  <si>
    <t>2.1.1 Maintenance</t>
  </si>
  <si>
    <t>may include meter reverification costs, etc.</t>
  </si>
  <si>
    <t>Total Incremental AMI Operation Expenses</t>
  </si>
  <si>
    <t>2.2 ADVANCED METERING REGIONAL COLLECTOR (AMRC) (includes LAN)</t>
  </si>
  <si>
    <t>2.2.1 Maintenance</t>
  </si>
  <si>
    <t>2.3 ADVANCED METERING CONTROL COMPUTER (AMCC)</t>
  </si>
  <si>
    <t>2.3.1 Hardware Maintenance</t>
  </si>
  <si>
    <t>may include server support, etc</t>
  </si>
  <si>
    <t>2.3.2 Software Maintenance</t>
  </si>
  <si>
    <t>may include maintenance support, etc.</t>
  </si>
  <si>
    <t>2.4 WIDE AREA NETWORK (WAN)</t>
  </si>
  <si>
    <t>2.4.1 WIDE AREA NETWORK (WAN)</t>
  </si>
  <si>
    <t>may include serial to Ethernet hardware, etc.</t>
  </si>
  <si>
    <t>Total Incremental Other Operation Expenses</t>
  </si>
  <si>
    <t>2.5 OTHER AMI OM&amp;A COSTS RELATED TO MINIMUM FUNCTIONALITY</t>
  </si>
  <si>
    <t>2.5.1 Business Process Redesign</t>
  </si>
  <si>
    <t>2.5.2 Customer Communication</t>
  </si>
  <si>
    <t>may include project communication. etc.</t>
  </si>
  <si>
    <t>2.5.3 Program Management</t>
  </si>
  <si>
    <t>2.5.4 Change Management</t>
  </si>
  <si>
    <t>may include training, etc.</t>
  </si>
  <si>
    <t>2.5.5 Administration Cost</t>
  </si>
  <si>
    <t>2.5.6 Other AMI Expenses</t>
  </si>
  <si>
    <t>Total 2.5 Other AMI OM&amp;A Costs Related To Minimum Functionality</t>
  </si>
  <si>
    <t>Total O M &amp; A Costs</t>
  </si>
  <si>
    <t>Sheet 3.  LDC Assumptions and Data</t>
  </si>
  <si>
    <t>Assumptions:</t>
  </si>
  <si>
    <t>1. Planned meter installations occur evenly through the year.</t>
  </si>
  <si>
    <t>2. Year assumed January to December</t>
  </si>
  <si>
    <t>3. Amortization is straight line and has half year rule applied in first year</t>
  </si>
  <si>
    <t>2006 EDR Data Information</t>
  </si>
  <si>
    <t>Weighted Average Cost of Capital</t>
  </si>
  <si>
    <t>Working Capital Allowance %</t>
  </si>
  <si>
    <t>2006 EDR Tax Rate</t>
  </si>
  <si>
    <r>
      <t>Corporate Income Tax Rate</t>
    </r>
    <r>
      <rPr>
        <sz val="10"/>
        <rFont val="Arial"/>
        <family val="0"/>
      </rPr>
      <t xml:space="preserve"> </t>
    </r>
  </si>
  <si>
    <t>Computer Hardware</t>
  </si>
  <si>
    <t>Computer Software</t>
  </si>
  <si>
    <t>Operating Expense Data:</t>
  </si>
  <si>
    <t>2.1 Advanced Metering Communication Device (AMCD)</t>
  </si>
  <si>
    <t>2.2 Advanced Metering Regional Collector (AMRC) (includes LAN)</t>
  </si>
  <si>
    <t>2.3 Advanced Metering Control Computer (AMCC)</t>
  </si>
  <si>
    <t>2.4 Wide Area Network (WAN)</t>
  </si>
  <si>
    <t>2.5 Other AMI OM&amp;A Costs Related To Minimum Functionality</t>
  </si>
  <si>
    <t>Per Meter Cost Split:</t>
  </si>
  <si>
    <t>Per Meter</t>
  </si>
  <si>
    <t>Installed</t>
  </si>
  <si>
    <t>Investment</t>
  </si>
  <si>
    <t>% of Invest</t>
  </si>
  <si>
    <t>Smart meter including installation</t>
  </si>
  <si>
    <t>Computer Hardware Costs</t>
  </si>
  <si>
    <t>Computer Software Costs</t>
  </si>
  <si>
    <t>Smart meter incremental operating expenses</t>
  </si>
  <si>
    <t>Total Smart Meter Capital Costs per meter</t>
  </si>
  <si>
    <t>Smart Meters</t>
  </si>
  <si>
    <t>Operation Expense</t>
  </si>
  <si>
    <t>Return on Rate Base</t>
  </si>
  <si>
    <t>Operating Expenses</t>
  </si>
  <si>
    <t>Incremental Operating Expenses</t>
  </si>
  <si>
    <t>Amortization Expenses</t>
  </si>
  <si>
    <t>Revenue Requirement Before PILs</t>
  </si>
  <si>
    <t>Revenue Requirement for Smart Meters</t>
  </si>
  <si>
    <t xml:space="preserve">Opening </t>
  </si>
  <si>
    <t>Int. Rate</t>
  </si>
  <si>
    <t>Interest</t>
  </si>
  <si>
    <t>Closing</t>
  </si>
  <si>
    <t>Average Asset Values</t>
  </si>
  <si>
    <t>Net Fixed Assets Smart Meters</t>
  </si>
  <si>
    <t>Net Fixed Assets Computer Hardware</t>
  </si>
  <si>
    <t>Net Fixed Assets Computer Software</t>
  </si>
  <si>
    <t>Net Fixed Assets Tools &amp; Equipment</t>
  </si>
  <si>
    <t>Net Fixed Assets Other Equipment</t>
  </si>
  <si>
    <t>Total Net Fixed Assets</t>
  </si>
  <si>
    <t>Working Capital</t>
  </si>
  <si>
    <t>Smart Meters included in Rate Base</t>
  </si>
  <si>
    <t>Amortization Expenses - Smart Meters</t>
  </si>
  <si>
    <t>Amortization Expenses - Computer Hardware</t>
  </si>
  <si>
    <t>Amortization Expenses - Computer Software</t>
  </si>
  <si>
    <t>Amortization Expenses -  Tools &amp; Equipment</t>
  </si>
  <si>
    <t>Amortization Expenses - Other Equipment</t>
  </si>
  <si>
    <t>Total Amortization Expenses</t>
  </si>
  <si>
    <t>Calculation of Taxable Income</t>
  </si>
  <si>
    <t>Depreciation Expenses</t>
  </si>
  <si>
    <t>Interest Expense</t>
  </si>
  <si>
    <t>Taxable Income For PILs</t>
  </si>
  <si>
    <r>
      <t>Grossed up PILs</t>
    </r>
    <r>
      <rPr>
        <i/>
        <sz val="8"/>
        <rFont val="Arial"/>
        <family val="2"/>
      </rPr>
      <t xml:space="preserve"> (5. PILs)</t>
    </r>
  </si>
  <si>
    <t>Sheet 5. PILs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</si>
  <si>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</si>
  <si>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</si>
  <si>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</si>
  <si>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</si>
  <si>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</si>
  <si>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</si>
  <si>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Rate Base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</si>
  <si>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</si>
  <si>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</si>
  <si>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</si>
  <si>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</si>
  <si>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</si>
  <si>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</si>
  <si>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</si>
  <si>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</si>
  <si>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</si>
  <si>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</si>
  <si>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Smart Meter Average Net Fixed Assets</t>
  </si>
  <si>
    <t>Net Fixed Assets - Smart Meters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</si>
  <si>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</si>
  <si>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</si>
  <si>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</si>
  <si>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</si>
  <si>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</si>
  <si>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</si>
  <si>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</si>
  <si>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Net Fixed Assets - Computer Hardware</t>
  </si>
  <si>
    <t>Net Fixed Assets - Computer Software</t>
  </si>
  <si>
    <t>Net Fixed Assets - Tools &amp; Equipment</t>
  </si>
  <si>
    <t>Net Fixed Assets - Other Equipment</t>
  </si>
  <si>
    <t>For PILs Calculation</t>
  </si>
  <si>
    <t>UCC - Smart Meters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</si>
  <si>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</si>
  <si>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</si>
  <si>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</si>
  <si>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</si>
  <si>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</si>
  <si>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</si>
  <si>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</si>
  <si>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UCC - Computer Equipment</t>
  </si>
  <si>
    <t>Capital Additions Computer Hardware</t>
  </si>
  <si>
    <t>Capital Additions Computer Software</t>
  </si>
  <si>
    <t>UCC - General Equipment</t>
  </si>
  <si>
    <t>Capital Additions Tools &amp; Equipment</t>
  </si>
  <si>
    <t>Capital Additions Other Equipment</t>
  </si>
  <si>
    <r>
      <t>Sheet 1</t>
    </r>
    <r>
      <rPr>
        <b/>
        <sz val="20"/>
        <rFont val="Cooper Black"/>
        <family val="1"/>
      </rPr>
      <t xml:space="preserve"> Utility Information Sheet</t>
    </r>
  </si>
  <si>
    <r>
      <t>Capital Data:</t>
    </r>
    <r>
      <rPr>
        <i/>
        <sz val="8"/>
        <rFont val="Arial"/>
        <family val="2"/>
      </rPr>
      <t xml:space="preserve"> </t>
    </r>
  </si>
  <si>
    <r>
      <t>Weighted Debt Rate</t>
    </r>
    <r>
      <rPr>
        <i/>
        <sz val="8"/>
        <rFont val="Arial"/>
        <family val="2"/>
      </rPr>
      <t xml:space="preserve"> (3.  LDC Assumptions and Data)</t>
    </r>
  </si>
  <si>
    <r>
      <t>Proposed ROE</t>
    </r>
    <r>
      <rPr>
        <i/>
        <sz val="8"/>
        <rFont val="Arial"/>
        <family val="2"/>
      </rPr>
      <t xml:space="preserve"> (3.  LDC Assumptions and Data)</t>
    </r>
  </si>
  <si>
    <r>
      <t xml:space="preserve">Incremental Operating Expenses </t>
    </r>
    <r>
      <rPr>
        <i/>
        <sz val="8"/>
        <rFont val="Arial"/>
        <family val="2"/>
      </rPr>
      <t>(3.  LDC Assumptions and Data)</t>
    </r>
  </si>
  <si>
    <r>
      <t>Grossed up PILs</t>
    </r>
    <r>
      <rPr>
        <b/>
        <i/>
        <sz val="8"/>
        <rFont val="Arial"/>
        <family val="2"/>
      </rPr>
      <t xml:space="preserve"> (5. PILs)</t>
    </r>
  </si>
  <si>
    <r>
      <t>Amortization</t>
    </r>
    <r>
      <rPr>
        <i/>
        <sz val="8"/>
        <rFont val="Arial"/>
        <family val="2"/>
      </rPr>
      <t xml:space="preserve"> </t>
    </r>
  </si>
  <si>
    <r>
      <t xml:space="preserve">Tax Rate </t>
    </r>
    <r>
      <rPr>
        <i/>
        <sz val="8"/>
        <rFont val="Arial"/>
        <family val="2"/>
      </rPr>
      <t>(3.  LDC Assumptions and Data)</t>
    </r>
  </si>
  <si>
    <r>
      <t xml:space="preserve">Capital Investment </t>
    </r>
    <r>
      <rPr>
        <i/>
        <sz val="8"/>
        <rFont val="Arial"/>
        <family val="2"/>
      </rPr>
      <t>(3.  LDC Assumptions and Data)</t>
    </r>
  </si>
  <si>
    <r>
      <t>Capital Investment</t>
    </r>
    <r>
      <rPr>
        <i/>
        <sz val="8"/>
        <rFont val="Arial"/>
        <family val="2"/>
      </rPr>
      <t xml:space="preserve"> (3.  LDC Assumptions and Data)</t>
    </r>
  </si>
  <si>
    <t>Audited Actual</t>
  </si>
  <si>
    <t>Forecasted</t>
  </si>
  <si>
    <t>Later</t>
  </si>
  <si>
    <t>Planned / Actual Meter Installations</t>
  </si>
  <si>
    <t>Percentage of Completion</t>
  </si>
  <si>
    <t>Other Equip.</t>
  </si>
  <si>
    <t>Tools &amp; Equip</t>
  </si>
  <si>
    <t>Depreciation Rates</t>
  </si>
  <si>
    <t>Smart Meter (years)</t>
  </si>
  <si>
    <t>Computer Hardware  (years)</t>
  </si>
  <si>
    <t>Computer Software  (years)</t>
  </si>
  <si>
    <t>Tools &amp; Equipment  (years)</t>
  </si>
  <si>
    <t>Other Equipment  (years)</t>
  </si>
  <si>
    <t>CCA Rates</t>
  </si>
  <si>
    <t>Sheet 6. Avg Net Fixed Assets &amp;UCC</t>
  </si>
  <si>
    <t>Computer Equipment</t>
  </si>
  <si>
    <t>CCA Class</t>
  </si>
  <si>
    <t>General Equipment</t>
  </si>
  <si>
    <t>CCA Rate Class</t>
  </si>
  <si>
    <t xml:space="preserve">CCA Rate </t>
  </si>
  <si>
    <t>CCA - Smart Meters</t>
  </si>
  <si>
    <t>CCA -  Other Equipment</t>
  </si>
  <si>
    <t>CCA -  Computers</t>
  </si>
  <si>
    <t>Smart Meter Revenue Requirement Calculation</t>
  </si>
  <si>
    <t>Sheet 4. Smart Meter Rev Req Calc</t>
  </si>
  <si>
    <t>Fund Adder</t>
  </si>
  <si>
    <t xml:space="preserve"> Approved Deferral and Variance Accounts </t>
  </si>
  <si>
    <t>Prescribed Interest Rate (per the Bankers' Acceptances-3 months Plus 0.25 Spread)</t>
  </si>
  <si>
    <t xml:space="preserve"> CWIP Account</t>
  </si>
  <si>
    <t>Prescribed Interest Rate (per the DEX Mid Term Corporate Bond Index Yield 2)</t>
  </si>
  <si>
    <t xml:space="preserve"> </t>
  </si>
  <si>
    <t xml:space="preserve">Q4 2008 </t>
  </si>
  <si>
    <t xml:space="preserve">Q3 2008 </t>
  </si>
  <si>
    <t xml:space="preserve">Q2 2008 </t>
  </si>
  <si>
    <t xml:space="preserve">Q1 2008 </t>
  </si>
  <si>
    <t xml:space="preserve">Q4 2007 </t>
  </si>
  <si>
    <t xml:space="preserve">Q3 2007 </t>
  </si>
  <si>
    <t xml:space="preserve">Q2 2007 </t>
  </si>
  <si>
    <t xml:space="preserve">Q1 2007 </t>
  </si>
  <si>
    <t xml:space="preserve">Q4 2006 </t>
  </si>
  <si>
    <t xml:space="preserve">Q3 2006 </t>
  </si>
  <si>
    <t xml:space="preserve">Q2 2006 </t>
  </si>
  <si>
    <t>Deemed Long Term Debt %</t>
  </si>
  <si>
    <t>Deemed Equity %</t>
  </si>
  <si>
    <t>Deemed Short Term Debt %</t>
  </si>
  <si>
    <t>Deemed Short Term Debt  Rate%</t>
  </si>
  <si>
    <t>Deemed Short Term Debt Rate%</t>
  </si>
  <si>
    <t>Q1 2009</t>
  </si>
  <si>
    <t>Q2 2009</t>
  </si>
  <si>
    <t>Q3 2009</t>
  </si>
  <si>
    <t>Q3 2010</t>
  </si>
  <si>
    <t>Q4 2009</t>
  </si>
  <si>
    <t>Q1 2010</t>
  </si>
  <si>
    <t>Q2 2010</t>
  </si>
  <si>
    <t>Sheet 7. Smart Meter Funding Adder Collected</t>
  </si>
  <si>
    <t>Sheet 8 Applied for Smart Meter Rate Adder</t>
  </si>
  <si>
    <t>Revenue Requirement - 2006</t>
  </si>
  <si>
    <t>Revenue Requirement - 2007</t>
  </si>
  <si>
    <t>Revenue Requirement - 2008</t>
  </si>
  <si>
    <t>Revenue Requirement - 2009</t>
  </si>
  <si>
    <t>Revenue Requirement - 2010</t>
  </si>
  <si>
    <t>Revenue Requirement - 2011</t>
  </si>
  <si>
    <t>Total Revenue Requirement</t>
  </si>
  <si>
    <t>Amount</t>
  </si>
  <si>
    <t>Description</t>
  </si>
  <si>
    <t>Smart Meter Rate Adder Collected</t>
  </si>
  <si>
    <t>Carrying Cost / Interest</t>
  </si>
  <si>
    <t>Proposed Smart Meter Recovery</t>
  </si>
  <si>
    <t>Date</t>
  </si>
  <si>
    <t>2011 Expected Metered Customers</t>
  </si>
  <si>
    <t>Proposed Smart Meter Rate Adder</t>
  </si>
  <si>
    <r>
      <t>Deemed Debt</t>
    </r>
  </si>
  <si>
    <r>
      <t>Deemed Equity</t>
    </r>
    <r>
      <rPr>
        <sz val="10"/>
        <rFont val="Arial"/>
        <family val="0"/>
      </rPr>
      <t xml:space="preserve"> </t>
    </r>
  </si>
  <si>
    <r>
      <t>Weighted Debt Rate</t>
    </r>
  </si>
  <si>
    <t>Proposed ROE</t>
  </si>
  <si>
    <t>Hydro Ottawa Limited</t>
  </si>
  <si>
    <t>Approved to Apr 30, 2007</t>
  </si>
  <si>
    <t>Approved</t>
  </si>
  <si>
    <t>to Apr 30, 2007</t>
  </si>
  <si>
    <t>Adjusted 2007</t>
  </si>
  <si>
    <t>Up to Apr 30, 2007 are in Rate</t>
  </si>
  <si>
    <t>ED-2002-0556</t>
  </si>
  <si>
    <t>Jane Scott</t>
  </si>
  <si>
    <t>A/Director, Regulatory Affairs</t>
  </si>
  <si>
    <t>613-738-5499 ext 7499</t>
  </si>
  <si>
    <t>janescott@ottawa.com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</si>
</sst>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0.0%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0.000%"/>
    <numFmt numFmtId="179" formatCode="_-&quot;$&quot;* #,##0.000_-;\-&quot;$&quot;* #,##0.000_-;_-&quot;$&quot;* &quot;-&quot;??_-;_-@_-"/>
    <numFmt numFmtId="180" formatCode="_-&quot;$&quot;* #,##0.0000_-;\-&quot;$&quot;* #,##0.0000_-;_-&quot;$&quot;* &quot;-&quot;??_-;_-@_-"/>
    <numFmt numFmtId="181" formatCode="0.0000000000000000%"/>
    <numFmt numFmtId="182" formatCode="_-* #,##0.0000_-;\-* #,##0.0000_-;_-* &quot;-&quot;????_-;_-@_-"/>
    <numFmt numFmtId="183" formatCode="_-&quot;$&quot;* #,##0.00000_-;\-&quot;$&quot;* #,##0.00000_-;_-&quot;$&quot;* &quot;-&quot;??_-;_-@_-"/>
    <numFmt numFmtId="184" formatCode="_-&quot;$&quot;* #,##0.000000_-;\-&quot;$&quot;* #,##0.000000_-;_-&quot;$&quot;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0.0000"/>
    <numFmt numFmtId="191" formatCode="&quot;$&quot;#,##0.0000"/>
    <numFmt numFmtId="192" formatCode="[&lt;=9999999]###\-####;###\-###\-####"/>
    <numFmt numFmtId="193" formatCode="[$-409]h:mm:ss\ AM/PM"/>
    <numFmt numFmtId="194" formatCode="[$-1009]mmmm\ d\,\ yyyy"/>
    <numFmt numFmtId="195" formatCode="[$-F800]dddd\,\ mmmm\ dd\,\ yyyy"/>
    <numFmt numFmtId="196" formatCode="0.000"/>
    <numFmt numFmtId="197" formatCode="&quot;$&quot;#,##0.000;[Red]\-&quot;$&quot;#,##0.000"/>
    <numFmt numFmtId="198" formatCode="&quot;$&quot;#,##0.0000;[Red]\-&quot;$&quot;#,##0.0000"/>
    <numFmt numFmtId="199" formatCode="0.0"/>
    <numFmt numFmtId="200" formatCode="#,##0.0000_);\(#,##0.0000\)"/>
    <numFmt numFmtId="201" formatCode="#,##0.0000"/>
    <numFmt numFmtId="202" formatCode="#,##0.00_ ;\-#,##0.00\ "/>
    <numFmt numFmtId="203" formatCode="_-&quot;$&quot;* #,##0.0000_-;\-&quot;$&quot;* #,##0.0000_-;_-&quot;$&quot;* &quot;-&quot;????_-;_-@_-"/>
    <numFmt numFmtId="204" formatCode="&quot;$&quot;#,##0.0000;\-&quot;$&quot;#,##0.0000"/>
    <numFmt numFmtId="205" formatCode="#,##0.00000_);\(#,##0.00000\)"/>
    <numFmt numFmtId="206" formatCode="#,##0.000000_);\(#,##0.000000\)"/>
    <numFmt numFmtId="207" formatCode="#,##0.0000000_);\(#,##0.0000000\)"/>
    <numFmt numFmtId="208" formatCode="#,##0.000"/>
    <numFmt numFmtId="209" formatCode="#,##0.0"/>
    <numFmt numFmtId="210" formatCode="[$-409]dddd\,\ mmmm\ dd\,\ yyyy"/>
    <numFmt numFmtId="211" formatCode="&quot;$&quot;#,##0.000"/>
    <numFmt numFmtId="212" formatCode="[$-409]mmmm\ d\,\ yyyy;@"/>
    <numFmt numFmtId="213" formatCode="#,##0.00;\(#,##0.00\)"/>
    <numFmt numFmtId="214" formatCode="#,##0.00_ ;\(#,##0.00\)"/>
    <numFmt numFmtId="215" formatCode="00000"/>
    <numFmt numFmtId="216" formatCode="#,##0.0000_ ;\(#,##0.0000\)"/>
    <numFmt numFmtId="217" formatCode="#,##0.0000;\(#,##0.0000\)"/>
    <numFmt numFmtId="218" formatCode="_-* #,##0.000_-;\-* #,##0.000_-;_-* &quot;-&quot;??_-;_-@_-"/>
  </numFmts>
  <fonts count="61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Cooper Black"/>
      <family val="1"/>
    </font>
    <font>
      <b/>
      <sz val="20"/>
      <color indexed="10"/>
      <name val="Cooper Black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12"/>
      <color indexed="18"/>
      <name val="Cooper Black"/>
      <family val="1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Cooper Black"/>
      <family val="1"/>
    </font>
    <font>
      <sz val="8"/>
      <color indexed="18"/>
      <name val="Cooper Black"/>
      <family val="1"/>
    </font>
    <font>
      <b/>
      <sz val="16"/>
      <color indexed="10"/>
      <name val="Cooper Black"/>
      <family val="1"/>
    </font>
    <font>
      <b/>
      <sz val="14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24"/>
      <color indexed="10"/>
      <name val="Cooper Black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22"/>
      </right>
      <top style="medium">
        <color indexed="8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8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right" indent="1"/>
      <protection/>
    </xf>
    <xf numFmtId="0" fontId="13" fillId="33" borderId="0" xfId="0" applyFont="1" applyFill="1" applyAlignment="1" applyProtection="1">
      <alignment horizontal="left" indent="4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212" fontId="12" fillId="35" borderId="10" xfId="0" applyNumberFormat="1" applyFont="1" applyFill="1" applyBorder="1" applyAlignment="1" applyProtection="1">
      <alignment horizontal="left"/>
      <protection locked="0"/>
    </xf>
    <xf numFmtId="0" fontId="12" fillId="36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right" indent="1"/>
      <protection/>
    </xf>
    <xf numFmtId="0" fontId="1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18" fillId="33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left" vertical="top" indent="2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left" indent="1"/>
      <protection/>
    </xf>
    <xf numFmtId="176" fontId="0" fillId="37" borderId="0" xfId="42" applyNumberFormat="1" applyFill="1" applyAlignment="1" applyProtection="1">
      <alignment/>
      <protection locked="0"/>
    </xf>
    <xf numFmtId="176" fontId="0" fillId="33" borderId="0" xfId="0" applyNumberForma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76" fontId="0" fillId="33" borderId="11" xfId="42" applyNumberFormat="1" applyFill="1" applyBorder="1" applyAlignment="1" applyProtection="1">
      <alignment/>
      <protection/>
    </xf>
    <xf numFmtId="176" fontId="0" fillId="33" borderId="12" xfId="42" applyNumberFormat="1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21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 horizontal="left" indent="2"/>
      <protection/>
    </xf>
    <xf numFmtId="0" fontId="0" fillId="33" borderId="0" xfId="0" applyFill="1" applyAlignment="1" applyProtection="1">
      <alignment horizontal="left" indent="2"/>
      <protection/>
    </xf>
    <xf numFmtId="0" fontId="7" fillId="33" borderId="0" xfId="0" applyFont="1" applyFill="1" applyAlignment="1" applyProtection="1">
      <alignment horizontal="left" indent="2"/>
      <protection/>
    </xf>
    <xf numFmtId="173" fontId="9" fillId="37" borderId="13" xfId="44" applyNumberFormat="1" applyFont="1" applyFill="1" applyBorder="1" applyAlignment="1" applyProtection="1">
      <alignment/>
      <protection locked="0"/>
    </xf>
    <xf numFmtId="173" fontId="0" fillId="33" borderId="0" xfId="0" applyNumberFormat="1" applyFill="1" applyAlignment="1" applyProtection="1">
      <alignment/>
      <protection/>
    </xf>
    <xf numFmtId="0" fontId="20" fillId="33" borderId="0" xfId="0" applyFont="1" applyFill="1" applyAlignment="1" applyProtection="1">
      <alignment horizontal="left" wrapText="1" indent="2"/>
      <protection/>
    </xf>
    <xf numFmtId="173" fontId="7" fillId="33" borderId="12" xfId="44" applyNumberFormat="1" applyFont="1" applyFill="1" applyBorder="1" applyAlignment="1" applyProtection="1">
      <alignment/>
      <protection/>
    </xf>
    <xf numFmtId="173" fontId="0" fillId="33" borderId="0" xfId="44" applyNumberFormat="1" applyFill="1" applyAlignment="1" applyProtection="1">
      <alignment/>
      <protection/>
    </xf>
    <xf numFmtId="173" fontId="7" fillId="33" borderId="0" xfId="44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left" indent="2"/>
    </xf>
    <xf numFmtId="173" fontId="7" fillId="33" borderId="14" xfId="44" applyNumberFormat="1" applyFont="1" applyFill="1" applyBorder="1" applyAlignment="1" applyProtection="1">
      <alignment/>
      <protection/>
    </xf>
    <xf numFmtId="43" fontId="7" fillId="33" borderId="0" xfId="42" applyFont="1" applyFill="1" applyBorder="1" applyAlignment="1" applyProtection="1">
      <alignment/>
      <protection/>
    </xf>
    <xf numFmtId="173" fontId="7" fillId="33" borderId="14" xfId="0" applyNumberFormat="1" applyFont="1" applyFill="1" applyBorder="1" applyAlignment="1">
      <alignment/>
    </xf>
    <xf numFmtId="0" fontId="1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7" fillId="33" borderId="0" xfId="0" applyFont="1" applyFill="1" applyAlignment="1" applyProtection="1">
      <alignment horizontal="left" indent="1"/>
      <protection/>
    </xf>
    <xf numFmtId="0" fontId="7" fillId="33" borderId="0" xfId="0" applyFont="1" applyFill="1" applyAlignment="1" applyProtection="1">
      <alignment horizontal="left"/>
      <protection/>
    </xf>
    <xf numFmtId="10" fontId="0" fillId="33" borderId="0" xfId="61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 indent="1"/>
      <protection/>
    </xf>
    <xf numFmtId="0" fontId="3" fillId="0" borderId="0" xfId="57">
      <alignment/>
      <protection/>
    </xf>
    <xf numFmtId="0" fontId="0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173" fontId="0" fillId="33" borderId="0" xfId="0" applyNumberFormat="1" applyFill="1" applyBorder="1" applyAlignment="1" applyProtection="1">
      <alignment/>
      <protection/>
    </xf>
    <xf numFmtId="44" fontId="0" fillId="33" borderId="0" xfId="44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44" fontId="0" fillId="33" borderId="16" xfId="44" applyFill="1" applyBorder="1" applyAlignment="1" applyProtection="1">
      <alignment/>
      <protection/>
    </xf>
    <xf numFmtId="44" fontId="0" fillId="33" borderId="15" xfId="44" applyFill="1" applyBorder="1" applyAlignment="1" applyProtection="1">
      <alignment/>
      <protection/>
    </xf>
    <xf numFmtId="174" fontId="8" fillId="33" borderId="16" xfId="61" applyNumberFormat="1" applyFont="1" applyFill="1" applyBorder="1" applyAlignment="1" applyProtection="1">
      <alignment horizontal="center"/>
      <protection/>
    </xf>
    <xf numFmtId="9" fontId="0" fillId="33" borderId="16" xfId="0" applyNumberFormat="1" applyFill="1" applyBorder="1" applyAlignment="1" applyProtection="1">
      <alignment/>
      <protection/>
    </xf>
    <xf numFmtId="173" fontId="0" fillId="33" borderId="15" xfId="0" applyNumberFormat="1" applyFill="1" applyBorder="1" applyAlignment="1" applyProtection="1">
      <alignment/>
      <protection/>
    </xf>
    <xf numFmtId="44" fontId="0" fillId="33" borderId="15" xfId="44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44" fontId="0" fillId="33" borderId="18" xfId="44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4" fillId="33" borderId="0" xfId="0" applyFont="1" applyFill="1" applyAlignment="1" applyProtection="1">
      <alignment horizontal="left"/>
      <protection/>
    </xf>
    <xf numFmtId="10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174" fontId="0" fillId="33" borderId="0" xfId="61" applyNumberForma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 vertical="top"/>
      <protection/>
    </xf>
    <xf numFmtId="0" fontId="0" fillId="38" borderId="0" xfId="0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26" fillId="33" borderId="0" xfId="0" applyFont="1" applyFill="1" applyAlignment="1">
      <alignment/>
    </xf>
    <xf numFmtId="176" fontId="0" fillId="33" borderId="0" xfId="42" applyNumberFormat="1" applyFill="1" applyBorder="1" applyAlignment="1" applyProtection="1">
      <alignment/>
      <protection/>
    </xf>
    <xf numFmtId="9" fontId="0" fillId="33" borderId="0" xfId="61" applyFill="1" applyBorder="1" applyAlignment="1" applyProtection="1">
      <alignment/>
      <protection/>
    </xf>
    <xf numFmtId="0" fontId="14" fillId="38" borderId="0" xfId="0" applyFont="1" applyFill="1" applyAlignment="1" applyProtection="1">
      <alignment horizontal="left" indent="2"/>
      <protection/>
    </xf>
    <xf numFmtId="0" fontId="20" fillId="33" borderId="11" xfId="0" applyFont="1" applyFill="1" applyBorder="1" applyAlignment="1" applyProtection="1">
      <alignment vertical="top"/>
      <protection/>
    </xf>
    <xf numFmtId="0" fontId="20" fillId="33" borderId="19" xfId="0" applyFont="1" applyFill="1" applyBorder="1" applyAlignment="1" applyProtection="1">
      <alignment vertical="top"/>
      <protection/>
    </xf>
    <xf numFmtId="9" fontId="0" fillId="37" borderId="0" xfId="61" applyFont="1" applyFill="1" applyAlignment="1" applyProtection="1">
      <alignment horizontal="center"/>
      <protection locked="0"/>
    </xf>
    <xf numFmtId="9" fontId="0" fillId="39" borderId="0" xfId="61" applyFont="1" applyFill="1" applyAlignment="1" applyProtection="1">
      <alignment horizontal="center"/>
      <protection/>
    </xf>
    <xf numFmtId="10" fontId="0" fillId="37" borderId="0" xfId="61" applyNumberFormat="1" applyFont="1" applyFill="1" applyAlignment="1" applyProtection="1">
      <alignment horizontal="center"/>
      <protection locked="0"/>
    </xf>
    <xf numFmtId="176" fontId="0" fillId="37" borderId="0" xfId="42" applyNumberFormat="1" applyFill="1" applyAlignment="1" applyProtection="1">
      <alignment horizontal="center"/>
      <protection locked="0"/>
    </xf>
    <xf numFmtId="43" fontId="20" fillId="33" borderId="20" xfId="42" applyFont="1" applyFill="1" applyBorder="1" applyAlignment="1" applyProtection="1">
      <alignment/>
      <protection/>
    </xf>
    <xf numFmtId="43" fontId="0" fillId="33" borderId="0" xfId="42" applyFont="1" applyFill="1" applyAlignment="1" applyProtection="1">
      <alignment/>
      <protection/>
    </xf>
    <xf numFmtId="10" fontId="0" fillId="39" borderId="0" xfId="61" applyNumberFormat="1" applyFont="1" applyFill="1" applyAlignment="1" applyProtection="1">
      <alignment horizontal="center"/>
      <protection/>
    </xf>
    <xf numFmtId="173" fontId="0" fillId="39" borderId="0" xfId="44" applyNumberFormat="1" applyFont="1" applyFill="1" applyAlignment="1" applyProtection="1">
      <alignment/>
      <protection/>
    </xf>
    <xf numFmtId="173" fontId="0" fillId="39" borderId="0" xfId="0" applyNumberFormat="1" applyFill="1" applyAlignment="1" applyProtection="1">
      <alignment/>
      <protection/>
    </xf>
    <xf numFmtId="173" fontId="0" fillId="39" borderId="12" xfId="0" applyNumberFormat="1" applyFill="1" applyBorder="1" applyAlignment="1" applyProtection="1">
      <alignment/>
      <protection/>
    </xf>
    <xf numFmtId="173" fontId="0" fillId="39" borderId="0" xfId="44" applyNumberFormat="1" applyFill="1" applyAlignment="1" applyProtection="1">
      <alignment/>
      <protection/>
    </xf>
    <xf numFmtId="173" fontId="0" fillId="39" borderId="12" xfId="44" applyNumberFormat="1" applyFont="1" applyFill="1" applyBorder="1" applyAlignment="1" applyProtection="1">
      <alignment/>
      <protection/>
    </xf>
    <xf numFmtId="173" fontId="0" fillId="39" borderId="12" xfId="44" applyNumberFormat="1" applyFill="1" applyBorder="1" applyAlignment="1" applyProtection="1">
      <alignment/>
      <protection/>
    </xf>
    <xf numFmtId="44" fontId="0" fillId="39" borderId="0" xfId="44" applyFill="1" applyAlignment="1" applyProtection="1">
      <alignment/>
      <protection/>
    </xf>
    <xf numFmtId="176" fontId="0" fillId="39" borderId="0" xfId="42" applyNumberFormat="1" applyFill="1" applyAlignment="1" applyProtection="1">
      <alignment/>
      <protection/>
    </xf>
    <xf numFmtId="9" fontId="0" fillId="39" borderId="0" xfId="61" applyFill="1" applyAlignment="1" applyProtection="1">
      <alignment/>
      <protection/>
    </xf>
    <xf numFmtId="44" fontId="0" fillId="39" borderId="11" xfId="0" applyNumberFormat="1" applyFill="1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173" fontId="0" fillId="39" borderId="11" xfId="0" applyNumberFormat="1" applyFill="1" applyBorder="1" applyAlignment="1" applyProtection="1">
      <alignment/>
      <protection/>
    </xf>
    <xf numFmtId="9" fontId="0" fillId="39" borderId="11" xfId="0" applyNumberFormat="1" applyFill="1" applyBorder="1" applyAlignment="1" applyProtection="1">
      <alignment/>
      <protection/>
    </xf>
    <xf numFmtId="0" fontId="14" fillId="33" borderId="0" xfId="0" applyFont="1" applyFill="1" applyAlignment="1" applyProtection="1">
      <alignment horizontal="center" wrapText="1"/>
      <protection/>
    </xf>
    <xf numFmtId="0" fontId="14" fillId="0" borderId="0" xfId="0" applyFont="1" applyFill="1" applyAlignment="1" applyProtection="1">
      <alignment/>
      <protection/>
    </xf>
    <xf numFmtId="0" fontId="0" fillId="33" borderId="0" xfId="0" applyFill="1" applyAlignment="1">
      <alignment horizontal="center"/>
    </xf>
    <xf numFmtId="0" fontId="0" fillId="37" borderId="0" xfId="0" applyFill="1" applyAlignment="1">
      <alignment horizontal="center"/>
    </xf>
    <xf numFmtId="9" fontId="0" fillId="37" borderId="0" xfId="0" applyNumberFormat="1" applyFill="1" applyAlignment="1">
      <alignment horizontal="center"/>
    </xf>
    <xf numFmtId="0" fontId="0" fillId="33" borderId="0" xfId="44" applyNumberFormat="1" applyFill="1" applyBorder="1" applyAlignment="1" applyProtection="1">
      <alignment horizontal="center"/>
      <protection/>
    </xf>
    <xf numFmtId="9" fontId="0" fillId="33" borderId="0" xfId="61" applyFill="1" applyBorder="1" applyAlignment="1" applyProtection="1">
      <alignment horizontal="center"/>
      <protection/>
    </xf>
    <xf numFmtId="44" fontId="0" fillId="33" borderId="21" xfId="44" applyFill="1" applyBorder="1" applyAlignment="1" applyProtection="1">
      <alignment/>
      <protection/>
    </xf>
    <xf numFmtId="173" fontId="3" fillId="37" borderId="0" xfId="44" applyNumberFormat="1" applyFont="1" applyFill="1" applyAlignment="1">
      <alignment/>
    </xf>
    <xf numFmtId="173" fontId="3" fillId="39" borderId="0" xfId="44" applyNumberFormat="1" applyFont="1" applyFill="1" applyAlignment="1">
      <alignment/>
    </xf>
    <xf numFmtId="173" fontId="3" fillId="39" borderId="0" xfId="57" applyNumberFormat="1" applyFill="1">
      <alignment/>
      <protection/>
    </xf>
    <xf numFmtId="0" fontId="14" fillId="39" borderId="0" xfId="57" applyFont="1" applyFill="1">
      <alignment/>
      <protection/>
    </xf>
    <xf numFmtId="0" fontId="14" fillId="39" borderId="0" xfId="57" applyFont="1" applyFill="1" applyAlignment="1">
      <alignment horizontal="center" wrapText="1"/>
      <protection/>
    </xf>
    <xf numFmtId="0" fontId="14" fillId="39" borderId="0" xfId="57" applyFont="1" applyFill="1" applyAlignment="1">
      <alignment horizontal="center"/>
      <protection/>
    </xf>
    <xf numFmtId="9" fontId="0" fillId="39" borderId="0" xfId="61" applyFont="1" applyFill="1" applyAlignment="1" applyProtection="1">
      <alignment horizontal="center"/>
      <protection locked="0"/>
    </xf>
    <xf numFmtId="10" fontId="0" fillId="39" borderId="0" xfId="61" applyNumberFormat="1" applyFont="1" applyFill="1" applyAlignment="1" applyProtection="1">
      <alignment horizontal="center"/>
      <protection locked="0"/>
    </xf>
    <xf numFmtId="4" fontId="14" fillId="39" borderId="0" xfId="57" applyNumberFormat="1" applyFont="1" applyFill="1" applyAlignment="1">
      <alignment horizontal="center"/>
      <protection/>
    </xf>
    <xf numFmtId="173" fontId="3" fillId="39" borderId="12" xfId="57" applyNumberFormat="1" applyFill="1" applyBorder="1">
      <alignment/>
      <protection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left" indent="1"/>
    </xf>
    <xf numFmtId="44" fontId="0" fillId="39" borderId="0" xfId="0" applyNumberFormat="1" applyFill="1" applyAlignment="1">
      <alignment/>
    </xf>
    <xf numFmtId="44" fontId="0" fillId="39" borderId="12" xfId="0" applyNumberFormat="1" applyFill="1" applyBorder="1" applyAlignment="1">
      <alignment/>
    </xf>
    <xf numFmtId="44" fontId="0" fillId="39" borderId="0" xfId="44" applyFont="1" applyFill="1" applyAlignment="1">
      <alignment/>
    </xf>
    <xf numFmtId="0" fontId="3" fillId="33" borderId="0" xfId="57" applyFill="1" applyAlignment="1">
      <alignment horizontal="center"/>
      <protection/>
    </xf>
    <xf numFmtId="0" fontId="3" fillId="33" borderId="0" xfId="57" applyFill="1">
      <alignment/>
      <protection/>
    </xf>
    <xf numFmtId="0" fontId="14" fillId="33" borderId="0" xfId="57" applyFont="1" applyFill="1" applyAlignment="1">
      <alignment horizontal="center"/>
      <protection/>
    </xf>
    <xf numFmtId="17" fontId="3" fillId="33" borderId="0" xfId="57" applyNumberFormat="1" applyFill="1" applyAlignment="1">
      <alignment horizontal="center"/>
      <protection/>
    </xf>
    <xf numFmtId="10" fontId="3" fillId="33" borderId="0" xfId="57" applyNumberFormat="1" applyFill="1">
      <alignment/>
      <protection/>
    </xf>
    <xf numFmtId="10" fontId="3" fillId="33" borderId="0" xfId="61" applyNumberFormat="1" applyFont="1" applyFill="1" applyAlignment="1">
      <alignment/>
    </xf>
    <xf numFmtId="44" fontId="7" fillId="39" borderId="0" xfId="44" applyFont="1" applyFill="1" applyAlignment="1">
      <alignment/>
    </xf>
    <xf numFmtId="44" fontId="8" fillId="39" borderId="0" xfId="44" applyFont="1" applyFill="1" applyAlignment="1" applyProtection="1">
      <alignment/>
      <protection/>
    </xf>
    <xf numFmtId="44" fontId="0" fillId="39" borderId="11" xfId="44" applyFill="1" applyBorder="1" applyAlignment="1" applyProtection="1">
      <alignment/>
      <protection/>
    </xf>
    <xf numFmtId="10" fontId="8" fillId="39" borderId="0" xfId="0" applyNumberFormat="1" applyFont="1" applyFill="1" applyAlignment="1" applyProtection="1">
      <alignment horizontal="center"/>
      <protection/>
    </xf>
    <xf numFmtId="44" fontId="8" fillId="39" borderId="0" xfId="44" applyFont="1" applyFill="1" applyBorder="1" applyAlignment="1" applyProtection="1">
      <alignment/>
      <protection/>
    </xf>
    <xf numFmtId="44" fontId="8" fillId="39" borderId="22" xfId="44" applyFont="1" applyFill="1" applyBorder="1" applyAlignment="1" applyProtection="1">
      <alignment/>
      <protection/>
    </xf>
    <xf numFmtId="178" fontId="0" fillId="39" borderId="0" xfId="61" applyNumberFormat="1" applyFill="1" applyAlignment="1" applyProtection="1">
      <alignment/>
      <protection/>
    </xf>
    <xf numFmtId="178" fontId="0" fillId="39" borderId="0" xfId="58" applyNumberFormat="1" applyFill="1">
      <alignment/>
      <protection/>
    </xf>
    <xf numFmtId="44" fontId="24" fillId="39" borderId="11" xfId="44" applyFont="1" applyFill="1" applyBorder="1" applyAlignment="1" applyProtection="1">
      <alignment/>
      <protection/>
    </xf>
    <xf numFmtId="44" fontId="0" fillId="39" borderId="12" xfId="44" applyFill="1" applyBorder="1" applyAlignment="1" applyProtection="1">
      <alignment/>
      <protection/>
    </xf>
    <xf numFmtId="44" fontId="9" fillId="39" borderId="11" xfId="44" applyFont="1" applyFill="1" applyBorder="1" applyAlignment="1" applyProtection="1">
      <alignment/>
      <protection/>
    </xf>
    <xf numFmtId="44" fontId="9" fillId="39" borderId="12" xfId="44" applyFont="1" applyFill="1" applyBorder="1" applyAlignment="1" applyProtection="1">
      <alignment/>
      <protection/>
    </xf>
    <xf numFmtId="44" fontId="8" fillId="39" borderId="16" xfId="44" applyFont="1" applyFill="1" applyBorder="1" applyAlignment="1" applyProtection="1">
      <alignment/>
      <protection/>
    </xf>
    <xf numFmtId="44" fontId="0" fillId="39" borderId="23" xfId="44" applyFill="1" applyBorder="1" applyAlignment="1" applyProtection="1">
      <alignment/>
      <protection/>
    </xf>
    <xf numFmtId="44" fontId="0" fillId="39" borderId="0" xfId="44" applyFill="1" applyBorder="1" applyAlignment="1" applyProtection="1">
      <alignment/>
      <protection/>
    </xf>
    <xf numFmtId="44" fontId="0" fillId="39" borderId="16" xfId="44" applyFill="1" applyBorder="1" applyAlignment="1" applyProtection="1">
      <alignment/>
      <protection/>
    </xf>
    <xf numFmtId="44" fontId="0" fillId="39" borderId="15" xfId="44" applyFill="1" applyBorder="1" applyAlignment="1" applyProtection="1">
      <alignment/>
      <protection/>
    </xf>
    <xf numFmtId="44" fontId="8" fillId="39" borderId="15" xfId="44" applyFont="1" applyFill="1" applyBorder="1" applyAlignment="1" applyProtection="1">
      <alignment/>
      <protection/>
    </xf>
    <xf numFmtId="44" fontId="9" fillId="39" borderId="15" xfId="44" applyFont="1" applyFill="1" applyBorder="1" applyAlignment="1" applyProtection="1">
      <alignment/>
      <protection/>
    </xf>
    <xf numFmtId="44" fontId="0" fillId="39" borderId="24" xfId="44" applyFill="1" applyBorder="1" applyAlignment="1" applyProtection="1">
      <alignment/>
      <protection/>
    </xf>
    <xf numFmtId="44" fontId="9" fillId="39" borderId="24" xfId="44" applyFont="1" applyFill="1" applyBorder="1" applyAlignment="1" applyProtection="1">
      <alignment/>
      <protection/>
    </xf>
    <xf numFmtId="44" fontId="0" fillId="39" borderId="15" xfId="44" applyFont="1" applyFill="1" applyBorder="1" applyAlignment="1" applyProtection="1">
      <alignment/>
      <protection/>
    </xf>
    <xf numFmtId="44" fontId="7" fillId="39" borderId="25" xfId="44" applyFont="1" applyFill="1" applyBorder="1" applyAlignment="1" applyProtection="1">
      <alignment/>
      <protection/>
    </xf>
    <xf numFmtId="173" fontId="0" fillId="33" borderId="0" xfId="44" applyNumberFormat="1" applyFont="1" applyFill="1" applyAlignment="1" applyProtection="1">
      <alignment/>
      <protection/>
    </xf>
    <xf numFmtId="0" fontId="0" fillId="37" borderId="0" xfId="0" applyFont="1" applyFill="1" applyAlignment="1">
      <alignment/>
    </xf>
    <xf numFmtId="0" fontId="0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>
      <alignment horizontal="center"/>
    </xf>
    <xf numFmtId="176" fontId="0" fillId="37" borderId="0" xfId="42" applyNumberFormat="1" applyFont="1" applyFill="1" applyAlignment="1">
      <alignment/>
    </xf>
    <xf numFmtId="176" fontId="3" fillId="37" borderId="0" xfId="42" applyNumberFormat="1" applyFont="1" applyFill="1" applyAlignment="1">
      <alignment/>
    </xf>
    <xf numFmtId="176" fontId="0" fillId="39" borderId="12" xfId="42" applyNumberFormat="1" applyFill="1" applyBorder="1" applyAlignment="1" applyProtection="1">
      <alignment/>
      <protection/>
    </xf>
    <xf numFmtId="176" fontId="8" fillId="39" borderId="0" xfId="42" applyNumberFormat="1" applyFont="1" applyFill="1" applyAlignment="1" applyProtection="1">
      <alignment/>
      <protection/>
    </xf>
    <xf numFmtId="176" fontId="0" fillId="33" borderId="16" xfId="42" applyNumberFormat="1" applyFill="1" applyBorder="1" applyAlignment="1" applyProtection="1">
      <alignment/>
      <protection/>
    </xf>
    <xf numFmtId="176" fontId="0" fillId="39" borderId="0" xfId="42" applyNumberFormat="1" applyFont="1" applyFill="1" applyAlignment="1" applyProtection="1">
      <alignment horizontal="center"/>
      <protection/>
    </xf>
    <xf numFmtId="176" fontId="19" fillId="33" borderId="0" xfId="42" applyNumberFormat="1" applyFont="1" applyFill="1" applyAlignment="1" applyProtection="1">
      <alignment/>
      <protection/>
    </xf>
    <xf numFmtId="0" fontId="2" fillId="35" borderId="26" xfId="53" applyFill="1" applyBorder="1" applyAlignment="1" applyProtection="1">
      <alignment horizontal="left"/>
      <protection locked="0"/>
    </xf>
    <xf numFmtId="0" fontId="0" fillId="35" borderId="27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right" indent="1"/>
      <protection/>
    </xf>
    <xf numFmtId="0" fontId="12" fillId="35" borderId="26" xfId="0" applyFont="1" applyFill="1" applyBorder="1" applyAlignment="1" applyProtection="1">
      <alignment horizontal="left"/>
      <protection locked="0"/>
    </xf>
    <xf numFmtId="0" fontId="12" fillId="35" borderId="27" xfId="0" applyFont="1" applyFill="1" applyBorder="1" applyAlignment="1" applyProtection="1">
      <alignment horizontal="left"/>
      <protection locked="0"/>
    </xf>
    <xf numFmtId="176" fontId="12" fillId="35" borderId="26" xfId="42" applyNumberFormat="1" applyFont="1" applyFill="1" applyBorder="1" applyAlignment="1" applyProtection="1">
      <alignment horizontal="left"/>
      <protection locked="0"/>
    </xf>
    <xf numFmtId="0" fontId="20" fillId="33" borderId="19" xfId="0" applyFont="1" applyFill="1" applyBorder="1" applyAlignment="1" applyProtection="1">
      <alignment horizontal="center" vertical="top"/>
      <protection/>
    </xf>
    <xf numFmtId="0" fontId="25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 horizontal="left"/>
      <protection/>
    </xf>
    <xf numFmtId="0" fontId="19" fillId="33" borderId="17" xfId="0" applyFont="1" applyFill="1" applyBorder="1" applyAlignment="1" applyProtection="1">
      <alignment horizontal="center"/>
      <protection/>
    </xf>
    <xf numFmtId="0" fontId="19" fillId="33" borderId="18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28" xfId="0" applyFont="1" applyFill="1" applyBorder="1" applyAlignment="1" applyProtection="1">
      <alignment horizontal="center"/>
      <protection/>
    </xf>
    <xf numFmtId="0" fontId="19" fillId="33" borderId="20" xfId="0" applyFont="1" applyFill="1" applyBorder="1" applyAlignment="1" applyProtection="1">
      <alignment horizontal="center"/>
      <protection/>
    </xf>
    <xf numFmtId="0" fontId="19" fillId="33" borderId="29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lculation of Revenue Requirement" xfId="57"/>
    <cellStyle name="Normal_Tax Rates for 2006-2012_Sep420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0</xdr:rowOff>
    </xdr:from>
    <xdr:to>
      <xdr:col>5</xdr:col>
      <xdr:colOff>142875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52550" y="323850"/>
          <a:ext cx="5876925" cy="0"/>
        </a:xfrm>
        <a:prstGeom prst="rect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0.0104</v>
          </cell>
          <cell r="I16">
            <v>0.0062</v>
          </cell>
          <cell r="J16">
            <v>0.007</v>
          </cell>
          <cell r="K16">
            <v>0.0236</v>
          </cell>
          <cell r="L16">
            <v>0.02412117041378766</v>
          </cell>
          <cell r="M16">
            <v>0</v>
          </cell>
          <cell r="Q16">
            <v>0</v>
          </cell>
          <cell r="R16">
            <v>0.0631</v>
          </cell>
          <cell r="S16">
            <v>0.0631</v>
          </cell>
          <cell r="T16">
            <v>1.0422</v>
          </cell>
          <cell r="U16">
            <v>1.0421</v>
          </cell>
          <cell r="V16">
            <v>0.0146</v>
          </cell>
          <cell r="W16">
            <v>0</v>
          </cell>
          <cell r="X16">
            <v>9.9</v>
          </cell>
          <cell r="Y16">
            <v>0.013036245268828545</v>
          </cell>
          <cell r="Z16">
            <v>0</v>
          </cell>
          <cell r="AA16">
            <v>12.00262074194569</v>
          </cell>
          <cell r="AB16">
            <v>0.0036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0.0094</v>
          </cell>
          <cell r="I54">
            <v>0.0062</v>
          </cell>
          <cell r="J54">
            <v>0.007</v>
          </cell>
          <cell r="K54">
            <v>0.0226</v>
          </cell>
          <cell r="L54">
            <v>0.0230731202818941</v>
          </cell>
          <cell r="M54">
            <v>0</v>
          </cell>
          <cell r="Q54">
            <v>0</v>
          </cell>
          <cell r="R54">
            <v>0.0631</v>
          </cell>
          <cell r="S54">
            <v>0.0631</v>
          </cell>
          <cell r="T54">
            <v>1.0422</v>
          </cell>
          <cell r="U54">
            <v>1.0421</v>
          </cell>
          <cell r="V54">
            <v>0.0101</v>
          </cell>
          <cell r="W54">
            <v>0</v>
          </cell>
          <cell r="X54">
            <v>27.31</v>
          </cell>
          <cell r="Y54">
            <v>0.009724400356871393</v>
          </cell>
          <cell r="Z54">
            <v>0</v>
          </cell>
          <cell r="AA54">
            <v>32.26679201760937</v>
          </cell>
          <cell r="AB54">
            <v>0.0018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5.1</v>
          </cell>
          <cell r="P74">
            <v>5.1</v>
          </cell>
          <cell r="Q74">
            <v>5.358997550018666</v>
          </cell>
          <cell r="R74">
            <v>0.0631</v>
          </cell>
          <cell r="S74">
            <v>0.0631</v>
          </cell>
          <cell r="T74">
            <v>1.0422</v>
          </cell>
          <cell r="U74">
            <v>1.0421</v>
          </cell>
          <cell r="V74">
            <v>0</v>
          </cell>
          <cell r="W74">
            <v>3.8577</v>
          </cell>
          <cell r="X74">
            <v>2480.78</v>
          </cell>
          <cell r="Y74">
            <v>0</v>
          </cell>
          <cell r="Z74">
            <v>4.586031579662963</v>
          </cell>
          <cell r="AA74">
            <v>3001.387260332978</v>
          </cell>
          <cell r="AB74">
            <v>0.0668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3.3886</v>
          </cell>
          <cell r="P78">
            <v>3.3886</v>
          </cell>
          <cell r="Q78">
            <v>3.5585544834309846</v>
          </cell>
          <cell r="R78">
            <v>0.0631</v>
          </cell>
          <cell r="S78">
            <v>0.0631</v>
          </cell>
          <cell r="T78">
            <v>1.0422</v>
          </cell>
          <cell r="U78">
            <v>1.0421</v>
          </cell>
          <cell r="V78">
            <v>0</v>
          </cell>
          <cell r="W78">
            <v>1.7029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4.5756</v>
          </cell>
          <cell r="P90">
            <v>4.5756</v>
          </cell>
          <cell r="Q90">
            <v>4.801480002060249</v>
          </cell>
          <cell r="R90">
            <v>0.0631</v>
          </cell>
          <cell r="S90">
            <v>0.0631</v>
          </cell>
          <cell r="T90">
            <v>1.0147</v>
          </cell>
          <cell r="U90">
            <v>1.0147</v>
          </cell>
          <cell r="V90">
            <v>0</v>
          </cell>
          <cell r="W90">
            <v>1.3474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0.0094</v>
          </cell>
          <cell r="I94">
            <v>0.0062</v>
          </cell>
          <cell r="J94">
            <v>0.007</v>
          </cell>
          <cell r="K94">
            <v>0.0226</v>
          </cell>
          <cell r="L94">
            <v>0.0230731202818941</v>
          </cell>
          <cell r="M94">
            <v>0</v>
          </cell>
          <cell r="Q94">
            <v>0</v>
          </cell>
          <cell r="R94">
            <v>0.0631</v>
          </cell>
          <cell r="S94">
            <v>0.0631</v>
          </cell>
          <cell r="T94">
            <v>1.0422</v>
          </cell>
          <cell r="U94">
            <v>1.0421</v>
          </cell>
          <cell r="V94">
            <v>0.0101</v>
          </cell>
          <cell r="W94">
            <v>0</v>
          </cell>
          <cell r="X94">
            <v>0.41</v>
          </cell>
          <cell r="Y94">
            <v>0.00852640678391292</v>
          </cell>
          <cell r="Z94">
            <v>0</v>
          </cell>
          <cell r="AA94">
            <v>0.4211839495667826</v>
          </cell>
          <cell r="AB94">
            <v>0.0018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0.0062</v>
          </cell>
          <cell r="J99">
            <v>0.007</v>
          </cell>
          <cell r="K99">
            <v>0.0132</v>
          </cell>
          <cell r="L99">
            <v>0.0132</v>
          </cell>
          <cell r="M99">
            <v>2.9875</v>
          </cell>
          <cell r="P99">
            <v>2.9875</v>
          </cell>
          <cell r="Q99">
            <v>3.137337019496001</v>
          </cell>
          <cell r="R99">
            <v>0.0631</v>
          </cell>
          <cell r="S99">
            <v>0.0631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2.9837</v>
          </cell>
          <cell r="P103">
            <v>2.9837</v>
          </cell>
          <cell r="Q103">
            <v>3.1333437044737584</v>
          </cell>
          <cell r="R103">
            <v>0.0631</v>
          </cell>
          <cell r="S103">
            <v>0.0631</v>
          </cell>
          <cell r="T103">
            <v>1.0422</v>
          </cell>
          <cell r="U103">
            <v>1.0421</v>
          </cell>
          <cell r="V103">
            <v>0</v>
          </cell>
          <cell r="W103">
            <v>1.2936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0.2840305455197097</v>
          </cell>
          <cell r="AB103">
            <v>0.0985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scott@ottaw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18.57421875" style="7" customWidth="1"/>
    <col min="2" max="2" width="15.28125" style="7" customWidth="1"/>
    <col min="3" max="3" width="23.7109375" style="7" customWidth="1"/>
    <col min="4" max="4" width="29.57421875" style="7" customWidth="1"/>
    <col min="5" max="5" width="19.140625" style="7" customWidth="1"/>
    <col min="6" max="6" width="11.8515625" style="7" customWidth="1"/>
    <col min="7" max="7" width="9.8515625" style="7" customWidth="1"/>
    <col min="8" max="8" width="13.00390625" style="7" customWidth="1"/>
    <col min="9" max="9" width="8.8515625" style="0" customWidth="1"/>
    <col min="245" max="245" width="51.140625" style="0" customWidth="1"/>
    <col min="246" max="246" width="7.8515625" style="0" customWidth="1"/>
    <col min="247" max="247" width="13.421875" style="0" customWidth="1"/>
    <col min="248" max="249" width="12.7109375" style="0" customWidth="1"/>
  </cols>
  <sheetData>
    <row r="1" spans="1:8" ht="25.5">
      <c r="A1" s="1"/>
      <c r="B1" s="4" t="s">
        <v>194</v>
      </c>
      <c r="C1" s="1"/>
      <c r="D1" s="1"/>
      <c r="E1" s="1"/>
      <c r="F1" s="1"/>
      <c r="G1" s="1"/>
      <c r="H1" s="1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2.75">
      <c r="A3" s="9"/>
      <c r="B3" s="1"/>
      <c r="C3" s="1"/>
      <c r="D3" s="1"/>
      <c r="E3" s="1"/>
      <c r="F3" s="1"/>
      <c r="G3" s="1"/>
      <c r="H3" s="1"/>
    </row>
    <row r="4" spans="1:8" ht="15.75">
      <c r="A4" s="10"/>
      <c r="B4" s="11" t="s">
        <v>0</v>
      </c>
      <c r="C4" s="162" t="s">
        <v>279</v>
      </c>
      <c r="D4"/>
      <c r="E4" s="12"/>
      <c r="F4" s="1"/>
      <c r="G4" s="1"/>
      <c r="H4" s="1"/>
    </row>
    <row r="5" spans="1:8" ht="15.75">
      <c r="A5" s="10"/>
      <c r="B5" s="11"/>
      <c r="C5" s="13"/>
      <c r="D5" s="13"/>
      <c r="E5" s="13"/>
      <c r="F5" s="1"/>
      <c r="G5" s="1"/>
      <c r="H5" s="1"/>
    </row>
    <row r="6" spans="1:8" ht="15.75">
      <c r="A6" s="10"/>
      <c r="B6" s="11" t="s">
        <v>1</v>
      </c>
      <c r="C6" s="37" t="s">
        <v>285</v>
      </c>
      <c r="D6"/>
      <c r="E6"/>
      <c r="F6"/>
      <c r="G6" s="1"/>
      <c r="H6" s="1"/>
    </row>
    <row r="7" spans="1:8" ht="15.75">
      <c r="A7" s="10"/>
      <c r="B7" s="11"/>
      <c r="C7" s="13"/>
      <c r="D7" s="14"/>
      <c r="E7" s="13"/>
      <c r="F7" s="1"/>
      <c r="G7" s="1"/>
      <c r="H7" s="1"/>
    </row>
    <row r="8" spans="1:8" ht="16.5" thickBot="1">
      <c r="A8" s="15"/>
      <c r="B8" s="15"/>
      <c r="C8" s="16"/>
      <c r="D8" s="14"/>
      <c r="E8" s="16"/>
      <c r="F8" s="15"/>
      <c r="G8" s="15"/>
      <c r="H8" s="15"/>
    </row>
    <row r="9" spans="1:8" ht="16.5" thickBot="1">
      <c r="A9" s="15"/>
      <c r="B9" s="11" t="s">
        <v>2</v>
      </c>
      <c r="C9" s="17">
        <v>40512</v>
      </c>
      <c r="D9"/>
      <c r="E9"/>
      <c r="F9" s="18"/>
      <c r="G9" s="15"/>
      <c r="H9" s="15"/>
    </row>
    <row r="10" spans="1:8" ht="15.75">
      <c r="A10" s="15"/>
      <c r="B10" s="15"/>
      <c r="C10" s="16"/>
      <c r="D10" s="16"/>
      <c r="E10" s="16"/>
      <c r="F10" s="15"/>
      <c r="G10" s="15"/>
      <c r="H10" s="15"/>
    </row>
    <row r="11" spans="1:8" ht="12.75">
      <c r="A11"/>
      <c r="B11"/>
      <c r="C11"/>
      <c r="D11"/>
      <c r="E11"/>
      <c r="F11"/>
      <c r="G11"/>
      <c r="H11"/>
    </row>
    <row r="12" spans="1:8" ht="15.75">
      <c r="A12" s="15"/>
      <c r="B12" s="15"/>
      <c r="C12" s="16"/>
      <c r="D12" s="16"/>
      <c r="E12" s="16"/>
      <c r="F12" s="15"/>
      <c r="G12" s="15"/>
      <c r="H12" s="15"/>
    </row>
    <row r="13" spans="1:8" ht="16.5" thickBot="1">
      <c r="A13" s="174" t="s">
        <v>3</v>
      </c>
      <c r="B13" s="174"/>
      <c r="C13" s="16"/>
      <c r="D13" s="16"/>
      <c r="E13" s="16"/>
      <c r="F13" s="15"/>
      <c r="G13" s="15"/>
      <c r="H13" s="15"/>
    </row>
    <row r="14" spans="1:8" ht="16.5" thickBot="1">
      <c r="A14" s="15"/>
      <c r="B14" s="19" t="s">
        <v>4</v>
      </c>
      <c r="C14" s="175" t="s">
        <v>286</v>
      </c>
      <c r="D14" s="176"/>
      <c r="E14" s="20"/>
      <c r="F14" s="15"/>
      <c r="G14" s="15"/>
      <c r="H14" s="15"/>
    </row>
    <row r="15" spans="1:8" ht="16.5" thickBot="1">
      <c r="A15" s="15"/>
      <c r="B15" s="21"/>
      <c r="C15" s="16"/>
      <c r="D15" s="16"/>
      <c r="E15" s="16"/>
      <c r="F15" s="15"/>
      <c r="G15" s="15"/>
      <c r="H15" s="15"/>
    </row>
    <row r="16" spans="1:8" ht="16.5" thickBot="1">
      <c r="A16" s="15"/>
      <c r="B16" s="19" t="s">
        <v>5</v>
      </c>
      <c r="C16" s="175" t="s">
        <v>287</v>
      </c>
      <c r="D16" s="176"/>
      <c r="E16" s="20"/>
      <c r="F16" s="2"/>
      <c r="G16" s="15"/>
      <c r="H16" s="15"/>
    </row>
    <row r="17" spans="1:8" ht="16.5" thickBot="1">
      <c r="A17" s="15"/>
      <c r="B17" s="21"/>
      <c r="C17" s="16"/>
      <c r="D17" s="16"/>
      <c r="E17" s="16"/>
      <c r="F17" s="15"/>
      <c r="G17" s="15"/>
      <c r="H17" s="15"/>
    </row>
    <row r="18" spans="1:8" ht="16.5" thickBot="1">
      <c r="A18" s="15"/>
      <c r="B18" s="19" t="s">
        <v>6</v>
      </c>
      <c r="C18" s="177" t="s">
        <v>288</v>
      </c>
      <c r="D18" s="176"/>
      <c r="E18" s="20"/>
      <c r="F18" s="15"/>
      <c r="G18" s="15"/>
      <c r="H18" s="15"/>
    </row>
    <row r="19" spans="1:8" ht="15" thickBot="1">
      <c r="A19" s="1"/>
      <c r="B19" s="22"/>
      <c r="C19" s="23"/>
      <c r="D19" s="23"/>
      <c r="E19" s="23"/>
      <c r="F19" s="1"/>
      <c r="G19" s="1"/>
      <c r="H19" s="1"/>
    </row>
    <row r="20" spans="1:8" ht="16.5" thickBot="1">
      <c r="A20" s="1"/>
      <c r="B20" s="19" t="s">
        <v>7</v>
      </c>
      <c r="C20" s="172" t="s">
        <v>289</v>
      </c>
      <c r="D20" s="173"/>
      <c r="E20" s="20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</sheetData>
  <sheetProtection formatColumns="0" selectLockedCells="1"/>
  <mergeCells count="5">
    <mergeCell ref="C20:D20"/>
    <mergeCell ref="A13:B13"/>
    <mergeCell ref="C14:D14"/>
    <mergeCell ref="C16:D16"/>
    <mergeCell ref="C18:D18"/>
  </mergeCells>
  <hyperlinks>
    <hyperlink ref="C20" r:id="rId1" display="janescott@ottawa.com"/>
  </hyperlinks>
  <printOptions/>
  <pageMargins left="0.7480314960629921" right="0.7480314960629921" top="1.1023622047244095" bottom="0.984251968503937" header="0.5118110236220472" footer="0.5118110236220472"/>
  <pageSetup horizontalDpi="600" verticalDpi="600" orientation="portrait" scale="67" r:id="rId3"/>
  <headerFooter alignWithMargins="0">
    <oddHeader>&amp;RHydro Ottawa Limited
EB-2010-0326
Attachment F
Filed: 2010-11-30
Page &amp;P of &amp;N</oddHeader>
  </headerFooter>
  <colBreaks count="1" manualBreakCount="1">
    <brk id="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showGridLines="0" tabSelected="1" zoomScale="75" zoomScaleNormal="75" zoomScalePageLayoutView="0" workbookViewId="0" topLeftCell="A1">
      <pane xSplit="2" ySplit="2" topLeftCell="H3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D29" sqref="D29"/>
    </sheetView>
  </sheetViews>
  <sheetFormatPr defaultColWidth="9.140625" defaultRowHeight="12.75"/>
  <cols>
    <col min="1" max="1" width="17.57421875" style="7" customWidth="1"/>
    <col min="2" max="2" width="102.8515625" style="7" bestFit="1" customWidth="1"/>
    <col min="3" max="3" width="20.57421875" style="7" customWidth="1"/>
    <col min="4" max="4" width="17.421875" style="7" customWidth="1"/>
    <col min="5" max="6" width="15.28125" style="7" customWidth="1"/>
    <col min="7" max="11" width="17.28125" style="7" customWidth="1"/>
    <col min="12" max="12" width="15.421875" style="7" customWidth="1"/>
    <col min="13" max="16384" width="9.140625" style="7" customWidth="1"/>
  </cols>
  <sheetData>
    <row r="1" spans="1:12" s="3" customFormat="1" ht="30">
      <c r="A1" s="1"/>
      <c r="B1" s="179" t="s">
        <v>12</v>
      </c>
      <c r="C1" s="179"/>
      <c r="D1" s="179"/>
      <c r="E1" s="179"/>
      <c r="F1" s="179"/>
      <c r="G1" s="179"/>
      <c r="H1" s="179"/>
      <c r="I1" s="179"/>
      <c r="J1" s="179"/>
      <c r="K1" s="79"/>
      <c r="L1" s="1"/>
    </row>
    <row r="2" spans="1:12" s="3" customFormat="1" ht="11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">
      <c r="A3" s="5"/>
      <c r="B3" s="28" t="s">
        <v>14</v>
      </c>
      <c r="C3" s="28"/>
      <c r="D3" s="5"/>
      <c r="E3" s="5"/>
      <c r="F3" s="5"/>
      <c r="G3" s="5"/>
      <c r="H3" s="5"/>
      <c r="I3" s="5"/>
      <c r="J3" s="5"/>
      <c r="K3" s="5"/>
      <c r="L3" s="5"/>
    </row>
    <row r="4" spans="1:12" ht="25.5">
      <c r="A4" s="5"/>
      <c r="B4" s="29" t="s">
        <v>15</v>
      </c>
      <c r="C4" s="29"/>
      <c r="D4" s="24">
        <v>2006</v>
      </c>
      <c r="E4" s="24">
        <v>2007</v>
      </c>
      <c r="F4" s="163" t="s">
        <v>280</v>
      </c>
      <c r="G4" s="24">
        <v>2008</v>
      </c>
      <c r="H4" s="24">
        <v>2009</v>
      </c>
      <c r="I4" s="24">
        <v>2010</v>
      </c>
      <c r="J4" s="24">
        <v>2011</v>
      </c>
      <c r="K4" s="82" t="s">
        <v>206</v>
      </c>
      <c r="L4" s="24" t="s">
        <v>16</v>
      </c>
    </row>
    <row r="5" spans="1:12" ht="12.75">
      <c r="A5" s="5"/>
      <c r="B5" s="29"/>
      <c r="C5" s="29"/>
      <c r="D5" s="81" t="s">
        <v>204</v>
      </c>
      <c r="E5" s="81" t="s">
        <v>204</v>
      </c>
      <c r="F5" s="81"/>
      <c r="G5" s="81" t="s">
        <v>204</v>
      </c>
      <c r="H5" s="81" t="s">
        <v>204</v>
      </c>
      <c r="I5" s="81" t="s">
        <v>205</v>
      </c>
      <c r="J5" s="81" t="s">
        <v>205</v>
      </c>
      <c r="K5" s="81" t="s">
        <v>205</v>
      </c>
      <c r="L5" s="30"/>
    </row>
    <row r="6" spans="1:12" ht="12.75">
      <c r="A6" s="5"/>
      <c r="B6" s="31" t="s">
        <v>17</v>
      </c>
      <c r="C6" s="31"/>
      <c r="D6" s="92">
        <v>96570</v>
      </c>
      <c r="E6" s="92">
        <v>70694</v>
      </c>
      <c r="F6" s="92"/>
      <c r="G6" s="92">
        <v>73798</v>
      </c>
      <c r="H6" s="92">
        <v>26454</v>
      </c>
      <c r="I6" s="92">
        <v>5146</v>
      </c>
      <c r="J6" s="92">
        <v>500</v>
      </c>
      <c r="K6" s="92"/>
      <c r="L6" s="33">
        <f>SUM(D6:K6)</f>
        <v>273162</v>
      </c>
    </row>
    <row r="7" ht="12.75"/>
    <row r="8" spans="1:12" ht="12.75">
      <c r="A8" s="5"/>
      <c r="B8" s="31" t="s">
        <v>18</v>
      </c>
      <c r="C8" s="31"/>
      <c r="D8" s="32">
        <v>765</v>
      </c>
      <c r="E8" s="32">
        <v>5606</v>
      </c>
      <c r="F8" s="32"/>
      <c r="G8" s="32">
        <v>10269</v>
      </c>
      <c r="H8" s="32">
        <v>5053</v>
      </c>
      <c r="I8" s="32">
        <v>1660</v>
      </c>
      <c r="J8" s="32">
        <v>0</v>
      </c>
      <c r="K8" s="32"/>
      <c r="L8" s="33">
        <f>SUM(D8:K8)</f>
        <v>23353</v>
      </c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>
      <c r="A10" s="5"/>
      <c r="B10" s="34" t="s">
        <v>20</v>
      </c>
      <c r="C10" s="34"/>
      <c r="D10" s="35">
        <f>SUM(D6,D8)</f>
        <v>97335</v>
      </c>
      <c r="E10" s="35">
        <f aca="true" t="shared" si="0" ref="E10:L10">SUM(E6,E8)</f>
        <v>76300</v>
      </c>
      <c r="F10" s="35"/>
      <c r="G10" s="35">
        <f t="shared" si="0"/>
        <v>84067</v>
      </c>
      <c r="H10" s="35">
        <f t="shared" si="0"/>
        <v>31507</v>
      </c>
      <c r="I10" s="35">
        <f t="shared" si="0"/>
        <v>6806</v>
      </c>
      <c r="J10" s="35">
        <f t="shared" si="0"/>
        <v>500</v>
      </c>
      <c r="K10" s="35">
        <f t="shared" si="0"/>
        <v>0</v>
      </c>
      <c r="L10" s="35">
        <f t="shared" si="0"/>
        <v>296515</v>
      </c>
    </row>
    <row r="11" spans="1:12" ht="12.75">
      <c r="A11" s="5"/>
      <c r="B11" s="34"/>
      <c r="C11" s="3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2.75">
      <c r="A12" s="5"/>
      <c r="B12" s="34" t="s">
        <v>208</v>
      </c>
      <c r="C12" s="34"/>
      <c r="D12" s="85">
        <f>IF(ISERROR(SUM($D10:D10)/$L10),0,SUM($D10:D10)/$L10)</f>
        <v>0.32826332563276733</v>
      </c>
      <c r="E12" s="85">
        <f>IF(ISERROR(SUM($D10:E10)/$L10),0,SUM($D10:E10)/$L10)</f>
        <v>0.5855858894153753</v>
      </c>
      <c r="F12" s="85"/>
      <c r="G12" s="85">
        <f>IF(ISERROR(SUM($D10:G10)/$L10),0,SUM($D10:G10)/$L10)</f>
        <v>0.8691027435374264</v>
      </c>
      <c r="H12" s="85">
        <f>IF(ISERROR(SUM($D10:H10)/$L10),0,SUM($D10:H10)/$L10)</f>
        <v>0.9753604370773823</v>
      </c>
      <c r="I12" s="85">
        <f>IF(ISERROR(SUM($D10:I10)/$L10),0,SUM($D10:I10)/$L10)</f>
        <v>0.9983137446672176</v>
      </c>
      <c r="J12" s="85">
        <f>IF(ISERROR(SUM($D10:J10)/$L10),0,SUM($D10:J10)/$L10)</f>
        <v>1</v>
      </c>
      <c r="K12" s="85">
        <f>IF(ISERROR(SUM($D10:K10)/$L10),0,SUM($D10:K10)/$L10)</f>
        <v>1</v>
      </c>
      <c r="L12" s="84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5"/>
      <c r="B14" s="57" t="s">
        <v>19</v>
      </c>
      <c r="C14" s="31"/>
      <c r="D14" s="32">
        <v>235</v>
      </c>
      <c r="E14" s="32">
        <v>137</v>
      </c>
      <c r="F14" s="32"/>
      <c r="G14" s="32">
        <v>894</v>
      </c>
      <c r="H14" s="32">
        <v>775</v>
      </c>
      <c r="I14" s="32">
        <v>937</v>
      </c>
      <c r="J14" s="32"/>
      <c r="K14" s="32"/>
      <c r="L14" s="33">
        <f>SUM(D14:K14)</f>
        <v>2978</v>
      </c>
    </row>
    <row r="16" spans="1:12" ht="13.5" thickBot="1">
      <c r="A16" s="5"/>
      <c r="B16" s="57" t="s">
        <v>207</v>
      </c>
      <c r="C16" s="31"/>
      <c r="D16" s="36">
        <f aca="true" t="shared" si="1" ref="D16:K16">SUM(D10,D14)</f>
        <v>97570</v>
      </c>
      <c r="E16" s="36">
        <f t="shared" si="1"/>
        <v>76437</v>
      </c>
      <c r="F16" s="36"/>
      <c r="G16" s="36">
        <f t="shared" si="1"/>
        <v>84961</v>
      </c>
      <c r="H16" s="36">
        <f t="shared" si="1"/>
        <v>32282</v>
      </c>
      <c r="I16" s="36">
        <f t="shared" si="1"/>
        <v>7743</v>
      </c>
      <c r="J16" s="36">
        <f t="shared" si="1"/>
        <v>500</v>
      </c>
      <c r="K16" s="36">
        <f t="shared" si="1"/>
        <v>0</v>
      </c>
      <c r="L16" s="36">
        <f>SUM(D16:K16)</f>
        <v>299493</v>
      </c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8">
      <c r="A18" s="5"/>
      <c r="B18" s="28" t="s">
        <v>21</v>
      </c>
      <c r="C18" s="171"/>
      <c r="D18" s="5"/>
      <c r="E18" s="5"/>
      <c r="F18" s="5"/>
      <c r="G18" s="5"/>
      <c r="H18" s="5"/>
      <c r="I18" s="5"/>
      <c r="J18" s="5"/>
      <c r="K18" s="5"/>
      <c r="L18" s="5"/>
    </row>
    <row r="19" spans="1:12" ht="25.5">
      <c r="A19" s="5"/>
      <c r="B19" s="29" t="s">
        <v>15</v>
      </c>
      <c r="C19" s="29"/>
      <c r="D19" s="24">
        <f>D4</f>
        <v>2006</v>
      </c>
      <c r="E19" s="24">
        <f aca="true" t="shared" si="2" ref="E19:K19">E4</f>
        <v>2007</v>
      </c>
      <c r="F19" s="163" t="s">
        <v>280</v>
      </c>
      <c r="G19" s="24">
        <f t="shared" si="2"/>
        <v>2008</v>
      </c>
      <c r="H19" s="24">
        <f t="shared" si="2"/>
        <v>2009</v>
      </c>
      <c r="I19" s="24">
        <f t="shared" si="2"/>
        <v>2010</v>
      </c>
      <c r="J19" s="24">
        <f t="shared" si="2"/>
        <v>2011</v>
      </c>
      <c r="K19" s="24" t="str">
        <f t="shared" si="2"/>
        <v>Later</v>
      </c>
      <c r="L19" s="30" t="s">
        <v>16</v>
      </c>
    </row>
    <row r="20" spans="1:12" ht="12.75">
      <c r="A20" s="5"/>
      <c r="B20" s="29"/>
      <c r="C20" s="29"/>
      <c r="D20" s="24" t="str">
        <f>D5</f>
        <v>Audited Actual</v>
      </c>
      <c r="E20" s="24" t="str">
        <f aca="true" t="shared" si="3" ref="E20:K20">E5</f>
        <v>Audited Actual</v>
      </c>
      <c r="F20" s="24"/>
      <c r="G20" s="24" t="str">
        <f t="shared" si="3"/>
        <v>Audited Actual</v>
      </c>
      <c r="H20" s="24" t="str">
        <f t="shared" si="3"/>
        <v>Audited Actual</v>
      </c>
      <c r="I20" s="24" t="str">
        <f t="shared" si="3"/>
        <v>Forecasted</v>
      </c>
      <c r="J20" s="24" t="str">
        <f t="shared" si="3"/>
        <v>Forecasted</v>
      </c>
      <c r="K20" s="24" t="str">
        <f t="shared" si="3"/>
        <v>Forecasted</v>
      </c>
      <c r="L20" s="30"/>
    </row>
    <row r="21" spans="1:12" ht="12.75">
      <c r="A21" s="5"/>
      <c r="B21" s="31" t="s">
        <v>22</v>
      </c>
      <c r="C21" s="31"/>
      <c r="D21" s="32">
        <v>58</v>
      </c>
      <c r="E21" s="32">
        <v>327</v>
      </c>
      <c r="F21" s="32"/>
      <c r="G21" s="32">
        <v>343</v>
      </c>
      <c r="H21" s="32">
        <v>174</v>
      </c>
      <c r="I21" s="32">
        <v>476</v>
      </c>
      <c r="J21" s="32">
        <v>350</v>
      </c>
      <c r="K21" s="32"/>
      <c r="L21" s="33">
        <f>SUM(D21:K21)</f>
        <v>1728</v>
      </c>
    </row>
    <row r="22" ht="12.75">
      <c r="V22" s="7"/>
    </row>
    <row r="23" spans="1:12" ht="12.75">
      <c r="A23" s="5"/>
      <c r="B23" s="31" t="s">
        <v>23</v>
      </c>
      <c r="C23" s="31"/>
      <c r="D23" s="32"/>
      <c r="E23" s="32"/>
      <c r="F23" s="32"/>
      <c r="G23" s="32"/>
      <c r="H23" s="32"/>
      <c r="I23" s="32"/>
      <c r="J23" s="32"/>
      <c r="K23" s="32"/>
      <c r="L23" s="33">
        <f>SUM(D23:K23)</f>
        <v>0</v>
      </c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3" ht="12.75">
      <c r="A25" s="5"/>
      <c r="B25" s="31" t="s">
        <v>24</v>
      </c>
      <c r="C25" s="31"/>
    </row>
    <row r="26" spans="2:12" ht="12.75">
      <c r="B26" s="37"/>
      <c r="D26" s="32"/>
      <c r="E26" s="32"/>
      <c r="F26" s="32"/>
      <c r="G26" s="32"/>
      <c r="H26" s="32"/>
      <c r="I26" s="32"/>
      <c r="J26" s="32"/>
      <c r="K26" s="32"/>
      <c r="L26" s="33">
        <f>SUM(D26:K26)</f>
        <v>0</v>
      </c>
    </row>
    <row r="27" ht="12.75"/>
    <row r="28" spans="2:12" ht="12.75">
      <c r="B28" s="37"/>
      <c r="D28" s="32"/>
      <c r="E28" s="32"/>
      <c r="F28" s="32"/>
      <c r="G28" s="32"/>
      <c r="H28" s="32"/>
      <c r="I28" s="32"/>
      <c r="J28" s="32"/>
      <c r="K28" s="32"/>
      <c r="L28" s="33">
        <f>SUM(D28:K28)</f>
        <v>0</v>
      </c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2.75">
      <c r="B30" s="37"/>
      <c r="D30" s="32"/>
      <c r="E30" s="32"/>
      <c r="F30" s="32"/>
      <c r="G30" s="32"/>
      <c r="H30" s="32"/>
      <c r="I30" s="32"/>
      <c r="J30" s="32"/>
      <c r="K30" s="32"/>
      <c r="L30" s="33">
        <f>SUM(D30:K30)</f>
        <v>0</v>
      </c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ht="12.75">
      <c r="B32" s="37"/>
      <c r="D32" s="32"/>
      <c r="E32" s="32"/>
      <c r="F32" s="32"/>
      <c r="G32" s="32"/>
      <c r="H32" s="32"/>
      <c r="I32" s="32"/>
      <c r="J32" s="32"/>
      <c r="K32" s="32"/>
      <c r="L32" s="33">
        <f>SUM(D32:K32)</f>
        <v>0</v>
      </c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23.25">
      <c r="B35" s="38" t="s">
        <v>25</v>
      </c>
      <c r="C35" s="38"/>
      <c r="D35" s="5"/>
      <c r="E35" s="5"/>
      <c r="F35" s="5"/>
      <c r="G35" s="5"/>
      <c r="H35" s="5"/>
      <c r="I35" s="5"/>
      <c r="J35" s="5"/>
      <c r="K35" s="5"/>
      <c r="L35" s="5"/>
    </row>
    <row r="36" spans="1:12" ht="18">
      <c r="A36" s="5"/>
      <c r="B36" s="39" t="s">
        <v>26</v>
      </c>
      <c r="C36" s="39" t="s">
        <v>27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25.5">
      <c r="A37" s="5"/>
      <c r="B37" s="40"/>
      <c r="C37" s="40"/>
      <c r="D37" s="24">
        <f>D19</f>
        <v>2006</v>
      </c>
      <c r="E37" s="24">
        <f aca="true" t="shared" si="4" ref="E37:K37">E19</f>
        <v>2007</v>
      </c>
      <c r="F37" s="163" t="s">
        <v>280</v>
      </c>
      <c r="G37" s="24">
        <f t="shared" si="4"/>
        <v>2008</v>
      </c>
      <c r="H37" s="24">
        <f t="shared" si="4"/>
        <v>2009</v>
      </c>
      <c r="I37" s="24">
        <f t="shared" si="4"/>
        <v>2010</v>
      </c>
      <c r="J37" s="24">
        <f t="shared" si="4"/>
        <v>2011</v>
      </c>
      <c r="K37" s="24" t="str">
        <f t="shared" si="4"/>
        <v>Later</v>
      </c>
      <c r="L37" s="24" t="s">
        <v>16</v>
      </c>
    </row>
    <row r="38" spans="1:12" ht="12.75">
      <c r="A38" s="5"/>
      <c r="B38" s="40"/>
      <c r="C38" s="40"/>
      <c r="D38" s="24" t="str">
        <f>D20</f>
        <v>Audited Actual</v>
      </c>
      <c r="E38" s="24" t="str">
        <f aca="true" t="shared" si="5" ref="E38:K38">E20</f>
        <v>Audited Actual</v>
      </c>
      <c r="F38" s="24"/>
      <c r="G38" s="24" t="str">
        <f t="shared" si="5"/>
        <v>Audited Actual</v>
      </c>
      <c r="H38" s="24" t="str">
        <f t="shared" si="5"/>
        <v>Audited Actual</v>
      </c>
      <c r="I38" s="24" t="str">
        <f t="shared" si="5"/>
        <v>Forecasted</v>
      </c>
      <c r="J38" s="24" t="str">
        <f t="shared" si="5"/>
        <v>Forecasted</v>
      </c>
      <c r="K38" s="24" t="str">
        <f t="shared" si="5"/>
        <v>Forecasted</v>
      </c>
      <c r="L38" s="24"/>
    </row>
    <row r="39" spans="1:22" ht="20.25">
      <c r="A39" s="5"/>
      <c r="B39" s="41" t="s">
        <v>28</v>
      </c>
      <c r="C39" s="86" t="s">
        <v>8</v>
      </c>
      <c r="D39" s="42">
        <v>10912766.958209276</v>
      </c>
      <c r="E39" s="42">
        <v>10596597.374622313</v>
      </c>
      <c r="F39" s="42">
        <v>12526591</v>
      </c>
      <c r="G39" s="42">
        <v>9726371.131595274</v>
      </c>
      <c r="H39" s="42">
        <v>3924167.6563683394</v>
      </c>
      <c r="I39" s="42">
        <f>1195642.84-I53</f>
        <v>778666.8400000001</v>
      </c>
      <c r="J39" s="42">
        <f>290459.7-J53</f>
        <v>34663.32000000001</v>
      </c>
      <c r="K39" s="42"/>
      <c r="L39" s="43">
        <f>SUM(D39:K39)</f>
        <v>48499824.28079521</v>
      </c>
      <c r="V39" s="83"/>
    </row>
    <row r="40" spans="1:22" ht="20.25">
      <c r="A40" s="5"/>
      <c r="B40" s="44" t="s">
        <v>29</v>
      </c>
      <c r="C40" s="44"/>
      <c r="D40" s="88"/>
      <c r="E40" s="88"/>
      <c r="F40" s="88"/>
      <c r="G40" s="88"/>
      <c r="H40" s="88"/>
      <c r="I40" s="88"/>
      <c r="J40" s="88"/>
      <c r="K40" s="80"/>
      <c r="L40" s="5"/>
      <c r="V40" s="83"/>
    </row>
    <row r="41" spans="1:22" ht="20.25">
      <c r="A41" s="5"/>
      <c r="B41" s="41" t="s">
        <v>30</v>
      </c>
      <c r="C41" s="86" t="s">
        <v>8</v>
      </c>
      <c r="D41" s="42">
        <v>1716248.412888</v>
      </c>
      <c r="E41" s="42">
        <v>2798928.0747805596</v>
      </c>
      <c r="F41" s="42">
        <v>2088656</v>
      </c>
      <c r="G41" s="42">
        <v>3499535.8066447247</v>
      </c>
      <c r="H41" s="42">
        <v>2894422.261065662</v>
      </c>
      <c r="I41" s="42">
        <f>1132174.81-I59</f>
        <v>1065801.37</v>
      </c>
      <c r="J41" s="42">
        <f>366894.42-J59</f>
        <v>122695.43999999997</v>
      </c>
      <c r="K41" s="42"/>
      <c r="L41" s="43">
        <f>SUM(D41:K41)</f>
        <v>14186287.365378948</v>
      </c>
      <c r="V41" s="83"/>
    </row>
    <row r="42" spans="1:12" ht="12.75">
      <c r="A42" s="5"/>
      <c r="B42" s="44" t="s">
        <v>31</v>
      </c>
      <c r="C42" s="44"/>
      <c r="D42" s="178"/>
      <c r="E42" s="178"/>
      <c r="F42" s="178"/>
      <c r="G42" s="178"/>
      <c r="H42" s="178"/>
      <c r="I42" s="178"/>
      <c r="J42" s="178"/>
      <c r="K42" s="80"/>
      <c r="L42" s="5"/>
    </row>
    <row r="43" spans="1:12" ht="15.75">
      <c r="A43" s="5"/>
      <c r="B43" s="41" t="s">
        <v>32</v>
      </c>
      <c r="C43" s="86" t="s">
        <v>210</v>
      </c>
      <c r="D43" s="42">
        <v>838597.469535</v>
      </c>
      <c r="E43" s="42">
        <v>9112</v>
      </c>
      <c r="F43" s="42">
        <v>847709</v>
      </c>
      <c r="G43" s="42"/>
      <c r="H43" s="42"/>
      <c r="I43" s="42"/>
      <c r="J43" s="42"/>
      <c r="K43" s="42"/>
      <c r="L43" s="43">
        <f>SUM(D43:K43)</f>
        <v>1695418.4695350002</v>
      </c>
    </row>
    <row r="44" spans="1:12" ht="12.75">
      <c r="A44" s="5"/>
      <c r="B44" s="44" t="s">
        <v>33</v>
      </c>
      <c r="C44" s="44"/>
      <c r="D44" s="178"/>
      <c r="E44" s="178"/>
      <c r="F44" s="178"/>
      <c r="G44" s="178"/>
      <c r="H44" s="178"/>
      <c r="I44" s="178"/>
      <c r="J44" s="178"/>
      <c r="K44" s="80"/>
      <c r="L44" s="5"/>
    </row>
    <row r="45" spans="1:12" ht="15.75">
      <c r="A45" s="5"/>
      <c r="B45" s="41" t="s">
        <v>34</v>
      </c>
      <c r="C45" s="86" t="s">
        <v>10</v>
      </c>
      <c r="D45" s="42"/>
      <c r="E45" s="42"/>
      <c r="F45" s="42"/>
      <c r="G45" s="42"/>
      <c r="H45" s="42"/>
      <c r="I45" s="42"/>
      <c r="J45" s="42"/>
      <c r="K45" s="42"/>
      <c r="L45" s="43">
        <f>SUM(D45:K45)</f>
        <v>0</v>
      </c>
    </row>
    <row r="46" spans="1:12" ht="12.75">
      <c r="A46" s="5"/>
      <c r="B46" s="44" t="s">
        <v>33</v>
      </c>
      <c r="C46" s="44"/>
      <c r="D46" s="178"/>
      <c r="E46" s="178"/>
      <c r="F46" s="178"/>
      <c r="G46" s="178"/>
      <c r="H46" s="178"/>
      <c r="I46" s="178"/>
      <c r="J46" s="178"/>
      <c r="K46" s="80"/>
      <c r="L46" s="5"/>
    </row>
    <row r="47" spans="1:12" ht="12.75">
      <c r="A47" s="5"/>
      <c r="B47" s="40"/>
      <c r="C47" s="40"/>
      <c r="D47" s="5"/>
      <c r="E47" s="24"/>
      <c r="F47" s="24"/>
      <c r="G47" s="24"/>
      <c r="H47" s="5"/>
      <c r="I47" s="5"/>
      <c r="J47" s="5"/>
      <c r="K47" s="5"/>
      <c r="L47" s="5"/>
    </row>
    <row r="48" spans="1:12" ht="13.5" thickBot="1">
      <c r="A48" s="5"/>
      <c r="B48" s="41" t="s">
        <v>35</v>
      </c>
      <c r="C48" s="41"/>
      <c r="D48" s="45">
        <f aca="true" t="shared" si="6" ref="D48:L48">SUM(D39,D41,D43,D45)</f>
        <v>13467612.840632277</v>
      </c>
      <c r="E48" s="45">
        <f t="shared" si="6"/>
        <v>13404637.449402872</v>
      </c>
      <c r="F48" s="45">
        <f t="shared" si="6"/>
        <v>15462956</v>
      </c>
      <c r="G48" s="45">
        <f t="shared" si="6"/>
        <v>13225906.93824</v>
      </c>
      <c r="H48" s="45">
        <f t="shared" si="6"/>
        <v>6818589.917434001</v>
      </c>
      <c r="I48" s="45">
        <f t="shared" si="6"/>
        <v>1844468.2100000002</v>
      </c>
      <c r="J48" s="45">
        <f t="shared" si="6"/>
        <v>157358.75999999998</v>
      </c>
      <c r="K48" s="45">
        <f t="shared" si="6"/>
        <v>0</v>
      </c>
      <c r="L48" s="45">
        <f t="shared" si="6"/>
        <v>64381530.115709156</v>
      </c>
    </row>
    <row r="49" spans="1:12" ht="12.75">
      <c r="A49" s="5"/>
      <c r="B49" s="40"/>
      <c r="C49" s="40"/>
      <c r="D49" s="5"/>
      <c r="E49" s="5"/>
      <c r="F49" s="5"/>
      <c r="G49" s="5"/>
      <c r="H49" s="5"/>
      <c r="I49" s="5"/>
      <c r="J49" s="5"/>
      <c r="K49" s="5"/>
      <c r="L49" s="5"/>
    </row>
    <row r="50" spans="1:12" ht="18">
      <c r="A50" s="5"/>
      <c r="B50" s="39" t="s">
        <v>36</v>
      </c>
      <c r="C50" s="39"/>
      <c r="D50" s="5"/>
      <c r="E50" s="5"/>
      <c r="F50" s="5"/>
      <c r="G50" s="5"/>
      <c r="H50" s="5"/>
      <c r="I50" s="5"/>
      <c r="J50" s="5"/>
      <c r="K50" s="5"/>
      <c r="L50" s="5"/>
    </row>
    <row r="51" spans="1:12" ht="25.5">
      <c r="A51" s="5"/>
      <c r="B51" s="40"/>
      <c r="C51" s="40"/>
      <c r="D51" s="24">
        <f>D4</f>
        <v>2006</v>
      </c>
      <c r="E51" s="24">
        <f aca="true" t="shared" si="7" ref="E51:K51">E4</f>
        <v>2007</v>
      </c>
      <c r="F51" s="163" t="s">
        <v>280</v>
      </c>
      <c r="G51" s="24">
        <f t="shared" si="7"/>
        <v>2008</v>
      </c>
      <c r="H51" s="24">
        <f t="shared" si="7"/>
        <v>2009</v>
      </c>
      <c r="I51" s="24">
        <f t="shared" si="7"/>
        <v>2010</v>
      </c>
      <c r="J51" s="24">
        <f t="shared" si="7"/>
        <v>2011</v>
      </c>
      <c r="K51" s="24" t="str">
        <f t="shared" si="7"/>
        <v>Later</v>
      </c>
      <c r="L51" s="24" t="s">
        <v>16</v>
      </c>
    </row>
    <row r="52" spans="1:12" ht="12.75">
      <c r="A52" s="5"/>
      <c r="B52" s="40"/>
      <c r="C52" s="40"/>
      <c r="D52" s="24" t="str">
        <f>D5</f>
        <v>Audited Actual</v>
      </c>
      <c r="E52" s="24" t="str">
        <f aca="true" t="shared" si="8" ref="E52:K52">E5</f>
        <v>Audited Actual</v>
      </c>
      <c r="F52" s="24"/>
      <c r="G52" s="24" t="str">
        <f t="shared" si="8"/>
        <v>Audited Actual</v>
      </c>
      <c r="H52" s="24" t="str">
        <f t="shared" si="8"/>
        <v>Audited Actual</v>
      </c>
      <c r="I52" s="24" t="str">
        <f t="shared" si="8"/>
        <v>Forecasted</v>
      </c>
      <c r="J52" s="24" t="str">
        <f t="shared" si="8"/>
        <v>Forecasted</v>
      </c>
      <c r="K52" s="24" t="str">
        <f t="shared" si="8"/>
        <v>Forecasted</v>
      </c>
      <c r="L52" s="24"/>
    </row>
    <row r="53" spans="1:12" ht="15.75">
      <c r="A53" s="5"/>
      <c r="B53" s="41" t="s">
        <v>37</v>
      </c>
      <c r="C53" s="86" t="s">
        <v>8</v>
      </c>
      <c r="D53" s="42">
        <v>53473.16335340001</v>
      </c>
      <c r="E53" s="42">
        <v>384929.11479975004</v>
      </c>
      <c r="F53" s="42">
        <v>79271</v>
      </c>
      <c r="G53" s="42">
        <v>302372.1756</v>
      </c>
      <c r="H53" s="42">
        <v>152590.64401000002</v>
      </c>
      <c r="I53" s="42">
        <v>416976</v>
      </c>
      <c r="J53" s="42">
        <v>255796.38</v>
      </c>
      <c r="K53" s="42"/>
      <c r="L53" s="46">
        <f>SUM(D53:K53)</f>
        <v>1645408.47776315</v>
      </c>
    </row>
    <row r="54" spans="1:12" ht="12.75">
      <c r="A54" s="5"/>
      <c r="B54" s="44"/>
      <c r="C54" s="44"/>
      <c r="D54" s="178"/>
      <c r="E54" s="178"/>
      <c r="F54" s="178"/>
      <c r="G54" s="178"/>
      <c r="H54" s="178"/>
      <c r="I54" s="178"/>
      <c r="J54" s="178"/>
      <c r="K54" s="80"/>
      <c r="L54" s="5"/>
    </row>
    <row r="55" spans="1:12" ht="12.75">
      <c r="A55" s="5"/>
      <c r="B55" s="40"/>
      <c r="C55" s="40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.75">
      <c r="A56" s="5"/>
      <c r="B56" s="41" t="s">
        <v>38</v>
      </c>
      <c r="C56" s="86" t="s">
        <v>8</v>
      </c>
      <c r="D56" s="42"/>
      <c r="E56" s="42"/>
      <c r="F56" s="42"/>
      <c r="G56" s="42"/>
      <c r="H56" s="42"/>
      <c r="I56" s="42"/>
      <c r="J56" s="42"/>
      <c r="K56" s="42"/>
      <c r="L56" s="46">
        <f>SUM(D56:K56)</f>
        <v>0</v>
      </c>
    </row>
    <row r="57" spans="1:12" ht="12.75">
      <c r="A57" s="5"/>
      <c r="B57" s="44" t="s">
        <v>39</v>
      </c>
      <c r="C57" s="44"/>
      <c r="D57" s="178"/>
      <c r="E57" s="178"/>
      <c r="F57" s="178"/>
      <c r="G57" s="178"/>
      <c r="H57" s="178"/>
      <c r="I57" s="178"/>
      <c r="J57" s="178"/>
      <c r="K57" s="80"/>
      <c r="L57" s="5"/>
    </row>
    <row r="58" spans="1:12" ht="12.75">
      <c r="A58" s="5"/>
      <c r="B58" s="40"/>
      <c r="C58" s="40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.75">
      <c r="A59" s="5"/>
      <c r="B59" s="41" t="s">
        <v>40</v>
      </c>
      <c r="C59" s="86" t="s">
        <v>8</v>
      </c>
      <c r="D59" s="42">
        <v>12133.139015999994</v>
      </c>
      <c r="E59" s="42">
        <v>43598.76345</v>
      </c>
      <c r="F59" s="42">
        <v>17367</v>
      </c>
      <c r="G59" s="42">
        <v>56272.37616000001</v>
      </c>
      <c r="H59" s="42">
        <v>21199.538556</v>
      </c>
      <c r="I59" s="42">
        <v>66373.44</v>
      </c>
      <c r="J59" s="42">
        <v>244198.98</v>
      </c>
      <c r="K59" s="42"/>
      <c r="L59" s="46">
        <f>SUM(D59:K59)</f>
        <v>461143.23718200007</v>
      </c>
    </row>
    <row r="60" spans="1:12" ht="12.75">
      <c r="A60" s="5"/>
      <c r="B60" s="44" t="s">
        <v>41</v>
      </c>
      <c r="C60" s="44"/>
      <c r="D60" s="178"/>
      <c r="E60" s="178"/>
      <c r="F60" s="178"/>
      <c r="G60" s="178"/>
      <c r="H60" s="178"/>
      <c r="I60" s="178"/>
      <c r="J60" s="178"/>
      <c r="K60" s="80"/>
      <c r="L60" s="5"/>
    </row>
    <row r="61" spans="1:12" ht="12.75">
      <c r="A61" s="5"/>
      <c r="B61" s="40"/>
      <c r="C61" s="40"/>
      <c r="D61" s="5"/>
      <c r="E61" s="24"/>
      <c r="F61" s="24"/>
      <c r="G61" s="24"/>
      <c r="H61" s="5"/>
      <c r="I61" s="5"/>
      <c r="J61" s="5"/>
      <c r="K61" s="5"/>
      <c r="L61" s="5"/>
    </row>
    <row r="62" spans="1:12" ht="13.5" thickBot="1">
      <c r="A62" s="5"/>
      <c r="B62" s="41" t="s">
        <v>42</v>
      </c>
      <c r="C62" s="41"/>
      <c r="D62" s="45">
        <f aca="true" t="shared" si="9" ref="D62:L62">SUM(D53,D56,D59)</f>
        <v>65606.3023694</v>
      </c>
      <c r="E62" s="45">
        <f t="shared" si="9"/>
        <v>428527.87824975</v>
      </c>
      <c r="F62" s="45">
        <f t="shared" si="9"/>
        <v>96638</v>
      </c>
      <c r="G62" s="45">
        <f t="shared" si="9"/>
        <v>358644.55176</v>
      </c>
      <c r="H62" s="45">
        <f t="shared" si="9"/>
        <v>173790.18256600003</v>
      </c>
      <c r="I62" s="45">
        <f t="shared" si="9"/>
        <v>483349.44</v>
      </c>
      <c r="J62" s="45">
        <f t="shared" si="9"/>
        <v>499995.36</v>
      </c>
      <c r="K62" s="45">
        <f t="shared" si="9"/>
        <v>0</v>
      </c>
      <c r="L62" s="45">
        <f t="shared" si="9"/>
        <v>2106551.71494515</v>
      </c>
    </row>
    <row r="63" spans="1:12" ht="12.75">
      <c r="A63" s="5"/>
      <c r="B63" s="41"/>
      <c r="C63" s="41"/>
      <c r="D63" s="47"/>
      <c r="E63" s="47"/>
      <c r="F63" s="47"/>
      <c r="G63" s="47"/>
      <c r="H63" s="47"/>
      <c r="I63" s="47"/>
      <c r="J63" s="47"/>
      <c r="K63" s="47"/>
      <c r="L63" s="47"/>
    </row>
    <row r="64" spans="1:12" ht="18">
      <c r="A64" s="5"/>
      <c r="B64" s="39" t="s">
        <v>43</v>
      </c>
      <c r="C64" s="39"/>
      <c r="D64" s="5"/>
      <c r="E64" s="5"/>
      <c r="F64" s="5"/>
      <c r="G64" s="5"/>
      <c r="H64" s="5"/>
      <c r="I64" s="5"/>
      <c r="J64" s="5"/>
      <c r="K64" s="5"/>
      <c r="L64" s="5"/>
    </row>
    <row r="65" spans="1:12" ht="25.5">
      <c r="A65" s="5"/>
      <c r="B65" s="40"/>
      <c r="C65" s="40"/>
      <c r="D65" s="24">
        <f>D4</f>
        <v>2006</v>
      </c>
      <c r="E65" s="24">
        <f aca="true" t="shared" si="10" ref="E65:K65">E4</f>
        <v>2007</v>
      </c>
      <c r="F65" s="163" t="s">
        <v>280</v>
      </c>
      <c r="G65" s="24">
        <f t="shared" si="10"/>
        <v>2008</v>
      </c>
      <c r="H65" s="24">
        <f t="shared" si="10"/>
        <v>2009</v>
      </c>
      <c r="I65" s="24">
        <f t="shared" si="10"/>
        <v>2010</v>
      </c>
      <c r="J65" s="24">
        <f t="shared" si="10"/>
        <v>2011</v>
      </c>
      <c r="K65" s="24" t="str">
        <f t="shared" si="10"/>
        <v>Later</v>
      </c>
      <c r="L65" s="24" t="s">
        <v>16</v>
      </c>
    </row>
    <row r="66" spans="1:12" ht="12.75">
      <c r="A66" s="5"/>
      <c r="B66" s="40"/>
      <c r="C66" s="40"/>
      <c r="D66" s="24" t="str">
        <f>D5</f>
        <v>Audited Actual</v>
      </c>
      <c r="E66" s="24" t="str">
        <f aca="true" t="shared" si="11" ref="E66:K66">E5</f>
        <v>Audited Actual</v>
      </c>
      <c r="F66" s="24"/>
      <c r="G66" s="24" t="str">
        <f t="shared" si="11"/>
        <v>Audited Actual</v>
      </c>
      <c r="H66" s="24" t="str">
        <f t="shared" si="11"/>
        <v>Audited Actual</v>
      </c>
      <c r="I66" s="24" t="str">
        <f t="shared" si="11"/>
        <v>Forecasted</v>
      </c>
      <c r="J66" s="24" t="str">
        <f t="shared" si="11"/>
        <v>Forecasted</v>
      </c>
      <c r="K66" s="24" t="str">
        <f t="shared" si="11"/>
        <v>Forecasted</v>
      </c>
      <c r="L66" s="24"/>
    </row>
    <row r="67" spans="1:12" ht="15.75">
      <c r="A67" s="5"/>
      <c r="B67" s="41" t="s">
        <v>44</v>
      </c>
      <c r="C67" s="86" t="s">
        <v>9</v>
      </c>
      <c r="D67" s="42"/>
      <c r="E67" s="42">
        <v>53633.69</v>
      </c>
      <c r="F67" s="42">
        <v>53131</v>
      </c>
      <c r="G67" s="42">
        <v>5137.709999999999</v>
      </c>
      <c r="H67" s="42">
        <v>0</v>
      </c>
      <c r="I67" s="42">
        <v>640724.5199999998</v>
      </c>
      <c r="J67" s="42">
        <f>454420.61-87040-312980.61</f>
        <v>54400</v>
      </c>
      <c r="K67" s="42"/>
      <c r="L67" s="46">
        <f>SUM(D67:K67)</f>
        <v>807026.9199999998</v>
      </c>
    </row>
    <row r="68" spans="1:12" ht="12.75">
      <c r="A68" s="5"/>
      <c r="B68" s="44"/>
      <c r="C68" s="44"/>
      <c r="D68" s="87"/>
      <c r="E68" s="87"/>
      <c r="F68" s="87"/>
      <c r="G68" s="87"/>
      <c r="H68" s="87"/>
      <c r="I68" s="87"/>
      <c r="J68" s="87"/>
      <c r="K68" s="80"/>
      <c r="L68" s="5"/>
    </row>
    <row r="69" spans="1:12" ht="15.75">
      <c r="A69" s="5"/>
      <c r="B69" s="41" t="s">
        <v>45</v>
      </c>
      <c r="C69" s="86" t="s">
        <v>10</v>
      </c>
      <c r="D69" s="42"/>
      <c r="E69" s="42">
        <v>79986.38500000001</v>
      </c>
      <c r="F69" s="42">
        <v>27185</v>
      </c>
      <c r="G69" s="42">
        <v>0</v>
      </c>
      <c r="H69" s="42">
        <v>0</v>
      </c>
      <c r="I69" s="42">
        <v>0</v>
      </c>
      <c r="J69" s="42"/>
      <c r="K69" s="42"/>
      <c r="L69" s="46">
        <f>SUM(D69:K69)</f>
        <v>107171.38500000001</v>
      </c>
    </row>
    <row r="70" spans="1:12" ht="12.75">
      <c r="A70" s="5"/>
      <c r="B70" s="44"/>
      <c r="C70" s="44"/>
      <c r="D70" s="178"/>
      <c r="E70" s="178"/>
      <c r="F70" s="178"/>
      <c r="G70" s="178"/>
      <c r="H70" s="178"/>
      <c r="I70" s="178"/>
      <c r="J70" s="178"/>
      <c r="K70" s="80"/>
      <c r="L70" s="5"/>
    </row>
    <row r="71" spans="1:12" ht="15.75">
      <c r="A71" s="5"/>
      <c r="B71" s="41" t="s">
        <v>46</v>
      </c>
      <c r="C71" s="86" t="s">
        <v>10</v>
      </c>
      <c r="D71" s="42"/>
      <c r="E71" s="42">
        <v>319637.71499999997</v>
      </c>
      <c r="F71" s="42">
        <v>84559</v>
      </c>
      <c r="G71" s="42">
        <v>982787.55</v>
      </c>
      <c r="H71" s="42">
        <v>113461.86</v>
      </c>
      <c r="I71" s="42">
        <v>2913744.27</v>
      </c>
      <c r="J71" s="42">
        <f>1344041.16-146880-625961.22</f>
        <v>571199.94</v>
      </c>
      <c r="K71" s="42"/>
      <c r="L71" s="46">
        <f>SUM(D71:K71)</f>
        <v>4985390.335000001</v>
      </c>
    </row>
    <row r="72" spans="1:12" ht="12.75">
      <c r="A72" s="5"/>
      <c r="B72" s="44" t="s">
        <v>47</v>
      </c>
      <c r="C72" s="44"/>
      <c r="D72" s="178"/>
      <c r="E72" s="178"/>
      <c r="F72" s="178"/>
      <c r="G72" s="178"/>
      <c r="H72" s="178"/>
      <c r="I72" s="178"/>
      <c r="J72" s="178"/>
      <c r="K72" s="80"/>
      <c r="L72" s="5"/>
    </row>
    <row r="73" spans="1:12" ht="13.5" thickBot="1">
      <c r="A73" s="5"/>
      <c r="B73" s="41" t="s">
        <v>48</v>
      </c>
      <c r="C73" s="41"/>
      <c r="D73" s="45">
        <f aca="true" t="shared" si="12" ref="D73:L73">SUM(D67,D69,D71)</f>
        <v>0</v>
      </c>
      <c r="E73" s="45">
        <f t="shared" si="12"/>
        <v>453257.79</v>
      </c>
      <c r="F73" s="45">
        <f t="shared" si="12"/>
        <v>164875</v>
      </c>
      <c r="G73" s="45">
        <f t="shared" si="12"/>
        <v>987925.26</v>
      </c>
      <c r="H73" s="45">
        <f t="shared" si="12"/>
        <v>113461.86</v>
      </c>
      <c r="I73" s="45">
        <f t="shared" si="12"/>
        <v>3554468.79</v>
      </c>
      <c r="J73" s="45">
        <f t="shared" si="12"/>
        <v>625599.94</v>
      </c>
      <c r="K73" s="45">
        <f t="shared" si="12"/>
        <v>0</v>
      </c>
      <c r="L73" s="45">
        <f t="shared" si="12"/>
        <v>5899588.640000001</v>
      </c>
    </row>
    <row r="74" spans="1:12" ht="12.75">
      <c r="A74" s="5"/>
      <c r="B74" s="41"/>
      <c r="C74" s="41"/>
      <c r="D74" s="47"/>
      <c r="E74" s="47"/>
      <c r="F74" s="47"/>
      <c r="G74" s="47"/>
      <c r="H74" s="47"/>
      <c r="I74" s="47"/>
      <c r="J74" s="47"/>
      <c r="K74" s="47"/>
      <c r="L74" s="47"/>
    </row>
    <row r="75" spans="1:12" ht="12.75">
      <c r="A75" s="5"/>
      <c r="B75" s="48"/>
      <c r="C75" s="48"/>
      <c r="D75" s="5"/>
      <c r="E75" s="5"/>
      <c r="F75" s="5"/>
      <c r="G75" s="5"/>
      <c r="H75" s="5"/>
      <c r="I75" s="5"/>
      <c r="J75" s="5"/>
      <c r="K75" s="5"/>
      <c r="L75" s="5"/>
    </row>
    <row r="76" spans="1:12" ht="26.25">
      <c r="A76" s="5"/>
      <c r="B76" s="39" t="s">
        <v>49</v>
      </c>
      <c r="C76" s="39"/>
      <c r="D76" s="24">
        <f>D4</f>
        <v>2006</v>
      </c>
      <c r="E76" s="24">
        <f aca="true" t="shared" si="13" ref="E76:K76">E4</f>
        <v>2007</v>
      </c>
      <c r="F76" s="163" t="s">
        <v>280</v>
      </c>
      <c r="G76" s="24">
        <f t="shared" si="13"/>
        <v>2008</v>
      </c>
      <c r="H76" s="24">
        <f t="shared" si="13"/>
        <v>2009</v>
      </c>
      <c r="I76" s="24">
        <f t="shared" si="13"/>
        <v>2010</v>
      </c>
      <c r="J76" s="24">
        <f t="shared" si="13"/>
        <v>2011</v>
      </c>
      <c r="K76" s="24" t="str">
        <f t="shared" si="13"/>
        <v>Later</v>
      </c>
      <c r="L76" s="24" t="s">
        <v>16</v>
      </c>
    </row>
    <row r="77" spans="1:12" ht="18">
      <c r="A77" s="5"/>
      <c r="B77" s="39"/>
      <c r="C77" s="39"/>
      <c r="D77" s="24" t="str">
        <f>D5</f>
        <v>Audited Actual</v>
      </c>
      <c r="E77" s="24" t="str">
        <f aca="true" t="shared" si="14" ref="E77:K77">E5</f>
        <v>Audited Actual</v>
      </c>
      <c r="F77" s="24"/>
      <c r="G77" s="24" t="str">
        <f t="shared" si="14"/>
        <v>Audited Actual</v>
      </c>
      <c r="H77" s="24" t="str">
        <f t="shared" si="14"/>
        <v>Audited Actual</v>
      </c>
      <c r="I77" s="24" t="str">
        <f t="shared" si="14"/>
        <v>Forecasted</v>
      </c>
      <c r="J77" s="24" t="str">
        <f t="shared" si="14"/>
        <v>Forecasted</v>
      </c>
      <c r="K77" s="24" t="str">
        <f t="shared" si="14"/>
        <v>Forecasted</v>
      </c>
      <c r="L77" s="24"/>
    </row>
    <row r="78" spans="1:12" ht="15.75">
      <c r="A78" s="5"/>
      <c r="B78" s="41" t="s">
        <v>50</v>
      </c>
      <c r="C78" s="86" t="s">
        <v>210</v>
      </c>
      <c r="D78" s="42"/>
      <c r="E78" s="42"/>
      <c r="F78" s="42"/>
      <c r="G78" s="42"/>
      <c r="H78" s="42"/>
      <c r="I78" s="42"/>
      <c r="J78" s="42"/>
      <c r="K78" s="42"/>
      <c r="L78" s="46">
        <f>SUM(D78:K78)</f>
        <v>0</v>
      </c>
    </row>
    <row r="79" spans="1:12" ht="12.75">
      <c r="A79" s="5"/>
      <c r="B79" s="40"/>
      <c r="C79" s="40"/>
      <c r="D79" s="5"/>
      <c r="E79" s="24"/>
      <c r="F79" s="24"/>
      <c r="G79" s="24"/>
      <c r="H79" s="5"/>
      <c r="I79" s="5"/>
      <c r="J79" s="5"/>
      <c r="K79" s="5"/>
      <c r="L79" s="5"/>
    </row>
    <row r="80" spans="1:12" ht="13.5" thickBot="1">
      <c r="A80" s="5"/>
      <c r="B80" s="41" t="s">
        <v>51</v>
      </c>
      <c r="C80" s="41"/>
      <c r="D80" s="45">
        <f aca="true" t="shared" si="15" ref="D80:L80">SUM(D78)</f>
        <v>0</v>
      </c>
      <c r="E80" s="45">
        <f t="shared" si="15"/>
        <v>0</v>
      </c>
      <c r="F80" s="45">
        <f t="shared" si="15"/>
        <v>0</v>
      </c>
      <c r="G80" s="45">
        <f t="shared" si="15"/>
        <v>0</v>
      </c>
      <c r="H80" s="45">
        <f t="shared" si="15"/>
        <v>0</v>
      </c>
      <c r="I80" s="45">
        <f t="shared" si="15"/>
        <v>0</v>
      </c>
      <c r="J80" s="45">
        <f t="shared" si="15"/>
        <v>0</v>
      </c>
      <c r="K80" s="45">
        <f t="shared" si="15"/>
        <v>0</v>
      </c>
      <c r="L80" s="45">
        <f t="shared" si="15"/>
        <v>0</v>
      </c>
    </row>
    <row r="81" spans="1:12" ht="12.75">
      <c r="A81" s="5"/>
      <c r="B81" s="41"/>
      <c r="C81" s="41"/>
      <c r="D81" s="47"/>
      <c r="E81" s="47"/>
      <c r="F81" s="47"/>
      <c r="G81" s="47"/>
      <c r="H81" s="47"/>
      <c r="I81" s="47"/>
      <c r="J81" s="47"/>
      <c r="K81" s="47"/>
      <c r="L81" s="47"/>
    </row>
    <row r="82" spans="1:12" ht="12.75">
      <c r="A82" s="5"/>
      <c r="B82" s="48"/>
      <c r="C82" s="48"/>
      <c r="D82" s="5"/>
      <c r="E82" s="5"/>
      <c r="F82" s="5"/>
      <c r="G82" s="5"/>
      <c r="H82" s="5"/>
      <c r="I82" s="5"/>
      <c r="J82" s="5"/>
      <c r="K82" s="5"/>
      <c r="L82" s="5"/>
    </row>
    <row r="83" spans="1:12" ht="26.25">
      <c r="A83" s="5"/>
      <c r="B83" s="39" t="s">
        <v>52</v>
      </c>
      <c r="C83" s="39"/>
      <c r="D83" s="24">
        <f>D4</f>
        <v>2006</v>
      </c>
      <c r="E83" s="24">
        <f aca="true" t="shared" si="16" ref="E83:K83">E4</f>
        <v>2007</v>
      </c>
      <c r="F83" s="163" t="s">
        <v>280</v>
      </c>
      <c r="G83" s="24">
        <f t="shared" si="16"/>
        <v>2008</v>
      </c>
      <c r="H83" s="24">
        <f t="shared" si="16"/>
        <v>2009</v>
      </c>
      <c r="I83" s="24">
        <f t="shared" si="16"/>
        <v>2010</v>
      </c>
      <c r="J83" s="24">
        <f t="shared" si="16"/>
        <v>2011</v>
      </c>
      <c r="K83" s="24" t="str">
        <f t="shared" si="16"/>
        <v>Later</v>
      </c>
      <c r="L83" s="24" t="s">
        <v>16</v>
      </c>
    </row>
    <row r="84" spans="1:12" ht="18">
      <c r="A84" s="5"/>
      <c r="B84" s="39"/>
      <c r="C84" s="39"/>
      <c r="D84" s="24" t="str">
        <f>D5</f>
        <v>Audited Actual</v>
      </c>
      <c r="E84" s="24" t="str">
        <f aca="true" t="shared" si="17" ref="E84:K84">E5</f>
        <v>Audited Actual</v>
      </c>
      <c r="F84" s="24"/>
      <c r="G84" s="24" t="str">
        <f t="shared" si="17"/>
        <v>Audited Actual</v>
      </c>
      <c r="H84" s="24" t="str">
        <f t="shared" si="17"/>
        <v>Audited Actual</v>
      </c>
      <c r="I84" s="24" t="str">
        <f t="shared" si="17"/>
        <v>Forecasted</v>
      </c>
      <c r="J84" s="24" t="str">
        <f t="shared" si="17"/>
        <v>Forecasted</v>
      </c>
      <c r="K84" s="24" t="str">
        <f t="shared" si="17"/>
        <v>Forecasted</v>
      </c>
      <c r="L84" s="24"/>
    </row>
    <row r="85" spans="1:12" ht="15.75">
      <c r="A85" s="5"/>
      <c r="B85" s="41" t="s">
        <v>53</v>
      </c>
      <c r="C85" s="86" t="s">
        <v>209</v>
      </c>
      <c r="D85" s="42"/>
      <c r="E85" s="42"/>
      <c r="F85" s="42"/>
      <c r="G85" s="42"/>
      <c r="H85" s="42"/>
      <c r="I85" s="42"/>
      <c r="J85" s="42"/>
      <c r="K85" s="42"/>
      <c r="L85" s="46">
        <f>SUM(D85:K85)</f>
        <v>0</v>
      </c>
    </row>
    <row r="86" spans="1:12" ht="12.75">
      <c r="A86" s="5"/>
      <c r="B86" s="44"/>
      <c r="C86" s="44"/>
      <c r="D86" s="178"/>
      <c r="E86" s="178"/>
      <c r="F86" s="178"/>
      <c r="G86" s="178"/>
      <c r="H86" s="178"/>
      <c r="I86" s="178"/>
      <c r="J86" s="178"/>
      <c r="K86" s="80"/>
      <c r="L86" s="5"/>
    </row>
    <row r="87" spans="1:12" ht="15.75">
      <c r="A87" s="5"/>
      <c r="B87" s="41" t="s">
        <v>54</v>
      </c>
      <c r="C87" s="86" t="s">
        <v>10</v>
      </c>
      <c r="D87" s="42"/>
      <c r="E87" s="42"/>
      <c r="F87" s="42"/>
      <c r="G87" s="42"/>
      <c r="H87" s="42"/>
      <c r="I87" s="42"/>
      <c r="J87" s="42">
        <v>233920</v>
      </c>
      <c r="K87" s="42"/>
      <c r="L87" s="46">
        <f>SUM(D87:K87)</f>
        <v>233920</v>
      </c>
    </row>
    <row r="88" spans="1:12" ht="12.75">
      <c r="A88" s="5"/>
      <c r="B88" s="44"/>
      <c r="C88" s="44"/>
      <c r="D88" s="178"/>
      <c r="E88" s="178"/>
      <c r="F88" s="178"/>
      <c r="G88" s="178"/>
      <c r="H88" s="178"/>
      <c r="I88" s="178"/>
      <c r="J88" s="178"/>
      <c r="K88" s="80"/>
      <c r="L88" s="5"/>
    </row>
    <row r="89" spans="1:12" ht="15.75">
      <c r="A89" s="5"/>
      <c r="B89" s="41" t="s">
        <v>55</v>
      </c>
      <c r="C89" s="86" t="s">
        <v>10</v>
      </c>
      <c r="D89" s="42"/>
      <c r="E89" s="42"/>
      <c r="F89" s="42"/>
      <c r="G89" s="42"/>
      <c r="H89" s="42"/>
      <c r="I89" s="42"/>
      <c r="J89" s="42"/>
      <c r="K89" s="42"/>
      <c r="L89" s="46">
        <f>SUM(D89:K89)</f>
        <v>0</v>
      </c>
    </row>
    <row r="90" spans="1:12" ht="12.75">
      <c r="A90" s="5"/>
      <c r="B90" s="44"/>
      <c r="C90" s="44"/>
      <c r="D90" s="178"/>
      <c r="E90" s="178"/>
      <c r="F90" s="178"/>
      <c r="G90" s="178"/>
      <c r="H90" s="178"/>
      <c r="I90" s="178"/>
      <c r="J90" s="178"/>
      <c r="K90" s="80"/>
      <c r="L90" s="5"/>
    </row>
    <row r="91" spans="1:12" ht="15.75">
      <c r="A91" s="5"/>
      <c r="B91" s="41" t="s">
        <v>56</v>
      </c>
      <c r="C91" s="86" t="s">
        <v>10</v>
      </c>
      <c r="D91" s="42"/>
      <c r="E91" s="42"/>
      <c r="F91" s="42"/>
      <c r="G91" s="42"/>
      <c r="H91" s="42"/>
      <c r="I91" s="42"/>
      <c r="J91" s="42">
        <v>938941.83</v>
      </c>
      <c r="K91" s="42"/>
      <c r="L91" s="46">
        <f>SUM(D91:K91)</f>
        <v>938941.83</v>
      </c>
    </row>
    <row r="92" spans="1:12" ht="12.75">
      <c r="A92" s="5"/>
      <c r="B92" s="44"/>
      <c r="C92" s="44"/>
      <c r="D92" s="178"/>
      <c r="E92" s="178"/>
      <c r="F92" s="178"/>
      <c r="G92" s="178"/>
      <c r="H92" s="178"/>
      <c r="I92" s="178"/>
      <c r="J92" s="178"/>
      <c r="K92" s="80"/>
      <c r="L92" s="5"/>
    </row>
    <row r="93" spans="1:12" ht="15.75">
      <c r="A93" s="5"/>
      <c r="B93" s="41" t="s">
        <v>57</v>
      </c>
      <c r="C93" s="86" t="s">
        <v>10</v>
      </c>
      <c r="D93" s="42"/>
      <c r="E93" s="42"/>
      <c r="F93" s="42"/>
      <c r="G93" s="42"/>
      <c r="H93" s="42"/>
      <c r="I93" s="42"/>
      <c r="J93" s="42"/>
      <c r="K93" s="42"/>
      <c r="L93" s="46">
        <f>SUM(D93:K93)</f>
        <v>0</v>
      </c>
    </row>
    <row r="94" spans="1:12" ht="12.75">
      <c r="A94" s="5"/>
      <c r="B94" s="44"/>
      <c r="D94" s="178"/>
      <c r="E94" s="178"/>
      <c r="F94" s="178"/>
      <c r="G94" s="178"/>
      <c r="H94" s="178"/>
      <c r="I94" s="178"/>
      <c r="J94" s="178"/>
      <c r="K94" s="80"/>
      <c r="L94" s="5"/>
    </row>
    <row r="95" spans="1:12" ht="15.75">
      <c r="A95" s="5"/>
      <c r="B95" s="41" t="s">
        <v>58</v>
      </c>
      <c r="C95" s="86" t="s">
        <v>10</v>
      </c>
      <c r="D95" s="42"/>
      <c r="E95" s="42"/>
      <c r="F95" s="42"/>
      <c r="G95" s="42"/>
      <c r="H95" s="42"/>
      <c r="I95" s="42"/>
      <c r="J95" s="42"/>
      <c r="K95" s="42"/>
      <c r="L95" s="46">
        <f>SUM(D95:K95)</f>
        <v>0</v>
      </c>
    </row>
    <row r="96" spans="1:12" ht="12.75">
      <c r="A96" s="5"/>
      <c r="B96" s="44"/>
      <c r="D96" s="178"/>
      <c r="E96" s="178"/>
      <c r="F96" s="178"/>
      <c r="G96" s="178"/>
      <c r="H96" s="178"/>
      <c r="I96" s="178"/>
      <c r="J96" s="178"/>
      <c r="K96" s="80"/>
      <c r="L96" s="5"/>
    </row>
    <row r="97" spans="1:12" ht="13.5" thickBot="1">
      <c r="A97" s="5"/>
      <c r="B97" s="41" t="s">
        <v>59</v>
      </c>
      <c r="C97" s="41"/>
      <c r="D97" s="45">
        <f aca="true" t="shared" si="18" ref="D97:L97">SUM(D85,D87,D89,D91,D95,D93)</f>
        <v>0</v>
      </c>
      <c r="E97" s="45">
        <f t="shared" si="18"/>
        <v>0</v>
      </c>
      <c r="F97" s="45">
        <f t="shared" si="18"/>
        <v>0</v>
      </c>
      <c r="G97" s="45">
        <f t="shared" si="18"/>
        <v>0</v>
      </c>
      <c r="H97" s="45">
        <f t="shared" si="18"/>
        <v>0</v>
      </c>
      <c r="I97" s="45">
        <f t="shared" si="18"/>
        <v>0</v>
      </c>
      <c r="J97" s="45">
        <f t="shared" si="18"/>
        <v>1172861.83</v>
      </c>
      <c r="K97" s="45">
        <f t="shared" si="18"/>
        <v>0</v>
      </c>
      <c r="L97" s="45">
        <f t="shared" si="18"/>
        <v>1172861.83</v>
      </c>
    </row>
    <row r="98" spans="1:12" ht="12.75">
      <c r="A98" s="5"/>
      <c r="B98" s="34"/>
      <c r="C98" s="34"/>
      <c r="D98" s="47"/>
      <c r="E98" s="47"/>
      <c r="F98" s="47"/>
      <c r="G98" s="47"/>
      <c r="H98" s="47"/>
      <c r="I98" s="47"/>
      <c r="J98" s="47"/>
      <c r="K98" s="47"/>
      <c r="L98" s="47"/>
    </row>
    <row r="99" spans="1:12" ht="18.75" thickBot="1">
      <c r="A99" s="5"/>
      <c r="B99" s="28" t="s">
        <v>60</v>
      </c>
      <c r="C99" s="28"/>
      <c r="D99" s="49">
        <f aca="true" t="shared" si="19" ref="D99:K99">SUM(D48,D62,D80,D97,D73)</f>
        <v>13533219.143001677</v>
      </c>
      <c r="E99" s="49">
        <f t="shared" si="19"/>
        <v>14286423.117652621</v>
      </c>
      <c r="F99" s="49">
        <f t="shared" si="19"/>
        <v>15724469</v>
      </c>
      <c r="G99" s="49">
        <f t="shared" si="19"/>
        <v>14572476.749999998</v>
      </c>
      <c r="H99" s="49">
        <f t="shared" si="19"/>
        <v>7105841.960000002</v>
      </c>
      <c r="I99" s="49">
        <f t="shared" si="19"/>
        <v>5882286.44</v>
      </c>
      <c r="J99" s="49">
        <f t="shared" si="19"/>
        <v>2455815.89</v>
      </c>
      <c r="K99" s="49">
        <f t="shared" si="19"/>
        <v>0</v>
      </c>
      <c r="L99" s="49">
        <f>SUM(L48,L62,L80,L97,L73)</f>
        <v>73560532.3006543</v>
      </c>
    </row>
    <row r="100" spans="1:12" ht="13.5" thickTop="1">
      <c r="A100" s="5"/>
      <c r="B100" s="34"/>
      <c r="C100" s="34"/>
      <c r="D100" s="50"/>
      <c r="E100" s="47"/>
      <c r="F100" s="47"/>
      <c r="G100" s="47"/>
      <c r="H100" s="47"/>
      <c r="I100" s="47"/>
      <c r="J100" s="47"/>
      <c r="K100" s="47"/>
      <c r="L100" s="47"/>
    </row>
    <row r="101" spans="2:12" ht="23.25">
      <c r="B101" s="38" t="s">
        <v>61</v>
      </c>
      <c r="C101" s="38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8">
      <c r="A102" s="5"/>
      <c r="B102" s="39" t="s">
        <v>62</v>
      </c>
      <c r="C102" s="39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25.5">
      <c r="A103" s="5"/>
      <c r="B103" s="40"/>
      <c r="C103" s="40"/>
      <c r="D103" s="24">
        <f>D4</f>
        <v>2006</v>
      </c>
      <c r="E103" s="24">
        <f aca="true" t="shared" si="20" ref="E103:K103">E4</f>
        <v>2007</v>
      </c>
      <c r="F103" s="163" t="s">
        <v>280</v>
      </c>
      <c r="G103" s="24">
        <f t="shared" si="20"/>
        <v>2008</v>
      </c>
      <c r="H103" s="24">
        <f t="shared" si="20"/>
        <v>2009</v>
      </c>
      <c r="I103" s="24">
        <f t="shared" si="20"/>
        <v>2010</v>
      </c>
      <c r="J103" s="24">
        <f t="shared" si="20"/>
        <v>2011</v>
      </c>
      <c r="K103" s="24" t="str">
        <f t="shared" si="20"/>
        <v>Later</v>
      </c>
      <c r="L103" s="24" t="s">
        <v>16</v>
      </c>
    </row>
    <row r="104" spans="1:12" ht="12.75">
      <c r="A104" s="5"/>
      <c r="B104" s="40"/>
      <c r="C104" s="40"/>
      <c r="D104" s="24" t="str">
        <f>D5</f>
        <v>Audited Actual</v>
      </c>
      <c r="E104" s="24" t="str">
        <f aca="true" t="shared" si="21" ref="E104:K104">E5</f>
        <v>Audited Actual</v>
      </c>
      <c r="F104" s="24"/>
      <c r="G104" s="24" t="str">
        <f t="shared" si="21"/>
        <v>Audited Actual</v>
      </c>
      <c r="H104" s="24" t="str">
        <f t="shared" si="21"/>
        <v>Audited Actual</v>
      </c>
      <c r="I104" s="24" t="str">
        <f t="shared" si="21"/>
        <v>Forecasted</v>
      </c>
      <c r="J104" s="24" t="str">
        <f t="shared" si="21"/>
        <v>Forecasted</v>
      </c>
      <c r="K104" s="24" t="str">
        <f t="shared" si="21"/>
        <v>Forecasted</v>
      </c>
      <c r="L104" s="24"/>
    </row>
    <row r="105" spans="1:12" ht="12.75">
      <c r="A105" s="5"/>
      <c r="B105" s="41" t="s">
        <v>63</v>
      </c>
      <c r="C105" s="41"/>
      <c r="D105" s="42"/>
      <c r="E105" s="42"/>
      <c r="F105" s="42"/>
      <c r="G105" s="42">
        <v>32720.16</v>
      </c>
      <c r="H105" s="42">
        <v>33430.36</v>
      </c>
      <c r="I105" s="42">
        <v>41485.89</v>
      </c>
      <c r="J105" s="42">
        <v>241757.16</v>
      </c>
      <c r="K105" s="42"/>
      <c r="L105" s="46">
        <f>SUM(D105:K105)</f>
        <v>349393.57</v>
      </c>
    </row>
    <row r="106" spans="1:12" ht="12.75">
      <c r="A106" s="5"/>
      <c r="B106" s="44" t="s">
        <v>64</v>
      </c>
      <c r="C106" s="44"/>
      <c r="D106" s="178"/>
      <c r="E106" s="178"/>
      <c r="F106" s="178"/>
      <c r="G106" s="178"/>
      <c r="H106" s="178"/>
      <c r="I106" s="178"/>
      <c r="J106" s="178"/>
      <c r="K106" s="80"/>
      <c r="L106" s="5"/>
    </row>
    <row r="107" spans="1:12" ht="13.5" thickBot="1">
      <c r="A107" s="5"/>
      <c r="B107" s="41" t="s">
        <v>65</v>
      </c>
      <c r="C107" s="41"/>
      <c r="D107" s="45">
        <f aca="true" t="shared" si="22" ref="D107:L107">SUM(D105)</f>
        <v>0</v>
      </c>
      <c r="E107" s="45">
        <f t="shared" si="22"/>
        <v>0</v>
      </c>
      <c r="F107" s="45">
        <f t="shared" si="22"/>
        <v>0</v>
      </c>
      <c r="G107" s="45">
        <f t="shared" si="22"/>
        <v>32720.16</v>
      </c>
      <c r="H107" s="45">
        <f t="shared" si="22"/>
        <v>33430.36</v>
      </c>
      <c r="I107" s="45">
        <f t="shared" si="22"/>
        <v>41485.89</v>
      </c>
      <c r="J107" s="45">
        <f t="shared" si="22"/>
        <v>241757.16</v>
      </c>
      <c r="K107" s="45">
        <f t="shared" si="22"/>
        <v>0</v>
      </c>
      <c r="L107" s="45">
        <f t="shared" si="22"/>
        <v>349393.57</v>
      </c>
    </row>
    <row r="108" spans="1:12" ht="12.75">
      <c r="A108" s="5"/>
      <c r="B108" s="40"/>
      <c r="C108" s="40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8">
      <c r="A109" s="5"/>
      <c r="B109" s="39" t="s">
        <v>66</v>
      </c>
      <c r="C109" s="39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41" t="s">
        <v>67</v>
      </c>
      <c r="C110" s="41"/>
      <c r="D110" s="42"/>
      <c r="E110" s="42"/>
      <c r="F110" s="42"/>
      <c r="G110" s="42"/>
      <c r="H110" s="42"/>
      <c r="I110" s="42"/>
      <c r="J110" s="42"/>
      <c r="K110" s="42"/>
      <c r="L110" s="46">
        <f>SUM(D110:K110)</f>
        <v>0</v>
      </c>
    </row>
    <row r="111" spans="1:12" ht="12.75">
      <c r="A111" s="5"/>
      <c r="B111" s="44"/>
      <c r="C111" s="44"/>
      <c r="D111" s="178"/>
      <c r="E111" s="178"/>
      <c r="F111" s="178"/>
      <c r="G111" s="178"/>
      <c r="H111" s="178"/>
      <c r="I111" s="178"/>
      <c r="J111" s="178"/>
      <c r="K111" s="80"/>
      <c r="L111" s="5"/>
    </row>
    <row r="112" spans="1:12" ht="12.75">
      <c r="A112" s="5"/>
      <c r="B112" s="40"/>
      <c r="C112" s="40"/>
      <c r="D112" s="5"/>
      <c r="E112" s="24"/>
      <c r="F112" s="24"/>
      <c r="G112" s="24"/>
      <c r="H112" s="5"/>
      <c r="I112" s="5"/>
      <c r="J112" s="5"/>
      <c r="K112" s="5"/>
      <c r="L112" s="5"/>
    </row>
    <row r="113" spans="1:12" ht="13.5" thickBot="1">
      <c r="A113" s="5"/>
      <c r="B113" s="41" t="s">
        <v>42</v>
      </c>
      <c r="C113" s="41"/>
      <c r="D113" s="45">
        <f aca="true" t="shared" si="23" ref="D113:L113">SUM(D110)</f>
        <v>0</v>
      </c>
      <c r="E113" s="45">
        <f t="shared" si="23"/>
        <v>0</v>
      </c>
      <c r="F113" s="45">
        <f t="shared" si="23"/>
        <v>0</v>
      </c>
      <c r="G113" s="45">
        <f t="shared" si="23"/>
        <v>0</v>
      </c>
      <c r="H113" s="45">
        <f t="shared" si="23"/>
        <v>0</v>
      </c>
      <c r="I113" s="45">
        <f t="shared" si="23"/>
        <v>0</v>
      </c>
      <c r="J113" s="45">
        <f t="shared" si="23"/>
        <v>0</v>
      </c>
      <c r="K113" s="45">
        <f t="shared" si="23"/>
        <v>0</v>
      </c>
      <c r="L113" s="45">
        <f t="shared" si="23"/>
        <v>0</v>
      </c>
    </row>
    <row r="114" spans="1:12" ht="12.75">
      <c r="A114" s="5"/>
      <c r="B114" s="41"/>
      <c r="C114" s="41"/>
      <c r="D114" s="47"/>
      <c r="E114" s="47"/>
      <c r="F114" s="47"/>
      <c r="G114" s="47"/>
      <c r="H114" s="47"/>
      <c r="I114" s="47"/>
      <c r="J114" s="47"/>
      <c r="K114" s="47"/>
      <c r="L114" s="47"/>
    </row>
    <row r="115" spans="1:12" ht="18">
      <c r="A115" s="5"/>
      <c r="B115" s="39" t="s">
        <v>68</v>
      </c>
      <c r="C115" s="39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41" t="s">
        <v>69</v>
      </c>
      <c r="C116" s="41"/>
      <c r="D116" s="42"/>
      <c r="E116" s="42">
        <v>209.52</v>
      </c>
      <c r="F116" s="42"/>
      <c r="G116" s="42">
        <v>2841.56</v>
      </c>
      <c r="H116" s="42">
        <v>1983.49</v>
      </c>
      <c r="I116" s="42">
        <v>0</v>
      </c>
      <c r="J116" s="42">
        <v>0</v>
      </c>
      <c r="K116" s="42"/>
      <c r="L116" s="46">
        <f>SUM(D116:K116)</f>
        <v>5034.57</v>
      </c>
    </row>
    <row r="117" spans="1:12" ht="12.75">
      <c r="A117" s="5"/>
      <c r="B117" s="44" t="s">
        <v>70</v>
      </c>
      <c r="C117" s="44"/>
      <c r="D117" s="178"/>
      <c r="E117" s="178"/>
      <c r="F117" s="178"/>
      <c r="G117" s="178"/>
      <c r="H117" s="178"/>
      <c r="I117" s="178"/>
      <c r="J117" s="178"/>
      <c r="K117" s="80"/>
      <c r="L117" s="5"/>
    </row>
    <row r="118" spans="1:12" ht="12.75">
      <c r="A118" s="5"/>
      <c r="B118" s="40"/>
      <c r="C118" s="40"/>
      <c r="D118" s="24"/>
      <c r="E118" s="24"/>
      <c r="F118" s="24"/>
      <c r="G118" s="24"/>
      <c r="H118" s="24"/>
      <c r="I118" s="24"/>
      <c r="J118" s="24"/>
      <c r="K118" s="24"/>
      <c r="L118" s="5"/>
    </row>
    <row r="119" spans="1:12" ht="12.75">
      <c r="A119" s="5"/>
      <c r="B119" s="41" t="s">
        <v>71</v>
      </c>
      <c r="C119" s="41"/>
      <c r="D119" s="42"/>
      <c r="E119" s="42">
        <v>92699.73</v>
      </c>
      <c r="F119" s="42"/>
      <c r="G119" s="42">
        <v>75905.22</v>
      </c>
      <c r="H119" s="42">
        <v>179037.06</v>
      </c>
      <c r="I119" s="42">
        <v>641338.31</v>
      </c>
      <c r="J119" s="42">
        <v>699000</v>
      </c>
      <c r="K119" s="42"/>
      <c r="L119" s="46">
        <f>SUM(D119:K119)</f>
        <v>1687980.32</v>
      </c>
    </row>
    <row r="120" spans="1:12" ht="12.75">
      <c r="A120" s="5"/>
      <c r="B120" s="44" t="s">
        <v>72</v>
      </c>
      <c r="C120" s="44"/>
      <c r="D120" s="178"/>
      <c r="E120" s="178"/>
      <c r="F120" s="178"/>
      <c r="G120" s="178"/>
      <c r="H120" s="178"/>
      <c r="I120" s="178"/>
      <c r="J120" s="178"/>
      <c r="K120" s="80"/>
      <c r="L120" s="5"/>
    </row>
    <row r="121" spans="1:12" ht="12.75">
      <c r="A121" s="5"/>
      <c r="B121" s="40"/>
      <c r="C121" s="40"/>
      <c r="D121" s="5"/>
      <c r="E121" s="24"/>
      <c r="F121" s="24"/>
      <c r="G121" s="24"/>
      <c r="H121" s="5"/>
      <c r="I121" s="5"/>
      <c r="J121" s="5"/>
      <c r="K121" s="5"/>
      <c r="L121" s="5"/>
    </row>
    <row r="122" spans="1:12" ht="13.5" thickBot="1">
      <c r="A122" s="5"/>
      <c r="B122" s="41" t="s">
        <v>48</v>
      </c>
      <c r="C122" s="41"/>
      <c r="D122" s="45">
        <f aca="true" t="shared" si="24" ref="D122:L122">SUM(D116,D119)</f>
        <v>0</v>
      </c>
      <c r="E122" s="45">
        <f t="shared" si="24"/>
        <v>92909.25</v>
      </c>
      <c r="F122" s="45">
        <f t="shared" si="24"/>
        <v>0</v>
      </c>
      <c r="G122" s="45">
        <f t="shared" si="24"/>
        <v>78746.78</v>
      </c>
      <c r="H122" s="45">
        <f t="shared" si="24"/>
        <v>181020.55</v>
      </c>
      <c r="I122" s="45">
        <f t="shared" si="24"/>
        <v>641338.31</v>
      </c>
      <c r="J122" s="45">
        <f t="shared" si="24"/>
        <v>699000</v>
      </c>
      <c r="K122" s="45">
        <f t="shared" si="24"/>
        <v>0</v>
      </c>
      <c r="L122" s="45">
        <f t="shared" si="24"/>
        <v>1693014.8900000001</v>
      </c>
    </row>
    <row r="123" spans="1:12" ht="12.75">
      <c r="A123" s="5"/>
      <c r="B123" s="41"/>
      <c r="C123" s="41"/>
      <c r="D123" s="47"/>
      <c r="E123" s="47"/>
      <c r="F123" s="47"/>
      <c r="G123" s="47"/>
      <c r="H123" s="47"/>
      <c r="I123" s="47"/>
      <c r="J123" s="47"/>
      <c r="K123" s="47"/>
      <c r="L123" s="47"/>
    </row>
    <row r="124" spans="1:12" ht="18">
      <c r="A124" s="5"/>
      <c r="B124" s="39" t="s">
        <v>73</v>
      </c>
      <c r="C124" s="39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40"/>
      <c r="C125" s="40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5"/>
      <c r="B126" s="41" t="s">
        <v>74</v>
      </c>
      <c r="C126" s="41"/>
      <c r="D126" s="42"/>
      <c r="E126" s="42">
        <v>201153.49</v>
      </c>
      <c r="F126" s="42">
        <v>32806</v>
      </c>
      <c r="G126" s="42">
        <v>366373.17</v>
      </c>
      <c r="H126" s="42">
        <v>356331.94</v>
      </c>
      <c r="I126" s="42">
        <v>457783.92000000004</v>
      </c>
      <c r="J126" s="42">
        <v>321560</v>
      </c>
      <c r="K126" s="42"/>
      <c r="L126" s="46">
        <f>SUM(D126:K126)</f>
        <v>1736008.52</v>
      </c>
    </row>
    <row r="127" spans="1:12" ht="12.75">
      <c r="A127" s="5"/>
      <c r="B127" s="44" t="s">
        <v>75</v>
      </c>
      <c r="C127" s="44"/>
      <c r="D127" s="178"/>
      <c r="E127" s="178"/>
      <c r="F127" s="178"/>
      <c r="G127" s="178"/>
      <c r="H127" s="178"/>
      <c r="I127" s="178"/>
      <c r="J127" s="178"/>
      <c r="K127" s="80"/>
      <c r="L127" s="5"/>
    </row>
    <row r="128" spans="1:12" ht="12.75">
      <c r="A128" s="5"/>
      <c r="B128" s="40"/>
      <c r="C128" s="40"/>
      <c r="D128" s="5"/>
      <c r="E128" s="24"/>
      <c r="F128" s="24"/>
      <c r="G128" s="24"/>
      <c r="H128" s="5"/>
      <c r="I128" s="5"/>
      <c r="J128" s="5"/>
      <c r="K128" s="5"/>
      <c r="L128" s="5"/>
    </row>
    <row r="129" spans="1:12" ht="13.5" thickBot="1">
      <c r="A129" s="5"/>
      <c r="B129" s="41" t="s">
        <v>76</v>
      </c>
      <c r="C129" s="41"/>
      <c r="D129" s="45">
        <f aca="true" t="shared" si="25" ref="D129:L129">SUM(D126)</f>
        <v>0</v>
      </c>
      <c r="E129" s="45">
        <f t="shared" si="25"/>
        <v>201153.49</v>
      </c>
      <c r="F129" s="45">
        <f t="shared" si="25"/>
        <v>32806</v>
      </c>
      <c r="G129" s="45">
        <f t="shared" si="25"/>
        <v>366373.17</v>
      </c>
      <c r="H129" s="45">
        <f t="shared" si="25"/>
        <v>356331.94</v>
      </c>
      <c r="I129" s="45">
        <f t="shared" si="25"/>
        <v>457783.92000000004</v>
      </c>
      <c r="J129" s="45">
        <f t="shared" si="25"/>
        <v>321560</v>
      </c>
      <c r="K129" s="45">
        <f t="shared" si="25"/>
        <v>0</v>
      </c>
      <c r="L129" s="45">
        <f t="shared" si="25"/>
        <v>1736008.52</v>
      </c>
    </row>
    <row r="130" spans="1:12" ht="12.75">
      <c r="A130" s="5"/>
      <c r="B130" s="41"/>
      <c r="C130" s="41"/>
      <c r="D130" s="47"/>
      <c r="E130" s="47"/>
      <c r="F130" s="47"/>
      <c r="G130" s="47"/>
      <c r="H130" s="47"/>
      <c r="I130" s="47"/>
      <c r="J130" s="47"/>
      <c r="K130" s="47"/>
      <c r="L130" s="47"/>
    </row>
    <row r="131" spans="1:12" ht="18">
      <c r="A131" s="5"/>
      <c r="B131" s="39" t="s">
        <v>77</v>
      </c>
      <c r="C131" s="39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41" t="s">
        <v>78</v>
      </c>
      <c r="C132" s="41"/>
      <c r="D132" s="42"/>
      <c r="E132" s="42">
        <v>109041.75258436197</v>
      </c>
      <c r="F132" s="42">
        <f>172969*E132/(+E136+E140+E132)</f>
        <v>74976.47510621756</v>
      </c>
      <c r="G132" s="42">
        <v>42344.51280976448</v>
      </c>
      <c r="H132" s="42">
        <v>204559.8237741748</v>
      </c>
      <c r="I132" s="42">
        <v>60455.30664886156</v>
      </c>
      <c r="J132" s="42">
        <v>100000</v>
      </c>
      <c r="K132" s="42"/>
      <c r="L132" s="46">
        <f>SUM(D132:K132)</f>
        <v>591377.8709233804</v>
      </c>
    </row>
    <row r="133" spans="1:12" ht="12.75">
      <c r="A133" s="5"/>
      <c r="B133" s="44"/>
      <c r="C133" s="44"/>
      <c r="D133" s="178"/>
      <c r="E133" s="178"/>
      <c r="F133" s="178"/>
      <c r="G133" s="178"/>
      <c r="H133" s="178"/>
      <c r="I133" s="178"/>
      <c r="J133" s="178"/>
      <c r="K133" s="80"/>
      <c r="L133" s="5"/>
    </row>
    <row r="134" spans="1:12" ht="12.75">
      <c r="A134" s="5"/>
      <c r="B134" s="41" t="s">
        <v>79</v>
      </c>
      <c r="C134" s="41"/>
      <c r="D134" s="42"/>
      <c r="E134" s="42">
        <v>54995.20999999999</v>
      </c>
      <c r="F134" s="42">
        <v>15349</v>
      </c>
      <c r="G134" s="42">
        <v>53138</v>
      </c>
      <c r="H134" s="42">
        <v>4892.59</v>
      </c>
      <c r="I134" s="42">
        <v>176178.77</v>
      </c>
      <c r="J134" s="42">
        <v>921000</v>
      </c>
      <c r="K134" s="42"/>
      <c r="L134" s="46">
        <f>SUM(D134:K134)</f>
        <v>1225553.5699999998</v>
      </c>
    </row>
    <row r="135" spans="1:12" ht="12.75">
      <c r="A135" s="5"/>
      <c r="B135" s="44" t="s">
        <v>80</v>
      </c>
      <c r="C135" s="44"/>
      <c r="D135" s="178"/>
      <c r="E135" s="178"/>
      <c r="F135" s="178"/>
      <c r="G135" s="178"/>
      <c r="H135" s="178"/>
      <c r="I135" s="178"/>
      <c r="J135" s="178"/>
      <c r="K135" s="80"/>
      <c r="L135" s="5"/>
    </row>
    <row r="136" spans="1:12" ht="12.75">
      <c r="A136" s="5"/>
      <c r="B136" s="41" t="s">
        <v>81</v>
      </c>
      <c r="C136" s="41"/>
      <c r="D136" s="42"/>
      <c r="E136" s="42">
        <v>49834.876463082735</v>
      </c>
      <c r="F136" s="42">
        <f>172969*E136/(E132+E136+E140)</f>
        <v>34266.171315111504</v>
      </c>
      <c r="G136" s="42">
        <v>26799.577712826023</v>
      </c>
      <c r="H136" s="42">
        <v>56501.23110589831</v>
      </c>
      <c r="I136" s="42">
        <v>46549.99247548452</v>
      </c>
      <c r="J136" s="42">
        <v>0</v>
      </c>
      <c r="K136" s="42"/>
      <c r="L136" s="46">
        <f>SUM(D136:K136)</f>
        <v>213951.8490724031</v>
      </c>
    </row>
    <row r="137" spans="1:12" ht="12.75">
      <c r="A137" s="5"/>
      <c r="B137" s="44"/>
      <c r="C137" s="44"/>
      <c r="D137" s="178"/>
      <c r="E137" s="178"/>
      <c r="F137" s="178"/>
      <c r="G137" s="178"/>
      <c r="H137" s="178"/>
      <c r="I137" s="178"/>
      <c r="J137" s="178"/>
      <c r="K137" s="80"/>
      <c r="L137" s="5"/>
    </row>
    <row r="138" spans="1:12" ht="12.75">
      <c r="A138" s="5"/>
      <c r="B138" s="41" t="s">
        <v>82</v>
      </c>
      <c r="C138" s="41"/>
      <c r="D138" s="42"/>
      <c r="E138" s="42">
        <v>2534.7</v>
      </c>
      <c r="F138" s="42"/>
      <c r="G138" s="42">
        <v>8167.41</v>
      </c>
      <c r="H138" s="42">
        <v>97127.29000000001</v>
      </c>
      <c r="I138" s="42">
        <v>199137.69815762786</v>
      </c>
      <c r="J138" s="42"/>
      <c r="K138" s="42"/>
      <c r="L138" s="46">
        <f>SUM(D138:K138)</f>
        <v>306967.09815762786</v>
      </c>
    </row>
    <row r="139" spans="1:12" ht="12.75">
      <c r="A139" s="5"/>
      <c r="B139" s="44" t="s">
        <v>83</v>
      </c>
      <c r="C139" s="44"/>
      <c r="D139" s="178"/>
      <c r="E139" s="178"/>
      <c r="F139" s="178"/>
      <c r="G139" s="178"/>
      <c r="H139" s="178"/>
      <c r="I139" s="178"/>
      <c r="J139" s="178"/>
      <c r="K139" s="80"/>
      <c r="L139" s="5"/>
    </row>
    <row r="140" spans="1:12" ht="12.75">
      <c r="A140" s="5"/>
      <c r="B140" s="41" t="s">
        <v>84</v>
      </c>
      <c r="C140" s="41"/>
      <c r="D140" s="42"/>
      <c r="E140" s="42">
        <v>92680.18095255534</v>
      </c>
      <c r="F140" s="42">
        <f>172969*E140/(E132+E136+E140)</f>
        <v>63726.353578670925</v>
      </c>
      <c r="G140" s="42">
        <v>30346.349477409443</v>
      </c>
      <c r="H140" s="42">
        <v>113454.18511992699</v>
      </c>
      <c r="I140" s="42">
        <v>170833.4627180261</v>
      </c>
      <c r="J140" s="42">
        <v>194146</v>
      </c>
      <c r="K140" s="42"/>
      <c r="L140" s="46">
        <f>SUM(D140:K140)</f>
        <v>665186.5318465888</v>
      </c>
    </row>
    <row r="141" spans="1:12" ht="12.75">
      <c r="A141" s="5"/>
      <c r="B141" s="44"/>
      <c r="C141" s="44"/>
      <c r="D141" s="178"/>
      <c r="E141" s="178"/>
      <c r="F141" s="178"/>
      <c r="G141" s="178"/>
      <c r="H141" s="178"/>
      <c r="I141" s="178"/>
      <c r="J141" s="178"/>
      <c r="K141" s="80"/>
      <c r="L141" s="5"/>
    </row>
    <row r="142" spans="1:12" ht="12.75">
      <c r="A142" s="5"/>
      <c r="B142" s="41" t="s">
        <v>85</v>
      </c>
      <c r="C142" s="41"/>
      <c r="D142" s="42"/>
      <c r="E142" s="42"/>
      <c r="F142" s="42"/>
      <c r="G142" s="42">
        <v>76975.36</v>
      </c>
      <c r="H142" s="42">
        <v>82453.86</v>
      </c>
      <c r="I142" s="42">
        <v>1246.8799999999997</v>
      </c>
      <c r="J142" s="42">
        <v>0</v>
      </c>
      <c r="K142" s="42"/>
      <c r="L142" s="46">
        <f>SUM(D142:K142)</f>
        <v>160676.1</v>
      </c>
    </row>
    <row r="143" spans="1:12" ht="12.75">
      <c r="A143" s="5"/>
      <c r="B143" s="44"/>
      <c r="C143" s="44"/>
      <c r="D143" s="178"/>
      <c r="E143" s="178"/>
      <c r="F143" s="178"/>
      <c r="G143" s="178"/>
      <c r="H143" s="178"/>
      <c r="I143" s="178"/>
      <c r="J143" s="178"/>
      <c r="K143" s="80"/>
      <c r="L143" s="5"/>
    </row>
    <row r="144" spans="1:12" ht="12.75">
      <c r="A144" s="5"/>
      <c r="B144" s="40"/>
      <c r="C144" s="40"/>
      <c r="D144" s="5"/>
      <c r="E144" s="24"/>
      <c r="F144" s="24"/>
      <c r="G144" s="24"/>
      <c r="H144" s="5"/>
      <c r="I144" s="5"/>
      <c r="J144" s="5"/>
      <c r="K144" s="5"/>
      <c r="L144" s="5"/>
    </row>
    <row r="145" spans="1:12" ht="13.5" thickBot="1">
      <c r="A145" s="5"/>
      <c r="B145" s="41" t="s">
        <v>86</v>
      </c>
      <c r="C145" s="41"/>
      <c r="D145" s="45">
        <f aca="true" t="shared" si="26" ref="D145:L145">SUM(D132,D134,D136,D138,D140,D142)</f>
        <v>0</v>
      </c>
      <c r="E145" s="45">
        <f t="shared" si="26"/>
        <v>309086.72000000003</v>
      </c>
      <c r="F145" s="45">
        <f t="shared" si="26"/>
        <v>188318</v>
      </c>
      <c r="G145" s="45">
        <f t="shared" si="26"/>
        <v>237771.20999999996</v>
      </c>
      <c r="H145" s="45">
        <f t="shared" si="26"/>
        <v>558988.9800000001</v>
      </c>
      <c r="I145" s="45">
        <f t="shared" si="26"/>
        <v>654402.1100000001</v>
      </c>
      <c r="J145" s="45">
        <f t="shared" si="26"/>
        <v>1215146</v>
      </c>
      <c r="K145" s="45">
        <f t="shared" si="26"/>
        <v>0</v>
      </c>
      <c r="L145" s="45">
        <f t="shared" si="26"/>
        <v>3163713.02</v>
      </c>
    </row>
    <row r="147" spans="2:12" ht="18.75" thickBot="1">
      <c r="B147" s="28" t="s">
        <v>87</v>
      </c>
      <c r="C147" s="28"/>
      <c r="D147" s="51">
        <f aca="true" t="shared" si="27" ref="D147:L147">SUM(D107,D113,D122,D129,D145)</f>
        <v>0</v>
      </c>
      <c r="E147" s="51">
        <f t="shared" si="27"/>
        <v>603149.46</v>
      </c>
      <c r="F147" s="51">
        <f t="shared" si="27"/>
        <v>221124</v>
      </c>
      <c r="G147" s="51">
        <f t="shared" si="27"/>
        <v>715611.32</v>
      </c>
      <c r="H147" s="51">
        <f t="shared" si="27"/>
        <v>1129771.83</v>
      </c>
      <c r="I147" s="51">
        <f t="shared" si="27"/>
        <v>1795010.2300000002</v>
      </c>
      <c r="J147" s="51">
        <f t="shared" si="27"/>
        <v>2477463.16</v>
      </c>
      <c r="K147" s="51">
        <f t="shared" si="27"/>
        <v>0</v>
      </c>
      <c r="L147" s="51">
        <f t="shared" si="27"/>
        <v>6942130</v>
      </c>
    </row>
    <row r="148" ht="13.5" thickTop="1"/>
  </sheetData>
  <sheetProtection formatColumns="0" selectLockedCells="1"/>
  <mergeCells count="26">
    <mergeCell ref="D86:J86"/>
    <mergeCell ref="D46:J46"/>
    <mergeCell ref="D60:J60"/>
    <mergeCell ref="D70:J70"/>
    <mergeCell ref="D72:J72"/>
    <mergeCell ref="B1:J1"/>
    <mergeCell ref="D42:J42"/>
    <mergeCell ref="D54:J54"/>
    <mergeCell ref="D57:J57"/>
    <mergeCell ref="D44:J44"/>
    <mergeCell ref="D90:J90"/>
    <mergeCell ref="D92:J92"/>
    <mergeCell ref="D96:J96"/>
    <mergeCell ref="D88:J88"/>
    <mergeCell ref="D117:J117"/>
    <mergeCell ref="D106:J106"/>
    <mergeCell ref="D111:J111"/>
    <mergeCell ref="D94:J94"/>
    <mergeCell ref="D143:J143"/>
    <mergeCell ref="D135:J135"/>
    <mergeCell ref="D137:J137"/>
    <mergeCell ref="D120:J120"/>
    <mergeCell ref="D127:J127"/>
    <mergeCell ref="D133:J133"/>
    <mergeCell ref="D139:J139"/>
    <mergeCell ref="D141:J141"/>
  </mergeCells>
  <dataValidations count="2">
    <dataValidation type="list" allowBlank="1" showInputMessage="1" showErrorMessage="1" sqref="C95 C93 C89 C85 C87 C91 C78 C71 C69 C45 C53 C56 C59 C67 C43 C41 C39">
      <formula1>"Smart Meter,Comp. Hard.,Comp. Soft.,Tools &amp; Equip,Other Equip."</formula1>
    </dataValidation>
    <dataValidation type="list" allowBlank="1" showInputMessage="1" showErrorMessage="1" sqref="D5:K5">
      <formula1>"Actual,Audited Actual,Forecasted"</formula1>
    </dataValidation>
  </dataValidations>
  <printOptions/>
  <pageMargins left="0.7480314960629921" right="0.7480314960629921" top="0.8267716535433072" bottom="0.2362204724409449" header="0.35433070866141736" footer="0.2362204724409449"/>
  <pageSetup fitToHeight="2" fitToWidth="1" horizontalDpi="600" verticalDpi="600" orientation="landscape" scale="42" r:id="rId1"/>
  <headerFooter alignWithMargins="0">
    <oddHeader>&amp;RHydro Ottawa Limited
EB-2010-0326
Attachment F
Filed: 2010-11-30
Page &amp;P of &amp;N</oddHeader>
  </headerFooter>
  <rowBreaks count="1" manualBreakCount="1">
    <brk id="1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tabSelected="1" zoomScalePageLayoutView="0" workbookViewId="0" topLeftCell="C8">
      <selection activeCell="D29" sqref="D29"/>
    </sheetView>
  </sheetViews>
  <sheetFormatPr defaultColWidth="9.140625" defaultRowHeight="12.75"/>
  <cols>
    <col min="1" max="1" width="15.57421875" style="7" customWidth="1"/>
    <col min="2" max="2" width="78.00390625" style="7" customWidth="1"/>
    <col min="3" max="3" width="14.57421875" style="7" customWidth="1"/>
    <col min="4" max="4" width="12.28125" style="7" bestFit="1" customWidth="1"/>
    <col min="5" max="5" width="13.8515625" style="7" bestFit="1" customWidth="1"/>
    <col min="6" max="6" width="13.421875" style="7" bestFit="1" customWidth="1"/>
    <col min="7" max="7" width="12.28125" style="7" bestFit="1" customWidth="1"/>
    <col min="8" max="8" width="13.7109375" style="7" customWidth="1"/>
    <col min="9" max="9" width="13.421875" style="7" bestFit="1" customWidth="1"/>
    <col min="10" max="10" width="13.421875" style="7" customWidth="1"/>
    <col min="11" max="11" width="12.7109375" style="7" customWidth="1"/>
    <col min="12" max="16384" width="9.140625" style="7" customWidth="1"/>
  </cols>
  <sheetData>
    <row r="1" spans="1:13" s="3" customFormat="1" ht="21" customHeight="1">
      <c r="A1" s="1"/>
      <c r="B1" s="180" t="s">
        <v>88</v>
      </c>
      <c r="C1" s="180"/>
      <c r="D1" s="180"/>
      <c r="E1" s="180"/>
      <c r="F1" s="180"/>
      <c r="G1" s="180"/>
      <c r="H1" s="180"/>
      <c r="I1" s="1"/>
      <c r="J1" s="1"/>
      <c r="K1" s="1"/>
      <c r="L1" s="1"/>
      <c r="M1" s="1"/>
    </row>
    <row r="2" spans="1:13" s="3" customFormat="1" ht="6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1"/>
      <c r="L2" s="1"/>
      <c r="M2" s="1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>
      <c r="A4" s="5"/>
      <c r="B4" s="52" t="s">
        <v>89</v>
      </c>
      <c r="C4" s="5"/>
      <c r="D4" s="5"/>
      <c r="E4" s="5"/>
      <c r="F4" s="5"/>
      <c r="G4" s="5"/>
      <c r="H4" s="5"/>
      <c r="I4" s="46"/>
      <c r="J4" s="46"/>
      <c r="K4" s="46"/>
      <c r="L4" s="46"/>
      <c r="M4" s="46"/>
    </row>
    <row r="5" spans="1:13" ht="12.75">
      <c r="A5" s="5"/>
      <c r="B5" s="53" t="s">
        <v>90</v>
      </c>
      <c r="C5" s="5"/>
      <c r="D5" s="5"/>
      <c r="E5" s="5"/>
      <c r="F5" s="5"/>
      <c r="G5" s="5"/>
      <c r="H5" s="5"/>
      <c r="I5" s="46"/>
      <c r="J5" s="46"/>
      <c r="K5" s="46"/>
      <c r="L5" s="46"/>
      <c r="M5" s="46"/>
    </row>
    <row r="6" spans="1:13" ht="12.75">
      <c r="A6" s="5"/>
      <c r="B6" s="53" t="s">
        <v>91</v>
      </c>
      <c r="C6" s="5"/>
      <c r="D6" s="5"/>
      <c r="E6" s="5"/>
      <c r="F6" s="5"/>
      <c r="G6" s="5"/>
      <c r="H6" s="5"/>
      <c r="I6" s="46"/>
      <c r="J6" s="46"/>
      <c r="K6" s="46"/>
      <c r="L6" s="46"/>
      <c r="M6" s="46"/>
    </row>
    <row r="7" spans="1:13" ht="12.75">
      <c r="A7" s="5"/>
      <c r="B7" s="53" t="s">
        <v>92</v>
      </c>
      <c r="C7" s="5"/>
      <c r="D7" s="5"/>
      <c r="E7" s="5"/>
      <c r="F7" s="5"/>
      <c r="G7" s="5"/>
      <c r="H7" s="5"/>
      <c r="I7" s="46"/>
      <c r="J7" s="46"/>
      <c r="K7" s="46"/>
      <c r="L7" s="46"/>
      <c r="M7" s="46"/>
    </row>
    <row r="8" spans="1:13" ht="12.75">
      <c r="A8" s="5"/>
      <c r="B8" s="5"/>
      <c r="C8" s="5"/>
      <c r="D8" s="5"/>
      <c r="E8" s="5"/>
      <c r="F8" s="5"/>
      <c r="G8" s="5"/>
      <c r="H8" s="5"/>
      <c r="I8" s="46"/>
      <c r="J8" s="46"/>
      <c r="K8" s="46"/>
      <c r="L8" s="46"/>
      <c r="M8" s="46"/>
    </row>
    <row r="9" spans="1:13" ht="12.75">
      <c r="A9" s="5"/>
      <c r="B9" s="5"/>
      <c r="C9" s="5"/>
      <c r="D9" s="5"/>
      <c r="E9" s="5"/>
      <c r="F9" s="5"/>
      <c r="G9" s="5"/>
      <c r="H9" s="5"/>
      <c r="I9" s="46"/>
      <c r="J9" s="46"/>
      <c r="K9" s="46"/>
      <c r="L9" s="46"/>
      <c r="M9" s="46"/>
    </row>
    <row r="10" spans="1:13" ht="47.25">
      <c r="A10" s="5"/>
      <c r="B10" s="52"/>
      <c r="C10" s="109" t="s">
        <v>93</v>
      </c>
      <c r="D10" s="109">
        <f aca="true" t="shared" si="0" ref="D10:J10">D29</f>
        <v>2007</v>
      </c>
      <c r="E10" s="109"/>
      <c r="F10" s="109">
        <f t="shared" si="0"/>
        <v>2008</v>
      </c>
      <c r="G10" s="109">
        <f t="shared" si="0"/>
        <v>2009</v>
      </c>
      <c r="H10" s="109">
        <f t="shared" si="0"/>
        <v>2010</v>
      </c>
      <c r="I10" s="109">
        <f t="shared" si="0"/>
        <v>2011</v>
      </c>
      <c r="J10" s="109" t="str">
        <f t="shared" si="0"/>
        <v>Later</v>
      </c>
      <c r="K10" s="46"/>
      <c r="L10" s="46"/>
      <c r="M10" s="46"/>
    </row>
    <row r="11" spans="1:13" ht="15.75">
      <c r="A11" s="5"/>
      <c r="B11" s="52"/>
      <c r="C11" s="5"/>
      <c r="D11" s="5"/>
      <c r="E11" s="5"/>
      <c r="F11" s="5"/>
      <c r="G11" s="5"/>
      <c r="H11" s="5"/>
      <c r="I11" s="46"/>
      <c r="J11" s="46"/>
      <c r="K11" s="46"/>
      <c r="L11" s="46"/>
      <c r="M11" s="46"/>
    </row>
    <row r="12" spans="1:13" ht="15.75">
      <c r="A12" s="5"/>
      <c r="B12" s="110" t="s">
        <v>155</v>
      </c>
      <c r="C12" s="161"/>
      <c r="D12" s="161"/>
      <c r="E12" s="161"/>
      <c r="F12" s="161"/>
      <c r="G12" s="161"/>
      <c r="H12" s="161"/>
      <c r="I12" s="161"/>
      <c r="J12" s="161"/>
      <c r="K12" s="46"/>
      <c r="L12" s="46"/>
      <c r="M12" s="46"/>
    </row>
    <row r="13" ht="12.75"/>
    <row r="14" spans="1:13" ht="12.75">
      <c r="A14" s="5"/>
      <c r="B14" s="54" t="s">
        <v>248</v>
      </c>
      <c r="C14" s="5"/>
      <c r="D14"/>
      <c r="E14"/>
      <c r="F14" s="123">
        <v>0.04</v>
      </c>
      <c r="G14" s="123">
        <v>0.04</v>
      </c>
      <c r="H14" s="123">
        <v>0.04</v>
      </c>
      <c r="I14" s="123">
        <v>0.04</v>
      </c>
      <c r="J14" s="123">
        <v>0.04</v>
      </c>
      <c r="K14" s="46"/>
      <c r="L14" s="46"/>
      <c r="M14" s="46"/>
    </row>
    <row r="15" spans="1:13" ht="12.75">
      <c r="A15" s="5"/>
      <c r="B15" s="54" t="s">
        <v>275</v>
      </c>
      <c r="C15" s="89">
        <v>0.6</v>
      </c>
      <c r="D15" s="89">
        <v>0.6</v>
      </c>
      <c r="E15" s="89"/>
      <c r="F15" s="89">
        <v>0.56</v>
      </c>
      <c r="G15" s="89">
        <v>0.56</v>
      </c>
      <c r="H15" s="89">
        <v>0.56</v>
      </c>
      <c r="I15" s="89">
        <v>0.56</v>
      </c>
      <c r="J15" s="89">
        <v>0</v>
      </c>
      <c r="K15" s="46"/>
      <c r="L15" s="46"/>
      <c r="M15" s="5"/>
    </row>
    <row r="16" spans="1:13" ht="12.75">
      <c r="A16" s="5"/>
      <c r="B16" s="54" t="s">
        <v>276</v>
      </c>
      <c r="C16" s="90">
        <f>1-C15</f>
        <v>0.4</v>
      </c>
      <c r="D16" s="90">
        <f>1-D15</f>
        <v>0.4</v>
      </c>
      <c r="E16" s="90"/>
      <c r="F16" s="90">
        <f>1-F15-F14</f>
        <v>0.39999999999999997</v>
      </c>
      <c r="G16" s="90">
        <f>1-G15-G14</f>
        <v>0.39999999999999997</v>
      </c>
      <c r="H16" s="90">
        <f>1-H15-H14</f>
        <v>0.39999999999999997</v>
      </c>
      <c r="I16" s="90">
        <f>1-I15-I14</f>
        <v>0.39999999999999997</v>
      </c>
      <c r="J16" s="90">
        <f>1-J15-J14</f>
        <v>0.96</v>
      </c>
      <c r="K16" s="46"/>
      <c r="L16" s="46"/>
      <c r="M16" s="5"/>
    </row>
    <row r="17" ht="12.75"/>
    <row r="18" spans="1:13" ht="12.75">
      <c r="A18" s="5"/>
      <c r="B18" s="54" t="s">
        <v>249</v>
      </c>
      <c r="C18" s="170"/>
      <c r="D18" s="90"/>
      <c r="E18" s="90"/>
      <c r="F18" s="124">
        <v>0.0447</v>
      </c>
      <c r="G18" s="124">
        <v>0.0447</v>
      </c>
      <c r="H18" s="124">
        <v>0.0447</v>
      </c>
      <c r="I18" s="124">
        <v>0.0447</v>
      </c>
      <c r="J18" s="124">
        <v>0.0113</v>
      </c>
      <c r="K18" s="46"/>
      <c r="L18" s="46"/>
      <c r="M18" s="5"/>
    </row>
    <row r="19" spans="1:13" ht="12.75">
      <c r="A19" s="5"/>
      <c r="B19" s="54" t="s">
        <v>277</v>
      </c>
      <c r="C19" s="91">
        <v>0.0525</v>
      </c>
      <c r="D19" s="91">
        <v>0.0525</v>
      </c>
      <c r="E19" s="91"/>
      <c r="F19" s="91">
        <v>0.0526</v>
      </c>
      <c r="G19" s="91">
        <v>0.0526</v>
      </c>
      <c r="H19" s="91">
        <v>0.0526</v>
      </c>
      <c r="I19" s="91">
        <v>0.0526</v>
      </c>
      <c r="J19" s="91">
        <v>0</v>
      </c>
      <c r="K19" s="46"/>
      <c r="L19" s="46"/>
      <c r="M19" s="5"/>
    </row>
    <row r="20" spans="1:13" ht="13.5" customHeight="1">
      <c r="A20" s="5"/>
      <c r="B20" s="54" t="s">
        <v>278</v>
      </c>
      <c r="C20" s="91">
        <v>0.09</v>
      </c>
      <c r="D20" s="91">
        <v>0.09</v>
      </c>
      <c r="E20" s="91"/>
      <c r="F20" s="91">
        <v>0.0857</v>
      </c>
      <c r="G20" s="91">
        <v>0.0857</v>
      </c>
      <c r="H20" s="91">
        <v>0.0857</v>
      </c>
      <c r="I20" s="91">
        <v>0.0857</v>
      </c>
      <c r="J20" s="91">
        <v>0.0801</v>
      </c>
      <c r="K20" s="5"/>
      <c r="L20" s="5"/>
      <c r="M20" s="5"/>
    </row>
    <row r="21" spans="1:13" ht="18" customHeight="1">
      <c r="A21" s="5"/>
      <c r="B21" s="55" t="s">
        <v>94</v>
      </c>
      <c r="C21" s="95">
        <f>(C19*C15)+(C16*C20)</f>
        <v>0.0675</v>
      </c>
      <c r="D21" s="95">
        <f>(D19*D15)+(D16*D20)</f>
        <v>0.0675</v>
      </c>
      <c r="E21" s="95"/>
      <c r="F21" s="95">
        <f>(F14*F18)+(F15*F19)+(F16*F20)</f>
        <v>0.065524</v>
      </c>
      <c r="G21" s="95">
        <f>(G14*G18)+(G15*G19)+(G16*G20)</f>
        <v>0.065524</v>
      </c>
      <c r="H21" s="95">
        <f>(H14*H18)+(H15*H19)+(H16*H20)</f>
        <v>0.065524</v>
      </c>
      <c r="I21" s="95">
        <f>(I14*I18)+(I15*I19)+(I16*I20)</f>
        <v>0.065524</v>
      </c>
      <c r="J21" s="95">
        <f>(J14*J18)+(J15*J19)+(J16*J20)</f>
        <v>0.077348</v>
      </c>
      <c r="K21" s="5"/>
      <c r="L21" s="5"/>
      <c r="M21" s="5"/>
    </row>
    <row r="22" spans="1:13" ht="18" customHeight="1">
      <c r="A22" s="5"/>
      <c r="B22" s="55"/>
      <c r="C22" s="56"/>
      <c r="D22" s="56"/>
      <c r="E22" s="56"/>
      <c r="F22" s="56"/>
      <c r="G22" s="56"/>
      <c r="H22" s="56"/>
      <c r="I22" s="56"/>
      <c r="J22" s="56"/>
      <c r="K22" s="5"/>
      <c r="L22" s="5"/>
      <c r="M22" s="5"/>
    </row>
    <row r="23" spans="1:13" ht="18" customHeight="1">
      <c r="A23" s="5"/>
      <c r="B23" s="52" t="s">
        <v>95</v>
      </c>
      <c r="C23" s="91">
        <v>0.15</v>
      </c>
      <c r="D23" s="91">
        <v>0.15</v>
      </c>
      <c r="E23" s="91"/>
      <c r="F23" s="91">
        <v>0.125</v>
      </c>
      <c r="G23" s="91">
        <v>0.125</v>
      </c>
      <c r="H23" s="91">
        <v>0.125</v>
      </c>
      <c r="I23" s="91">
        <v>0.125</v>
      </c>
      <c r="J23" s="91">
        <v>0.15</v>
      </c>
      <c r="K23" s="5"/>
      <c r="L23" s="5"/>
      <c r="M23" s="5"/>
    </row>
    <row r="24" spans="1:13" ht="18" customHeight="1">
      <c r="A24" s="5"/>
      <c r="B24" s="55"/>
      <c r="C24" s="56"/>
      <c r="D24" s="56"/>
      <c r="E24" s="56"/>
      <c r="F24" s="56"/>
      <c r="G24" s="56"/>
      <c r="H24" s="56"/>
      <c r="I24" s="56"/>
      <c r="J24" s="56"/>
      <c r="K24" s="5"/>
      <c r="L24" s="5"/>
      <c r="M24" s="5"/>
    </row>
    <row r="25" spans="1:13" ht="12.75">
      <c r="A25" s="5"/>
      <c r="B25" s="34" t="s">
        <v>96</v>
      </c>
      <c r="C25" s="59"/>
      <c r="D25" s="59"/>
      <c r="E25" s="59"/>
      <c r="F25" s="59"/>
      <c r="G25" s="59"/>
      <c r="H25" s="59"/>
      <c r="I25" s="59"/>
      <c r="J25" s="59"/>
      <c r="K25" s="5"/>
      <c r="L25" s="5"/>
      <c r="M25" s="5"/>
    </row>
    <row r="26" spans="1:13" ht="12.75">
      <c r="A26" s="5"/>
      <c r="B26" s="54" t="s">
        <v>97</v>
      </c>
      <c r="C26" s="91">
        <v>0.3612</v>
      </c>
      <c r="D26" s="91">
        <v>0.3612</v>
      </c>
      <c r="E26" s="91"/>
      <c r="F26" s="91">
        <v>0.335</v>
      </c>
      <c r="G26" s="91">
        <v>0.33</v>
      </c>
      <c r="H26" s="91">
        <v>0.31</v>
      </c>
      <c r="I26" s="91">
        <v>0.2825</v>
      </c>
      <c r="J26" s="91">
        <v>0.29</v>
      </c>
      <c r="K26" s="5"/>
      <c r="L26" s="5"/>
      <c r="M26" s="5"/>
    </row>
    <row r="27" spans="1:13" ht="12.75">
      <c r="A27" s="5"/>
      <c r="B27" s="2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4" ht="15.75">
      <c r="A29" s="5"/>
      <c r="B29" s="52" t="s">
        <v>195</v>
      </c>
      <c r="C29" s="24">
        <f>'2. Smart Meter Data'!D4</f>
        <v>2006</v>
      </c>
      <c r="D29" s="24">
        <f>'2. Smart Meter Data'!E4</f>
        <v>2007</v>
      </c>
      <c r="E29" s="82" t="s">
        <v>281</v>
      </c>
      <c r="F29" s="24">
        <f>'2. Smart Meter Data'!G4</f>
        <v>2008</v>
      </c>
      <c r="G29" s="24">
        <f>'2. Smart Meter Data'!H4</f>
        <v>2009</v>
      </c>
      <c r="H29" s="24">
        <f>'2. Smart Meter Data'!I4</f>
        <v>2010</v>
      </c>
      <c r="I29" s="24">
        <f>'2. Smart Meter Data'!J4</f>
        <v>2011</v>
      </c>
      <c r="J29" s="24" t="str">
        <f>'2. Smart Meter Data'!K4</f>
        <v>Later</v>
      </c>
      <c r="K29" s="24" t="s">
        <v>16</v>
      </c>
      <c r="L29" s="5"/>
      <c r="M29" s="5"/>
      <c r="N29" s="5"/>
    </row>
    <row r="30" spans="1:14" ht="15.75">
      <c r="A30" s="5"/>
      <c r="B30" s="52"/>
      <c r="C30" s="24" t="str">
        <f>'2. Smart Meter Data'!D5</f>
        <v>Audited Actual</v>
      </c>
      <c r="D30" s="24" t="str">
        <f>'2. Smart Meter Data'!E5</f>
        <v>Audited Actual</v>
      </c>
      <c r="E30" s="82" t="s">
        <v>282</v>
      </c>
      <c r="F30" s="24" t="str">
        <f>'2. Smart Meter Data'!G5</f>
        <v>Audited Actual</v>
      </c>
      <c r="G30" s="24" t="str">
        <f>'2. Smart Meter Data'!H5</f>
        <v>Audited Actual</v>
      </c>
      <c r="H30" s="24" t="str">
        <f>'2. Smart Meter Data'!I5</f>
        <v>Forecasted</v>
      </c>
      <c r="I30" s="24" t="str">
        <f>'2. Smart Meter Data'!J5</f>
        <v>Forecasted</v>
      </c>
      <c r="J30" s="24" t="str">
        <f>'2. Smart Meter Data'!K5</f>
        <v>Forecasted</v>
      </c>
      <c r="K30" s="24"/>
      <c r="L30" s="5"/>
      <c r="M30" s="5"/>
      <c r="N30" s="5"/>
    </row>
    <row r="31" spans="1:14" ht="12.75">
      <c r="A31" s="5"/>
      <c r="B31" s="31" t="s">
        <v>8</v>
      </c>
      <c r="C31" s="96">
        <f>SUMIF('2. Smart Meter Data'!$C:$K,"Smart Meter",'2. Smart Meter Data'!D:D)</f>
        <v>12694621.673466677</v>
      </c>
      <c r="D31" s="96">
        <f>SUMIF('2. Smart Meter Data'!$C:$K,"Smart Meter",'2. Smart Meter Data'!E:E)</f>
        <v>13824053.327652622</v>
      </c>
      <c r="E31" s="96">
        <f>SUMIF('2. Smart Meter Data'!$C:$K,"Smart Meter",'2. Smart Meter Data'!F:F)</f>
        <v>14711885</v>
      </c>
      <c r="F31" s="96">
        <f>SUMIF('2. Smart Meter Data'!$C:$K,"Smart Meter",'2. Smart Meter Data'!G:G)</f>
        <v>13584551.489999998</v>
      </c>
      <c r="G31" s="96">
        <f>SUMIF('2. Smart Meter Data'!$C:$K,"Smart Meter",'2. Smart Meter Data'!H:H)</f>
        <v>6992380.1000000015</v>
      </c>
      <c r="H31" s="96">
        <f>SUMIF('2. Smart Meter Data'!$C:$K,"Smart Meter",'2. Smart Meter Data'!I:I)</f>
        <v>2327817.65</v>
      </c>
      <c r="I31" s="96">
        <f>SUMIF('2. Smart Meter Data'!$C:$K,"Smart Meter",'2. Smart Meter Data'!J:J)</f>
        <v>657354.12</v>
      </c>
      <c r="J31" s="96">
        <f>SUMIF('2. Smart Meter Data'!$C:$K,"Smart Meter",'2. Smart Meter Data'!K:K)</f>
        <v>0</v>
      </c>
      <c r="K31" s="97">
        <f>SUM(C31:I31)</f>
        <v>64792663.36111929</v>
      </c>
      <c r="L31" s="5"/>
      <c r="M31" s="5"/>
      <c r="N31" s="5"/>
    </row>
    <row r="32" spans="1:14" ht="12.75">
      <c r="A32" s="5"/>
      <c r="B32" s="31" t="s">
        <v>98</v>
      </c>
      <c r="C32" s="96">
        <f>SUMIF('2. Smart Meter Data'!$C:$K,"Comp. Hard.",'2. Smart Meter Data'!D:D)</f>
        <v>0</v>
      </c>
      <c r="D32" s="96">
        <f>SUMIF('2. Smart Meter Data'!$C:$K,"Comp. Hard.",'2. Smart Meter Data'!E:E)</f>
        <v>53633.69</v>
      </c>
      <c r="E32" s="96">
        <f>SUMIF('2. Smart Meter Data'!$C:$K,"Comp. Hard.",'2. Smart Meter Data'!F:F)</f>
        <v>53131</v>
      </c>
      <c r="F32" s="96">
        <f>SUMIF('2. Smart Meter Data'!$C:$K,"Comp. Hard.",'2. Smart Meter Data'!G:G)</f>
        <v>5137.709999999999</v>
      </c>
      <c r="G32" s="96">
        <f>SUMIF('2. Smart Meter Data'!$C:$K,"Comp. Hard.",'2. Smart Meter Data'!H:H)</f>
        <v>0</v>
      </c>
      <c r="H32" s="96">
        <f>SUMIF('2. Smart Meter Data'!$C:$K,"Comp. Hard.",'2. Smart Meter Data'!I:I)</f>
        <v>640724.5199999998</v>
      </c>
      <c r="I32" s="96">
        <f>SUMIF('2. Smart Meter Data'!$C:$K,"Comp. Hard.",'2. Smart Meter Data'!J:J)</f>
        <v>54400</v>
      </c>
      <c r="J32" s="96">
        <f>SUMIF('2. Smart Meter Data'!$C:$K,"Comp. Hard.",'2. Smart Meter Data'!K:K)</f>
        <v>0</v>
      </c>
      <c r="K32" s="97">
        <f>SUM(C32:I32)</f>
        <v>807026.9199999998</v>
      </c>
      <c r="L32" s="5"/>
      <c r="M32" s="5"/>
      <c r="N32" s="5"/>
    </row>
    <row r="33" spans="1:14" ht="12.75">
      <c r="A33" s="5"/>
      <c r="B33" s="31" t="s">
        <v>99</v>
      </c>
      <c r="C33" s="96">
        <f>SUMIF('2. Smart Meter Data'!$C:$K,"Comp. Soft.",'2. Smart Meter Data'!D:D)</f>
        <v>0</v>
      </c>
      <c r="D33" s="96">
        <f>SUMIF('2. Smart Meter Data'!$C:$K,"Comp. Soft.",'2. Smart Meter Data'!E:E)</f>
        <v>399624.1</v>
      </c>
      <c r="E33" s="96">
        <f>SUMIF('2. Smart Meter Data'!$C:$K,"Comp. Soft.",'2. Smart Meter Data'!F:F)</f>
        <v>111744</v>
      </c>
      <c r="F33" s="96">
        <f>SUMIF('2. Smart Meter Data'!$C:$K,"Comp. Soft.",'2. Smart Meter Data'!G:G)</f>
        <v>982787.55</v>
      </c>
      <c r="G33" s="96">
        <f>SUMIF('2. Smart Meter Data'!$C:$K,"Comp. Soft.",'2. Smart Meter Data'!H:H)</f>
        <v>113461.86</v>
      </c>
      <c r="H33" s="96">
        <f>SUMIF('2. Smart Meter Data'!$C:$K,"Comp. Soft.",'2. Smart Meter Data'!I:I)</f>
        <v>2913744.27</v>
      </c>
      <c r="I33" s="96">
        <f>SUMIF('2. Smart Meter Data'!$C:$K,"Comp. Soft.",'2. Smart Meter Data'!J:J)</f>
        <v>1744061.77</v>
      </c>
      <c r="J33" s="96">
        <f>SUMIF('2. Smart Meter Data'!$C:$K,"Comp. Soft.",'2. Smart Meter Data'!K:K)</f>
        <v>0</v>
      </c>
      <c r="K33" s="97">
        <f>SUM(C33:I33)</f>
        <v>6265423.550000001</v>
      </c>
      <c r="L33" s="5"/>
      <c r="M33" s="5"/>
      <c r="N33" s="5"/>
    </row>
    <row r="34" spans="1:14" ht="12.75">
      <c r="A34" s="5"/>
      <c r="B34" s="31" t="s">
        <v>11</v>
      </c>
      <c r="C34" s="96">
        <f>SUMIF('2. Smart Meter Data'!$C:$K,"Tools &amp; Equip",'2. Smart Meter Data'!D:D)</f>
        <v>838597.469535</v>
      </c>
      <c r="D34" s="96">
        <f>SUMIF('2. Smart Meter Data'!$C:$K,"Tools &amp; Equip",'2. Smart Meter Data'!E:E)</f>
        <v>9112</v>
      </c>
      <c r="E34" s="96">
        <f>SUMIF('2. Smart Meter Data'!$C:$K,"Tools &amp; Equip",'2. Smart Meter Data'!F:F)</f>
        <v>847709</v>
      </c>
      <c r="F34" s="96">
        <f>SUMIF('2. Smart Meter Data'!$C:$K,"Tools &amp; Equip",'2. Smart Meter Data'!G:G)</f>
        <v>0</v>
      </c>
      <c r="G34" s="96">
        <f>SUMIF('2. Smart Meter Data'!$C:$K,"Tools &amp; Equip",'2. Smart Meter Data'!H:H)</f>
        <v>0</v>
      </c>
      <c r="H34" s="96">
        <f>SUMIF('2. Smart Meter Data'!$C:$K,"Tools &amp; Equip",'2. Smart Meter Data'!I:I)</f>
        <v>0</v>
      </c>
      <c r="I34" s="96">
        <f>SUMIF('2. Smart Meter Data'!$C:$K,"Tools &amp; Equip",'2. Smart Meter Data'!J:J)</f>
        <v>0</v>
      </c>
      <c r="J34" s="96">
        <f>SUMIF('2. Smart Meter Data'!$C:$K,"Tools &amp; Equip",'2. Smart Meter Data'!K:K)</f>
        <v>0</v>
      </c>
      <c r="K34" s="97">
        <f>SUM(C34:I34)</f>
        <v>1695418.4695350002</v>
      </c>
      <c r="L34" s="5"/>
      <c r="M34" s="5"/>
      <c r="N34" s="5"/>
    </row>
    <row r="35" spans="1:14" ht="12.75">
      <c r="A35" s="5"/>
      <c r="B35" s="31" t="s">
        <v>13</v>
      </c>
      <c r="C35" s="96">
        <f>SUMIF('2. Smart Meter Data'!$C:$K,"Other Equip.",'2. Smart Meter Data'!D:D)</f>
        <v>0</v>
      </c>
      <c r="D35" s="96">
        <f>SUMIF('2. Smart Meter Data'!$C:$K,"Other Equip.",'2. Smart Meter Data'!E:E)</f>
        <v>0</v>
      </c>
      <c r="E35" s="96">
        <f>SUMIF('2. Smart Meter Data'!$C:$K,"Other Equip.",'2. Smart Meter Data'!F:F)</f>
        <v>0</v>
      </c>
      <c r="F35" s="96">
        <f>SUMIF('2. Smart Meter Data'!$C:$K,"Other Equip.",'2. Smart Meter Data'!G:G)</f>
        <v>0</v>
      </c>
      <c r="G35" s="96">
        <f>SUMIF('2. Smart Meter Data'!$C:$K,"Other Equip.",'2. Smart Meter Data'!H:H)</f>
        <v>0</v>
      </c>
      <c r="H35" s="96">
        <f>SUMIF('2. Smart Meter Data'!$C:$K,"Other Equip.",'2. Smart Meter Data'!I:I)</f>
        <v>0</v>
      </c>
      <c r="I35" s="96">
        <f>SUMIF('2. Smart Meter Data'!$C:$K,"Other Equip.",'2. Smart Meter Data'!J:J)</f>
        <v>0</v>
      </c>
      <c r="J35" s="96">
        <f>SUMIF('2. Smart Meter Data'!$C:$K,"Other Equip.",'2. Smart Meter Data'!K:K)</f>
        <v>0</v>
      </c>
      <c r="K35" s="97">
        <f>SUM(C35:I35)</f>
        <v>0</v>
      </c>
      <c r="L35" s="5"/>
      <c r="M35" s="5"/>
      <c r="N35" s="5"/>
    </row>
    <row r="36" spans="1:14" ht="13.5" thickBot="1">
      <c r="A36" s="5"/>
      <c r="B36" s="55" t="s">
        <v>60</v>
      </c>
      <c r="C36" s="98">
        <f>SUM(C31:C35)</f>
        <v>13533219.143001677</v>
      </c>
      <c r="D36" s="98">
        <f aca="true" t="shared" si="1" ref="D36:K36">SUM(D31:D35)</f>
        <v>14286423.117652621</v>
      </c>
      <c r="E36" s="98">
        <f t="shared" si="1"/>
        <v>15724469</v>
      </c>
      <c r="F36" s="98">
        <f t="shared" si="1"/>
        <v>14572476.75</v>
      </c>
      <c r="G36" s="98">
        <f t="shared" si="1"/>
        <v>7105841.960000002</v>
      </c>
      <c r="H36" s="98">
        <f t="shared" si="1"/>
        <v>5882286.4399999995</v>
      </c>
      <c r="I36" s="98">
        <f t="shared" si="1"/>
        <v>2455815.89</v>
      </c>
      <c r="J36" s="98">
        <f t="shared" si="1"/>
        <v>0</v>
      </c>
      <c r="K36" s="98">
        <f t="shared" si="1"/>
        <v>73560532.30065429</v>
      </c>
      <c r="L36" s="5"/>
      <c r="M36" s="5"/>
      <c r="N36" s="5"/>
    </row>
    <row r="37" spans="1:14" ht="12.75">
      <c r="A37" s="5"/>
      <c r="B37" s="5"/>
      <c r="C37" s="93">
        <f>'2. Smart Meter Data'!D99-C36</f>
        <v>0</v>
      </c>
      <c r="D37" s="93">
        <f>'2. Smart Meter Data'!E99-D36</f>
        <v>0</v>
      </c>
      <c r="E37" s="93"/>
      <c r="F37" s="93">
        <f>'2. Smart Meter Data'!G99-F36</f>
        <v>0</v>
      </c>
      <c r="G37" s="93">
        <f>'2. Smart Meter Data'!H99-G36</f>
        <v>0</v>
      </c>
      <c r="H37" s="93">
        <f>'2. Smart Meter Data'!I99-H36</f>
        <v>0</v>
      </c>
      <c r="I37" s="93">
        <f>'2. Smart Meter Data'!J99-I36</f>
        <v>0</v>
      </c>
      <c r="J37" s="93">
        <f>'2. Smart Meter Data'!K99-J36</f>
        <v>0</v>
      </c>
      <c r="K37" s="93">
        <f>'2. Smart Meter Data'!L99-K36</f>
        <v>0</v>
      </c>
      <c r="L37" s="5"/>
      <c r="M37" s="5"/>
      <c r="N37" s="5"/>
    </row>
    <row r="38" spans="1:13" ht="12.75">
      <c r="A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24">
        <f>C29</f>
        <v>2006</v>
      </c>
      <c r="D39" s="24">
        <f aca="true" t="shared" si="2" ref="D39:K39">D29</f>
        <v>2007</v>
      </c>
      <c r="E39" s="24"/>
      <c r="F39" s="24">
        <f t="shared" si="2"/>
        <v>2008</v>
      </c>
      <c r="G39" s="24">
        <f t="shared" si="2"/>
        <v>2009</v>
      </c>
      <c r="H39" s="24">
        <f t="shared" si="2"/>
        <v>2010</v>
      </c>
      <c r="I39" s="24">
        <f t="shared" si="2"/>
        <v>2011</v>
      </c>
      <c r="J39" s="24" t="str">
        <f t="shared" si="2"/>
        <v>Later</v>
      </c>
      <c r="K39" s="24" t="str">
        <f t="shared" si="2"/>
        <v>Total</v>
      </c>
      <c r="L39" s="5"/>
      <c r="M39" s="5"/>
    </row>
    <row r="40" spans="1:14" ht="15.75">
      <c r="A40" s="5"/>
      <c r="B40" s="52" t="s">
        <v>100</v>
      </c>
      <c r="C40" s="24" t="str">
        <f>C30</f>
        <v>Audited Actual</v>
      </c>
      <c r="D40" s="24" t="str">
        <f aca="true" t="shared" si="3" ref="D40:J40">D30</f>
        <v>Audited Actual</v>
      </c>
      <c r="E40" s="24"/>
      <c r="F40" s="24" t="str">
        <f t="shared" si="3"/>
        <v>Audited Actual</v>
      </c>
      <c r="G40" s="24" t="str">
        <f t="shared" si="3"/>
        <v>Audited Actual</v>
      </c>
      <c r="H40" s="24" t="str">
        <f t="shared" si="3"/>
        <v>Forecasted</v>
      </c>
      <c r="I40" s="24" t="str">
        <f t="shared" si="3"/>
        <v>Forecasted</v>
      </c>
      <c r="J40" s="24" t="str">
        <f t="shared" si="3"/>
        <v>Forecasted</v>
      </c>
      <c r="K40" s="24"/>
      <c r="L40" s="5"/>
      <c r="M40" s="5"/>
      <c r="N40" s="5"/>
    </row>
    <row r="41" spans="1:14" ht="12.75">
      <c r="A41" s="5"/>
      <c r="B41" s="57" t="s">
        <v>101</v>
      </c>
      <c r="C41" s="99">
        <f>'2. Smart Meter Data'!D107</f>
        <v>0</v>
      </c>
      <c r="D41" s="99">
        <f>'2. Smart Meter Data'!E107</f>
        <v>0</v>
      </c>
      <c r="E41" s="99"/>
      <c r="F41" s="99">
        <f>'2. Smart Meter Data'!G107</f>
        <v>32720.16</v>
      </c>
      <c r="G41" s="99">
        <f>'2. Smart Meter Data'!H107</f>
        <v>33430.36</v>
      </c>
      <c r="H41" s="99">
        <f>'2. Smart Meter Data'!I107</f>
        <v>41485.89</v>
      </c>
      <c r="I41" s="99">
        <f>'2. Smart Meter Data'!J107</f>
        <v>241757.16</v>
      </c>
      <c r="J41" s="99">
        <f>'2. Smart Meter Data'!K107</f>
        <v>0</v>
      </c>
      <c r="K41" s="97">
        <f>SUM(C41:I41)</f>
        <v>349393.57</v>
      </c>
      <c r="L41" s="5"/>
      <c r="M41" s="5"/>
      <c r="N41" s="5"/>
    </row>
    <row r="42" spans="1:14" ht="12.75">
      <c r="A42" s="5"/>
      <c r="B42" s="57" t="s">
        <v>102</v>
      </c>
      <c r="C42" s="99">
        <f>'2. Smart Meter Data'!D113</f>
        <v>0</v>
      </c>
      <c r="D42" s="99">
        <f>'2. Smart Meter Data'!E113</f>
        <v>0</v>
      </c>
      <c r="E42" s="99"/>
      <c r="F42" s="99">
        <f>'2. Smart Meter Data'!G113</f>
        <v>0</v>
      </c>
      <c r="G42" s="99">
        <f>'2. Smart Meter Data'!H113</f>
        <v>0</v>
      </c>
      <c r="H42" s="99">
        <f>'2. Smart Meter Data'!I113</f>
        <v>0</v>
      </c>
      <c r="I42" s="99">
        <f>'2. Smart Meter Data'!J113</f>
        <v>0</v>
      </c>
      <c r="J42" s="99">
        <f>'2. Smart Meter Data'!K113</f>
        <v>0</v>
      </c>
      <c r="K42" s="97">
        <f>SUM(C42:I42)</f>
        <v>0</v>
      </c>
      <c r="L42" s="5"/>
      <c r="M42" s="5"/>
      <c r="N42" s="5"/>
    </row>
    <row r="43" spans="1:14" ht="12.75">
      <c r="A43" s="5"/>
      <c r="B43" s="57" t="s">
        <v>103</v>
      </c>
      <c r="C43" s="99">
        <f>'2. Smart Meter Data'!D122</f>
        <v>0</v>
      </c>
      <c r="D43" s="99">
        <f>'2. Smart Meter Data'!E122</f>
        <v>92909.25</v>
      </c>
      <c r="E43" s="99"/>
      <c r="F43" s="99">
        <f>'2. Smart Meter Data'!G122</f>
        <v>78746.78</v>
      </c>
      <c r="G43" s="99">
        <f>'2. Smart Meter Data'!H122</f>
        <v>181020.55</v>
      </c>
      <c r="H43" s="99">
        <f>'2. Smart Meter Data'!I122</f>
        <v>641338.31</v>
      </c>
      <c r="I43" s="99">
        <f>'2. Smart Meter Data'!J122</f>
        <v>699000</v>
      </c>
      <c r="J43" s="99">
        <f>'2. Smart Meter Data'!K122</f>
        <v>0</v>
      </c>
      <c r="K43" s="97">
        <f>SUM(C43:I43)</f>
        <v>1693014.8900000001</v>
      </c>
      <c r="L43" s="5"/>
      <c r="M43" s="5"/>
      <c r="N43" s="5"/>
    </row>
    <row r="44" spans="1:14" ht="12.75">
      <c r="A44" s="5"/>
      <c r="B44" s="57" t="s">
        <v>104</v>
      </c>
      <c r="C44" s="99">
        <f>'2. Smart Meter Data'!D129</f>
        <v>0</v>
      </c>
      <c r="D44" s="99">
        <f>'2. Smart Meter Data'!E129</f>
        <v>201153.49</v>
      </c>
      <c r="E44" s="99"/>
      <c r="F44" s="99">
        <f>'2. Smart Meter Data'!G129</f>
        <v>366373.17</v>
      </c>
      <c r="G44" s="99">
        <f>'2. Smart Meter Data'!H129</f>
        <v>356331.94</v>
      </c>
      <c r="H44" s="99">
        <f>'2. Smart Meter Data'!I129</f>
        <v>457783.92000000004</v>
      </c>
      <c r="I44" s="99">
        <f>'2. Smart Meter Data'!J129</f>
        <v>321560</v>
      </c>
      <c r="J44" s="99">
        <f>'2. Smart Meter Data'!K129</f>
        <v>0</v>
      </c>
      <c r="K44" s="97">
        <f>SUM(C44:I44)</f>
        <v>1703202.52</v>
      </c>
      <c r="L44" s="5"/>
      <c r="M44" s="5"/>
      <c r="N44" s="5"/>
    </row>
    <row r="45" spans="1:14" ht="12.75">
      <c r="A45" s="5"/>
      <c r="B45" s="57" t="s">
        <v>105</v>
      </c>
      <c r="C45" s="99">
        <f>'2. Smart Meter Data'!D145</f>
        <v>0</v>
      </c>
      <c r="D45" s="99">
        <f>'2. Smart Meter Data'!E145</f>
        <v>309086.72000000003</v>
      </c>
      <c r="E45" s="99"/>
      <c r="F45" s="99">
        <f>'2. Smart Meter Data'!G145</f>
        <v>237771.20999999996</v>
      </c>
      <c r="G45" s="99">
        <f>'2. Smart Meter Data'!H145</f>
        <v>558988.9800000001</v>
      </c>
      <c r="H45" s="99">
        <f>'2. Smart Meter Data'!I145</f>
        <v>654402.1100000001</v>
      </c>
      <c r="I45" s="99">
        <f>'2. Smart Meter Data'!J145</f>
        <v>1215146</v>
      </c>
      <c r="J45" s="99">
        <f>'2. Smart Meter Data'!K145</f>
        <v>0</v>
      </c>
      <c r="K45" s="97">
        <f>SUM(C45:I45)</f>
        <v>2975395.0200000005</v>
      </c>
      <c r="L45" s="5"/>
      <c r="M45" s="5"/>
      <c r="N45" s="5"/>
    </row>
    <row r="46" spans="1:14" ht="13.5" thickBot="1">
      <c r="A46" s="5"/>
      <c r="B46" s="54" t="s">
        <v>87</v>
      </c>
      <c r="C46" s="100">
        <f>SUM(C41:C45)</f>
        <v>0</v>
      </c>
      <c r="D46" s="100">
        <f aca="true" t="shared" si="4" ref="D46:K46">SUM(D41:D45)</f>
        <v>603149.46</v>
      </c>
      <c r="E46" s="100"/>
      <c r="F46" s="100">
        <f t="shared" si="4"/>
        <v>715611.32</v>
      </c>
      <c r="G46" s="101">
        <f t="shared" si="4"/>
        <v>1129771.83</v>
      </c>
      <c r="H46" s="101">
        <f t="shared" si="4"/>
        <v>1795010.2300000002</v>
      </c>
      <c r="I46" s="101">
        <f t="shared" si="4"/>
        <v>2477463.16</v>
      </c>
      <c r="J46" s="101">
        <f t="shared" si="4"/>
        <v>0</v>
      </c>
      <c r="K46" s="101">
        <f t="shared" si="4"/>
        <v>6721006.000000001</v>
      </c>
      <c r="L46" s="5"/>
      <c r="M46" s="5"/>
      <c r="N46" s="5"/>
    </row>
    <row r="47" spans="1:13" ht="12.75">
      <c r="A47" s="5"/>
      <c r="B47" s="5"/>
      <c r="C47" s="94">
        <f>'2. Smart Meter Data'!D147-C46</f>
        <v>0</v>
      </c>
      <c r="D47" s="94">
        <f>'2. Smart Meter Data'!E147-D46</f>
        <v>0</v>
      </c>
      <c r="E47" s="94"/>
      <c r="F47" s="94">
        <f>'2. Smart Meter Data'!G147-F46</f>
        <v>0</v>
      </c>
      <c r="G47" s="94">
        <f>'2. Smart Meter Data'!H147-G46</f>
        <v>0</v>
      </c>
      <c r="H47" s="94">
        <f>'2. Smart Meter Data'!I147-H46</f>
        <v>0</v>
      </c>
      <c r="I47" s="94">
        <f>'2. Smart Meter Data'!J147-I46</f>
        <v>0</v>
      </c>
      <c r="J47" s="94">
        <f>'2. Smart Meter Data'!K147-J46</f>
        <v>0</v>
      </c>
      <c r="K47" s="94">
        <f>'2. Smart Meter Data'!L147-K46</f>
        <v>221123.99999999907</v>
      </c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.75">
      <c r="A49" s="5"/>
      <c r="B49" s="52" t="s">
        <v>106</v>
      </c>
      <c r="C49" s="30" t="s">
        <v>107</v>
      </c>
      <c r="D49" s="30" t="s">
        <v>108</v>
      </c>
      <c r="E49" s="30"/>
      <c r="F49" s="30" t="s">
        <v>109</v>
      </c>
      <c r="G49" s="30" t="s">
        <v>110</v>
      </c>
      <c r="H49" s="5"/>
      <c r="I49" s="5"/>
      <c r="J49" s="5"/>
      <c r="K49" s="5"/>
      <c r="L49" s="5"/>
      <c r="M49" s="5"/>
    </row>
    <row r="50" spans="1:13" ht="12.75">
      <c r="A50" s="5"/>
      <c r="B50" s="31" t="s">
        <v>111</v>
      </c>
      <c r="C50" s="102">
        <f aca="true" t="shared" si="5" ref="C50:C55">IF(ISERROR(F50/D50),0,F50/D50)</f>
        <v>218.5139482357361</v>
      </c>
      <c r="D50" s="103">
        <f>'2. Smart Meter Data'!L10</f>
        <v>296515</v>
      </c>
      <c r="E50" s="103"/>
      <c r="F50" s="97">
        <f>K31</f>
        <v>64792663.36111929</v>
      </c>
      <c r="G50" s="104">
        <f aca="true" t="shared" si="6" ref="G50:G55">IF(ISERROR(F50/$F$56),0,F50/$F$56)</f>
        <v>0.8070680349754986</v>
      </c>
      <c r="H50" s="5"/>
      <c r="I50" s="5"/>
      <c r="J50" s="5"/>
      <c r="K50" s="5"/>
      <c r="L50" s="5"/>
      <c r="M50" s="5"/>
    </row>
    <row r="51" spans="1:13" ht="12.75">
      <c r="A51" s="5"/>
      <c r="B51" s="31" t="s">
        <v>112</v>
      </c>
      <c r="C51" s="102">
        <f t="shared" si="5"/>
        <v>2.721706895098055</v>
      </c>
      <c r="D51" s="103">
        <f>D50</f>
        <v>296515</v>
      </c>
      <c r="E51" s="103"/>
      <c r="F51" s="97">
        <f>K32</f>
        <v>807026.9199999998</v>
      </c>
      <c r="G51" s="104">
        <f t="shared" si="6"/>
        <v>0.010052459595102484</v>
      </c>
      <c r="H51" s="5"/>
      <c r="I51" s="5"/>
      <c r="J51" s="5"/>
      <c r="K51" s="5"/>
      <c r="L51" s="5"/>
      <c r="M51" s="5"/>
    </row>
    <row r="52" spans="1:13" ht="12.75">
      <c r="A52" s="5"/>
      <c r="B52" s="31" t="s">
        <v>113</v>
      </c>
      <c r="C52" s="102">
        <f t="shared" si="5"/>
        <v>21.130207746657</v>
      </c>
      <c r="D52" s="103">
        <f>D51</f>
        <v>296515</v>
      </c>
      <c r="E52" s="103"/>
      <c r="F52" s="97">
        <f>K33</f>
        <v>6265423.550000001</v>
      </c>
      <c r="G52" s="104">
        <f t="shared" si="6"/>
        <v>0.0780431427028216</v>
      </c>
      <c r="H52" s="5"/>
      <c r="I52" s="5"/>
      <c r="J52" s="5"/>
      <c r="K52" s="5"/>
      <c r="L52" s="5"/>
      <c r="M52" s="5"/>
    </row>
    <row r="53" spans="1:13" ht="12.75">
      <c r="A53" s="5"/>
      <c r="B53" s="31" t="s">
        <v>11</v>
      </c>
      <c r="C53" s="102">
        <f t="shared" si="5"/>
        <v>5.7178168711026425</v>
      </c>
      <c r="D53" s="103">
        <f>D52</f>
        <v>296515</v>
      </c>
      <c r="E53" s="103"/>
      <c r="F53" s="97">
        <f>K34</f>
        <v>1695418.4695350002</v>
      </c>
      <c r="G53" s="104">
        <f t="shared" si="6"/>
        <v>0.0211184103521492</v>
      </c>
      <c r="H53" s="5"/>
      <c r="I53" s="5"/>
      <c r="J53" s="5"/>
      <c r="K53" s="5"/>
      <c r="L53" s="5"/>
      <c r="M53" s="5"/>
    </row>
    <row r="54" spans="1:13" ht="12.75">
      <c r="A54" s="5"/>
      <c r="B54" s="31" t="s">
        <v>13</v>
      </c>
      <c r="C54" s="102">
        <f t="shared" si="5"/>
        <v>0</v>
      </c>
      <c r="D54" s="103">
        <f>D53</f>
        <v>296515</v>
      </c>
      <c r="E54" s="103"/>
      <c r="F54" s="97">
        <f>K35</f>
        <v>0</v>
      </c>
      <c r="G54" s="104">
        <f t="shared" si="6"/>
        <v>0</v>
      </c>
      <c r="H54" s="5"/>
      <c r="I54" s="5"/>
      <c r="J54" s="5"/>
      <c r="K54" s="5"/>
      <c r="L54" s="5"/>
      <c r="M54" s="5"/>
    </row>
    <row r="55" spans="1:13" ht="12.75">
      <c r="A55" s="5"/>
      <c r="B55" s="31" t="s">
        <v>114</v>
      </c>
      <c r="C55" s="102">
        <f t="shared" si="5"/>
        <v>22.666664418326228</v>
      </c>
      <c r="D55" s="103">
        <f>D52</f>
        <v>296515</v>
      </c>
      <c r="E55" s="103"/>
      <c r="F55" s="97">
        <f>K46</f>
        <v>6721006.000000001</v>
      </c>
      <c r="G55" s="104">
        <f t="shared" si="6"/>
        <v>0.0837179523744281</v>
      </c>
      <c r="H55" s="5"/>
      <c r="I55" s="5"/>
      <c r="J55" s="5"/>
      <c r="K55" s="5"/>
      <c r="L55" s="5"/>
      <c r="M55" s="5"/>
    </row>
    <row r="56" spans="1:13" ht="12.75">
      <c r="A56" s="5"/>
      <c r="B56" s="5" t="s">
        <v>115</v>
      </c>
      <c r="C56" s="105">
        <f>SUM(C50:C55)</f>
        <v>270.75034416692006</v>
      </c>
      <c r="D56" s="106"/>
      <c r="E56" s="106"/>
      <c r="F56" s="107">
        <f>SUM(F50:F55)</f>
        <v>80281538.30065429</v>
      </c>
      <c r="G56" s="108">
        <f>SUM(G50:G55)</f>
        <v>1</v>
      </c>
      <c r="H56" s="5"/>
      <c r="I56" s="5"/>
      <c r="J56" s="5"/>
      <c r="K56" s="5"/>
      <c r="L56" s="5"/>
      <c r="M56" s="5"/>
    </row>
    <row r="57" ht="15" customHeight="1"/>
    <row r="58" spans="3:10" ht="12.75">
      <c r="C58" s="111">
        <f>C39</f>
        <v>2006</v>
      </c>
      <c r="D58" s="111">
        <f aca="true" t="shared" si="7" ref="D58:J58">D39</f>
        <v>2007</v>
      </c>
      <c r="E58" s="164" t="s">
        <v>283</v>
      </c>
      <c r="F58" s="111">
        <f t="shared" si="7"/>
        <v>2008</v>
      </c>
      <c r="G58" s="111">
        <f t="shared" si="7"/>
        <v>2009</v>
      </c>
      <c r="H58" s="111">
        <f t="shared" si="7"/>
        <v>2010</v>
      </c>
      <c r="I58" s="111">
        <f t="shared" si="7"/>
        <v>2011</v>
      </c>
      <c r="J58" s="111" t="str">
        <f t="shared" si="7"/>
        <v>Later</v>
      </c>
    </row>
    <row r="59" spans="2:10" ht="15.75">
      <c r="B59" s="52" t="s">
        <v>211</v>
      </c>
      <c r="C59" s="111" t="str">
        <f>C40</f>
        <v>Audited Actual</v>
      </c>
      <c r="D59" s="111" t="str">
        <f aca="true" t="shared" si="8" ref="D59:J59">D40</f>
        <v>Audited Actual</v>
      </c>
      <c r="E59" s="111"/>
      <c r="F59" s="111" t="str">
        <f t="shared" si="8"/>
        <v>Audited Actual</v>
      </c>
      <c r="G59" s="111" t="str">
        <f t="shared" si="8"/>
        <v>Audited Actual</v>
      </c>
      <c r="H59" s="111" t="str">
        <f t="shared" si="8"/>
        <v>Forecasted</v>
      </c>
      <c r="I59" s="111" t="str">
        <f t="shared" si="8"/>
        <v>Forecasted</v>
      </c>
      <c r="J59" s="111" t="str">
        <f t="shared" si="8"/>
        <v>Forecasted</v>
      </c>
    </row>
    <row r="60" spans="2:10" ht="12.75">
      <c r="B60" s="31" t="s">
        <v>212</v>
      </c>
      <c r="C60" s="112">
        <v>15</v>
      </c>
      <c r="D60" s="112">
        <v>15</v>
      </c>
      <c r="E60" s="112">
        <v>15</v>
      </c>
      <c r="F60" s="112">
        <v>15</v>
      </c>
      <c r="G60" s="112">
        <v>15</v>
      </c>
      <c r="H60" s="112">
        <v>15</v>
      </c>
      <c r="I60" s="112">
        <v>15</v>
      </c>
      <c r="J60" s="112">
        <v>15</v>
      </c>
    </row>
    <row r="61" spans="2:10" ht="12.75">
      <c r="B61" s="31" t="s">
        <v>213</v>
      </c>
      <c r="C61" s="112">
        <v>5</v>
      </c>
      <c r="D61" s="112">
        <v>5</v>
      </c>
      <c r="E61" s="112">
        <v>5</v>
      </c>
      <c r="F61" s="112">
        <v>5</v>
      </c>
      <c r="G61" s="112">
        <v>5</v>
      </c>
      <c r="H61" s="112">
        <v>5</v>
      </c>
      <c r="I61" s="112">
        <v>5</v>
      </c>
      <c r="J61" s="112">
        <v>10</v>
      </c>
    </row>
    <row r="62" spans="2:10" ht="12.75">
      <c r="B62" s="31" t="s">
        <v>214</v>
      </c>
      <c r="C62" s="112">
        <v>5</v>
      </c>
      <c r="D62" s="112">
        <v>5</v>
      </c>
      <c r="E62" s="112">
        <v>5</v>
      </c>
      <c r="F62" s="112">
        <v>5</v>
      </c>
      <c r="G62" s="112">
        <v>5</v>
      </c>
      <c r="H62" s="112">
        <v>5</v>
      </c>
      <c r="I62" s="112">
        <v>5</v>
      </c>
      <c r="J62" s="112">
        <v>5</v>
      </c>
    </row>
    <row r="63" spans="2:10" ht="12.75">
      <c r="B63" s="31" t="s">
        <v>215</v>
      </c>
      <c r="C63" s="112">
        <v>10</v>
      </c>
      <c r="D63" s="112">
        <v>10</v>
      </c>
      <c r="E63" s="112">
        <v>10</v>
      </c>
      <c r="F63" s="112">
        <v>10</v>
      </c>
      <c r="G63" s="112">
        <v>10</v>
      </c>
      <c r="H63" s="112">
        <v>10</v>
      </c>
      <c r="I63" s="112">
        <v>10</v>
      </c>
      <c r="J63" s="112">
        <v>10</v>
      </c>
    </row>
    <row r="64" spans="2:10" ht="12.75">
      <c r="B64" s="31" t="s">
        <v>216</v>
      </c>
      <c r="C64" s="112">
        <v>10</v>
      </c>
      <c r="D64" s="112">
        <v>10</v>
      </c>
      <c r="E64" s="112">
        <v>10</v>
      </c>
      <c r="F64" s="112">
        <v>10</v>
      </c>
      <c r="G64" s="112">
        <v>10</v>
      </c>
      <c r="H64" s="112">
        <v>10</v>
      </c>
      <c r="I64" s="112">
        <v>10</v>
      </c>
      <c r="J64" s="112">
        <v>10</v>
      </c>
    </row>
    <row r="66" spans="3:10" ht="12.75">
      <c r="C66" s="111">
        <f>C58</f>
        <v>2006</v>
      </c>
      <c r="D66" s="111">
        <f aca="true" t="shared" si="9" ref="D66:J66">D58</f>
        <v>2007</v>
      </c>
      <c r="E66" s="164" t="s">
        <v>283</v>
      </c>
      <c r="F66" s="111">
        <f t="shared" si="9"/>
        <v>2008</v>
      </c>
      <c r="G66" s="111">
        <f t="shared" si="9"/>
        <v>2009</v>
      </c>
      <c r="H66" s="111">
        <f t="shared" si="9"/>
        <v>2010</v>
      </c>
      <c r="I66" s="111">
        <f t="shared" si="9"/>
        <v>2011</v>
      </c>
      <c r="J66" s="111" t="str">
        <f t="shared" si="9"/>
        <v>Later</v>
      </c>
    </row>
    <row r="67" spans="2:10" ht="15.75">
      <c r="B67" s="52" t="s">
        <v>217</v>
      </c>
      <c r="C67" s="111" t="str">
        <f>C59</f>
        <v>Audited Actual</v>
      </c>
      <c r="D67" s="111" t="str">
        <f aca="true" t="shared" si="10" ref="D67:J67">D59</f>
        <v>Audited Actual</v>
      </c>
      <c r="E67" s="111"/>
      <c r="F67" s="111" t="str">
        <f t="shared" si="10"/>
        <v>Audited Actual</v>
      </c>
      <c r="G67" s="111" t="str">
        <f t="shared" si="10"/>
        <v>Audited Actual</v>
      </c>
      <c r="H67" s="111" t="str">
        <f t="shared" si="10"/>
        <v>Forecasted</v>
      </c>
      <c r="I67" s="111" t="str">
        <f t="shared" si="10"/>
        <v>Forecasted</v>
      </c>
      <c r="J67" s="111" t="str">
        <f t="shared" si="10"/>
        <v>Forecasted</v>
      </c>
    </row>
    <row r="68" spans="2:10" ht="12.75">
      <c r="B68" s="7" t="s">
        <v>220</v>
      </c>
      <c r="C68" s="111">
        <v>47</v>
      </c>
      <c r="D68" s="111">
        <v>47</v>
      </c>
      <c r="E68" s="111">
        <v>47</v>
      </c>
      <c r="F68" s="111">
        <v>47</v>
      </c>
      <c r="G68" s="111">
        <v>47</v>
      </c>
      <c r="H68" s="111">
        <v>47</v>
      </c>
      <c r="I68" s="111">
        <v>47</v>
      </c>
      <c r="J68" s="111">
        <v>47</v>
      </c>
    </row>
    <row r="69" spans="2:10" ht="12.75">
      <c r="B69" s="31" t="s">
        <v>8</v>
      </c>
      <c r="C69" s="113">
        <v>0.08</v>
      </c>
      <c r="D69" s="113">
        <v>0.08</v>
      </c>
      <c r="E69" s="113">
        <v>0.08</v>
      </c>
      <c r="F69" s="113">
        <v>0.08</v>
      </c>
      <c r="G69" s="113">
        <v>0.08</v>
      </c>
      <c r="H69" s="113">
        <v>0.08</v>
      </c>
      <c r="I69" s="113">
        <v>0.08</v>
      </c>
      <c r="J69" s="113">
        <v>0.08</v>
      </c>
    </row>
    <row r="71" spans="2:10" ht="12.75">
      <c r="B71" s="7" t="s">
        <v>220</v>
      </c>
      <c r="C71" s="111">
        <v>45</v>
      </c>
      <c r="D71" s="111">
        <v>45</v>
      </c>
      <c r="E71" s="111">
        <v>45</v>
      </c>
      <c r="F71" s="111">
        <v>50</v>
      </c>
      <c r="G71" s="111">
        <v>50</v>
      </c>
      <c r="H71" s="111">
        <v>50</v>
      </c>
      <c r="I71" s="111">
        <v>50</v>
      </c>
      <c r="J71" s="111">
        <v>50</v>
      </c>
    </row>
    <row r="72" spans="2:10" ht="12.75">
      <c r="B72" s="31" t="s">
        <v>219</v>
      </c>
      <c r="C72" s="113">
        <v>0.45</v>
      </c>
      <c r="D72" s="113">
        <v>0.45</v>
      </c>
      <c r="E72" s="113">
        <v>0.45</v>
      </c>
      <c r="F72" s="113">
        <v>0.55</v>
      </c>
      <c r="G72" s="113">
        <v>0.55</v>
      </c>
      <c r="H72" s="113">
        <v>0.55</v>
      </c>
      <c r="I72" s="113">
        <v>0.55</v>
      </c>
      <c r="J72" s="113">
        <v>0.55</v>
      </c>
    </row>
    <row r="74" spans="2:10" ht="12.75">
      <c r="B74" s="7" t="s">
        <v>220</v>
      </c>
      <c r="C74" s="111">
        <v>8</v>
      </c>
      <c r="D74" s="111">
        <v>8</v>
      </c>
      <c r="E74" s="111">
        <v>8</v>
      </c>
      <c r="F74" s="111">
        <v>8</v>
      </c>
      <c r="G74" s="111">
        <v>8</v>
      </c>
      <c r="H74" s="111">
        <v>8</v>
      </c>
      <c r="I74" s="111">
        <v>8</v>
      </c>
      <c r="J74" s="111">
        <v>8</v>
      </c>
    </row>
    <row r="75" spans="2:10" ht="12.75">
      <c r="B75" s="31" t="s">
        <v>221</v>
      </c>
      <c r="C75" s="113">
        <v>0.2</v>
      </c>
      <c r="D75" s="113">
        <v>0.2</v>
      </c>
      <c r="E75" s="113">
        <v>0.2</v>
      </c>
      <c r="F75" s="113">
        <v>0.2</v>
      </c>
      <c r="G75" s="113">
        <v>0.2</v>
      </c>
      <c r="H75" s="113">
        <v>0.2</v>
      </c>
      <c r="I75" s="113">
        <v>0.2</v>
      </c>
      <c r="J75" s="113">
        <v>0.2</v>
      </c>
    </row>
  </sheetData>
  <sheetProtection formatColumns="0" selectLockedCells="1"/>
  <mergeCells count="1">
    <mergeCell ref="B1:H1"/>
  </mergeCells>
  <printOptions/>
  <pageMargins left="0.7874015748031497" right="1.47" top="0.35433070866141736" bottom="0.5118110236220472" header="0.75" footer="0.5118110236220472"/>
  <pageSetup fitToHeight="1" fitToWidth="1" horizontalDpi="600" verticalDpi="600" orientation="landscape" scale="46" r:id="rId1"/>
  <headerFooter alignWithMargins="0">
    <oddHeader>&amp;RHydro Ottawa Limited
EB-2010-0326
Attachment F
Filed: 2010-11-30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tabSelected="1" zoomScale="75" zoomScaleNormal="75" zoomScalePageLayoutView="0" workbookViewId="0" topLeftCell="A1">
      <pane xSplit="2" ySplit="7" topLeftCell="O20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D29" sqref="D29"/>
    </sheetView>
  </sheetViews>
  <sheetFormatPr defaultColWidth="9.140625" defaultRowHeight="12.75"/>
  <cols>
    <col min="1" max="1" width="26.00390625" style="7" customWidth="1"/>
    <col min="2" max="2" width="68.28125" style="7" bestFit="1" customWidth="1"/>
    <col min="3" max="4" width="16.140625" style="7" bestFit="1" customWidth="1"/>
    <col min="5" max="5" width="19.421875" style="7" bestFit="1" customWidth="1"/>
    <col min="6" max="6" width="16.8515625" style="7" bestFit="1" customWidth="1"/>
    <col min="7" max="7" width="16.8515625" style="74" bestFit="1" customWidth="1"/>
    <col min="8" max="8" width="19.8515625" style="7" bestFit="1" customWidth="1"/>
    <col min="9" max="10" width="17.28125" style="7" bestFit="1" customWidth="1"/>
    <col min="11" max="11" width="19.8515625" style="7" bestFit="1" customWidth="1"/>
    <col min="12" max="13" width="17.57421875" style="7" bestFit="1" customWidth="1"/>
    <col min="14" max="14" width="19.421875" style="7" bestFit="1" customWidth="1"/>
    <col min="15" max="16" width="17.28125" style="7" bestFit="1" customWidth="1"/>
    <col min="17" max="17" width="20.421875" style="7" bestFit="1" customWidth="1"/>
    <col min="18" max="19" width="17.28125" style="7" bestFit="1" customWidth="1"/>
    <col min="20" max="20" width="20.421875" style="7" bestFit="1" customWidth="1"/>
    <col min="21" max="22" width="17.28125" style="7" bestFit="1" customWidth="1"/>
    <col min="23" max="23" width="20.421875" style="7" bestFit="1" customWidth="1"/>
    <col min="24" max="16384" width="9.140625" style="7" customWidth="1"/>
  </cols>
  <sheetData>
    <row r="1" spans="1:7" s="3" customFormat="1" ht="21" customHeight="1">
      <c r="A1" s="1"/>
      <c r="B1" s="181" t="s">
        <v>228</v>
      </c>
      <c r="C1" s="181"/>
      <c r="D1" s="181"/>
      <c r="E1" s="26"/>
      <c r="F1" s="1"/>
      <c r="G1" s="59"/>
    </row>
    <row r="2" spans="1:7" s="3" customFormat="1" ht="6" customHeight="1">
      <c r="A2" s="27"/>
      <c r="B2" s="27"/>
      <c r="C2" s="27"/>
      <c r="D2" s="27"/>
      <c r="E2" s="27"/>
      <c r="F2" s="27"/>
      <c r="G2" s="27"/>
    </row>
    <row r="3" spans="1:7" ht="12.75">
      <c r="A3" s="5"/>
      <c r="B3" s="5"/>
      <c r="C3" s="5"/>
      <c r="D3" s="5"/>
      <c r="E3" s="5"/>
      <c r="F3" s="5"/>
      <c r="G3" s="59"/>
    </row>
    <row r="4" spans="1:7" ht="26.25">
      <c r="A4" s="60" t="s">
        <v>227</v>
      </c>
      <c r="B4" s="5"/>
      <c r="C4" s="5"/>
      <c r="D4" s="5"/>
      <c r="E4" s="5"/>
      <c r="F4" s="5"/>
      <c r="G4" s="59"/>
    </row>
    <row r="5" spans="1:7" ht="13.5" thickBot="1">
      <c r="A5" s="5"/>
      <c r="B5" s="5"/>
      <c r="C5" s="5"/>
      <c r="D5" s="5"/>
      <c r="E5" s="5"/>
      <c r="F5" s="5"/>
      <c r="G5" s="59"/>
    </row>
    <row r="6" spans="1:23" ht="18">
      <c r="A6" s="5"/>
      <c r="B6" s="28" t="s">
        <v>128</v>
      </c>
      <c r="C6" s="185">
        <f>'2. Smart Meter Data'!D4</f>
        <v>2006</v>
      </c>
      <c r="D6" s="186"/>
      <c r="E6" s="187"/>
      <c r="F6" s="185">
        <f>'2. Smart Meter Data'!E4</f>
        <v>2007</v>
      </c>
      <c r="G6" s="186"/>
      <c r="H6" s="187"/>
      <c r="I6" s="185">
        <f>'2. Smart Meter Data'!G4</f>
        <v>2008</v>
      </c>
      <c r="J6" s="186"/>
      <c r="K6" s="187"/>
      <c r="L6" s="185">
        <f>'2. Smart Meter Data'!H4</f>
        <v>2009</v>
      </c>
      <c r="M6" s="186"/>
      <c r="N6" s="187"/>
      <c r="O6" s="185">
        <f>'2. Smart Meter Data'!I4</f>
        <v>2010</v>
      </c>
      <c r="P6" s="186"/>
      <c r="Q6" s="187"/>
      <c r="R6" s="185">
        <f>'2. Smart Meter Data'!J4</f>
        <v>2011</v>
      </c>
      <c r="S6" s="186"/>
      <c r="T6" s="187"/>
      <c r="U6" s="185" t="str">
        <f>'2. Smart Meter Data'!K4</f>
        <v>Later</v>
      </c>
      <c r="V6" s="186"/>
      <c r="W6" s="187"/>
    </row>
    <row r="7" spans="1:23" ht="18.75" thickBot="1">
      <c r="A7" s="5"/>
      <c r="B7" s="28"/>
      <c r="C7" s="182" t="str">
        <f>'2. Smart Meter Data'!D5</f>
        <v>Audited Actual</v>
      </c>
      <c r="D7" s="183"/>
      <c r="E7" s="184"/>
      <c r="F7" s="182" t="str">
        <f>'2. Smart Meter Data'!E5</f>
        <v>Audited Actual</v>
      </c>
      <c r="G7" s="183"/>
      <c r="H7" s="184"/>
      <c r="I7" s="182" t="str">
        <f>'2. Smart Meter Data'!G5</f>
        <v>Audited Actual</v>
      </c>
      <c r="J7" s="183"/>
      <c r="K7" s="184"/>
      <c r="L7" s="182" t="str">
        <f>'2. Smart Meter Data'!H5</f>
        <v>Audited Actual</v>
      </c>
      <c r="M7" s="183"/>
      <c r="N7" s="184"/>
      <c r="O7" s="182" t="str">
        <f>'2. Smart Meter Data'!I5</f>
        <v>Forecasted</v>
      </c>
      <c r="P7" s="183"/>
      <c r="Q7" s="184"/>
      <c r="R7" s="182" t="str">
        <f>'2. Smart Meter Data'!J5</f>
        <v>Forecasted</v>
      </c>
      <c r="S7" s="183"/>
      <c r="T7" s="184"/>
      <c r="U7" s="182" t="str">
        <f>'2. Smart Meter Data'!K5</f>
        <v>Forecasted</v>
      </c>
      <c r="V7" s="183"/>
      <c r="W7" s="184"/>
    </row>
    <row r="8" spans="1:23" ht="12.75">
      <c r="A8" s="5"/>
      <c r="B8" s="61" t="s">
        <v>129</v>
      </c>
      <c r="C8" s="150">
        <f>'6. Avg Nt Fix Ass &amp;UCC'!C18</f>
        <v>6135733.808842227</v>
      </c>
      <c r="D8" s="6"/>
      <c r="E8" s="62"/>
      <c r="F8" s="150">
        <f>'6. Avg Nt Fix Ass &amp;UCC'!D18</f>
        <v>18529939.336934336</v>
      </c>
      <c r="G8" s="6"/>
      <c r="H8" s="62"/>
      <c r="I8" s="150">
        <f>'6. Avg Nt Fix Ass &amp;UCC'!F18</f>
        <v>17585537.221211344</v>
      </c>
      <c r="J8" s="6"/>
      <c r="K8" s="62"/>
      <c r="L8" s="150">
        <f>'6. Avg Nt Fix Ass &amp;UCC'!G18</f>
        <v>26291116.43997006</v>
      </c>
      <c r="M8" s="6"/>
      <c r="N8" s="62"/>
      <c r="O8" s="150">
        <f>'6. Avg Nt Fix Ass &amp;UCC'!H18</f>
        <v>28870043.249728777</v>
      </c>
      <c r="P8" s="6"/>
      <c r="Q8" s="62"/>
      <c r="R8" s="150">
        <f>'6. Avg Nt Fix Ass &amp;UCC'!I18</f>
        <v>28076367.57748749</v>
      </c>
      <c r="S8" s="6"/>
      <c r="T8" s="62"/>
      <c r="U8" s="150">
        <f>'6. Avg Nt Fix Ass &amp;UCC'!N18</f>
        <v>0</v>
      </c>
      <c r="V8" s="6"/>
      <c r="W8" s="62"/>
    </row>
    <row r="9" spans="1:23" ht="12.75">
      <c r="A9" s="5"/>
      <c r="B9" s="61" t="s">
        <v>130</v>
      </c>
      <c r="C9" s="150">
        <f>'6. Avg Nt Fix Ass &amp;UCC'!C33</f>
        <v>0</v>
      </c>
      <c r="D9" s="63"/>
      <c r="E9" s="62"/>
      <c r="F9" s="150">
        <f>'6. Avg Nt Fix Ass &amp;UCC'!D33</f>
        <v>24135.1605</v>
      </c>
      <c r="G9" s="63"/>
      <c r="H9" s="62"/>
      <c r="I9" s="150">
        <f>'6. Avg Nt Fix Ass &amp;UCC'!F33</f>
        <v>2714.1215000000016</v>
      </c>
      <c r="J9" s="63"/>
      <c r="K9" s="62"/>
      <c r="L9" s="150">
        <f>'6. Avg Nt Fix Ass &amp;UCC'!G33</f>
        <v>4411.782000000001</v>
      </c>
      <c r="M9" s="63"/>
      <c r="N9" s="62"/>
      <c r="O9" s="150">
        <f>'6. Avg Nt Fix Ass &amp;UCC'!H33</f>
        <v>291609.7359999999</v>
      </c>
      <c r="P9" s="63"/>
      <c r="Q9" s="62"/>
      <c r="R9" s="150">
        <f>'6. Avg Nt Fix Ass &amp;UCC'!I33</f>
        <v>539215.2379999999</v>
      </c>
      <c r="S9" s="63"/>
      <c r="T9" s="62"/>
      <c r="U9" s="150">
        <f>'6. Avg Nt Fix Ass &amp;UCC'!J33</f>
        <v>0</v>
      </c>
      <c r="V9" s="63"/>
      <c r="W9" s="62"/>
    </row>
    <row r="10" spans="1:23" ht="12.75">
      <c r="A10" s="5"/>
      <c r="B10" s="61" t="s">
        <v>131</v>
      </c>
      <c r="C10" s="150">
        <f>'6. Avg Nt Fix Ass &amp;UCC'!C48</f>
        <v>0</v>
      </c>
      <c r="D10" s="64"/>
      <c r="E10" s="62"/>
      <c r="F10" s="150">
        <f>'6. Avg Nt Fix Ass &amp;UCC'!D48</f>
        <v>179830.845</v>
      </c>
      <c r="G10" s="64"/>
      <c r="H10" s="62"/>
      <c r="I10" s="150">
        <f>'6. Avg Nt Fix Ass &amp;UCC'!F48</f>
        <v>672558.4775</v>
      </c>
      <c r="J10" s="64"/>
      <c r="K10" s="62"/>
      <c r="L10" s="150">
        <f>'6. Avg Nt Fix Ass &amp;UCC'!G48</f>
        <v>1010015.937</v>
      </c>
      <c r="M10" s="64"/>
      <c r="N10" s="62"/>
      <c r="O10" s="150">
        <f>'6. Avg Nt Fix Ass &amp;UCC'!H48</f>
        <v>2106778.9795000004</v>
      </c>
      <c r="P10" s="64"/>
      <c r="Q10" s="62"/>
      <c r="R10" s="150">
        <f>'6. Avg Nt Fix Ass &amp;UCC'!I48</f>
        <v>3634591.3685000003</v>
      </c>
      <c r="S10" s="64"/>
      <c r="T10" s="62"/>
      <c r="U10" s="150">
        <f>'6. Avg Nt Fix Ass &amp;UCC'!J48</f>
        <v>0</v>
      </c>
      <c r="V10" s="64"/>
      <c r="W10" s="62"/>
    </row>
    <row r="11" spans="1:23" ht="12.75">
      <c r="A11" s="5"/>
      <c r="B11" s="61" t="s">
        <v>132</v>
      </c>
      <c r="C11" s="150">
        <f>'6. Avg Nt Fix Ass &amp;UCC'!C63</f>
        <v>398333.798029125</v>
      </c>
      <c r="D11" s="64"/>
      <c r="E11" s="62"/>
      <c r="F11" s="150">
        <f>'6. Avg Nt Fix Ass &amp;UCC'!D63</f>
        <v>759065.9225815</v>
      </c>
      <c r="G11" s="64"/>
      <c r="H11" s="62"/>
      <c r="I11" s="150">
        <f>'6. Avg Nt Fix Ass &amp;UCC'!F63</f>
        <v>0.42258150003617634</v>
      </c>
      <c r="J11" s="64"/>
      <c r="K11" s="62"/>
      <c r="L11" s="150">
        <f>'6. Avg Nt Fix Ass &amp;UCC'!G63</f>
        <v>0.3756280000321567</v>
      </c>
      <c r="M11" s="64"/>
      <c r="N11" s="62"/>
      <c r="O11" s="150">
        <f>'6. Avg Nt Fix Ass &amp;UCC'!H63</f>
        <v>0.32867450002813714</v>
      </c>
      <c r="P11" s="64"/>
      <c r="Q11" s="62"/>
      <c r="R11" s="150">
        <f>'6. Avg Nt Fix Ass &amp;UCC'!I63</f>
        <v>0.2817210000241176</v>
      </c>
      <c r="S11" s="64"/>
      <c r="T11" s="62"/>
      <c r="U11" s="150">
        <f>'6. Avg Nt Fix Ass &amp;UCC'!J63</f>
        <v>0</v>
      </c>
      <c r="V11" s="64"/>
      <c r="W11" s="62"/>
    </row>
    <row r="12" spans="1:23" ht="12.75">
      <c r="A12" s="5"/>
      <c r="B12" s="61" t="s">
        <v>133</v>
      </c>
      <c r="C12" s="150">
        <f>'6. Avg Nt Fix Ass &amp;UCC'!C78</f>
        <v>0</v>
      </c>
      <c r="D12" s="64"/>
      <c r="E12" s="62"/>
      <c r="F12" s="150">
        <f>'6. Avg Nt Fix Ass &amp;UCC'!D78</f>
        <v>0</v>
      </c>
      <c r="G12" s="64"/>
      <c r="H12" s="62"/>
      <c r="I12" s="150">
        <f>'6. Avg Nt Fix Ass &amp;UCC'!F78</f>
        <v>0</v>
      </c>
      <c r="J12" s="64"/>
      <c r="K12" s="62"/>
      <c r="L12" s="150">
        <f>'6. Avg Nt Fix Ass &amp;UCC'!G78</f>
        <v>0</v>
      </c>
      <c r="M12" s="64"/>
      <c r="N12" s="62"/>
      <c r="O12" s="150">
        <f>'6. Avg Nt Fix Ass &amp;UCC'!H78</f>
        <v>0</v>
      </c>
      <c r="P12" s="64"/>
      <c r="Q12" s="62"/>
      <c r="R12" s="150">
        <f>'6. Avg Nt Fix Ass &amp;UCC'!I78</f>
        <v>0</v>
      </c>
      <c r="S12" s="64"/>
      <c r="T12" s="62"/>
      <c r="U12" s="150">
        <f>'6. Avg Nt Fix Ass &amp;UCC'!J78</f>
        <v>0</v>
      </c>
      <c r="V12" s="64"/>
      <c r="W12" s="62"/>
    </row>
    <row r="13" spans="1:23" ht="12.75">
      <c r="A13" s="5"/>
      <c r="B13" s="61" t="s">
        <v>134</v>
      </c>
      <c r="C13" s="151">
        <f>SUM(C8:C12)</f>
        <v>6534067.606871352</v>
      </c>
      <c r="D13" s="152">
        <f>C13</f>
        <v>6534067.606871352</v>
      </c>
      <c r="E13" s="62"/>
      <c r="F13" s="151">
        <f>SUM(F8:F12)</f>
        <v>19492971.265015837</v>
      </c>
      <c r="G13" s="152">
        <f>F13</f>
        <v>19492971.265015837</v>
      </c>
      <c r="H13" s="62"/>
      <c r="I13" s="151">
        <f>SUM(I8:I12)</f>
        <v>18260810.242792845</v>
      </c>
      <c r="J13" s="152">
        <f>I13</f>
        <v>18260810.242792845</v>
      </c>
      <c r="K13" s="62"/>
      <c r="L13" s="151">
        <f>SUM(L8:L12)</f>
        <v>27305544.53459806</v>
      </c>
      <c r="M13" s="152">
        <f>L13</f>
        <v>27305544.53459806</v>
      </c>
      <c r="N13" s="62"/>
      <c r="O13" s="151">
        <f>SUM(O8:O12)</f>
        <v>31268432.293903276</v>
      </c>
      <c r="P13" s="152">
        <f>O13</f>
        <v>31268432.293903276</v>
      </c>
      <c r="Q13" s="62"/>
      <c r="R13" s="151">
        <f>SUM(R8:R12)</f>
        <v>32250174.46570849</v>
      </c>
      <c r="S13" s="152">
        <f>R13</f>
        <v>32250174.46570849</v>
      </c>
      <c r="T13" s="62"/>
      <c r="U13" s="151">
        <f>SUM(U8:U12)</f>
        <v>0</v>
      </c>
      <c r="V13" s="152">
        <f>U13</f>
        <v>0</v>
      </c>
      <c r="W13" s="62"/>
    </row>
    <row r="14" spans="1:23" ht="12.75">
      <c r="A14" s="5"/>
      <c r="B14" s="61"/>
      <c r="C14" s="65"/>
      <c r="D14" s="6"/>
      <c r="E14" s="62"/>
      <c r="F14" s="65"/>
      <c r="G14" s="6"/>
      <c r="H14" s="62"/>
      <c r="I14" s="65"/>
      <c r="J14" s="6"/>
      <c r="K14" s="62"/>
      <c r="L14" s="65"/>
      <c r="M14" s="6"/>
      <c r="N14" s="62"/>
      <c r="O14" s="65"/>
      <c r="P14" s="6"/>
      <c r="Q14" s="62"/>
      <c r="R14" s="65"/>
      <c r="S14" s="6"/>
      <c r="T14" s="62"/>
      <c r="U14" s="65"/>
      <c r="V14" s="6"/>
      <c r="W14" s="62"/>
    </row>
    <row r="15" spans="1:23" ht="18">
      <c r="A15" s="5"/>
      <c r="B15" s="28" t="s">
        <v>135</v>
      </c>
      <c r="C15" s="65"/>
      <c r="D15" s="6"/>
      <c r="E15" s="62"/>
      <c r="F15" s="65"/>
      <c r="G15" s="6"/>
      <c r="H15" s="62"/>
      <c r="I15" s="65"/>
      <c r="J15" s="6"/>
      <c r="K15" s="62"/>
      <c r="L15" s="65"/>
      <c r="M15" s="6"/>
      <c r="N15" s="62"/>
      <c r="O15" s="65"/>
      <c r="P15" s="6"/>
      <c r="Q15" s="62"/>
      <c r="R15" s="65"/>
      <c r="S15" s="6"/>
      <c r="T15" s="62"/>
      <c r="U15" s="65"/>
      <c r="V15" s="6"/>
      <c r="W15" s="62"/>
    </row>
    <row r="16" spans="1:23" ht="12.75">
      <c r="A16" s="5"/>
      <c r="B16" s="61" t="s">
        <v>117</v>
      </c>
      <c r="C16" s="153">
        <f>E33</f>
        <v>0</v>
      </c>
      <c r="D16" s="64"/>
      <c r="E16" s="67"/>
      <c r="F16" s="153">
        <f>H33</f>
        <v>603149.46</v>
      </c>
      <c r="G16" s="64"/>
      <c r="H16" s="67"/>
      <c r="I16" s="153">
        <f>K33</f>
        <v>715611.32</v>
      </c>
      <c r="J16" s="64"/>
      <c r="K16" s="67"/>
      <c r="L16" s="153">
        <f>N33</f>
        <v>1129771.83</v>
      </c>
      <c r="M16" s="64"/>
      <c r="N16" s="67"/>
      <c r="O16" s="153">
        <f>Q33</f>
        <v>1795010.2300000002</v>
      </c>
      <c r="P16" s="64"/>
      <c r="Q16" s="67"/>
      <c r="R16" s="153">
        <f>T33</f>
        <v>2477463.16</v>
      </c>
      <c r="S16" s="64"/>
      <c r="T16" s="67"/>
      <c r="U16" s="153">
        <f>W33</f>
        <v>0</v>
      </c>
      <c r="V16" s="64"/>
      <c r="W16" s="67"/>
    </row>
    <row r="17" spans="1:23" ht="12.75">
      <c r="A17" s="5"/>
      <c r="B17" s="61" t="str">
        <f>"Working Capital  %"</f>
        <v>Working Capital  %</v>
      </c>
      <c r="C17" s="153">
        <f>C16*'3.  LDC Assumptions and Data'!$C$23</f>
        <v>0</v>
      </c>
      <c r="D17" s="152">
        <f>C17</f>
        <v>0</v>
      </c>
      <c r="E17" s="67"/>
      <c r="F17" s="153">
        <f>F16*'3.  LDC Assumptions and Data'!$D$23</f>
        <v>90472.419</v>
      </c>
      <c r="G17" s="152">
        <f>F17</f>
        <v>90472.419</v>
      </c>
      <c r="H17" s="67"/>
      <c r="I17" s="153">
        <f>I16*'3.  LDC Assumptions and Data'!$F$23</f>
        <v>89451.415</v>
      </c>
      <c r="J17" s="152">
        <f>I17</f>
        <v>89451.415</v>
      </c>
      <c r="K17" s="67"/>
      <c r="L17" s="153">
        <f>L16*'3.  LDC Assumptions and Data'!$G$23</f>
        <v>141221.47875</v>
      </c>
      <c r="M17" s="152">
        <f>L17</f>
        <v>141221.47875</v>
      </c>
      <c r="N17" s="67"/>
      <c r="O17" s="153">
        <f>O16*'3.  LDC Assumptions and Data'!$H$23</f>
        <v>224376.27875000003</v>
      </c>
      <c r="P17" s="152">
        <f>O17</f>
        <v>224376.27875000003</v>
      </c>
      <c r="Q17" s="67"/>
      <c r="R17" s="153">
        <f>R16*'3.  LDC Assumptions and Data'!$I$23</f>
        <v>309682.895</v>
      </c>
      <c r="S17" s="152">
        <f>R17</f>
        <v>309682.895</v>
      </c>
      <c r="T17" s="67"/>
      <c r="U17" s="153">
        <f>U16*'3.  LDC Assumptions and Data'!$J$23</f>
        <v>0</v>
      </c>
      <c r="V17" s="152">
        <f>U17</f>
        <v>0</v>
      </c>
      <c r="W17" s="67"/>
    </row>
    <row r="18" spans="1:23" ht="12.75">
      <c r="A18" s="5"/>
      <c r="B18" s="61"/>
      <c r="C18" s="169"/>
      <c r="D18" s="64"/>
      <c r="E18" s="67"/>
      <c r="F18" s="66"/>
      <c r="G18" s="64"/>
      <c r="H18" s="67"/>
      <c r="I18" s="66"/>
      <c r="J18" s="64"/>
      <c r="K18" s="67"/>
      <c r="L18" s="66"/>
      <c r="M18" s="64"/>
      <c r="N18" s="67"/>
      <c r="O18" s="66"/>
      <c r="P18" s="64"/>
      <c r="Q18" s="67"/>
      <c r="R18" s="66"/>
      <c r="S18" s="64"/>
      <c r="T18" s="67"/>
      <c r="U18" s="66"/>
      <c r="V18" s="64"/>
      <c r="W18" s="67"/>
    </row>
    <row r="19" spans="1:23" ht="15.75">
      <c r="A19" s="5"/>
      <c r="B19" s="52" t="s">
        <v>136</v>
      </c>
      <c r="C19" s="66"/>
      <c r="D19" s="140">
        <f>SUM(D9:D17)</f>
        <v>6534067.606871352</v>
      </c>
      <c r="E19" s="67"/>
      <c r="F19" s="66"/>
      <c r="G19" s="140">
        <f>SUM(G9:G17)</f>
        <v>19583443.684015837</v>
      </c>
      <c r="H19" s="67"/>
      <c r="I19" s="66"/>
      <c r="J19" s="140">
        <f>SUM(J9:J17)</f>
        <v>18350261.657792844</v>
      </c>
      <c r="K19" s="67"/>
      <c r="L19" s="66"/>
      <c r="M19" s="140">
        <f>SUM(M9:M17)</f>
        <v>27446766.01334806</v>
      </c>
      <c r="N19" s="67"/>
      <c r="O19" s="66"/>
      <c r="P19" s="140">
        <f>SUM(P9:P17)</f>
        <v>31492808.572653275</v>
      </c>
      <c r="Q19" s="67"/>
      <c r="R19" s="66"/>
      <c r="S19" s="140">
        <f>SUM(S9:S17)</f>
        <v>32559857.36070849</v>
      </c>
      <c r="T19" s="67"/>
      <c r="U19" s="66"/>
      <c r="V19" s="140">
        <f>SUM(V9:V17)</f>
        <v>0</v>
      </c>
      <c r="W19" s="67"/>
    </row>
    <row r="20" spans="1:23" ht="12.75">
      <c r="A20" s="5"/>
      <c r="B20" s="61"/>
      <c r="C20" s="65"/>
      <c r="D20" s="6"/>
      <c r="E20" s="62"/>
      <c r="F20" s="65"/>
      <c r="G20" s="6"/>
      <c r="H20" s="62"/>
      <c r="I20" s="65"/>
      <c r="J20" s="6"/>
      <c r="K20" s="62"/>
      <c r="L20" s="65"/>
      <c r="M20" s="6"/>
      <c r="N20" s="62"/>
      <c r="O20" s="65"/>
      <c r="P20" s="6"/>
      <c r="Q20" s="62"/>
      <c r="R20" s="65"/>
      <c r="S20" s="6"/>
      <c r="T20" s="62"/>
      <c r="U20" s="65"/>
      <c r="V20" s="6"/>
      <c r="W20" s="62"/>
    </row>
    <row r="21" spans="1:23" ht="18">
      <c r="A21" s="5"/>
      <c r="B21" s="28" t="s">
        <v>118</v>
      </c>
      <c r="C21" s="65"/>
      <c r="D21" s="6"/>
      <c r="E21" s="62"/>
      <c r="F21" s="65"/>
      <c r="G21" s="6"/>
      <c r="H21" s="62"/>
      <c r="I21" s="65"/>
      <c r="J21" s="6"/>
      <c r="K21" s="62"/>
      <c r="L21" s="65"/>
      <c r="M21" s="6"/>
      <c r="N21" s="62"/>
      <c r="O21" s="65"/>
      <c r="P21" s="6"/>
      <c r="Q21" s="62"/>
      <c r="R21" s="65"/>
      <c r="S21" s="6"/>
      <c r="T21" s="62"/>
      <c r="U21" s="65"/>
      <c r="V21" s="6"/>
      <c r="W21" s="62"/>
    </row>
    <row r="22" spans="1:23" ht="12.75">
      <c r="A22" s="5"/>
      <c r="B22" s="2" t="s">
        <v>248</v>
      </c>
      <c r="C22" s="65"/>
      <c r="D22" s="6"/>
      <c r="E22" s="62"/>
      <c r="F22" s="65"/>
      <c r="G22" s="6"/>
      <c r="H22" s="62"/>
      <c r="I22" s="68">
        <f>'3.  LDC Assumptions and Data'!$F$14</f>
        <v>0.04</v>
      </c>
      <c r="J22" s="152">
        <f>J19*I22</f>
        <v>734010.4663117138</v>
      </c>
      <c r="K22" s="62"/>
      <c r="L22" s="68">
        <f>'3.  LDC Assumptions and Data'!$G14</f>
        <v>0.04</v>
      </c>
      <c r="M22" s="152">
        <f>M19*L22</f>
        <v>1097870.6405339225</v>
      </c>
      <c r="N22" s="62"/>
      <c r="O22" s="68">
        <f>'3.  LDC Assumptions and Data'!$H14</f>
        <v>0.04</v>
      </c>
      <c r="P22" s="152">
        <f>P19*O22</f>
        <v>1259712.342906131</v>
      </c>
      <c r="Q22" s="62"/>
      <c r="R22" s="68">
        <f>'3.  LDC Assumptions and Data'!$I14</f>
        <v>0.04</v>
      </c>
      <c r="S22" s="152">
        <f>S19*R22</f>
        <v>1302394.2944283397</v>
      </c>
      <c r="T22" s="62"/>
      <c r="U22" s="65">
        <f>'3.  LDC Assumptions and Data'!$J14</f>
        <v>0.04</v>
      </c>
      <c r="V22" s="6"/>
      <c r="W22" s="62"/>
    </row>
    <row r="23" spans="1:23" ht="12.75">
      <c r="A23" s="5"/>
      <c r="B23" s="2" t="s">
        <v>246</v>
      </c>
      <c r="C23" s="68">
        <f>'3.  LDC Assumptions and Data'!$C$15</f>
        <v>0.6</v>
      </c>
      <c r="D23" s="152">
        <f>D19*C23</f>
        <v>3920440.564122811</v>
      </c>
      <c r="E23" s="62"/>
      <c r="F23" s="68">
        <f>'3.  LDC Assumptions and Data'!$D$15</f>
        <v>0.6</v>
      </c>
      <c r="G23" s="152">
        <f>G19*F23</f>
        <v>11750066.210409502</v>
      </c>
      <c r="H23" s="62"/>
      <c r="I23" s="68">
        <f>'3.  LDC Assumptions and Data'!$F$15</f>
        <v>0.56</v>
      </c>
      <c r="J23" s="152">
        <f>J19*I23</f>
        <v>10276146.528363993</v>
      </c>
      <c r="K23" s="62"/>
      <c r="L23" s="68">
        <f>'3.  LDC Assumptions and Data'!$G15</f>
        <v>0.56</v>
      </c>
      <c r="M23" s="152">
        <f>M19*L23</f>
        <v>15370188.967474915</v>
      </c>
      <c r="N23" s="62"/>
      <c r="O23" s="68">
        <f>'3.  LDC Assumptions and Data'!$H15</f>
        <v>0.56</v>
      </c>
      <c r="P23" s="152">
        <f>P19*O23</f>
        <v>17635972.800685834</v>
      </c>
      <c r="Q23" s="62"/>
      <c r="R23" s="68">
        <f>'3.  LDC Assumptions and Data'!$I15</f>
        <v>0.56</v>
      </c>
      <c r="S23" s="152">
        <f>S19*R23</f>
        <v>18233520.121996757</v>
      </c>
      <c r="T23" s="62"/>
      <c r="U23" s="68">
        <f>'3.  LDC Assumptions and Data'!$J15</f>
        <v>0</v>
      </c>
      <c r="V23" s="152">
        <f>V19*U23</f>
        <v>0</v>
      </c>
      <c r="W23" s="62"/>
    </row>
    <row r="24" spans="1:23" ht="12.75">
      <c r="A24" s="5"/>
      <c r="B24" s="2" t="s">
        <v>247</v>
      </c>
      <c r="C24" s="68">
        <f>'3.  LDC Assumptions and Data'!$C$16</f>
        <v>0.4</v>
      </c>
      <c r="D24" s="152">
        <f>D19*C24</f>
        <v>2613627.0427485406</v>
      </c>
      <c r="E24" s="62"/>
      <c r="F24" s="68">
        <f>'3.  LDC Assumptions and Data'!$D$16</f>
        <v>0.4</v>
      </c>
      <c r="G24" s="152">
        <f>G19*F24</f>
        <v>7833377.473606335</v>
      </c>
      <c r="H24" s="62"/>
      <c r="I24" s="68">
        <f>'3.  LDC Assumptions and Data'!$F$16</f>
        <v>0.39999999999999997</v>
      </c>
      <c r="J24" s="152">
        <f>J19*I24</f>
        <v>7340104.663117137</v>
      </c>
      <c r="K24" s="62"/>
      <c r="L24" s="68">
        <f>'3.  LDC Assumptions and Data'!$G$16</f>
        <v>0.39999999999999997</v>
      </c>
      <c r="M24" s="152">
        <f>M19*L24</f>
        <v>10978706.405339224</v>
      </c>
      <c r="N24" s="62"/>
      <c r="O24" s="68">
        <f>'3.  LDC Assumptions and Data'!$H$16</f>
        <v>0.39999999999999997</v>
      </c>
      <c r="P24" s="152">
        <f>P19*O24</f>
        <v>12597123.429061309</v>
      </c>
      <c r="Q24" s="62"/>
      <c r="R24" s="68">
        <f>'3.  LDC Assumptions and Data'!$I$16</f>
        <v>0.39999999999999997</v>
      </c>
      <c r="S24" s="152">
        <f>S19*R24</f>
        <v>13023942.944283394</v>
      </c>
      <c r="T24" s="62"/>
      <c r="U24" s="68">
        <f>'3.  LDC Assumptions and Data'!$J$16</f>
        <v>0.96</v>
      </c>
      <c r="V24" s="152">
        <f>V19*U24</f>
        <v>0</v>
      </c>
      <c r="W24" s="62"/>
    </row>
    <row r="25" spans="1:23" ht="12.75">
      <c r="A25" s="5"/>
      <c r="B25" s="61"/>
      <c r="C25" s="69"/>
      <c r="D25" s="140">
        <f>SUM(D23:D24)</f>
        <v>6534067.606871352</v>
      </c>
      <c r="E25" s="62"/>
      <c r="F25" s="69"/>
      <c r="G25" s="140">
        <f>SUM(G23:G24)</f>
        <v>19583443.684015837</v>
      </c>
      <c r="H25" s="62"/>
      <c r="I25" s="69"/>
      <c r="J25" s="140">
        <f>SUM(J22:J24)</f>
        <v>18350261.657792844</v>
      </c>
      <c r="K25" s="62"/>
      <c r="L25" s="69"/>
      <c r="M25" s="140">
        <f>SUM(M22:M24)</f>
        <v>27446766.01334806</v>
      </c>
      <c r="N25" s="62"/>
      <c r="O25" s="69"/>
      <c r="P25" s="140">
        <f>SUM(P22:P24)</f>
        <v>31492808.572653275</v>
      </c>
      <c r="Q25" s="62"/>
      <c r="R25" s="69"/>
      <c r="S25" s="140">
        <f>SUM(S22:S24)</f>
        <v>32559857.36070849</v>
      </c>
      <c r="T25" s="62"/>
      <c r="U25" s="69"/>
      <c r="V25" s="140">
        <f>SUM(V23:V24)</f>
        <v>0</v>
      </c>
      <c r="W25" s="62"/>
    </row>
    <row r="26" spans="1:23" ht="12.75">
      <c r="A26" s="5"/>
      <c r="B26" s="61"/>
      <c r="C26" s="69"/>
      <c r="D26" s="64"/>
      <c r="E26" s="62"/>
      <c r="F26" s="69"/>
      <c r="G26" s="64"/>
      <c r="H26" s="62"/>
      <c r="I26" s="69"/>
      <c r="J26" s="64"/>
      <c r="K26" s="62"/>
      <c r="L26" s="69"/>
      <c r="M26" s="64"/>
      <c r="N26" s="62"/>
      <c r="O26" s="69"/>
      <c r="P26" s="64"/>
      <c r="Q26" s="62"/>
      <c r="R26" s="69"/>
      <c r="S26" s="64"/>
      <c r="T26" s="62"/>
      <c r="U26" s="69"/>
      <c r="V26" s="64"/>
      <c r="W26" s="62"/>
    </row>
    <row r="27" spans="1:23" ht="12.75">
      <c r="A27" s="5"/>
      <c r="B27" s="2" t="s">
        <v>250</v>
      </c>
      <c r="C27" s="68"/>
      <c r="D27" s="6"/>
      <c r="E27" s="62"/>
      <c r="F27" s="68"/>
      <c r="G27" s="6"/>
      <c r="H27" s="62"/>
      <c r="I27" s="68">
        <f>'3.  LDC Assumptions and Data'!$F$18</f>
        <v>0.0447</v>
      </c>
      <c r="J27" s="152">
        <f>J22*I27</f>
        <v>32810.2678441336</v>
      </c>
      <c r="K27" s="62"/>
      <c r="L27" s="68">
        <f>'3.  LDC Assumptions and Data'!$G18</f>
        <v>0.0447</v>
      </c>
      <c r="M27" s="152">
        <f>M22*L27</f>
        <v>49074.81763186633</v>
      </c>
      <c r="N27" s="62"/>
      <c r="O27" s="68">
        <f>'3.  LDC Assumptions and Data'!$H18</f>
        <v>0.0447</v>
      </c>
      <c r="P27" s="152">
        <f>P22*O27</f>
        <v>56309.14172790405</v>
      </c>
      <c r="Q27" s="62"/>
      <c r="R27" s="68">
        <f>'3.  LDC Assumptions and Data'!$I18</f>
        <v>0.0447</v>
      </c>
      <c r="S27" s="152">
        <f>S22*R27</f>
        <v>58217.02496094678</v>
      </c>
      <c r="T27" s="62"/>
      <c r="U27" s="68">
        <f>'3.  LDC Assumptions and Data'!$J18</f>
        <v>0.0113</v>
      </c>
      <c r="V27" s="6"/>
      <c r="W27" s="62"/>
    </row>
    <row r="28" spans="1:23" ht="12.75">
      <c r="A28" s="5"/>
      <c r="B28" s="61" t="s">
        <v>196</v>
      </c>
      <c r="C28" s="68">
        <f>'3.  LDC Assumptions and Data'!$C$19</f>
        <v>0.0525</v>
      </c>
      <c r="D28" s="152">
        <f>D23*C28</f>
        <v>205823.12961644758</v>
      </c>
      <c r="E28" s="67"/>
      <c r="F28" s="68">
        <f>'3.  LDC Assumptions and Data'!$D$19</f>
        <v>0.0525</v>
      </c>
      <c r="G28" s="152">
        <f>G23*F28</f>
        <v>616878.4760464989</v>
      </c>
      <c r="H28" s="67"/>
      <c r="I28" s="68">
        <f>'3.  LDC Assumptions and Data'!$F$19</f>
        <v>0.0526</v>
      </c>
      <c r="J28" s="152">
        <f>J23*I28</f>
        <v>540525.3073919461</v>
      </c>
      <c r="K28" s="67"/>
      <c r="L28" s="68">
        <f>'3.  LDC Assumptions and Data'!$G19</f>
        <v>0.0526</v>
      </c>
      <c r="M28" s="152">
        <f>M23*L28</f>
        <v>808471.9396891806</v>
      </c>
      <c r="N28" s="67"/>
      <c r="O28" s="68">
        <f>'3.  LDC Assumptions and Data'!$H19</f>
        <v>0.0526</v>
      </c>
      <c r="P28" s="152">
        <f>P23*O28</f>
        <v>927652.1693160749</v>
      </c>
      <c r="Q28" s="67"/>
      <c r="R28" s="68">
        <f>'3.  LDC Assumptions and Data'!$I19</f>
        <v>0.0526</v>
      </c>
      <c r="S28" s="152">
        <f>S23*R28</f>
        <v>959083.1584170294</v>
      </c>
      <c r="T28" s="67"/>
      <c r="U28" s="68">
        <f>'3.  LDC Assumptions and Data'!$J19</f>
        <v>0</v>
      </c>
      <c r="V28" s="152">
        <f>V23*U28</f>
        <v>0</v>
      </c>
      <c r="W28" s="67"/>
    </row>
    <row r="29" spans="1:23" ht="12.75">
      <c r="A29" s="5"/>
      <c r="B29" s="61" t="s">
        <v>197</v>
      </c>
      <c r="C29" s="68">
        <f>'3.  LDC Assumptions and Data'!$C$20</f>
        <v>0.09</v>
      </c>
      <c r="D29" s="152">
        <f>D24*C29</f>
        <v>235226.43384736864</v>
      </c>
      <c r="E29" s="67"/>
      <c r="F29" s="68">
        <f>'3.  LDC Assumptions and Data'!$D$20</f>
        <v>0.09</v>
      </c>
      <c r="G29" s="152">
        <f>G24*F29</f>
        <v>705003.9726245701</v>
      </c>
      <c r="H29" s="67"/>
      <c r="I29" s="68">
        <f>'3.  LDC Assumptions and Data'!$F$20</f>
        <v>0.0857</v>
      </c>
      <c r="J29" s="152">
        <f>J24*I29</f>
        <v>629046.9696291386</v>
      </c>
      <c r="K29" s="67"/>
      <c r="L29" s="68">
        <f>'3.  LDC Assumptions and Data'!$G$20</f>
        <v>0.0857</v>
      </c>
      <c r="M29" s="152">
        <f>M24*L29</f>
        <v>940875.1389375716</v>
      </c>
      <c r="N29" s="67"/>
      <c r="O29" s="68">
        <f>'3.  LDC Assumptions and Data'!$H$20</f>
        <v>0.0857</v>
      </c>
      <c r="P29" s="152">
        <f>P24*O29</f>
        <v>1079573.4778705542</v>
      </c>
      <c r="Q29" s="67"/>
      <c r="R29" s="68">
        <f>'3.  LDC Assumptions and Data'!$I$20</f>
        <v>0.0857</v>
      </c>
      <c r="S29" s="152">
        <f>S24*R29</f>
        <v>1116151.910325087</v>
      </c>
      <c r="T29" s="67"/>
      <c r="U29" s="68">
        <f>'3.  LDC Assumptions and Data'!$J$20</f>
        <v>0.0801</v>
      </c>
      <c r="V29" s="152">
        <f>V24*U29</f>
        <v>0</v>
      </c>
      <c r="W29" s="67"/>
    </row>
    <row r="30" spans="1:23" ht="15.75">
      <c r="A30" s="5"/>
      <c r="B30" s="52" t="s">
        <v>118</v>
      </c>
      <c r="C30" s="65"/>
      <c r="D30" s="140">
        <f>SUM(D28:D29)</f>
        <v>441049.5634638162</v>
      </c>
      <c r="E30" s="154">
        <f>D30</f>
        <v>441049.5634638162</v>
      </c>
      <c r="F30" s="65"/>
      <c r="G30" s="140">
        <f>SUM(G28:G29)</f>
        <v>1321882.448671069</v>
      </c>
      <c r="H30" s="154">
        <f>G30</f>
        <v>1321882.448671069</v>
      </c>
      <c r="I30" s="65"/>
      <c r="J30" s="140">
        <f>SUM(J27:J29)</f>
        <v>1202382.5448652185</v>
      </c>
      <c r="K30" s="154">
        <f>J30</f>
        <v>1202382.5448652185</v>
      </c>
      <c r="L30" s="65"/>
      <c r="M30" s="140">
        <f>SUM(M27:M29)</f>
        <v>1798421.8962586184</v>
      </c>
      <c r="N30" s="154">
        <f>M30</f>
        <v>1798421.8962586184</v>
      </c>
      <c r="O30" s="65"/>
      <c r="P30" s="140">
        <f>SUM(P27:P29)</f>
        <v>2063534.7889145333</v>
      </c>
      <c r="Q30" s="154">
        <f>P30</f>
        <v>2063534.7889145333</v>
      </c>
      <c r="R30" s="65"/>
      <c r="S30" s="140">
        <f>SUM(S27:S29)</f>
        <v>2133452.093703063</v>
      </c>
      <c r="T30" s="154">
        <f>S30</f>
        <v>2133452.093703063</v>
      </c>
      <c r="U30" s="65"/>
      <c r="V30" s="140">
        <f>SUM(V28:V29)</f>
        <v>0</v>
      </c>
      <c r="W30" s="154">
        <f>V30</f>
        <v>0</v>
      </c>
    </row>
    <row r="31" spans="1:23" ht="15.75">
      <c r="A31" s="5"/>
      <c r="B31" s="52"/>
      <c r="C31" s="65"/>
      <c r="D31" s="63"/>
      <c r="E31" s="70"/>
      <c r="F31" s="65"/>
      <c r="G31" s="63"/>
      <c r="H31" s="70"/>
      <c r="I31" s="65"/>
      <c r="J31" s="63"/>
      <c r="K31" s="70"/>
      <c r="L31" s="65"/>
      <c r="M31" s="63"/>
      <c r="N31" s="70"/>
      <c r="O31" s="65"/>
      <c r="P31" s="63"/>
      <c r="Q31" s="70"/>
      <c r="R31" s="65"/>
      <c r="S31" s="63"/>
      <c r="T31" s="70"/>
      <c r="U31" s="65"/>
      <c r="V31" s="63"/>
      <c r="W31" s="70"/>
    </row>
    <row r="32" spans="1:23" ht="18">
      <c r="A32" s="5"/>
      <c r="B32" s="28" t="s">
        <v>119</v>
      </c>
      <c r="C32" s="65"/>
      <c r="D32" s="63"/>
      <c r="E32" s="70"/>
      <c r="F32" s="65"/>
      <c r="G32" s="63"/>
      <c r="H32" s="70"/>
      <c r="I32" s="65"/>
      <c r="J32" s="63"/>
      <c r="K32" s="70"/>
      <c r="L32" s="65"/>
      <c r="M32" s="63"/>
      <c r="N32" s="70"/>
      <c r="O32" s="65"/>
      <c r="P32" s="63"/>
      <c r="Q32" s="70"/>
      <c r="R32" s="65"/>
      <c r="S32" s="63"/>
      <c r="T32" s="70"/>
      <c r="U32" s="65"/>
      <c r="V32" s="63"/>
      <c r="W32" s="70"/>
    </row>
    <row r="33" spans="1:23" ht="12.75">
      <c r="A33" s="5"/>
      <c r="B33" s="57" t="s">
        <v>198</v>
      </c>
      <c r="C33" s="65"/>
      <c r="D33" s="64"/>
      <c r="E33" s="155">
        <f>'3.  LDC Assumptions and Data'!C46</f>
        <v>0</v>
      </c>
      <c r="F33" s="65"/>
      <c r="G33" s="64"/>
      <c r="H33" s="155">
        <f>'3.  LDC Assumptions and Data'!D46</f>
        <v>603149.46</v>
      </c>
      <c r="I33" s="65"/>
      <c r="J33" s="64"/>
      <c r="K33" s="155">
        <f>'3.  LDC Assumptions and Data'!F46</f>
        <v>715611.32</v>
      </c>
      <c r="L33" s="65"/>
      <c r="M33" s="64"/>
      <c r="N33" s="155">
        <f>'3.  LDC Assumptions and Data'!G46</f>
        <v>1129771.83</v>
      </c>
      <c r="O33" s="65"/>
      <c r="P33" s="64"/>
      <c r="Q33" s="155">
        <f>'3.  LDC Assumptions and Data'!H46</f>
        <v>1795010.2300000002</v>
      </c>
      <c r="R33" s="65"/>
      <c r="S33" s="64"/>
      <c r="T33" s="155">
        <f>'3.  LDC Assumptions and Data'!I46</f>
        <v>2477463.16</v>
      </c>
      <c r="U33" s="65"/>
      <c r="V33" s="64"/>
      <c r="W33" s="155">
        <f>'3.  LDC Assumptions and Data'!J46</f>
        <v>0</v>
      </c>
    </row>
    <row r="34" spans="1:23" ht="12.75">
      <c r="A34" s="5"/>
      <c r="B34" s="61"/>
      <c r="C34" s="65"/>
      <c r="D34" s="63"/>
      <c r="E34" s="70"/>
      <c r="F34" s="65"/>
      <c r="G34" s="63"/>
      <c r="H34" s="70"/>
      <c r="I34" s="65"/>
      <c r="J34" s="63"/>
      <c r="K34" s="70"/>
      <c r="L34" s="65"/>
      <c r="M34" s="63"/>
      <c r="N34" s="70"/>
      <c r="O34" s="65"/>
      <c r="P34" s="63"/>
      <c r="Q34" s="70"/>
      <c r="R34" s="65"/>
      <c r="S34" s="63"/>
      <c r="T34" s="70"/>
      <c r="U34" s="65"/>
      <c r="V34" s="63"/>
      <c r="W34" s="70"/>
    </row>
    <row r="35" spans="1:23" ht="18">
      <c r="A35" s="5"/>
      <c r="B35" s="28" t="s">
        <v>121</v>
      </c>
      <c r="C35" s="65"/>
      <c r="D35" s="63"/>
      <c r="E35" s="70"/>
      <c r="F35" s="65"/>
      <c r="G35" s="63"/>
      <c r="H35" s="70"/>
      <c r="I35" s="65"/>
      <c r="J35" s="63"/>
      <c r="K35" s="70"/>
      <c r="L35" s="65"/>
      <c r="M35" s="63"/>
      <c r="N35" s="70"/>
      <c r="O35" s="65"/>
      <c r="P35" s="63"/>
      <c r="Q35" s="70"/>
      <c r="R35" s="65"/>
      <c r="S35" s="63"/>
      <c r="T35" s="70"/>
      <c r="U35" s="65"/>
      <c r="V35" s="63"/>
      <c r="W35" s="70"/>
    </row>
    <row r="36" spans="1:23" ht="12.75">
      <c r="A36" s="5"/>
      <c r="B36" s="57" t="s">
        <v>137</v>
      </c>
      <c r="C36" s="65"/>
      <c r="D36" s="142">
        <f>SUM('6. Avg Nt Fix Ass &amp;UCC'!C13:C13)</f>
        <v>423154.05578222254</v>
      </c>
      <c r="E36" s="67"/>
      <c r="F36" s="65"/>
      <c r="G36" s="142">
        <f>SUM('6. Avg Nt Fix Ass &amp;UCC'!D13:D13)</f>
        <v>1307109.8891528659</v>
      </c>
      <c r="H36" s="67"/>
      <c r="I36" s="65"/>
      <c r="J36" s="142">
        <f>SUM('6. Avg Nt Fix Ass &amp;UCC'!F13:F13)</f>
        <v>1239937.7164079533</v>
      </c>
      <c r="K36" s="67"/>
      <c r="L36" s="65"/>
      <c r="M36" s="142">
        <f>SUM('6. Avg Nt Fix Ass &amp;UCC'!G13:G13)</f>
        <v>1925835.4360746199</v>
      </c>
      <c r="N36" s="67"/>
      <c r="O36" s="65"/>
      <c r="P36" s="142">
        <f>SUM('6. Avg Nt Fix Ass &amp;UCC'!H13:H13)</f>
        <v>2236508.6944079534</v>
      </c>
      <c r="Q36" s="67"/>
      <c r="R36" s="65"/>
      <c r="S36" s="142">
        <f>SUM('6. Avg Nt Fix Ass &amp;UCC'!I13:I13)</f>
        <v>2336014.4200746203</v>
      </c>
      <c r="T36" s="67"/>
      <c r="U36" s="65"/>
      <c r="V36" s="142">
        <f>SUM('6. Avg Nt Fix Ass &amp;UCC'!J13:J13)</f>
        <v>0</v>
      </c>
      <c r="W36" s="67"/>
    </row>
    <row r="37" spans="1:23" ht="12.75">
      <c r="A37" s="5"/>
      <c r="B37" s="57" t="s">
        <v>138</v>
      </c>
      <c r="C37" s="65"/>
      <c r="D37" s="142">
        <f>SUM('6. Avg Nt Fix Ass &amp;UCC'!C28:C28)</f>
        <v>0</v>
      </c>
      <c r="E37" s="67"/>
      <c r="F37" s="65"/>
      <c r="G37" s="142">
        <f>SUM('6. Avg Nt Fix Ass &amp;UCC'!D28:D28)</f>
        <v>5363.369000000001</v>
      </c>
      <c r="H37" s="67"/>
      <c r="I37" s="65"/>
      <c r="J37" s="142">
        <f>SUM('6. Avg Nt Fix Ass &amp;UCC'!F28:F28)</f>
        <v>614.3090000000004</v>
      </c>
      <c r="K37" s="67"/>
      <c r="L37" s="65"/>
      <c r="M37" s="142">
        <f>SUM('6. Avg Nt Fix Ass &amp;UCC'!G28:G28)</f>
        <v>1128.0800000000004</v>
      </c>
      <c r="N37" s="67"/>
      <c r="O37" s="65"/>
      <c r="P37" s="142">
        <f>SUM('6. Avg Nt Fix Ass &amp;UCC'!H28:H28)</f>
        <v>65200.53199999998</v>
      </c>
      <c r="Q37" s="67"/>
      <c r="R37" s="65"/>
      <c r="S37" s="142">
        <f>SUM('6. Avg Nt Fix Ass &amp;UCC'!I28:I28)</f>
        <v>134712.98399999997</v>
      </c>
      <c r="T37" s="67"/>
      <c r="U37" s="65"/>
      <c r="V37" s="142">
        <f>SUM('6. Avg Nt Fix Ass &amp;UCC'!J28:J28)</f>
        <v>0</v>
      </c>
      <c r="W37" s="67"/>
    </row>
    <row r="38" spans="1:23" ht="12.75">
      <c r="A38" s="5"/>
      <c r="B38" s="57" t="s">
        <v>139</v>
      </c>
      <c r="C38" s="65"/>
      <c r="D38" s="142">
        <f>SUM('6. Avg Nt Fix Ass &amp;UCC'!C43:C43)</f>
        <v>0</v>
      </c>
      <c r="E38" s="67"/>
      <c r="F38" s="65"/>
      <c r="G38" s="142">
        <f>SUM('6. Avg Nt Fix Ass &amp;UCC'!D43:D43)</f>
        <v>39962.409999999996</v>
      </c>
      <c r="H38" s="67"/>
      <c r="I38" s="65"/>
      <c r="J38" s="142">
        <f>SUM('6. Avg Nt Fix Ass &amp;UCC'!F43:F43)</f>
        <v>155854.775</v>
      </c>
      <c r="K38" s="67"/>
      <c r="L38" s="65"/>
      <c r="M38" s="142">
        <f>SUM('6. Avg Nt Fix Ass &amp;UCC'!G43:G43)</f>
        <v>265479.71599999996</v>
      </c>
      <c r="N38" s="67"/>
      <c r="O38" s="65"/>
      <c r="P38" s="142">
        <f>SUM('6. Avg Nt Fix Ass &amp;UCC'!H43:H43)</f>
        <v>568200.329</v>
      </c>
      <c r="Q38" s="67"/>
      <c r="R38" s="65"/>
      <c r="S38" s="142">
        <f>SUM('6. Avg Nt Fix Ass &amp;UCC'!I43:I43)</f>
        <v>1033980.9330000001</v>
      </c>
      <c r="T38" s="67"/>
      <c r="U38" s="65"/>
      <c r="V38" s="142">
        <f>SUM('6. Avg Nt Fix Ass &amp;UCC'!J43:J43)</f>
        <v>0</v>
      </c>
      <c r="W38" s="67"/>
    </row>
    <row r="39" spans="1:23" ht="12.75">
      <c r="A39" s="5"/>
      <c r="B39" s="57" t="s">
        <v>140</v>
      </c>
      <c r="C39" s="65"/>
      <c r="D39" s="142">
        <f>SUM('6. Avg Nt Fix Ass &amp;UCC'!C58:C58)</f>
        <v>41929.87347675</v>
      </c>
      <c r="E39" s="67"/>
      <c r="F39" s="65"/>
      <c r="G39" s="142">
        <f>SUM('6. Avg Nt Fix Ass &amp;UCC'!D58:D58)</f>
        <v>84315.3469535</v>
      </c>
      <c r="H39" s="67"/>
      <c r="I39" s="65"/>
      <c r="J39" s="142">
        <f>SUM('6. Avg Nt Fix Ass &amp;UCC'!F58:F58)</f>
        <v>0.046953500004019585</v>
      </c>
      <c r="K39" s="67"/>
      <c r="L39" s="65"/>
      <c r="M39" s="142">
        <f>SUM('6. Avg Nt Fix Ass &amp;UCC'!G58:G58)</f>
        <v>0.046953500004019585</v>
      </c>
      <c r="N39" s="67"/>
      <c r="O39" s="65"/>
      <c r="P39" s="142">
        <f>SUM('6. Avg Nt Fix Ass &amp;UCC'!H58:H58)</f>
        <v>0.046953500004019585</v>
      </c>
      <c r="Q39" s="67"/>
      <c r="R39" s="65"/>
      <c r="S39" s="142">
        <f>SUM('6. Avg Nt Fix Ass &amp;UCC'!I58:I58)</f>
        <v>0.046953500004019585</v>
      </c>
      <c r="T39" s="67"/>
      <c r="U39" s="65"/>
      <c r="V39" s="142">
        <f>SUM('6. Avg Nt Fix Ass &amp;UCC'!J58:J58)</f>
        <v>0</v>
      </c>
      <c r="W39" s="67"/>
    </row>
    <row r="40" spans="1:23" ht="12.75">
      <c r="A40" s="5"/>
      <c r="B40" s="57" t="s">
        <v>141</v>
      </c>
      <c r="C40" s="65"/>
      <c r="D40" s="142">
        <f>SUM('6. Avg Nt Fix Ass &amp;UCC'!C73:C73)</f>
        <v>0</v>
      </c>
      <c r="E40" s="67"/>
      <c r="F40" s="65"/>
      <c r="G40" s="142">
        <f>SUM('6. Avg Nt Fix Ass &amp;UCC'!D73:D73)</f>
        <v>0</v>
      </c>
      <c r="H40" s="67"/>
      <c r="I40" s="65"/>
      <c r="J40" s="142">
        <f>SUM('6. Avg Nt Fix Ass &amp;UCC'!F73:F73)</f>
        <v>0</v>
      </c>
      <c r="K40" s="67"/>
      <c r="L40" s="65"/>
      <c r="M40" s="142">
        <f>SUM('6. Avg Nt Fix Ass &amp;UCC'!G73:G73)</f>
        <v>0</v>
      </c>
      <c r="N40" s="67"/>
      <c r="O40" s="65"/>
      <c r="P40" s="142">
        <f>SUM('6. Avg Nt Fix Ass &amp;UCC'!H73:H73)</f>
        <v>0</v>
      </c>
      <c r="Q40" s="67"/>
      <c r="R40" s="65"/>
      <c r="S40" s="142">
        <f>SUM('6. Avg Nt Fix Ass &amp;UCC'!I73:I73)</f>
        <v>0</v>
      </c>
      <c r="T40" s="67"/>
      <c r="U40" s="65"/>
      <c r="V40" s="142">
        <f>SUM('6. Avg Nt Fix Ass &amp;UCC'!J73:J73)</f>
        <v>0</v>
      </c>
      <c r="W40" s="67"/>
    </row>
    <row r="41" spans="1:23" ht="15.75">
      <c r="A41" s="5"/>
      <c r="B41" s="52" t="s">
        <v>142</v>
      </c>
      <c r="C41" s="65"/>
      <c r="D41" s="64"/>
      <c r="E41" s="156">
        <f>SUM(D36:D40)</f>
        <v>465083.9292589725</v>
      </c>
      <c r="F41" s="65"/>
      <c r="G41" s="64"/>
      <c r="H41" s="156">
        <f>SUM(G36:G40)</f>
        <v>1436751.0151063658</v>
      </c>
      <c r="I41" s="65"/>
      <c r="J41" s="64"/>
      <c r="K41" s="156">
        <f>SUM(J36:J40)</f>
        <v>1396406.847361453</v>
      </c>
      <c r="L41" s="65"/>
      <c r="M41" s="64"/>
      <c r="N41" s="156">
        <f>SUM(M36:M40)</f>
        <v>2192443.2790281195</v>
      </c>
      <c r="O41" s="65"/>
      <c r="P41" s="64"/>
      <c r="Q41" s="156">
        <f>SUM(P36:P40)</f>
        <v>2869909.602361453</v>
      </c>
      <c r="R41" s="65"/>
      <c r="S41" s="64"/>
      <c r="T41" s="156">
        <f>SUM(S36:S40)</f>
        <v>3504708.3840281204</v>
      </c>
      <c r="U41" s="65"/>
      <c r="V41" s="64"/>
      <c r="W41" s="156">
        <f>SUM(V36:V40)</f>
        <v>0</v>
      </c>
    </row>
    <row r="42" spans="1:23" ht="12.75">
      <c r="A42" s="5"/>
      <c r="B42" s="61"/>
      <c r="C42" s="65"/>
      <c r="D42" s="64"/>
      <c r="E42" s="67"/>
      <c r="F42" s="65"/>
      <c r="G42" s="64"/>
      <c r="H42" s="67"/>
      <c r="I42" s="65"/>
      <c r="J42" s="64"/>
      <c r="K42" s="67"/>
      <c r="L42" s="65"/>
      <c r="M42" s="64"/>
      <c r="N42" s="67"/>
      <c r="O42" s="65"/>
      <c r="P42" s="64"/>
      <c r="Q42" s="67"/>
      <c r="R42" s="65"/>
      <c r="S42" s="64"/>
      <c r="T42" s="67"/>
      <c r="U42" s="65"/>
      <c r="V42" s="64"/>
      <c r="W42" s="67"/>
    </row>
    <row r="43" spans="1:23" ht="15.75">
      <c r="A43" s="5"/>
      <c r="B43" s="52" t="s">
        <v>122</v>
      </c>
      <c r="C43" s="65"/>
      <c r="D43" s="64"/>
      <c r="E43" s="157">
        <f>SUM(E30,E41,E33)</f>
        <v>906133.4927227887</v>
      </c>
      <c r="F43" s="65"/>
      <c r="G43" s="64"/>
      <c r="H43" s="157">
        <f>SUM(H30,H41,H33)</f>
        <v>3361782.923777435</v>
      </c>
      <c r="I43" s="65"/>
      <c r="J43" s="64"/>
      <c r="K43" s="157">
        <f>SUM(K30,K41,K33)</f>
        <v>3314400.7122266716</v>
      </c>
      <c r="L43" s="65"/>
      <c r="M43" s="64"/>
      <c r="N43" s="157">
        <f>SUM(N30,N41,N33)</f>
        <v>5120637.005286738</v>
      </c>
      <c r="O43" s="65"/>
      <c r="P43" s="64"/>
      <c r="Q43" s="157">
        <f>SUM(Q30,Q41,Q33)</f>
        <v>6728454.6212759875</v>
      </c>
      <c r="R43" s="65"/>
      <c r="S43" s="64"/>
      <c r="T43" s="157">
        <f>SUM(T30,T41,T33)</f>
        <v>8115623.637731183</v>
      </c>
      <c r="U43" s="65"/>
      <c r="V43" s="64"/>
      <c r="W43" s="157">
        <f>SUM(W30,W41,W33)</f>
        <v>0</v>
      </c>
    </row>
    <row r="44" spans="1:23" ht="15.75">
      <c r="A44" s="5"/>
      <c r="B44" s="52"/>
      <c r="C44" s="65"/>
      <c r="D44" s="64"/>
      <c r="E44" s="67"/>
      <c r="F44" s="65"/>
      <c r="G44" s="64"/>
      <c r="H44" s="67"/>
      <c r="I44" s="65"/>
      <c r="J44" s="64"/>
      <c r="K44" s="67"/>
      <c r="L44" s="65"/>
      <c r="M44" s="64"/>
      <c r="N44" s="67"/>
      <c r="O44" s="65"/>
      <c r="P44" s="64"/>
      <c r="Q44" s="67"/>
      <c r="R44" s="65"/>
      <c r="S44" s="64"/>
      <c r="T44" s="67"/>
      <c r="U44" s="65"/>
      <c r="V44" s="64"/>
      <c r="W44" s="67"/>
    </row>
    <row r="45" spans="1:23" ht="18">
      <c r="A45" s="5"/>
      <c r="B45" s="28" t="s">
        <v>143</v>
      </c>
      <c r="C45" s="65"/>
      <c r="D45" s="64"/>
      <c r="E45" s="67"/>
      <c r="F45" s="65"/>
      <c r="G45" s="64"/>
      <c r="H45" s="67"/>
      <c r="I45" s="65"/>
      <c r="J45" s="64"/>
      <c r="K45" s="67"/>
      <c r="L45" s="65"/>
      <c r="M45" s="64"/>
      <c r="N45" s="67"/>
      <c r="O45" s="65"/>
      <c r="P45" s="64"/>
      <c r="Q45" s="67"/>
      <c r="R45" s="65"/>
      <c r="S45" s="64"/>
      <c r="T45" s="67"/>
      <c r="U45" s="65"/>
      <c r="V45" s="64"/>
      <c r="W45" s="67"/>
    </row>
    <row r="46" spans="1:23" ht="12.75">
      <c r="A46" s="5"/>
      <c r="B46" s="57" t="s">
        <v>120</v>
      </c>
      <c r="C46" s="65"/>
      <c r="D46" s="64"/>
      <c r="E46" s="154">
        <f>-E33</f>
        <v>0</v>
      </c>
      <c r="F46" s="65"/>
      <c r="G46" s="64"/>
      <c r="H46" s="154">
        <f>-H33</f>
        <v>-603149.46</v>
      </c>
      <c r="I46" s="65"/>
      <c r="J46" s="64"/>
      <c r="K46" s="154">
        <f>-K33</f>
        <v>-715611.32</v>
      </c>
      <c r="L46" s="65"/>
      <c r="M46" s="64"/>
      <c r="N46" s="154">
        <f>-N33</f>
        <v>-1129771.83</v>
      </c>
      <c r="O46" s="65"/>
      <c r="P46" s="64"/>
      <c r="Q46" s="154">
        <f>-Q33</f>
        <v>-1795010.2300000002</v>
      </c>
      <c r="R46" s="65"/>
      <c r="S46" s="64"/>
      <c r="T46" s="154">
        <f>-T33</f>
        <v>-2477463.16</v>
      </c>
      <c r="U46" s="65"/>
      <c r="V46" s="64"/>
      <c r="W46" s="154">
        <f>-W33</f>
        <v>0</v>
      </c>
    </row>
    <row r="47" spans="1:23" ht="12.75">
      <c r="A47" s="5"/>
      <c r="B47" s="57" t="s">
        <v>144</v>
      </c>
      <c r="C47" s="65"/>
      <c r="D47" s="64"/>
      <c r="E47" s="154">
        <f>-E41</f>
        <v>-465083.9292589725</v>
      </c>
      <c r="F47" s="65"/>
      <c r="G47" s="64"/>
      <c r="H47" s="154">
        <f>-H41</f>
        <v>-1436751.0151063658</v>
      </c>
      <c r="I47" s="65"/>
      <c r="J47" s="64"/>
      <c r="K47" s="154">
        <f>-K41</f>
        <v>-1396406.847361453</v>
      </c>
      <c r="L47" s="65"/>
      <c r="M47" s="64"/>
      <c r="N47" s="154">
        <f>-N41</f>
        <v>-2192443.2790281195</v>
      </c>
      <c r="O47" s="65"/>
      <c r="P47" s="64"/>
      <c r="Q47" s="154">
        <f>-Q41</f>
        <v>-2869909.602361453</v>
      </c>
      <c r="R47" s="65"/>
      <c r="S47" s="64"/>
      <c r="T47" s="154">
        <f>-T41</f>
        <v>-3504708.3840281204</v>
      </c>
      <c r="U47" s="65"/>
      <c r="V47" s="64"/>
      <c r="W47" s="154">
        <f>-W41</f>
        <v>0</v>
      </c>
    </row>
    <row r="48" spans="1:23" ht="12.75">
      <c r="A48" s="5"/>
      <c r="B48" s="57" t="s">
        <v>145</v>
      </c>
      <c r="C48" s="65"/>
      <c r="D48" s="64"/>
      <c r="E48" s="154">
        <f>-D28</f>
        <v>-205823.12961644758</v>
      </c>
      <c r="F48" s="65"/>
      <c r="G48" s="64"/>
      <c r="H48" s="154">
        <f>-G28</f>
        <v>-616878.4760464989</v>
      </c>
      <c r="I48" s="65"/>
      <c r="J48" s="64"/>
      <c r="K48" s="154">
        <f>-J28-J27</f>
        <v>-573335.5752360797</v>
      </c>
      <c r="L48" s="65"/>
      <c r="M48" s="64"/>
      <c r="N48" s="154">
        <f>-M28-M27</f>
        <v>-857546.7573210469</v>
      </c>
      <c r="O48" s="65"/>
      <c r="P48" s="64"/>
      <c r="Q48" s="154">
        <f>-P28-P27</f>
        <v>-983961.311043979</v>
      </c>
      <c r="R48" s="65"/>
      <c r="S48" s="64"/>
      <c r="T48" s="154">
        <f>-S28-S27</f>
        <v>-1017300.1833779762</v>
      </c>
      <c r="U48" s="65"/>
      <c r="V48" s="64"/>
      <c r="W48" s="154">
        <f>-V28</f>
        <v>0</v>
      </c>
    </row>
    <row r="49" spans="1:23" ht="15.75">
      <c r="A49" s="5"/>
      <c r="B49" s="52" t="s">
        <v>146</v>
      </c>
      <c r="C49" s="65"/>
      <c r="D49" s="64"/>
      <c r="E49" s="158">
        <f>SUM(E43:E48)</f>
        <v>235226.4338473686</v>
      </c>
      <c r="F49" s="65"/>
      <c r="G49" s="64"/>
      <c r="H49" s="158">
        <f>SUM(H43:H48)</f>
        <v>705003.9726245704</v>
      </c>
      <c r="I49" s="65"/>
      <c r="J49" s="64"/>
      <c r="K49" s="158">
        <f>SUM(K43:K48)</f>
        <v>629046.9696291389</v>
      </c>
      <c r="L49" s="65"/>
      <c r="M49" s="64"/>
      <c r="N49" s="158">
        <f>SUM(N43:N48)</f>
        <v>940875.1389375718</v>
      </c>
      <c r="O49" s="65"/>
      <c r="P49" s="64"/>
      <c r="Q49" s="158">
        <f>SUM(Q43:Q48)</f>
        <v>1079573.4778705547</v>
      </c>
      <c r="R49" s="65"/>
      <c r="S49" s="64"/>
      <c r="T49" s="158">
        <f>SUM(T43:T48)</f>
        <v>1116151.9103250867</v>
      </c>
      <c r="U49" s="65"/>
      <c r="V49" s="64"/>
      <c r="W49" s="158">
        <f>SUM(W43:W48)</f>
        <v>0</v>
      </c>
    </row>
    <row r="50" spans="1:23" ht="15.75">
      <c r="A50" s="5"/>
      <c r="B50" s="52"/>
      <c r="C50" s="65"/>
      <c r="D50" s="64"/>
      <c r="E50" s="71"/>
      <c r="F50" s="65"/>
      <c r="G50" s="64"/>
      <c r="H50" s="71"/>
      <c r="I50" s="65"/>
      <c r="J50" s="64"/>
      <c r="K50" s="71"/>
      <c r="L50" s="65"/>
      <c r="M50" s="64"/>
      <c r="N50" s="71"/>
      <c r="O50" s="65"/>
      <c r="P50" s="64"/>
      <c r="Q50" s="71"/>
      <c r="R50" s="65"/>
      <c r="S50" s="64"/>
      <c r="T50" s="71"/>
      <c r="U50" s="65"/>
      <c r="V50" s="64"/>
      <c r="W50" s="71"/>
    </row>
    <row r="51" spans="1:23" ht="15.75">
      <c r="A51" s="5"/>
      <c r="B51" s="52" t="s">
        <v>199</v>
      </c>
      <c r="C51" s="65"/>
      <c r="D51" s="64"/>
      <c r="E51" s="155">
        <f>'5. PILs'!C42</f>
        <v>98687.6240194041</v>
      </c>
      <c r="F51" s="65"/>
      <c r="G51" s="64"/>
      <c r="H51" s="155">
        <f>'5. PILs'!D42</f>
        <v>277424.7734194702</v>
      </c>
      <c r="I51" s="65"/>
      <c r="J51" s="64"/>
      <c r="K51" s="155">
        <f>'5. PILs'!E42</f>
        <v>146943.04855446357</v>
      </c>
      <c r="L51" s="65"/>
      <c r="M51" s="64"/>
      <c r="N51" s="155">
        <f>'5. PILs'!F42</f>
        <v>311094.32270998106</v>
      </c>
      <c r="O51" s="65"/>
      <c r="P51" s="64"/>
      <c r="Q51" s="155">
        <f>'5. PILs'!G42</f>
        <v>189535.97975879197</v>
      </c>
      <c r="R51" s="65"/>
      <c r="S51" s="64"/>
      <c r="T51" s="155">
        <f>'5. PILs'!H42</f>
        <v>121801.4639620554</v>
      </c>
      <c r="U51" s="65"/>
      <c r="V51" s="64"/>
      <c r="W51" s="155">
        <f>'5. PILs'!I42</f>
        <v>0</v>
      </c>
    </row>
    <row r="52" spans="1:23" ht="12.75">
      <c r="A52" s="5"/>
      <c r="B52" s="61"/>
      <c r="C52" s="65"/>
      <c r="D52" s="64"/>
      <c r="E52" s="71"/>
      <c r="F52" s="65"/>
      <c r="G52" s="64"/>
      <c r="H52" s="71"/>
      <c r="I52" s="65"/>
      <c r="J52" s="64"/>
      <c r="K52" s="71"/>
      <c r="L52" s="65"/>
      <c r="M52" s="64"/>
      <c r="N52" s="71"/>
      <c r="O52" s="65"/>
      <c r="P52" s="64"/>
      <c r="Q52" s="71"/>
      <c r="R52" s="65"/>
      <c r="S52" s="64"/>
      <c r="T52" s="71"/>
      <c r="U52" s="65"/>
      <c r="V52" s="64"/>
      <c r="W52" s="71"/>
    </row>
    <row r="53" spans="1:23" ht="12.75">
      <c r="A53" s="5"/>
      <c r="B53" s="61" t="str">
        <f>B43</f>
        <v>Revenue Requirement Before PILs</v>
      </c>
      <c r="C53" s="65"/>
      <c r="D53" s="64"/>
      <c r="E53" s="159">
        <f>E43</f>
        <v>906133.4927227887</v>
      </c>
      <c r="F53" s="65"/>
      <c r="G53" s="64"/>
      <c r="H53" s="159">
        <f>H43</f>
        <v>3361782.923777435</v>
      </c>
      <c r="I53" s="65"/>
      <c r="J53" s="64"/>
      <c r="K53" s="159">
        <f>K43</f>
        <v>3314400.7122266716</v>
      </c>
      <c r="L53" s="65"/>
      <c r="M53" s="64"/>
      <c r="N53" s="159">
        <f>N43</f>
        <v>5120637.005286738</v>
      </c>
      <c r="O53" s="65"/>
      <c r="P53" s="64"/>
      <c r="Q53" s="159">
        <f>Q43</f>
        <v>6728454.6212759875</v>
      </c>
      <c r="R53" s="65"/>
      <c r="S53" s="64"/>
      <c r="T53" s="159">
        <f>T43</f>
        <v>8115623.637731183</v>
      </c>
      <c r="U53" s="65"/>
      <c r="V53" s="64"/>
      <c r="W53" s="159">
        <f>W43</f>
        <v>0</v>
      </c>
    </row>
    <row r="54" spans="1:23" ht="12.75">
      <c r="A54" s="5"/>
      <c r="B54" s="61" t="s">
        <v>147</v>
      </c>
      <c r="C54" s="65"/>
      <c r="D54" s="64"/>
      <c r="E54" s="159">
        <f>E51</f>
        <v>98687.6240194041</v>
      </c>
      <c r="F54" s="65"/>
      <c r="G54" s="64"/>
      <c r="H54" s="159">
        <f>H51</f>
        <v>277424.7734194702</v>
      </c>
      <c r="I54" s="65"/>
      <c r="J54" s="64"/>
      <c r="K54" s="159">
        <f>K51</f>
        <v>146943.04855446357</v>
      </c>
      <c r="L54" s="65"/>
      <c r="M54" s="64"/>
      <c r="N54" s="159">
        <f>N51</f>
        <v>311094.32270998106</v>
      </c>
      <c r="O54" s="65"/>
      <c r="P54" s="64"/>
      <c r="Q54" s="159">
        <f>Q51</f>
        <v>189535.97975879197</v>
      </c>
      <c r="R54" s="65"/>
      <c r="S54" s="64"/>
      <c r="T54" s="159">
        <f>T51</f>
        <v>121801.4639620554</v>
      </c>
      <c r="U54" s="65"/>
      <c r="V54" s="64"/>
      <c r="W54" s="159">
        <f>W51</f>
        <v>0</v>
      </c>
    </row>
    <row r="55" spans="1:23" ht="16.5" thickBot="1">
      <c r="A55" s="5"/>
      <c r="B55" s="52" t="s">
        <v>123</v>
      </c>
      <c r="C55" s="65"/>
      <c r="D55" s="64"/>
      <c r="E55" s="160">
        <f>SUM(E53:E54)</f>
        <v>1004821.1167421928</v>
      </c>
      <c r="F55" s="65"/>
      <c r="G55" s="64"/>
      <c r="H55" s="160">
        <f>SUM(H53:H54)</f>
        <v>3639207.697196905</v>
      </c>
      <c r="I55" s="65"/>
      <c r="J55" s="64"/>
      <c r="K55" s="160">
        <f>SUM(K53:K54)</f>
        <v>3461343.7607811354</v>
      </c>
      <c r="L55" s="65"/>
      <c r="M55" s="64"/>
      <c r="N55" s="160">
        <f>SUM(N53:N54)</f>
        <v>5431731.32799672</v>
      </c>
      <c r="O55" s="65"/>
      <c r="P55" s="64"/>
      <c r="Q55" s="160">
        <f>SUM(Q53:Q54)</f>
        <v>6917990.601034779</v>
      </c>
      <c r="R55" s="65"/>
      <c r="S55" s="64"/>
      <c r="T55" s="160">
        <f>SUM(T53:T54)</f>
        <v>8237425.101693239</v>
      </c>
      <c r="U55" s="65"/>
      <c r="V55" s="64"/>
      <c r="W55" s="160">
        <f>SUM(W53:W54)</f>
        <v>0</v>
      </c>
    </row>
    <row r="56" spans="1:23" ht="13.5" thickBot="1">
      <c r="A56" s="5"/>
      <c r="B56" s="61"/>
      <c r="C56" s="72"/>
      <c r="D56" s="73"/>
      <c r="E56" s="116"/>
      <c r="F56" s="72"/>
      <c r="G56" s="73"/>
      <c r="H56" s="116"/>
      <c r="I56" s="72"/>
      <c r="J56" s="73"/>
      <c r="K56" s="116"/>
      <c r="L56" s="72"/>
      <c r="M56" s="73"/>
      <c r="N56" s="116"/>
      <c r="O56" s="72"/>
      <c r="P56" s="73"/>
      <c r="Q56" s="116"/>
      <c r="R56" s="72"/>
      <c r="S56" s="73"/>
      <c r="T56" s="116"/>
      <c r="U56" s="72"/>
      <c r="V56" s="73"/>
      <c r="W56" s="116"/>
    </row>
    <row r="57" spans="1:7" ht="67.5" customHeight="1">
      <c r="A57" s="5"/>
      <c r="B57" s="61"/>
      <c r="C57" s="5"/>
      <c r="D57" s="5"/>
      <c r="E57" s="5"/>
      <c r="F57"/>
      <c r="G57" s="59"/>
    </row>
    <row r="58" spans="1:7" ht="12.75">
      <c r="A58" s="5"/>
      <c r="B58" s="5"/>
      <c r="C58" s="5"/>
      <c r="D58" s="5"/>
      <c r="E58" s="5"/>
      <c r="F58" s="5"/>
      <c r="G58" s="59"/>
    </row>
    <row r="59" spans="1:7" ht="12.75">
      <c r="A59" s="5"/>
      <c r="B59" s="5"/>
      <c r="C59" s="5"/>
      <c r="D59" s="5"/>
      <c r="E59" s="5"/>
      <c r="F59" s="5"/>
      <c r="G59" s="59"/>
    </row>
    <row r="60" spans="1:7" ht="21.75" customHeight="1">
      <c r="A60" s="5"/>
      <c r="B60" s="5"/>
      <c r="C60" s="5"/>
      <c r="D60" s="5"/>
      <c r="E60" s="5"/>
      <c r="F60" s="5"/>
      <c r="G60" s="59"/>
    </row>
    <row r="61" spans="1:7" ht="45.75" customHeight="1">
      <c r="A61" s="5"/>
      <c r="B61" s="61"/>
      <c r="C61" s="5"/>
      <c r="D61" s="5"/>
      <c r="E61" s="5"/>
      <c r="F61" s="5"/>
      <c r="G61" s="59"/>
    </row>
  </sheetData>
  <sheetProtection formatColumns="0" selectLockedCells="1"/>
  <mergeCells count="15">
    <mergeCell ref="U6:W6"/>
    <mergeCell ref="U7:W7"/>
    <mergeCell ref="L7:N7"/>
    <mergeCell ref="O7:Q7"/>
    <mergeCell ref="R6:T6"/>
    <mergeCell ref="R7:T7"/>
    <mergeCell ref="L6:N6"/>
    <mergeCell ref="O6:Q6"/>
    <mergeCell ref="B1:D1"/>
    <mergeCell ref="C7:E7"/>
    <mergeCell ref="F7:H7"/>
    <mergeCell ref="I7:K7"/>
    <mergeCell ref="I6:K6"/>
    <mergeCell ref="C6:E6"/>
    <mergeCell ref="F6:H6"/>
  </mergeCells>
  <printOptions/>
  <pageMargins left="0.4330708661417323" right="0.4330708661417323" top="1.2" bottom="0.5511811023622047" header="0.63" footer="0.5118110236220472"/>
  <pageSetup fitToWidth="2" fitToHeight="1" horizontalDpi="600" verticalDpi="600" orientation="landscape" scale="50" r:id="rId1"/>
  <headerFooter alignWithMargins="0">
    <oddHeader>&amp;RHydro Ottawa Limited
EB-2010-0326
Attachment F
Filed: 2010-11-30
Page &amp;P of &amp;N</oddHeader>
    <oddFooter xml:space="preserve">&amp;C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PageLayoutView="0" workbookViewId="0" topLeftCell="A4">
      <selection activeCell="D29" sqref="D29"/>
    </sheetView>
  </sheetViews>
  <sheetFormatPr defaultColWidth="9.140625" defaultRowHeight="12.75"/>
  <cols>
    <col min="1" max="1" width="16.28125" style="7" customWidth="1"/>
    <col min="2" max="2" width="33.00390625" style="7" bestFit="1" customWidth="1"/>
    <col min="3" max="8" width="15.00390625" style="7" bestFit="1" customWidth="1"/>
    <col min="9" max="9" width="15.28125" style="7" bestFit="1" customWidth="1"/>
    <col min="10" max="16384" width="9.140625" style="7" customWidth="1"/>
  </cols>
  <sheetData>
    <row r="1" spans="1:6" s="3" customFormat="1" ht="21" customHeight="1">
      <c r="A1" s="1"/>
      <c r="B1" s="181" t="s">
        <v>148</v>
      </c>
      <c r="C1" s="181"/>
      <c r="D1" s="181"/>
      <c r="E1" s="181"/>
      <c r="F1" s="1"/>
    </row>
    <row r="2" spans="1:7" s="3" customFormat="1" ht="6" customHeight="1">
      <c r="A2" s="27"/>
      <c r="B2" s="27"/>
      <c r="C2" s="27"/>
      <c r="D2" s="27"/>
      <c r="E2" s="27"/>
      <c r="F2" s="27"/>
      <c r="G2" s="27"/>
    </row>
    <row r="3" spans="1:6" ht="12.75">
      <c r="A3" s="5"/>
      <c r="B3" s="5"/>
      <c r="C3" s="5"/>
      <c r="D3" s="5"/>
      <c r="E3" s="5"/>
      <c r="F3" s="5"/>
    </row>
    <row r="4" spans="1:6" ht="26.25">
      <c r="A4" s="5"/>
      <c r="B4" s="60" t="s">
        <v>149</v>
      </c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9" ht="12.75">
      <c r="A6" s="5"/>
      <c r="B6" s="5"/>
      <c r="C6" s="24">
        <f>'2. Smart Meter Data'!D4</f>
        <v>2006</v>
      </c>
      <c r="D6" s="24">
        <f>'2. Smart Meter Data'!E4</f>
        <v>2007</v>
      </c>
      <c r="E6" s="24">
        <f>'2. Smart Meter Data'!G4</f>
        <v>2008</v>
      </c>
      <c r="F6" s="24">
        <f>'2. Smart Meter Data'!H4</f>
        <v>2009</v>
      </c>
      <c r="G6" s="24">
        <f>'2. Smart Meter Data'!I4</f>
        <v>2010</v>
      </c>
      <c r="H6" s="24">
        <f>'2. Smart Meter Data'!J4</f>
        <v>2011</v>
      </c>
      <c r="I6" s="24" t="str">
        <f>'2. Smart Meter Data'!K4</f>
        <v>Later</v>
      </c>
    </row>
    <row r="7" spans="1:9" ht="12.75">
      <c r="A7" s="5"/>
      <c r="B7" s="34" t="s">
        <v>150</v>
      </c>
      <c r="C7" s="24" t="str">
        <f>'2. Smart Meter Data'!D5</f>
        <v>Audited Actual</v>
      </c>
      <c r="D7" s="24" t="str">
        <f>'2. Smart Meter Data'!E5</f>
        <v>Audited Actual</v>
      </c>
      <c r="E7" s="24" t="str">
        <f>'2. Smart Meter Data'!G5</f>
        <v>Audited Actual</v>
      </c>
      <c r="F7" s="24" t="str">
        <f>'2. Smart Meter Data'!H5</f>
        <v>Audited Actual</v>
      </c>
      <c r="G7" s="24" t="str">
        <f>'2. Smart Meter Data'!I5</f>
        <v>Forecasted</v>
      </c>
      <c r="H7" s="24" t="str">
        <f>'2. Smart Meter Data'!J5</f>
        <v>Forecasted</v>
      </c>
      <c r="I7" s="24" t="str">
        <f>'2. Smart Meter Data'!K5</f>
        <v>Forecasted</v>
      </c>
    </row>
    <row r="8" spans="1:9" ht="12.75">
      <c r="A8" s="5"/>
      <c r="B8" s="5" t="s">
        <v>151</v>
      </c>
      <c r="C8" s="139">
        <f>'4. Smart Meter Rev Req'!E49</f>
        <v>235226.4338473686</v>
      </c>
      <c r="D8" s="139">
        <f>'4. Smart Meter Rev Req'!H49</f>
        <v>705003.9726245704</v>
      </c>
      <c r="E8" s="139">
        <f>'4. Smart Meter Rev Req'!K49</f>
        <v>629046.9696291389</v>
      </c>
      <c r="F8" s="139">
        <f>'4. Smart Meter Rev Req'!N49</f>
        <v>940875.1389375718</v>
      </c>
      <c r="G8" s="139">
        <f>'4. Smart Meter Rev Req'!Q49</f>
        <v>1079573.4778705547</v>
      </c>
      <c r="H8" s="139">
        <f>'4. Smart Meter Rev Req'!T49</f>
        <v>1116151.9103250867</v>
      </c>
      <c r="I8" s="139">
        <f>'4. Smart Meter Rev Req'!S49</f>
        <v>0</v>
      </c>
    </row>
    <row r="9" spans="1:9" ht="12.75">
      <c r="A9" s="5"/>
      <c r="B9" s="5" t="s">
        <v>200</v>
      </c>
      <c r="C9" s="139">
        <f>-'4. Smart Meter Rev Req'!E47</f>
        <v>465083.9292589725</v>
      </c>
      <c r="D9" s="139">
        <f>-'4. Smart Meter Rev Req'!H47</f>
        <v>1436751.0151063658</v>
      </c>
      <c r="E9" s="139">
        <f>-'4. Smart Meter Rev Req'!K47</f>
        <v>1396406.847361453</v>
      </c>
      <c r="F9" s="139">
        <f>-'4. Smart Meter Rev Req'!N47</f>
        <v>2192443.2790281195</v>
      </c>
      <c r="G9" s="139">
        <f>-'4. Smart Meter Rev Req'!Q47</f>
        <v>2869909.602361453</v>
      </c>
      <c r="H9" s="139">
        <f>-'4. Smart Meter Rev Req'!T47</f>
        <v>3504708.3840281204</v>
      </c>
      <c r="I9" s="139">
        <f>-'4. Smart Meter Rev Req'!S47</f>
        <v>0</v>
      </c>
    </row>
    <row r="10" spans="1:9" ht="12.75">
      <c r="A10" s="5"/>
      <c r="B10" s="5" t="s">
        <v>224</v>
      </c>
      <c r="C10" s="139">
        <f>-'6. Avg Nt Fix Ass &amp;UCC'!C93</f>
        <v>-507784.8669386671</v>
      </c>
      <c r="D10" s="139">
        <f>-'6. Avg Nt Fix Ass &amp;UCC'!D93</f>
        <v>-1527909.0776283455</v>
      </c>
      <c r="E10" s="139">
        <f>-'6. Avg Nt Fix Ass &amp;UCC'!F93</f>
        <v>-1450143.531685962</v>
      </c>
      <c r="F10" s="139">
        <f>-'6. Avg Nt Fix Ass &amp;UCC'!G93</f>
        <v>-2157209.312751085</v>
      </c>
      <c r="G10" s="139">
        <f>-'6. Avg Nt Fix Ass &amp;UCC'!H93</f>
        <v>-2357440.4777309983</v>
      </c>
      <c r="H10" s="139">
        <f>-'6. Avg Nt Fix Ass &amp;UCC'!I93</f>
        <v>-2288252.1103125187</v>
      </c>
      <c r="I10" s="139">
        <f>-'6. Avg Nt Fix Ass &amp;UCC'!J93</f>
        <v>0</v>
      </c>
    </row>
    <row r="11" spans="1:9" ht="12.75">
      <c r="A11" s="5"/>
      <c r="B11" s="5" t="s">
        <v>226</v>
      </c>
      <c r="C11" s="139">
        <f>-'6. Avg Nt Fix Ass &amp;UCC'!C107</f>
        <v>0</v>
      </c>
      <c r="D11" s="139">
        <f>-'6. Avg Nt Fix Ass &amp;UCC'!D107</f>
        <v>-101983.00275</v>
      </c>
      <c r="E11" s="139">
        <f>-'6. Avg Nt Fix Ass &amp;UCC'!F107</f>
        <v>-394602.6107375</v>
      </c>
      <c r="F11" s="139">
        <f>-'6. Avg Nt Fix Ass &amp;UCC'!G107</f>
        <v>-480452.6328318751</v>
      </c>
      <c r="G11" s="139">
        <f>-'6. Avg Nt Fix Ass &amp;UCC'!H107</f>
        <v>-1224884.6135243436</v>
      </c>
      <c r="H11" s="139">
        <f>-'6. Avg Nt Fix Ass &amp;UCC'!I107</f>
        <v>-2023253.9800859548</v>
      </c>
      <c r="I11" s="139">
        <f>-'6. Avg Nt Fix Ass &amp;UCC'!J107</f>
        <v>0</v>
      </c>
    </row>
    <row r="12" spans="1:9" ht="12.75">
      <c r="A12" s="5"/>
      <c r="B12" s="5" t="s">
        <v>225</v>
      </c>
      <c r="C12" s="139">
        <f>-'6. Avg Nt Fix Ass &amp;UCC'!C121</f>
        <v>-83859.74695350001</v>
      </c>
      <c r="D12" s="139">
        <f>-'6. Avg Nt Fix Ass &amp;UCC'!D121</f>
        <v>-151858.7445163</v>
      </c>
      <c r="E12" s="139">
        <f>-'6. Avg Nt Fix Ass &amp;UCC'!F121</f>
        <v>-0.08451630000723526</v>
      </c>
      <c r="F12" s="139">
        <f>-'6. Avg Nt Fix Ass &amp;UCC'!G121</f>
        <v>-0.0676130400057882</v>
      </c>
      <c r="G12" s="139">
        <f>-'6. Avg Nt Fix Ass &amp;UCC'!H121</f>
        <v>-0.05409043200463057</v>
      </c>
      <c r="H12" s="139">
        <f>-'6. Avg Nt Fix Ass &amp;UCC'!I121</f>
        <v>-0.04327234560370445</v>
      </c>
      <c r="I12" s="139">
        <f>-'6. Avg Nt Fix Ass &amp;UCC'!J121</f>
        <v>0</v>
      </c>
    </row>
    <row r="13" spans="1:9" ht="12.75">
      <c r="A13" s="5"/>
      <c r="B13" s="5" t="s">
        <v>152</v>
      </c>
      <c r="C13" s="140">
        <f aca="true" t="shared" si="0" ref="C13:I13">SUM(C8:C12)</f>
        <v>108665.74921417401</v>
      </c>
      <c r="D13" s="140">
        <f t="shared" si="0"/>
        <v>360004.16283629066</v>
      </c>
      <c r="E13" s="140">
        <f t="shared" si="0"/>
        <v>180707.59005082992</v>
      </c>
      <c r="F13" s="140">
        <f t="shared" si="0"/>
        <v>495656.4047696914</v>
      </c>
      <c r="G13" s="140">
        <f t="shared" si="0"/>
        <v>367157.934886234</v>
      </c>
      <c r="H13" s="140">
        <f t="shared" si="0"/>
        <v>309354.1606823885</v>
      </c>
      <c r="I13" s="140">
        <f t="shared" si="0"/>
        <v>0</v>
      </c>
    </row>
    <row r="14" spans="1:9" ht="12.75">
      <c r="A14" s="5"/>
      <c r="B14" s="5" t="s">
        <v>201</v>
      </c>
      <c r="C14" s="141">
        <f>'3.  LDC Assumptions and Data'!C26</f>
        <v>0.3612</v>
      </c>
      <c r="D14" s="141">
        <f>'3.  LDC Assumptions and Data'!D26</f>
        <v>0.3612</v>
      </c>
      <c r="E14" s="141">
        <f>'3.  LDC Assumptions and Data'!F26</f>
        <v>0.335</v>
      </c>
      <c r="F14" s="141">
        <f>'3.  LDC Assumptions and Data'!G26</f>
        <v>0.33</v>
      </c>
      <c r="G14" s="141">
        <f>'3.  LDC Assumptions and Data'!H26</f>
        <v>0.31</v>
      </c>
      <c r="H14" s="141">
        <f>'3.  LDC Assumptions and Data'!I26</f>
        <v>0.2825</v>
      </c>
      <c r="I14" s="141">
        <f>'3.  LDC Assumptions and Data'!J26</f>
        <v>0.29</v>
      </c>
    </row>
    <row r="15" spans="1:9" ht="12.75">
      <c r="A15" s="5"/>
      <c r="B15" s="5" t="s">
        <v>153</v>
      </c>
      <c r="C15" s="140">
        <f aca="true" t="shared" si="1" ref="C15:I15">C13*C14</f>
        <v>39250.06861615965</v>
      </c>
      <c r="D15" s="140">
        <f t="shared" si="1"/>
        <v>130033.5036164682</v>
      </c>
      <c r="E15" s="140">
        <f t="shared" si="1"/>
        <v>60537.04266702803</v>
      </c>
      <c r="F15" s="140">
        <f t="shared" si="1"/>
        <v>163566.61357399818</v>
      </c>
      <c r="G15" s="140">
        <f t="shared" si="1"/>
        <v>113818.95981473255</v>
      </c>
      <c r="H15" s="140">
        <f t="shared" si="1"/>
        <v>87392.55039277475</v>
      </c>
      <c r="I15" s="140">
        <f t="shared" si="1"/>
        <v>0</v>
      </c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34" t="s">
        <v>154</v>
      </c>
      <c r="C17" s="5"/>
      <c r="D17" s="5"/>
      <c r="E17" s="5"/>
      <c r="F17" s="5"/>
      <c r="G17" s="5"/>
    </row>
    <row r="18" spans="1:9" ht="12.75">
      <c r="A18" s="5"/>
      <c r="B18" s="61" t="s">
        <v>116</v>
      </c>
      <c r="C18" s="168">
        <f>'6. Avg Nt Fix Ass &amp;UCC'!C17</f>
        <v>12271467.617684454</v>
      </c>
      <c r="D18" s="139">
        <f>'6. Avg Nt Fix Ass &amp;UCC'!D17</f>
        <v>24788411.056184214</v>
      </c>
      <c r="E18" s="139">
        <f>'6. Avg Nt Fix Ass &amp;UCC'!F17</f>
        <v>23757844.108007368</v>
      </c>
      <c r="F18" s="139">
        <f>'6. Avg Nt Fix Ass &amp;UCC'!G17</f>
        <v>28824388.77193275</v>
      </c>
      <c r="G18" s="139">
        <f>'6. Avg Nt Fix Ass &amp;UCC'!H17</f>
        <v>28915697.727524802</v>
      </c>
      <c r="H18" s="139">
        <f>'6. Avg Nt Fix Ass &amp;UCC'!I17</f>
        <v>27237037.427450176</v>
      </c>
      <c r="I18" s="139">
        <f>'6. Avg Nt Fix Ass &amp;UCC'!J17</f>
        <v>0</v>
      </c>
    </row>
    <row r="19" spans="1:9" ht="12.75">
      <c r="A19" s="5"/>
      <c r="B19" s="61" t="s">
        <v>98</v>
      </c>
      <c r="C19" s="139">
        <f>'6. Avg Nt Fix Ass &amp;UCC'!C32</f>
        <v>0</v>
      </c>
      <c r="D19" s="139">
        <f>'6. Avg Nt Fix Ass &amp;UCC'!D32</f>
        <v>48270.321</v>
      </c>
      <c r="E19" s="139">
        <f>'6. Avg Nt Fix Ass &amp;UCC'!F32</f>
        <v>4975.822000000001</v>
      </c>
      <c r="F19" s="139">
        <f>'6. Avg Nt Fix Ass &amp;UCC'!G32</f>
        <v>3847.742</v>
      </c>
      <c r="G19" s="139">
        <f>'6. Avg Nt Fix Ass &amp;UCC'!H32</f>
        <v>579371.7299999999</v>
      </c>
      <c r="H19" s="139">
        <f>'6. Avg Nt Fix Ass &amp;UCC'!I32</f>
        <v>499058.74599999987</v>
      </c>
      <c r="I19" s="139">
        <f>'6. Avg Nt Fix Ass &amp;UCC'!J32</f>
        <v>0</v>
      </c>
    </row>
    <row r="20" spans="1:9" ht="12.75">
      <c r="A20" s="5"/>
      <c r="B20" s="61" t="s">
        <v>99</v>
      </c>
      <c r="C20" s="142">
        <f>'6. Avg Nt Fix Ass &amp;UCC'!C47</f>
        <v>0</v>
      </c>
      <c r="D20" s="142">
        <f>'6. Avg Nt Fix Ass &amp;UCC'!D47</f>
        <v>359661.69</v>
      </c>
      <c r="E20" s="142">
        <f>'6. Avg Nt Fix Ass &amp;UCC'!F47</f>
        <v>1086024.865</v>
      </c>
      <c r="F20" s="142">
        <f>'6. Avg Nt Fix Ass &amp;UCC'!G47</f>
        <v>934007.0090000001</v>
      </c>
      <c r="G20" s="142">
        <f>'6. Avg Nt Fix Ass &amp;UCC'!H47</f>
        <v>3279550.95</v>
      </c>
      <c r="H20" s="142">
        <f>'6. Avg Nt Fix Ass &amp;UCC'!I47</f>
        <v>3989631.7870000005</v>
      </c>
      <c r="I20" s="142">
        <f>'6. Avg Nt Fix Ass &amp;UCC'!J47</f>
        <v>0</v>
      </c>
    </row>
    <row r="21" spans="1:9" ht="12.75">
      <c r="A21" s="5"/>
      <c r="B21" s="61" t="s">
        <v>11</v>
      </c>
      <c r="C21" s="142">
        <f>'6. Avg Nt Fix Ass &amp;UCC'!C62</f>
        <v>796667.59605825</v>
      </c>
      <c r="D21" s="142">
        <f>'6. Avg Nt Fix Ass &amp;UCC'!D62</f>
        <v>721464.24910475</v>
      </c>
      <c r="E21" s="142">
        <f>'6. Avg Nt Fix Ass &amp;UCC'!F62</f>
        <v>0.3991047500341665</v>
      </c>
      <c r="F21" s="142">
        <f>'6. Avg Nt Fix Ass &amp;UCC'!G62</f>
        <v>0.3521512500301469</v>
      </c>
      <c r="G21" s="142">
        <f>'6. Avg Nt Fix Ass &amp;UCC'!H62</f>
        <v>0.30519775002612737</v>
      </c>
      <c r="H21" s="142">
        <f>'6. Avg Nt Fix Ass &amp;UCC'!I62</f>
        <v>0.25824425002210777</v>
      </c>
      <c r="I21" s="142">
        <f>'6. Avg Nt Fix Ass &amp;UCC'!J62</f>
        <v>0</v>
      </c>
    </row>
    <row r="22" spans="1:9" ht="12.75">
      <c r="A22" s="5"/>
      <c r="B22" s="61" t="s">
        <v>13</v>
      </c>
      <c r="C22" s="143">
        <f>'6. Avg Nt Fix Ass &amp;UCC'!C77</f>
        <v>0</v>
      </c>
      <c r="D22" s="143">
        <f>'6. Avg Nt Fix Ass &amp;UCC'!D77</f>
        <v>0</v>
      </c>
      <c r="E22" s="143">
        <f>'6. Avg Nt Fix Ass &amp;UCC'!F77</f>
        <v>0</v>
      </c>
      <c r="F22" s="143">
        <f>'6. Avg Nt Fix Ass &amp;UCC'!G77</f>
        <v>0</v>
      </c>
      <c r="G22" s="143">
        <f>'6. Avg Nt Fix Ass &amp;UCC'!H77</f>
        <v>0</v>
      </c>
      <c r="H22" s="143">
        <f>'6. Avg Nt Fix Ass &amp;UCC'!I77</f>
        <v>0</v>
      </c>
      <c r="I22" s="143">
        <f>'6. Avg Nt Fix Ass &amp;UCC'!J77</f>
        <v>0</v>
      </c>
    </row>
    <row r="23" spans="1:9" ht="12.75">
      <c r="A23" s="5"/>
      <c r="B23" s="5" t="s">
        <v>155</v>
      </c>
      <c r="C23" s="102">
        <f>SUM(C18:C22)</f>
        <v>13068135.213742703</v>
      </c>
      <c r="D23" s="102">
        <f aca="true" t="shared" si="2" ref="D23:I23">SUM(D18:D22)</f>
        <v>25917807.316288963</v>
      </c>
      <c r="E23" s="102">
        <f t="shared" si="2"/>
        <v>24848845.19411212</v>
      </c>
      <c r="F23" s="102">
        <f t="shared" si="2"/>
        <v>29762243.875083998</v>
      </c>
      <c r="G23" s="102">
        <f t="shared" si="2"/>
        <v>32774620.71272255</v>
      </c>
      <c r="H23" s="102">
        <f t="shared" si="2"/>
        <v>31725728.218694426</v>
      </c>
      <c r="I23" s="102">
        <f t="shared" si="2"/>
        <v>0</v>
      </c>
    </row>
    <row r="24" spans="1:9" ht="12.75">
      <c r="A24" s="5"/>
      <c r="B24" s="5" t="s">
        <v>156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</row>
    <row r="25" spans="1:9" ht="12.75">
      <c r="A25" s="5"/>
      <c r="B25" s="5" t="s">
        <v>157</v>
      </c>
      <c r="C25" s="140">
        <f aca="true" t="shared" si="3" ref="C25:I25">C23-C24</f>
        <v>13068135.213742703</v>
      </c>
      <c r="D25" s="140">
        <f t="shared" si="3"/>
        <v>25917807.316288963</v>
      </c>
      <c r="E25" s="140">
        <f t="shared" si="3"/>
        <v>24848845.19411212</v>
      </c>
      <c r="F25" s="140">
        <f t="shared" si="3"/>
        <v>29762243.875083998</v>
      </c>
      <c r="G25" s="140">
        <f t="shared" si="3"/>
        <v>32774620.71272255</v>
      </c>
      <c r="H25" s="140">
        <f t="shared" si="3"/>
        <v>31725728.218694426</v>
      </c>
      <c r="I25" s="140">
        <f t="shared" si="3"/>
        <v>0</v>
      </c>
    </row>
    <row r="26" spans="1:9" ht="12.75">
      <c r="A26" s="5"/>
      <c r="B26" s="5" t="s">
        <v>158</v>
      </c>
      <c r="C26" s="144">
        <v>0.00285</v>
      </c>
      <c r="D26" s="144">
        <v>0.00285</v>
      </c>
      <c r="E26" s="145">
        <v>0.00225</v>
      </c>
      <c r="F26" s="145">
        <v>0.00225</v>
      </c>
      <c r="G26" s="145">
        <f>0.15%/2</f>
        <v>0.00075</v>
      </c>
      <c r="H26" s="144">
        <v>0</v>
      </c>
      <c r="I26" s="144">
        <v>0</v>
      </c>
    </row>
    <row r="27" spans="1:9" ht="12.75">
      <c r="A27" s="5"/>
      <c r="B27" s="5" t="s">
        <v>159</v>
      </c>
      <c r="C27" s="140">
        <f aca="true" t="shared" si="4" ref="C27:I27">C25*C26</f>
        <v>37244.1853591667</v>
      </c>
      <c r="D27" s="140">
        <f t="shared" si="4"/>
        <v>73865.75085142355</v>
      </c>
      <c r="E27" s="140">
        <f t="shared" si="4"/>
        <v>55909.90168675226</v>
      </c>
      <c r="F27" s="140">
        <f t="shared" si="4"/>
        <v>66965.048718939</v>
      </c>
      <c r="G27" s="140">
        <f t="shared" si="4"/>
        <v>24580.965534541912</v>
      </c>
      <c r="H27" s="140">
        <f t="shared" si="4"/>
        <v>0</v>
      </c>
      <c r="I27" s="140">
        <f t="shared" si="4"/>
        <v>0</v>
      </c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5.75">
      <c r="A30" s="5"/>
      <c r="B30" s="75" t="s">
        <v>160</v>
      </c>
      <c r="C30" s="5"/>
      <c r="D30" s="5"/>
      <c r="E30" s="5"/>
      <c r="F30" s="5"/>
      <c r="G30" s="5"/>
    </row>
    <row r="31" spans="1:9" ht="12.75">
      <c r="A31" s="5"/>
      <c r="B31" s="5"/>
      <c r="C31" s="24" t="s">
        <v>161</v>
      </c>
      <c r="D31" s="24" t="s">
        <v>161</v>
      </c>
      <c r="E31" s="24" t="s">
        <v>161</v>
      </c>
      <c r="F31" s="24" t="s">
        <v>161</v>
      </c>
      <c r="G31" s="24" t="s">
        <v>161</v>
      </c>
      <c r="H31" s="24" t="s">
        <v>161</v>
      </c>
      <c r="I31" s="24" t="s">
        <v>161</v>
      </c>
    </row>
    <row r="32" spans="1:9" ht="12.75">
      <c r="A32" s="5"/>
      <c r="B32" s="5" t="s">
        <v>162</v>
      </c>
      <c r="C32" s="102">
        <f aca="true" t="shared" si="5" ref="C32:I32">C15</f>
        <v>39250.06861615965</v>
      </c>
      <c r="D32" s="102">
        <f t="shared" si="5"/>
        <v>130033.5036164682</v>
      </c>
      <c r="E32" s="102">
        <f t="shared" si="5"/>
        <v>60537.04266702803</v>
      </c>
      <c r="F32" s="102">
        <f t="shared" si="5"/>
        <v>163566.61357399818</v>
      </c>
      <c r="G32" s="102">
        <f t="shared" si="5"/>
        <v>113818.95981473255</v>
      </c>
      <c r="H32" s="102">
        <f t="shared" si="5"/>
        <v>87392.55039277475</v>
      </c>
      <c r="I32" s="102">
        <f t="shared" si="5"/>
        <v>0</v>
      </c>
    </row>
    <row r="33" spans="1:9" ht="12.75">
      <c r="A33" s="5"/>
      <c r="B33" s="5" t="s">
        <v>163</v>
      </c>
      <c r="C33" s="102">
        <f aca="true" t="shared" si="6" ref="C33:I33">C27</f>
        <v>37244.1853591667</v>
      </c>
      <c r="D33" s="102">
        <f t="shared" si="6"/>
        <v>73865.75085142355</v>
      </c>
      <c r="E33" s="102">
        <f t="shared" si="6"/>
        <v>55909.90168675226</v>
      </c>
      <c r="F33" s="102">
        <f t="shared" si="6"/>
        <v>66965.048718939</v>
      </c>
      <c r="G33" s="102">
        <f t="shared" si="6"/>
        <v>24580.965534541912</v>
      </c>
      <c r="H33" s="102">
        <f t="shared" si="6"/>
        <v>0</v>
      </c>
      <c r="I33" s="102">
        <f t="shared" si="6"/>
        <v>0</v>
      </c>
    </row>
    <row r="34" spans="1:9" ht="12.75">
      <c r="A34" s="5"/>
      <c r="B34" s="5" t="s">
        <v>164</v>
      </c>
      <c r="C34" s="140">
        <f aca="true" t="shared" si="7" ref="C34:I34">SUM(C32:C33)</f>
        <v>76494.25397532636</v>
      </c>
      <c r="D34" s="140">
        <f t="shared" si="7"/>
        <v>203899.25446789176</v>
      </c>
      <c r="E34" s="140">
        <f t="shared" si="7"/>
        <v>116446.94435378029</v>
      </c>
      <c r="F34" s="140">
        <f t="shared" si="7"/>
        <v>230531.66229293717</v>
      </c>
      <c r="G34" s="140">
        <f t="shared" si="7"/>
        <v>138399.92534927445</v>
      </c>
      <c r="H34" s="140">
        <f t="shared" si="7"/>
        <v>87392.55039277475</v>
      </c>
      <c r="I34" s="140">
        <f t="shared" si="7"/>
        <v>0</v>
      </c>
    </row>
    <row r="35" ht="13.5" customHeight="1"/>
    <row r="36" spans="3:9" ht="12.75">
      <c r="C36" s="24" t="s">
        <v>160</v>
      </c>
      <c r="D36" s="24" t="s">
        <v>160</v>
      </c>
      <c r="E36" s="24" t="s">
        <v>160</v>
      </c>
      <c r="F36" s="24" t="s">
        <v>160</v>
      </c>
      <c r="G36" s="24" t="s">
        <v>160</v>
      </c>
      <c r="H36" s="24" t="s">
        <v>160</v>
      </c>
      <c r="I36" s="24" t="s">
        <v>160</v>
      </c>
    </row>
    <row r="37" spans="3:9" ht="12.75">
      <c r="C37" s="76">
        <f>C14</f>
        <v>0.3612</v>
      </c>
      <c r="D37" s="76">
        <f aca="true" t="shared" si="8" ref="D37:I37">D14</f>
        <v>0.3612</v>
      </c>
      <c r="E37" s="76">
        <f t="shared" si="8"/>
        <v>0.335</v>
      </c>
      <c r="F37" s="76">
        <f t="shared" si="8"/>
        <v>0.33</v>
      </c>
      <c r="G37" s="76">
        <f t="shared" si="8"/>
        <v>0.31</v>
      </c>
      <c r="H37" s="76">
        <f t="shared" si="8"/>
        <v>0.2825</v>
      </c>
      <c r="I37" s="76">
        <f t="shared" si="8"/>
        <v>0.29</v>
      </c>
    </row>
    <row r="39" spans="3:9" ht="25.5">
      <c r="C39" s="77" t="s">
        <v>165</v>
      </c>
      <c r="D39" s="77" t="s">
        <v>165</v>
      </c>
      <c r="E39" s="77" t="s">
        <v>165</v>
      </c>
      <c r="F39" s="77" t="s">
        <v>165</v>
      </c>
      <c r="G39" s="77" t="s">
        <v>165</v>
      </c>
      <c r="H39" s="77" t="s">
        <v>165</v>
      </c>
      <c r="I39" s="77" t="s">
        <v>165</v>
      </c>
    </row>
    <row r="40" spans="2:9" ht="12.75">
      <c r="B40" s="5" t="s">
        <v>162</v>
      </c>
      <c r="C40" s="102">
        <f aca="true" t="shared" si="9" ref="C40:I40">C32/(1-C37)</f>
        <v>61443.4386602374</v>
      </c>
      <c r="D40" s="102">
        <f t="shared" si="9"/>
        <v>203559.02256804664</v>
      </c>
      <c r="E40" s="102">
        <f t="shared" si="9"/>
        <v>91033.14686771132</v>
      </c>
      <c r="F40" s="102">
        <f t="shared" si="9"/>
        <v>244129.27399104208</v>
      </c>
      <c r="G40" s="102">
        <f t="shared" si="9"/>
        <v>164955.01422425007</v>
      </c>
      <c r="H40" s="102">
        <f t="shared" si="9"/>
        <v>121801.4639620554</v>
      </c>
      <c r="I40" s="102">
        <f t="shared" si="9"/>
        <v>0</v>
      </c>
    </row>
    <row r="41" spans="2:9" ht="12.75">
      <c r="B41" s="5" t="s">
        <v>163</v>
      </c>
      <c r="C41" s="102">
        <f aca="true" t="shared" si="10" ref="C41:I41">C33</f>
        <v>37244.1853591667</v>
      </c>
      <c r="D41" s="102">
        <f t="shared" si="10"/>
        <v>73865.75085142355</v>
      </c>
      <c r="E41" s="102">
        <f t="shared" si="10"/>
        <v>55909.90168675226</v>
      </c>
      <c r="F41" s="102">
        <f t="shared" si="10"/>
        <v>66965.048718939</v>
      </c>
      <c r="G41" s="102">
        <f t="shared" si="10"/>
        <v>24580.965534541912</v>
      </c>
      <c r="H41" s="102">
        <f t="shared" si="10"/>
        <v>0</v>
      </c>
      <c r="I41" s="102">
        <f t="shared" si="10"/>
        <v>0</v>
      </c>
    </row>
    <row r="42" spans="2:9" ht="12.75">
      <c r="B42" s="5" t="s">
        <v>164</v>
      </c>
      <c r="C42" s="146">
        <f aca="true" t="shared" si="11" ref="C42:I42">SUM(C40:C41)</f>
        <v>98687.6240194041</v>
      </c>
      <c r="D42" s="146">
        <f t="shared" si="11"/>
        <v>277424.7734194702</v>
      </c>
      <c r="E42" s="146">
        <f t="shared" si="11"/>
        <v>146943.04855446357</v>
      </c>
      <c r="F42" s="146">
        <f t="shared" si="11"/>
        <v>311094.32270998106</v>
      </c>
      <c r="G42" s="146">
        <f t="shared" si="11"/>
        <v>189535.97975879197</v>
      </c>
      <c r="H42" s="146">
        <f t="shared" si="11"/>
        <v>121801.4639620554</v>
      </c>
      <c r="I42" s="146">
        <f t="shared" si="11"/>
        <v>0</v>
      </c>
    </row>
  </sheetData>
  <sheetProtection formatColumns="0" selectLockedCells="1"/>
  <mergeCells count="1">
    <mergeCell ref="B1:E1"/>
  </mergeCells>
  <printOptions/>
  <pageMargins left="0.4330708661417323" right="0.4330708661417323" top="1.22" bottom="0.6299212598425197" header="0.5118110236220472" footer="0.5118110236220472"/>
  <pageSetup fitToHeight="1" fitToWidth="1" horizontalDpi="600" verticalDpi="600" orientation="landscape" scale="85" r:id="rId1"/>
  <headerFooter alignWithMargins="0">
    <oddHeader>&amp;RHydro Ottawa Limited
EB-2010-0326
Attachment F
Filed: 2010-11-30
Page &amp;P of &amp;N</oddHeader>
    <oddFooter xml:space="preserve">&amp;C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16.57421875" style="7" customWidth="1"/>
    <col min="2" max="2" width="75.28125" style="7" bestFit="1" customWidth="1"/>
    <col min="3" max="4" width="15.00390625" style="7" bestFit="1" customWidth="1"/>
    <col min="5" max="5" width="15.00390625" style="7" customWidth="1"/>
    <col min="6" max="9" width="15.00390625" style="7" bestFit="1" customWidth="1"/>
    <col min="10" max="16384" width="9.140625" style="7" customWidth="1"/>
  </cols>
  <sheetData>
    <row r="1" spans="1:10" s="3" customFormat="1" ht="21" customHeight="1">
      <c r="A1" s="1"/>
      <c r="B1" s="180" t="s">
        <v>218</v>
      </c>
      <c r="C1" s="180"/>
      <c r="D1" s="180"/>
      <c r="E1" s="180"/>
      <c r="F1" s="180"/>
      <c r="G1" s="26"/>
      <c r="H1" s="26"/>
      <c r="I1" s="1"/>
      <c r="J1" s="1"/>
    </row>
    <row r="2" spans="1:10" s="3" customFormat="1" ht="6" customHeight="1">
      <c r="A2" s="27"/>
      <c r="B2" s="27"/>
      <c r="C2" s="27"/>
      <c r="D2" s="27"/>
      <c r="E2" s="27"/>
      <c r="F2" s="27"/>
      <c r="G2" s="27"/>
      <c r="H2" s="1"/>
      <c r="I2" s="1"/>
      <c r="J2" s="1"/>
    </row>
    <row r="3" spans="1:10" ht="12.7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6.25">
      <c r="A4" s="5"/>
      <c r="B4" s="60" t="s">
        <v>166</v>
      </c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24">
        <f>'2. Smart Meter Data'!D4</f>
        <v>2006</v>
      </c>
      <c r="D5" s="24">
        <f>'2. Smart Meter Data'!E4</f>
        <v>2007</v>
      </c>
      <c r="E5" s="82" t="s">
        <v>283</v>
      </c>
      <c r="F5" s="24">
        <f>'2. Smart Meter Data'!G4</f>
        <v>2008</v>
      </c>
      <c r="G5" s="24">
        <f>'2. Smart Meter Data'!H4</f>
        <v>2009</v>
      </c>
      <c r="H5" s="24">
        <f>'2. Smart Meter Data'!I4</f>
        <v>2010</v>
      </c>
      <c r="I5" s="24">
        <f>'2. Smart Meter Data'!J4</f>
        <v>2011</v>
      </c>
      <c r="J5" s="5"/>
    </row>
    <row r="6" spans="1:10" ht="26.25">
      <c r="A6" s="5"/>
      <c r="B6" s="28" t="s">
        <v>167</v>
      </c>
      <c r="C6" s="24" t="str">
        <f>'2. Smart Meter Data'!D5</f>
        <v>Audited Actual</v>
      </c>
      <c r="D6" s="24" t="str">
        <f>'2. Smart Meter Data'!E5</f>
        <v>Audited Actual</v>
      </c>
      <c r="E6" s="163" t="s">
        <v>284</v>
      </c>
      <c r="F6" s="24" t="str">
        <f>'2. Smart Meter Data'!G5</f>
        <v>Audited Actual</v>
      </c>
      <c r="G6" s="24" t="str">
        <f>'2. Smart Meter Data'!H5</f>
        <v>Audited Actual</v>
      </c>
      <c r="H6" s="24" t="str">
        <f>'2. Smart Meter Data'!I5</f>
        <v>Forecasted</v>
      </c>
      <c r="I6" s="24" t="str">
        <f>'2. Smart Meter Data'!J5</f>
        <v>Forecasted</v>
      </c>
      <c r="J6" s="78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5" t="s">
        <v>168</v>
      </c>
      <c r="C8" s="140">
        <v>0</v>
      </c>
      <c r="D8" s="140">
        <f>C10</f>
        <v>12694621.673466677</v>
      </c>
      <c r="E8" s="140">
        <v>0</v>
      </c>
      <c r="F8" s="140">
        <f>E10</f>
        <v>11806790.0011193</v>
      </c>
      <c r="G8" s="140">
        <f>F10</f>
        <v>25391341.4911193</v>
      </c>
      <c r="H8" s="140">
        <f>G10</f>
        <v>32383721.5911193</v>
      </c>
      <c r="I8" s="140">
        <f>H10</f>
        <v>34711539.2411193</v>
      </c>
      <c r="J8" s="5"/>
    </row>
    <row r="9" spans="1:10" ht="12.75">
      <c r="A9" s="5"/>
      <c r="B9" s="5" t="s">
        <v>202</v>
      </c>
      <c r="C9" s="142">
        <f>'3.  LDC Assumptions and Data'!C31</f>
        <v>12694621.673466677</v>
      </c>
      <c r="D9" s="142">
        <f>'3.  LDC Assumptions and Data'!D31</f>
        <v>13824053.327652622</v>
      </c>
      <c r="E9" s="142">
        <f>'3.  LDC Assumptions and Data'!C31+'3.  LDC Assumptions and Data'!D31-'3.  LDC Assumptions and Data'!E31</f>
        <v>11806790.0011193</v>
      </c>
      <c r="F9" s="142">
        <f>'3.  LDC Assumptions and Data'!F31</f>
        <v>13584551.489999998</v>
      </c>
      <c r="G9" s="142">
        <f>'3.  LDC Assumptions and Data'!G31</f>
        <v>6992380.1000000015</v>
      </c>
      <c r="H9" s="142">
        <f>'3.  LDC Assumptions and Data'!H31</f>
        <v>2327817.65</v>
      </c>
      <c r="I9" s="142">
        <f>'3.  LDC Assumptions and Data'!I31</f>
        <v>657354.12</v>
      </c>
      <c r="J9" s="5"/>
    </row>
    <row r="10" spans="1:10" ht="12.75">
      <c r="A10" s="5"/>
      <c r="B10" s="5" t="s">
        <v>169</v>
      </c>
      <c r="C10" s="140">
        <f aca="true" t="shared" si="0" ref="C10:I10">SUM(C8:C9)</f>
        <v>12694621.673466677</v>
      </c>
      <c r="D10" s="140">
        <f>SUM(D8:D9)</f>
        <v>26518675.0011193</v>
      </c>
      <c r="E10" s="140">
        <f>SUM(E8:E9)</f>
        <v>11806790.0011193</v>
      </c>
      <c r="F10" s="140">
        <f t="shared" si="0"/>
        <v>25391341.4911193</v>
      </c>
      <c r="G10" s="140">
        <f t="shared" si="0"/>
        <v>32383721.5911193</v>
      </c>
      <c r="H10" s="140">
        <f t="shared" si="0"/>
        <v>34711539.2411193</v>
      </c>
      <c r="I10" s="140">
        <f t="shared" si="0"/>
        <v>35368893.3611193</v>
      </c>
      <c r="J10" s="5"/>
    </row>
    <row r="11" spans="1:10" ht="12.75">
      <c r="A11" s="5"/>
      <c r="B11" s="5"/>
      <c r="C11" s="63"/>
      <c r="D11" s="63"/>
      <c r="E11" s="63"/>
      <c r="F11" s="63"/>
      <c r="G11" s="63"/>
      <c r="H11" s="63"/>
      <c r="I11" s="5"/>
      <c r="J11" s="5"/>
    </row>
    <row r="12" spans="1:10" ht="12.75">
      <c r="A12" s="5"/>
      <c r="B12" s="5" t="s">
        <v>170</v>
      </c>
      <c r="C12" s="140">
        <v>0</v>
      </c>
      <c r="D12" s="140">
        <f>C14</f>
        <v>423154.05578222254</v>
      </c>
      <c r="E12" s="140">
        <v>0</v>
      </c>
      <c r="F12" s="140">
        <f>E14</f>
        <v>393559.6667039767</v>
      </c>
      <c r="G12" s="140">
        <f>F14</f>
        <v>1633497.38311193</v>
      </c>
      <c r="H12" s="140">
        <f>G14</f>
        <v>3559332.8191865496</v>
      </c>
      <c r="I12" s="140">
        <f>H14</f>
        <v>5795841.513594503</v>
      </c>
      <c r="J12" s="5"/>
    </row>
    <row r="13" spans="1:10" ht="12.75">
      <c r="A13" s="5"/>
      <c r="B13" s="5" t="str">
        <f>"Amortization ("&amp;'3.  LDC Assumptions and Data'!C60&amp;" Years  Straight Line)"</f>
        <v>Amortization (15 Years  Straight Line)</v>
      </c>
      <c r="C13" s="102">
        <f>IF(C12+(C8/'3.  LDC Assumptions and Data'!C60)+(C9/'3.  LDC Assumptions and Data'!C60/2)&lt;C10,(C8/'3.  LDC Assumptions and Data'!C60)+(C9/'3.  LDC Assumptions and Data'!C60/2),C10-C12)</f>
        <v>423154.05578222254</v>
      </c>
      <c r="D13" s="102">
        <f>IF(D12+(D8/'3.  LDC Assumptions and Data'!D60)+(D9/'3.  LDC Assumptions and Data'!D60/2)&lt;D10,(D8/'3.  LDC Assumptions and Data'!D60)+(D9/'3.  LDC Assumptions and Data'!D60/2),D10-D12)</f>
        <v>1307109.8891528659</v>
      </c>
      <c r="E13" s="102">
        <f>IF(E12+(E8/'3.  LDC Assumptions and Data'!E60)+(E9/'3.  LDC Assumptions and Data'!E60/2)&lt;E10,(E8/'3.  LDC Assumptions and Data'!E60)+(E9/'3.  LDC Assumptions and Data'!E60/2),E10-E12)</f>
        <v>393559.6667039767</v>
      </c>
      <c r="F13" s="102">
        <f>IF(F12+(F8/'3.  LDC Assumptions and Data'!F60)+(F9/'3.  LDC Assumptions and Data'!F60/2)&lt;F10,(F8/'3.  LDC Assumptions and Data'!F60)+(F9/'3.  LDC Assumptions and Data'!F60/2),F10-F12)</f>
        <v>1239937.7164079533</v>
      </c>
      <c r="G13" s="102">
        <f>IF(G12+(G8/'3.  LDC Assumptions and Data'!G60)+(G9/'3.  LDC Assumptions and Data'!G60/2)&lt;G10,(G8/'3.  LDC Assumptions and Data'!G60)+(G9/'3.  LDC Assumptions and Data'!G60/2),G10-G12)</f>
        <v>1925835.4360746199</v>
      </c>
      <c r="H13" s="102">
        <f>IF(H12+(H8/'3.  LDC Assumptions and Data'!H60)+(H9/'3.  LDC Assumptions and Data'!H60/2)&lt;H10,(H8/'3.  LDC Assumptions and Data'!H60)+(H9/'3.  LDC Assumptions and Data'!H60/2),H10-H12)</f>
        <v>2236508.6944079534</v>
      </c>
      <c r="I13" s="102">
        <f>IF(I12+(I8/'3.  LDC Assumptions and Data'!I60)+(I9/'3.  LDC Assumptions and Data'!I60/2)&lt;I10,(I8/'3.  LDC Assumptions and Data'!I60)+(I9/'3.  LDC Assumptions and Data'!I60/2),I10-I12)</f>
        <v>2336014.4200746203</v>
      </c>
      <c r="J13" s="5"/>
    </row>
    <row r="14" spans="1:10" ht="12.75">
      <c r="A14" s="5"/>
      <c r="B14" s="5" t="s">
        <v>171</v>
      </c>
      <c r="C14" s="140">
        <f aca="true" t="shared" si="1" ref="C14:I14">SUM(C12:C13)</f>
        <v>423154.05578222254</v>
      </c>
      <c r="D14" s="140">
        <f t="shared" si="1"/>
        <v>1730263.9449350885</v>
      </c>
      <c r="E14" s="140">
        <f t="shared" si="1"/>
        <v>393559.6667039767</v>
      </c>
      <c r="F14" s="140">
        <f>SUM(F12:F13)</f>
        <v>1633497.38311193</v>
      </c>
      <c r="G14" s="140">
        <f t="shared" si="1"/>
        <v>3559332.8191865496</v>
      </c>
      <c r="H14" s="140">
        <f t="shared" si="1"/>
        <v>5795841.513594503</v>
      </c>
      <c r="I14" s="140">
        <f t="shared" si="1"/>
        <v>8131855.933669123</v>
      </c>
      <c r="J14" s="5"/>
    </row>
    <row r="15" spans="1:10" ht="12.75">
      <c r="A15" s="5"/>
      <c r="B15" s="5"/>
      <c r="I15" s="5"/>
      <c r="J15" s="5"/>
    </row>
    <row r="16" spans="1:10" ht="16.5" customHeight="1">
      <c r="A16" s="5"/>
      <c r="B16" s="5" t="s">
        <v>172</v>
      </c>
      <c r="C16" s="102">
        <f>0</f>
        <v>0</v>
      </c>
      <c r="D16" s="102">
        <f>C17</f>
        <v>12271467.617684454</v>
      </c>
      <c r="E16" s="102">
        <v>0</v>
      </c>
      <c r="F16" s="102">
        <f>E17</f>
        <v>11413230.334415324</v>
      </c>
      <c r="G16" s="102">
        <f>F17</f>
        <v>23757844.108007368</v>
      </c>
      <c r="H16" s="102">
        <f>G17</f>
        <v>28824388.77193275</v>
      </c>
      <c r="I16" s="102">
        <f>H17</f>
        <v>28915697.727524802</v>
      </c>
      <c r="J16" s="5"/>
    </row>
    <row r="17" spans="1:9" ht="12.75">
      <c r="A17" s="5"/>
      <c r="B17" s="5" t="s">
        <v>173</v>
      </c>
      <c r="C17" s="140">
        <f aca="true" t="shared" si="2" ref="C17:I17">C10-C14</f>
        <v>12271467.617684454</v>
      </c>
      <c r="D17" s="140">
        <f t="shared" si="2"/>
        <v>24788411.056184214</v>
      </c>
      <c r="E17" s="140">
        <f t="shared" si="2"/>
        <v>11413230.334415324</v>
      </c>
      <c r="F17" s="140">
        <f t="shared" si="2"/>
        <v>23757844.108007368</v>
      </c>
      <c r="G17" s="140">
        <f t="shared" si="2"/>
        <v>28824388.77193275</v>
      </c>
      <c r="H17" s="140">
        <f t="shared" si="2"/>
        <v>28915697.727524802</v>
      </c>
      <c r="I17" s="140">
        <f t="shared" si="2"/>
        <v>27237037.427450176</v>
      </c>
    </row>
    <row r="18" spans="1:9" ht="13.5" thickBot="1">
      <c r="A18" s="5"/>
      <c r="B18" s="5" t="s">
        <v>174</v>
      </c>
      <c r="C18" s="167">
        <f aca="true" t="shared" si="3" ref="C18:I18">(C17+C16)/2</f>
        <v>6135733.808842227</v>
      </c>
      <c r="D18" s="147">
        <f t="shared" si="3"/>
        <v>18529939.336934336</v>
      </c>
      <c r="E18" s="147">
        <f t="shared" si="3"/>
        <v>5706615.167207662</v>
      </c>
      <c r="F18" s="147">
        <f t="shared" si="3"/>
        <v>17585537.221211344</v>
      </c>
      <c r="G18" s="147">
        <f t="shared" si="3"/>
        <v>26291116.43997006</v>
      </c>
      <c r="H18" s="147">
        <f t="shared" si="3"/>
        <v>28870043.249728777</v>
      </c>
      <c r="I18" s="147">
        <f t="shared" si="3"/>
        <v>28076367.57748749</v>
      </c>
    </row>
    <row r="19" spans="1:9" ht="12.75">
      <c r="A19" s="5"/>
      <c r="B19" s="5"/>
      <c r="C19" s="64"/>
      <c r="D19" s="64"/>
      <c r="E19" s="64"/>
      <c r="F19" s="64"/>
      <c r="G19" s="64"/>
      <c r="H19" s="64"/>
      <c r="I19" s="64"/>
    </row>
    <row r="20" spans="1:10" ht="12.75">
      <c r="A20" s="5"/>
      <c r="B20" s="5"/>
      <c r="C20" s="24">
        <f aca="true" t="shared" si="4" ref="C20:I21">C5</f>
        <v>2006</v>
      </c>
      <c r="D20" s="24">
        <f t="shared" si="4"/>
        <v>2007</v>
      </c>
      <c r="E20" s="82" t="s">
        <v>283</v>
      </c>
      <c r="F20" s="24">
        <f t="shared" si="4"/>
        <v>2008</v>
      </c>
      <c r="G20" s="24">
        <f t="shared" si="4"/>
        <v>2009</v>
      </c>
      <c r="H20" s="24">
        <f t="shared" si="4"/>
        <v>2010</v>
      </c>
      <c r="I20" s="24">
        <f t="shared" si="4"/>
        <v>2011</v>
      </c>
      <c r="J20" s="5"/>
    </row>
    <row r="21" spans="1:10" ht="26.25">
      <c r="A21" s="5"/>
      <c r="B21" s="28" t="s">
        <v>175</v>
      </c>
      <c r="C21" s="24" t="str">
        <f t="shared" si="4"/>
        <v>Audited Actual</v>
      </c>
      <c r="D21" s="24" t="str">
        <f t="shared" si="4"/>
        <v>Audited Actual</v>
      </c>
      <c r="E21" s="163" t="s">
        <v>284</v>
      </c>
      <c r="F21" s="24" t="str">
        <f t="shared" si="4"/>
        <v>Audited Actual</v>
      </c>
      <c r="G21" s="24" t="str">
        <f t="shared" si="4"/>
        <v>Audited Actual</v>
      </c>
      <c r="H21" s="24" t="str">
        <f t="shared" si="4"/>
        <v>Forecasted</v>
      </c>
      <c r="I21" s="24" t="str">
        <f t="shared" si="4"/>
        <v>Forecasted</v>
      </c>
      <c r="J21" s="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 t="s">
        <v>168</v>
      </c>
      <c r="C23" s="140">
        <v>0</v>
      </c>
      <c r="D23" s="140">
        <f>C25</f>
        <v>0</v>
      </c>
      <c r="E23" s="140">
        <v>0</v>
      </c>
      <c r="F23" s="140">
        <f>E25</f>
        <v>502.6900000000023</v>
      </c>
      <c r="G23" s="140">
        <f>F25</f>
        <v>5640.4000000000015</v>
      </c>
      <c r="H23" s="140">
        <f>G25</f>
        <v>5640.4000000000015</v>
      </c>
      <c r="I23" s="140">
        <f>H25</f>
        <v>646364.9199999998</v>
      </c>
      <c r="J23" s="5"/>
    </row>
    <row r="24" spans="1:10" ht="12.75">
      <c r="A24" s="5"/>
      <c r="B24" s="5" t="s">
        <v>203</v>
      </c>
      <c r="C24" s="142">
        <f>'3.  LDC Assumptions and Data'!C32</f>
        <v>0</v>
      </c>
      <c r="D24" s="142">
        <f>'3.  LDC Assumptions and Data'!D32</f>
        <v>53633.69</v>
      </c>
      <c r="E24" s="142">
        <f>'3.  LDC Assumptions and Data'!C32+'3.  LDC Assumptions and Data'!D32-'3.  LDC Assumptions and Data'!E32</f>
        <v>502.6900000000023</v>
      </c>
      <c r="F24" s="142">
        <f>'3.  LDC Assumptions and Data'!F32</f>
        <v>5137.709999999999</v>
      </c>
      <c r="G24" s="142">
        <f>'3.  LDC Assumptions and Data'!G32</f>
        <v>0</v>
      </c>
      <c r="H24" s="142">
        <f>'3.  LDC Assumptions and Data'!H32</f>
        <v>640724.5199999998</v>
      </c>
      <c r="I24" s="142">
        <f>'3.  LDC Assumptions and Data'!I32</f>
        <v>54400</v>
      </c>
      <c r="J24" s="5"/>
    </row>
    <row r="25" spans="1:10" ht="12.75">
      <c r="A25" s="5"/>
      <c r="B25" s="5" t="s">
        <v>169</v>
      </c>
      <c r="C25" s="140">
        <f aca="true" t="shared" si="5" ref="C25:I25">SUM(C23:C24)</f>
        <v>0</v>
      </c>
      <c r="D25" s="140">
        <f t="shared" si="5"/>
        <v>53633.69</v>
      </c>
      <c r="E25" s="140">
        <f t="shared" si="5"/>
        <v>502.6900000000023</v>
      </c>
      <c r="F25" s="140">
        <f t="shared" si="5"/>
        <v>5640.4000000000015</v>
      </c>
      <c r="G25" s="140">
        <f t="shared" si="5"/>
        <v>5640.4000000000015</v>
      </c>
      <c r="H25" s="140">
        <f t="shared" si="5"/>
        <v>646364.9199999998</v>
      </c>
      <c r="I25" s="140">
        <f t="shared" si="5"/>
        <v>700764.9199999998</v>
      </c>
      <c r="J25" s="5"/>
    </row>
    <row r="26" spans="1:10" ht="12.75">
      <c r="A26" s="5"/>
      <c r="B26" s="5"/>
      <c r="C26" s="64"/>
      <c r="D26" s="64"/>
      <c r="E26" s="64"/>
      <c r="F26" s="64"/>
      <c r="G26" s="64"/>
      <c r="H26" s="64"/>
      <c r="I26" s="5"/>
      <c r="J26" s="5"/>
    </row>
    <row r="27" spans="1:10" ht="12.75">
      <c r="A27" s="5"/>
      <c r="B27" s="5" t="s">
        <v>170</v>
      </c>
      <c r="C27" s="140">
        <v>0</v>
      </c>
      <c r="D27" s="140">
        <f>C29</f>
        <v>0</v>
      </c>
      <c r="E27" s="140">
        <v>0</v>
      </c>
      <c r="F27" s="140">
        <f>E29</f>
        <v>50.26900000000023</v>
      </c>
      <c r="G27" s="140">
        <f>F29</f>
        <v>664.5780000000007</v>
      </c>
      <c r="H27" s="140">
        <f>G29</f>
        <v>1792.658000000001</v>
      </c>
      <c r="I27" s="140">
        <f>H29</f>
        <v>66993.18999999997</v>
      </c>
      <c r="J27" s="5"/>
    </row>
    <row r="28" spans="1:10" ht="12.75">
      <c r="A28" s="5"/>
      <c r="B28" s="5" t="str">
        <f>"Amortization ("&amp;'3.  LDC Assumptions and Data'!C61&amp;" Years  Straight Line)"</f>
        <v>Amortization (5 Years  Straight Line)</v>
      </c>
      <c r="C28" s="102">
        <f>IF(C27+(C23/'3.  LDC Assumptions and Data'!C61)+(C24/'3.  LDC Assumptions and Data'!C61/2)&lt;C25,(C23/'3.  LDC Assumptions and Data'!C61)+(C24/'3.  LDC Assumptions and Data'!C61/2),C25-C27)</f>
        <v>0</v>
      </c>
      <c r="D28" s="102">
        <f>IF(D27+(D23/'3.  LDC Assumptions and Data'!C61)+(D24/'3.  LDC Assumptions and Data'!C61/2)&lt;D25,(D23/'3.  LDC Assumptions and Data'!C61)+(D24/'3.  LDC Assumptions and Data'!C61/2),D25-D27)</f>
        <v>5363.369000000001</v>
      </c>
      <c r="E28" s="102">
        <f>IF(E27+(E23/'3.  LDC Assumptions and Data'!D61)+(E24/'3.  LDC Assumptions and Data'!D61/2)&lt;E25,(E23/'3.  LDC Assumptions and Data'!D61)+(E24/'3.  LDC Assumptions and Data'!D61/2),E25-E27)</f>
        <v>50.26900000000023</v>
      </c>
      <c r="F28" s="102">
        <f>IF(F27+(F23/'3.  LDC Assumptions and Data'!C61)+(F24/'3.  LDC Assumptions and Data'!C61/2)&lt;F25,(F23/'3.  LDC Assumptions and Data'!C61)+(F24/'3.  LDC Assumptions and Data'!C61/2),F25-F27)</f>
        <v>614.3090000000004</v>
      </c>
      <c r="G28" s="102">
        <f>IF(G27+(G23/'3.  LDC Assumptions and Data'!C61)+(G24/'3.  LDC Assumptions and Data'!C61/2)&lt;G25,(G23/'3.  LDC Assumptions and Data'!C61)+(G24/'3.  LDC Assumptions and Data'!C61/2),G25-G27)</f>
        <v>1128.0800000000004</v>
      </c>
      <c r="H28" s="102">
        <f>IF(H27+(H23/'3.  LDC Assumptions and Data'!C61)+(H24/'3.  LDC Assumptions and Data'!C61/2)&lt;H25,(H23/'3.  LDC Assumptions and Data'!C61)+(H24/'3.  LDC Assumptions and Data'!C61/2),H25-H27)</f>
        <v>65200.53199999998</v>
      </c>
      <c r="I28" s="102">
        <f>IF(I27+(I23/'3.  LDC Assumptions and Data'!D61)+(I24/'3.  LDC Assumptions and Data'!D61/2)&lt;I25,(I23/'3.  LDC Assumptions and Data'!D61)+(I24/'3.  LDC Assumptions and Data'!D61/2),I25-I27)</f>
        <v>134712.98399999997</v>
      </c>
      <c r="J28" s="5"/>
    </row>
    <row r="29" spans="1:10" ht="12.75">
      <c r="A29" s="5"/>
      <c r="B29" s="5" t="s">
        <v>171</v>
      </c>
      <c r="C29" s="140">
        <f aca="true" t="shared" si="6" ref="C29:I29">SUM(C27:C28)</f>
        <v>0</v>
      </c>
      <c r="D29" s="140">
        <f t="shared" si="6"/>
        <v>5363.369000000001</v>
      </c>
      <c r="E29" s="140">
        <f>SUM(E27:E28)</f>
        <v>50.26900000000023</v>
      </c>
      <c r="F29" s="140">
        <f t="shared" si="6"/>
        <v>664.5780000000007</v>
      </c>
      <c r="G29" s="140">
        <f t="shared" si="6"/>
        <v>1792.658000000001</v>
      </c>
      <c r="H29" s="140">
        <f t="shared" si="6"/>
        <v>66993.18999999997</v>
      </c>
      <c r="I29" s="140">
        <f t="shared" si="6"/>
        <v>201706.17399999994</v>
      </c>
      <c r="J29" s="5"/>
    </row>
    <row r="30" spans="1:10" ht="12.75">
      <c r="A30" s="5"/>
      <c r="B30" s="5"/>
      <c r="I30" s="5"/>
      <c r="J30" s="5"/>
    </row>
    <row r="31" spans="1:10" ht="12.75">
      <c r="A31" s="5"/>
      <c r="B31" s="5" t="s">
        <v>172</v>
      </c>
      <c r="C31" s="102">
        <f>0</f>
        <v>0</v>
      </c>
      <c r="D31" s="102">
        <f>C32</f>
        <v>0</v>
      </c>
      <c r="E31" s="102">
        <v>0</v>
      </c>
      <c r="F31" s="102">
        <f>E32</f>
        <v>452.4210000000021</v>
      </c>
      <c r="G31" s="102">
        <f>F32</f>
        <v>4975.822000000001</v>
      </c>
      <c r="H31" s="102">
        <f>G32</f>
        <v>3847.742</v>
      </c>
      <c r="I31" s="102">
        <f>H32</f>
        <v>579371.7299999999</v>
      </c>
      <c r="J31" s="5"/>
    </row>
    <row r="32" spans="1:10" ht="12.75">
      <c r="A32" s="5"/>
      <c r="B32" s="5" t="s">
        <v>173</v>
      </c>
      <c r="C32" s="140">
        <f aca="true" t="shared" si="7" ref="C32:I32">C25-C29</f>
        <v>0</v>
      </c>
      <c r="D32" s="148">
        <f t="shared" si="7"/>
        <v>48270.321</v>
      </c>
      <c r="E32" s="148">
        <f>E25-E29</f>
        <v>452.4210000000021</v>
      </c>
      <c r="F32" s="148">
        <f t="shared" si="7"/>
        <v>4975.822000000001</v>
      </c>
      <c r="G32" s="148">
        <f t="shared" si="7"/>
        <v>3847.742</v>
      </c>
      <c r="H32" s="148">
        <f t="shared" si="7"/>
        <v>579371.7299999999</v>
      </c>
      <c r="I32" s="148">
        <f t="shared" si="7"/>
        <v>499058.74599999987</v>
      </c>
      <c r="J32" s="5"/>
    </row>
    <row r="33" spans="1:10" ht="13.5" thickBot="1">
      <c r="A33" s="5"/>
      <c r="B33" s="5" t="s">
        <v>174</v>
      </c>
      <c r="C33" s="147">
        <f aca="true" t="shared" si="8" ref="C33:I33">(C32+C31)/2</f>
        <v>0</v>
      </c>
      <c r="D33" s="149">
        <f t="shared" si="8"/>
        <v>24135.1605</v>
      </c>
      <c r="E33" s="149">
        <f>(E32+E31)/2</f>
        <v>226.21050000000105</v>
      </c>
      <c r="F33" s="149">
        <f t="shared" si="8"/>
        <v>2714.1215000000016</v>
      </c>
      <c r="G33" s="149">
        <f t="shared" si="8"/>
        <v>4411.782000000001</v>
      </c>
      <c r="H33" s="149">
        <f t="shared" si="8"/>
        <v>291609.7359999999</v>
      </c>
      <c r="I33" s="149">
        <f t="shared" si="8"/>
        <v>539215.2379999999</v>
      </c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24">
        <f aca="true" t="shared" si="9" ref="C35:I36">C20</f>
        <v>2006</v>
      </c>
      <c r="D35" s="24">
        <f t="shared" si="9"/>
        <v>2007</v>
      </c>
      <c r="E35" s="82" t="s">
        <v>283</v>
      </c>
      <c r="F35" s="24">
        <f t="shared" si="9"/>
        <v>2008</v>
      </c>
      <c r="G35" s="24">
        <f t="shared" si="9"/>
        <v>2009</v>
      </c>
      <c r="H35" s="24">
        <f t="shared" si="9"/>
        <v>2010</v>
      </c>
      <c r="I35" s="24">
        <f t="shared" si="9"/>
        <v>2011</v>
      </c>
      <c r="J35" s="5"/>
    </row>
    <row r="36" spans="1:10" ht="26.25">
      <c r="A36" s="5"/>
      <c r="B36" s="28" t="s">
        <v>176</v>
      </c>
      <c r="C36" s="24" t="str">
        <f t="shared" si="9"/>
        <v>Audited Actual</v>
      </c>
      <c r="D36" s="24" t="str">
        <f t="shared" si="9"/>
        <v>Audited Actual</v>
      </c>
      <c r="E36" s="163" t="s">
        <v>284</v>
      </c>
      <c r="F36" s="24" t="str">
        <f t="shared" si="9"/>
        <v>Audited Actual</v>
      </c>
      <c r="G36" s="24" t="str">
        <f t="shared" si="9"/>
        <v>Audited Actual</v>
      </c>
      <c r="H36" s="24" t="str">
        <f t="shared" si="9"/>
        <v>Forecasted</v>
      </c>
      <c r="I36" s="24" t="str">
        <f t="shared" si="9"/>
        <v>Forecasted</v>
      </c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 t="s">
        <v>168</v>
      </c>
      <c r="C38" s="140">
        <v>0</v>
      </c>
      <c r="D38" s="140">
        <f>C40</f>
        <v>0</v>
      </c>
      <c r="E38" s="140">
        <v>0</v>
      </c>
      <c r="F38" s="140">
        <f>E40</f>
        <v>287880.1</v>
      </c>
      <c r="G38" s="140">
        <f>F40</f>
        <v>1270667.65</v>
      </c>
      <c r="H38" s="140">
        <f>G40</f>
        <v>1384129.51</v>
      </c>
      <c r="I38" s="140">
        <f>H40</f>
        <v>4297873.78</v>
      </c>
      <c r="J38" s="5"/>
    </row>
    <row r="39" spans="1:10" ht="12.75">
      <c r="A39" s="5"/>
      <c r="B39" s="5" t="s">
        <v>202</v>
      </c>
      <c r="C39" s="142">
        <f>'3.  LDC Assumptions and Data'!C33</f>
        <v>0</v>
      </c>
      <c r="D39" s="142">
        <f>'3.  LDC Assumptions and Data'!D33</f>
        <v>399624.1</v>
      </c>
      <c r="E39" s="142">
        <f>'3.  LDC Assumptions and Data'!C33+'3.  LDC Assumptions and Data'!D33-'3.  LDC Assumptions and Data'!E33</f>
        <v>287880.1</v>
      </c>
      <c r="F39" s="142">
        <f>'3.  LDC Assumptions and Data'!F33</f>
        <v>982787.55</v>
      </c>
      <c r="G39" s="142">
        <f>'3.  LDC Assumptions and Data'!G33</f>
        <v>113461.86</v>
      </c>
      <c r="H39" s="142">
        <f>'3.  LDC Assumptions and Data'!H33</f>
        <v>2913744.27</v>
      </c>
      <c r="I39" s="142">
        <f>'3.  LDC Assumptions and Data'!I33</f>
        <v>1744061.77</v>
      </c>
      <c r="J39" s="5"/>
    </row>
    <row r="40" spans="1:10" ht="12.75">
      <c r="A40" s="5"/>
      <c r="B40" s="5" t="s">
        <v>169</v>
      </c>
      <c r="C40" s="140">
        <f aca="true" t="shared" si="10" ref="C40:I40">SUM(C38:C39)</f>
        <v>0</v>
      </c>
      <c r="D40" s="140">
        <f t="shared" si="10"/>
        <v>399624.1</v>
      </c>
      <c r="E40" s="140">
        <f t="shared" si="10"/>
        <v>287880.1</v>
      </c>
      <c r="F40" s="140">
        <f t="shared" si="10"/>
        <v>1270667.65</v>
      </c>
      <c r="G40" s="140">
        <f t="shared" si="10"/>
        <v>1384129.51</v>
      </c>
      <c r="H40" s="140">
        <f t="shared" si="10"/>
        <v>4297873.78</v>
      </c>
      <c r="I40" s="140">
        <f t="shared" si="10"/>
        <v>6041935.550000001</v>
      </c>
      <c r="J40" s="5"/>
    </row>
    <row r="41" spans="1:10" ht="12.75">
      <c r="A41" s="5"/>
      <c r="B41" s="5"/>
      <c r="C41" s="64"/>
      <c r="D41" s="64"/>
      <c r="E41" s="64"/>
      <c r="F41" s="64"/>
      <c r="G41" s="64"/>
      <c r="H41" s="64"/>
      <c r="I41" s="5"/>
      <c r="J41" s="5"/>
    </row>
    <row r="42" spans="1:10" ht="12.75">
      <c r="A42" s="5"/>
      <c r="B42" s="5" t="s">
        <v>170</v>
      </c>
      <c r="C42" s="140">
        <v>0</v>
      </c>
      <c r="D42" s="140">
        <f>C44</f>
        <v>0</v>
      </c>
      <c r="E42" s="140">
        <v>0</v>
      </c>
      <c r="F42" s="140">
        <f>E44</f>
        <v>28788.01</v>
      </c>
      <c r="G42" s="140">
        <f>F44</f>
        <v>184642.785</v>
      </c>
      <c r="H42" s="140">
        <f>G44</f>
        <v>450122.50099999993</v>
      </c>
      <c r="I42" s="140">
        <f>H44</f>
        <v>1018322.83</v>
      </c>
      <c r="J42" s="5"/>
    </row>
    <row r="43" spans="1:10" ht="12.75">
      <c r="A43" s="5"/>
      <c r="B43" s="5" t="str">
        <f>"Amortization Year 1 ("&amp;'3.  LDC Assumptions and Data'!C62&amp;" Years Straight Line)"</f>
        <v>Amortization Year 1 (5 Years Straight Line)</v>
      </c>
      <c r="C43" s="102">
        <f>IF(C42+(C38/'3.  LDC Assumptions and Data'!C62)+(C39/'3.  LDC Assumptions and Data'!C62/2)&lt;C40,(C38/'3.  LDC Assumptions and Data'!C62)+(C39/'3.  LDC Assumptions and Data'!C62/2),C40-C42)</f>
        <v>0</v>
      </c>
      <c r="D43" s="102">
        <f>IF(D42+(D38/'3.  LDC Assumptions and Data'!C62)+(D39/'3.  LDC Assumptions and Data'!C62/2)&lt;D40,(D38/'3.  LDC Assumptions and Data'!C62)+(D39/'3.  LDC Assumptions and Data'!C62/2),D40-D42)</f>
        <v>39962.409999999996</v>
      </c>
      <c r="E43" s="102">
        <f>IF(E42+(E38/'3.  LDC Assumptions and Data'!D62)+(E39/'3.  LDC Assumptions and Data'!D62/2)&lt;E40,(E38/'3.  LDC Assumptions and Data'!D62)+(E39/'3.  LDC Assumptions and Data'!D62/2),E40-E42)</f>
        <v>28788.01</v>
      </c>
      <c r="F43" s="102">
        <f>IF(F42+(F38/'3.  LDC Assumptions and Data'!C62)+(F39/'3.  LDC Assumptions and Data'!C62/2)&lt;F40,(F38/'3.  LDC Assumptions and Data'!C62)+(F39/'3.  LDC Assumptions and Data'!C62/2),F40-F42)</f>
        <v>155854.775</v>
      </c>
      <c r="G43" s="102">
        <f>IF(G42+(G38/'3.  LDC Assumptions and Data'!C62)+(G39/'3.  LDC Assumptions and Data'!C62/2)&lt;G40,(G38/'3.  LDC Assumptions and Data'!C62)+(G39/'3.  LDC Assumptions and Data'!C62/2),G40-G42)</f>
        <v>265479.71599999996</v>
      </c>
      <c r="H43" s="102">
        <f>IF(H42+(H38/'3.  LDC Assumptions and Data'!C62)+(H39/'3.  LDC Assumptions and Data'!C62/2)&lt;H40,(H38/'3.  LDC Assumptions and Data'!C62)+(H39/'3.  LDC Assumptions and Data'!C62/2),H40-H42)</f>
        <v>568200.329</v>
      </c>
      <c r="I43" s="102">
        <f>IF(I42+(I38/'3.  LDC Assumptions and Data'!D62)+(I39/'3.  LDC Assumptions and Data'!D62/2)&lt;I40,(I38/'3.  LDC Assumptions and Data'!D62)+(I39/'3.  LDC Assumptions and Data'!D62/2),I40-I42)</f>
        <v>1033980.9330000001</v>
      </c>
      <c r="J43" s="5"/>
    </row>
    <row r="44" spans="1:10" ht="12.75">
      <c r="A44" s="5"/>
      <c r="B44" s="5" t="s">
        <v>171</v>
      </c>
      <c r="C44" s="140">
        <f aca="true" t="shared" si="11" ref="C44:I44">SUM(C42:C43)</f>
        <v>0</v>
      </c>
      <c r="D44" s="140">
        <f t="shared" si="11"/>
        <v>39962.409999999996</v>
      </c>
      <c r="E44" s="140">
        <f>SUM(E42:E43)</f>
        <v>28788.01</v>
      </c>
      <c r="F44" s="140">
        <f t="shared" si="11"/>
        <v>184642.785</v>
      </c>
      <c r="G44" s="140">
        <f t="shared" si="11"/>
        <v>450122.50099999993</v>
      </c>
      <c r="H44" s="140">
        <f t="shared" si="11"/>
        <v>1018322.83</v>
      </c>
      <c r="I44" s="140">
        <f t="shared" si="11"/>
        <v>2052303.763</v>
      </c>
      <c r="J44" s="5"/>
    </row>
    <row r="45" spans="1:10" ht="12.75">
      <c r="A45" s="5"/>
      <c r="B45" s="5"/>
      <c r="I45" s="5"/>
      <c r="J45" s="5"/>
    </row>
    <row r="46" spans="1:10" ht="12.75">
      <c r="A46" s="5"/>
      <c r="B46" s="5" t="s">
        <v>172</v>
      </c>
      <c r="C46" s="102">
        <f>0</f>
        <v>0</v>
      </c>
      <c r="D46" s="102">
        <f>C47</f>
        <v>0</v>
      </c>
      <c r="E46" s="102">
        <v>0</v>
      </c>
      <c r="F46" s="102">
        <f>E47</f>
        <v>259092.08999999997</v>
      </c>
      <c r="G46" s="102">
        <f>F47</f>
        <v>1086024.865</v>
      </c>
      <c r="H46" s="102">
        <f>G47</f>
        <v>934007.0090000001</v>
      </c>
      <c r="I46" s="102">
        <f>H47</f>
        <v>3279550.95</v>
      </c>
      <c r="J46" s="5"/>
    </row>
    <row r="47" spans="1:10" ht="12.75">
      <c r="A47" s="5"/>
      <c r="B47" s="5" t="s">
        <v>173</v>
      </c>
      <c r="C47" s="140">
        <f aca="true" t="shared" si="12" ref="C47:I47">C40-C44</f>
        <v>0</v>
      </c>
      <c r="D47" s="148">
        <f t="shared" si="12"/>
        <v>359661.69</v>
      </c>
      <c r="E47" s="148">
        <f>E40-E44</f>
        <v>259092.08999999997</v>
      </c>
      <c r="F47" s="148">
        <f t="shared" si="12"/>
        <v>1086024.865</v>
      </c>
      <c r="G47" s="148">
        <f t="shared" si="12"/>
        <v>934007.0090000001</v>
      </c>
      <c r="H47" s="148">
        <f t="shared" si="12"/>
        <v>3279550.95</v>
      </c>
      <c r="I47" s="148">
        <f t="shared" si="12"/>
        <v>3989631.7870000005</v>
      </c>
      <c r="J47" s="5"/>
    </row>
    <row r="48" spans="1:10" ht="13.5" thickBot="1">
      <c r="A48" s="5"/>
      <c r="B48" s="5" t="s">
        <v>174</v>
      </c>
      <c r="C48" s="147">
        <f aca="true" t="shared" si="13" ref="C48:I48">(C47+C46)/2</f>
        <v>0</v>
      </c>
      <c r="D48" s="149">
        <f t="shared" si="13"/>
        <v>179830.845</v>
      </c>
      <c r="E48" s="149">
        <f>(E47+E46)/2</f>
        <v>129546.04499999998</v>
      </c>
      <c r="F48" s="149">
        <f t="shared" si="13"/>
        <v>672558.4775</v>
      </c>
      <c r="G48" s="149">
        <f t="shared" si="13"/>
        <v>1010015.937</v>
      </c>
      <c r="H48" s="149">
        <f t="shared" si="13"/>
        <v>2106778.9795000004</v>
      </c>
      <c r="I48" s="149">
        <f t="shared" si="13"/>
        <v>3634591.3685000003</v>
      </c>
      <c r="J48" s="5"/>
    </row>
    <row r="49" spans="1:10" ht="12.75">
      <c r="A49" s="5"/>
      <c r="B49" s="5"/>
      <c r="C49" s="63"/>
      <c r="D49" s="63"/>
      <c r="E49" s="63"/>
      <c r="F49" s="5"/>
      <c r="G49" s="5"/>
      <c r="H49" s="5"/>
      <c r="I49" s="5"/>
      <c r="J49" s="5"/>
    </row>
    <row r="50" spans="1:10" ht="12.75">
      <c r="A50" s="5"/>
      <c r="B50" s="5"/>
      <c r="C50" s="24">
        <f aca="true" t="shared" si="14" ref="C50:I51">C35</f>
        <v>2006</v>
      </c>
      <c r="D50" s="24">
        <f t="shared" si="14"/>
        <v>2007</v>
      </c>
      <c r="E50" s="82" t="s">
        <v>283</v>
      </c>
      <c r="F50" s="24">
        <f t="shared" si="14"/>
        <v>2008</v>
      </c>
      <c r="G50" s="24">
        <f t="shared" si="14"/>
        <v>2009</v>
      </c>
      <c r="H50" s="24">
        <f t="shared" si="14"/>
        <v>2010</v>
      </c>
      <c r="I50" s="24">
        <f t="shared" si="14"/>
        <v>2011</v>
      </c>
      <c r="J50" s="5"/>
    </row>
    <row r="51" spans="1:10" ht="26.25">
      <c r="A51" s="5"/>
      <c r="B51" s="28" t="s">
        <v>177</v>
      </c>
      <c r="C51" s="24" t="str">
        <f t="shared" si="14"/>
        <v>Audited Actual</v>
      </c>
      <c r="D51" s="24" t="str">
        <f t="shared" si="14"/>
        <v>Audited Actual</v>
      </c>
      <c r="E51" s="163" t="s">
        <v>284</v>
      </c>
      <c r="F51" s="24" t="str">
        <f t="shared" si="14"/>
        <v>Audited Actual</v>
      </c>
      <c r="G51" s="24" t="str">
        <f t="shared" si="14"/>
        <v>Audited Actual</v>
      </c>
      <c r="H51" s="24" t="str">
        <f t="shared" si="14"/>
        <v>Forecasted</v>
      </c>
      <c r="I51" s="24" t="str">
        <f t="shared" si="14"/>
        <v>Forecasted</v>
      </c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 t="s">
        <v>168</v>
      </c>
      <c r="C53" s="140">
        <v>0</v>
      </c>
      <c r="D53" s="140">
        <f>C55</f>
        <v>838597.469535</v>
      </c>
      <c r="E53" s="140">
        <v>0</v>
      </c>
      <c r="F53" s="140">
        <f>E55</f>
        <v>0.4695350000401959</v>
      </c>
      <c r="G53" s="140">
        <f>F55</f>
        <v>0.4695350000401959</v>
      </c>
      <c r="H53" s="140">
        <f>G55</f>
        <v>0.4695350000401959</v>
      </c>
      <c r="I53" s="140">
        <f>H55</f>
        <v>0.4695350000401959</v>
      </c>
      <c r="J53" s="5"/>
    </row>
    <row r="54" spans="1:10" ht="12.75">
      <c r="A54" s="5"/>
      <c r="B54" s="5" t="s">
        <v>202</v>
      </c>
      <c r="C54" s="142">
        <f>'3.  LDC Assumptions and Data'!C34</f>
        <v>838597.469535</v>
      </c>
      <c r="D54" s="142">
        <f>'3.  LDC Assumptions and Data'!D34</f>
        <v>9112</v>
      </c>
      <c r="E54" s="142">
        <f>'3.  LDC Assumptions and Data'!C34+'3.  LDC Assumptions and Data'!D34-'3.  LDC Assumptions and Data'!E34</f>
        <v>0.4695350000401959</v>
      </c>
      <c r="F54" s="142">
        <f>'3.  LDC Assumptions and Data'!G34</f>
        <v>0</v>
      </c>
      <c r="G54" s="142">
        <f>'3.  LDC Assumptions and Data'!G34</f>
        <v>0</v>
      </c>
      <c r="H54" s="142">
        <f>'3.  LDC Assumptions and Data'!H34</f>
        <v>0</v>
      </c>
      <c r="I54" s="142">
        <f>'3.  LDC Assumptions and Data'!I34</f>
        <v>0</v>
      </c>
      <c r="J54" s="5"/>
    </row>
    <row r="55" spans="1:10" ht="12.75">
      <c r="A55" s="5"/>
      <c r="B55" s="5" t="s">
        <v>169</v>
      </c>
      <c r="C55" s="140">
        <f aca="true" t="shared" si="15" ref="C55:I55">SUM(C53:C54)</f>
        <v>838597.469535</v>
      </c>
      <c r="D55" s="140">
        <f t="shared" si="15"/>
        <v>847709.469535</v>
      </c>
      <c r="E55" s="140">
        <f t="shared" si="15"/>
        <v>0.4695350000401959</v>
      </c>
      <c r="F55" s="140">
        <f t="shared" si="15"/>
        <v>0.4695350000401959</v>
      </c>
      <c r="G55" s="140">
        <f t="shared" si="15"/>
        <v>0.4695350000401959</v>
      </c>
      <c r="H55" s="140">
        <f t="shared" si="15"/>
        <v>0.4695350000401959</v>
      </c>
      <c r="I55" s="140">
        <f t="shared" si="15"/>
        <v>0.4695350000401959</v>
      </c>
      <c r="J55" s="5"/>
    </row>
    <row r="56" spans="1:10" ht="12.75">
      <c r="A56" s="5"/>
      <c r="B56" s="5"/>
      <c r="C56" s="64"/>
      <c r="D56" s="64"/>
      <c r="E56" s="64"/>
      <c r="F56" s="64"/>
      <c r="G56" s="64"/>
      <c r="H56" s="64"/>
      <c r="I56" s="5"/>
      <c r="J56" s="5"/>
    </row>
    <row r="57" spans="1:10" ht="12.75">
      <c r="A57" s="5"/>
      <c r="B57" s="5" t="s">
        <v>170</v>
      </c>
      <c r="C57" s="140">
        <v>0</v>
      </c>
      <c r="D57" s="140">
        <f>C59</f>
        <v>41929.87347675</v>
      </c>
      <c r="E57" s="140">
        <v>0</v>
      </c>
      <c r="F57" s="140">
        <f>E59</f>
        <v>0.023476750002009793</v>
      </c>
      <c r="G57" s="140">
        <f>F59</f>
        <v>0.07043025000602937</v>
      </c>
      <c r="H57" s="140">
        <f>G59</f>
        <v>0.11738375001004896</v>
      </c>
      <c r="I57" s="140">
        <f>H59</f>
        <v>0.16433725001406854</v>
      </c>
      <c r="J57" s="5"/>
    </row>
    <row r="58" spans="1:10" ht="12.75">
      <c r="A58" s="5"/>
      <c r="B58" s="5" t="str">
        <f>"Amortization Year 1 ("&amp;'3.  LDC Assumptions and Data'!C63&amp;" Years Straight Line)"</f>
        <v>Amortization Year 1 (10 Years Straight Line)</v>
      </c>
      <c r="C58" s="102">
        <f>IF(C57+(C53/'3.  LDC Assumptions and Data'!C63)+(C54/'3.  LDC Assumptions and Data'!C63/2)&lt;C55,(C53/'3.  LDC Assumptions and Data'!C63)+(C54/'3.  LDC Assumptions and Data'!C63/2),C55-C57)</f>
        <v>41929.87347675</v>
      </c>
      <c r="D58" s="102">
        <f>IF(D57+(D53/'3.  LDC Assumptions and Data'!C63)+(D54/'3.  LDC Assumptions and Data'!C63/2)&lt;D55,(D53/'3.  LDC Assumptions and Data'!C63)+(D54/'3.  LDC Assumptions and Data'!C63/2),D55-D57)</f>
        <v>84315.3469535</v>
      </c>
      <c r="E58" s="102">
        <f>IF(E57+(E53/'3.  LDC Assumptions and Data'!D63)+(E54/'3.  LDC Assumptions and Data'!D63/2)&lt;E55,(E53/'3.  LDC Assumptions and Data'!D63)+(E54/'3.  LDC Assumptions and Data'!D63/2),E55-E57)</f>
        <v>0.023476750002009793</v>
      </c>
      <c r="F58" s="102">
        <f>IF(F57+(F53/'3.  LDC Assumptions and Data'!C63)+(F54/'3.  LDC Assumptions and Data'!C63/2)&lt;F55,(F53/'3.  LDC Assumptions and Data'!C63)+(F54/'3.  LDC Assumptions and Data'!C63/2),F55-F57)</f>
        <v>0.046953500004019585</v>
      </c>
      <c r="G58" s="102">
        <f>IF(G57+(G53/'3.  LDC Assumptions and Data'!C63)+(G54/'3.  LDC Assumptions and Data'!C63/2)&lt;G55,(G53/'3.  LDC Assumptions and Data'!C63)+(G54/'3.  LDC Assumptions and Data'!C63/2),G55-G57)</f>
        <v>0.046953500004019585</v>
      </c>
      <c r="H58" s="102">
        <f>IF(H57+(H53/'3.  LDC Assumptions and Data'!C63)+(H54/'3.  LDC Assumptions and Data'!C63/2)&lt;H55,(H53/'3.  LDC Assumptions and Data'!C63)+(H54/'3.  LDC Assumptions and Data'!C63/2),H55-H57)</f>
        <v>0.046953500004019585</v>
      </c>
      <c r="I58" s="102">
        <f>IF(I57+(I53/'3.  LDC Assumptions and Data'!D63)+(I54/'3.  LDC Assumptions and Data'!D63/2)&lt;I55,(I53/'3.  LDC Assumptions and Data'!D63)+(I54/'3.  LDC Assumptions and Data'!D63/2),I55-I57)</f>
        <v>0.046953500004019585</v>
      </c>
      <c r="J58" s="5"/>
    </row>
    <row r="59" spans="1:10" ht="12.75">
      <c r="A59" s="5"/>
      <c r="B59" s="5" t="s">
        <v>171</v>
      </c>
      <c r="C59" s="140">
        <f aca="true" t="shared" si="16" ref="C59:I59">SUM(C57:C58)</f>
        <v>41929.87347675</v>
      </c>
      <c r="D59" s="140">
        <f t="shared" si="16"/>
        <v>126245.22043025</v>
      </c>
      <c r="E59" s="140">
        <f>SUM(E57:E58)</f>
        <v>0.023476750002009793</v>
      </c>
      <c r="F59" s="140">
        <f t="shared" si="16"/>
        <v>0.07043025000602937</v>
      </c>
      <c r="G59" s="140">
        <f t="shared" si="16"/>
        <v>0.11738375001004896</v>
      </c>
      <c r="H59" s="140">
        <f t="shared" si="16"/>
        <v>0.16433725001406854</v>
      </c>
      <c r="I59" s="140">
        <f t="shared" si="16"/>
        <v>0.2112907500180881</v>
      </c>
      <c r="J59" s="5"/>
    </row>
    <row r="60" spans="1:10" ht="12.75">
      <c r="A60" s="5"/>
      <c r="B60" s="5"/>
      <c r="I60" s="5"/>
      <c r="J60" s="5"/>
    </row>
    <row r="61" spans="1:10" ht="12.75">
      <c r="A61" s="5"/>
      <c r="B61" s="5" t="s">
        <v>172</v>
      </c>
      <c r="C61" s="102">
        <f>0</f>
        <v>0</v>
      </c>
      <c r="D61" s="102">
        <f>C62</f>
        <v>796667.59605825</v>
      </c>
      <c r="E61" s="102">
        <v>0</v>
      </c>
      <c r="F61" s="102">
        <f>E62</f>
        <v>0.4460582500381861</v>
      </c>
      <c r="G61" s="102">
        <f>F62</f>
        <v>0.3991047500341665</v>
      </c>
      <c r="H61" s="102">
        <f>G62</f>
        <v>0.3521512500301469</v>
      </c>
      <c r="I61" s="102">
        <f>H62</f>
        <v>0.30519775002612737</v>
      </c>
      <c r="J61" s="5"/>
    </row>
    <row r="62" spans="1:10" ht="12.75">
      <c r="A62" s="5"/>
      <c r="B62" s="5" t="s">
        <v>173</v>
      </c>
      <c r="C62" s="140">
        <f aca="true" t="shared" si="17" ref="C62:I62">C55-C59</f>
        <v>796667.59605825</v>
      </c>
      <c r="D62" s="148">
        <f t="shared" si="17"/>
        <v>721464.24910475</v>
      </c>
      <c r="E62" s="148">
        <f>E55-E59</f>
        <v>0.4460582500381861</v>
      </c>
      <c r="F62" s="148">
        <f t="shared" si="17"/>
        <v>0.3991047500341665</v>
      </c>
      <c r="G62" s="148">
        <f t="shared" si="17"/>
        <v>0.3521512500301469</v>
      </c>
      <c r="H62" s="148">
        <f t="shared" si="17"/>
        <v>0.30519775002612737</v>
      </c>
      <c r="I62" s="148">
        <f t="shared" si="17"/>
        <v>0.25824425002210777</v>
      </c>
      <c r="J62" s="5"/>
    </row>
    <row r="63" spans="1:10" ht="13.5" thickBot="1">
      <c r="A63" s="5"/>
      <c r="B63" s="5" t="s">
        <v>174</v>
      </c>
      <c r="C63" s="147">
        <f aca="true" t="shared" si="18" ref="C63:I63">(C62+C61)/2</f>
        <v>398333.798029125</v>
      </c>
      <c r="D63" s="149">
        <f t="shared" si="18"/>
        <v>759065.9225815</v>
      </c>
      <c r="E63" s="149">
        <f>(E62+E61)/2</f>
        <v>0.22302912501909306</v>
      </c>
      <c r="F63" s="149">
        <f t="shared" si="18"/>
        <v>0.42258150003617634</v>
      </c>
      <c r="G63" s="149">
        <f t="shared" si="18"/>
        <v>0.3756280000321567</v>
      </c>
      <c r="H63" s="149">
        <f t="shared" si="18"/>
        <v>0.32867450002813714</v>
      </c>
      <c r="I63" s="149">
        <f t="shared" si="18"/>
        <v>0.2817210000241176</v>
      </c>
      <c r="J63" s="5"/>
    </row>
    <row r="64" spans="1:10" ht="12.75">
      <c r="A64" s="5"/>
      <c r="B64" s="5"/>
      <c r="C64" s="63"/>
      <c r="D64" s="63"/>
      <c r="E64" s="63"/>
      <c r="F64" s="5"/>
      <c r="G64" s="5"/>
      <c r="H64" s="5"/>
      <c r="I64" s="5"/>
      <c r="J64" s="5"/>
    </row>
    <row r="65" spans="1:10" ht="12.75">
      <c r="A65" s="5"/>
      <c r="B65" s="5"/>
      <c r="C65" s="24">
        <f aca="true" t="shared" si="19" ref="C65:I66">C50</f>
        <v>2006</v>
      </c>
      <c r="D65" s="24">
        <f t="shared" si="19"/>
        <v>2007</v>
      </c>
      <c r="E65" s="82" t="s">
        <v>283</v>
      </c>
      <c r="F65" s="24">
        <f t="shared" si="19"/>
        <v>2008</v>
      </c>
      <c r="G65" s="24">
        <f t="shared" si="19"/>
        <v>2009</v>
      </c>
      <c r="H65" s="24">
        <f t="shared" si="19"/>
        <v>2010</v>
      </c>
      <c r="I65" s="24">
        <f t="shared" si="19"/>
        <v>2011</v>
      </c>
      <c r="J65" s="5"/>
    </row>
    <row r="66" spans="1:10" ht="26.25">
      <c r="A66" s="5"/>
      <c r="B66" s="28" t="s">
        <v>178</v>
      </c>
      <c r="C66" s="24" t="str">
        <f t="shared" si="19"/>
        <v>Audited Actual</v>
      </c>
      <c r="D66" s="24" t="str">
        <f t="shared" si="19"/>
        <v>Audited Actual</v>
      </c>
      <c r="E66" s="163" t="s">
        <v>284</v>
      </c>
      <c r="F66" s="24" t="str">
        <f t="shared" si="19"/>
        <v>Audited Actual</v>
      </c>
      <c r="G66" s="24" t="str">
        <f t="shared" si="19"/>
        <v>Audited Actual</v>
      </c>
      <c r="H66" s="24" t="str">
        <f t="shared" si="19"/>
        <v>Forecasted</v>
      </c>
      <c r="I66" s="24" t="str">
        <f t="shared" si="19"/>
        <v>Forecasted</v>
      </c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 t="s">
        <v>168</v>
      </c>
      <c r="C68" s="140">
        <v>0</v>
      </c>
      <c r="D68" s="140">
        <f>C70</f>
        <v>0</v>
      </c>
      <c r="E68" s="140"/>
      <c r="F68" s="140">
        <f>D70</f>
        <v>0</v>
      </c>
      <c r="G68" s="140">
        <f>F70</f>
        <v>0</v>
      </c>
      <c r="H68" s="140">
        <f>G70</f>
        <v>0</v>
      </c>
      <c r="I68" s="140">
        <f>H70</f>
        <v>0</v>
      </c>
      <c r="J68" s="5"/>
    </row>
    <row r="69" spans="1:10" ht="12.75">
      <c r="A69" s="5"/>
      <c r="B69" s="5" t="s">
        <v>202</v>
      </c>
      <c r="C69" s="142">
        <f>'3.  LDC Assumptions and Data'!C35</f>
        <v>0</v>
      </c>
      <c r="D69" s="142">
        <f>'3.  LDC Assumptions and Data'!D35</f>
        <v>0</v>
      </c>
      <c r="E69" s="142"/>
      <c r="F69" s="142">
        <f>'3.  LDC Assumptions and Data'!F35</f>
        <v>0</v>
      </c>
      <c r="G69" s="142">
        <f>'3.  LDC Assumptions and Data'!G35</f>
        <v>0</v>
      </c>
      <c r="H69" s="142">
        <f>'3.  LDC Assumptions and Data'!H35</f>
        <v>0</v>
      </c>
      <c r="I69" s="142">
        <f>'3.  LDC Assumptions and Data'!I35</f>
        <v>0</v>
      </c>
      <c r="J69" s="5"/>
    </row>
    <row r="70" spans="1:10" ht="12.75">
      <c r="A70" s="5"/>
      <c r="B70" s="5" t="s">
        <v>169</v>
      </c>
      <c r="C70" s="140">
        <f aca="true" t="shared" si="20" ref="C70:I70">SUM(C68:C69)</f>
        <v>0</v>
      </c>
      <c r="D70" s="140">
        <f t="shared" si="20"/>
        <v>0</v>
      </c>
      <c r="E70" s="140"/>
      <c r="F70" s="140">
        <f t="shared" si="20"/>
        <v>0</v>
      </c>
      <c r="G70" s="140">
        <f t="shared" si="20"/>
        <v>0</v>
      </c>
      <c r="H70" s="140">
        <f t="shared" si="20"/>
        <v>0</v>
      </c>
      <c r="I70" s="140">
        <f t="shared" si="20"/>
        <v>0</v>
      </c>
      <c r="J70" s="5"/>
    </row>
    <row r="71" spans="1:10" ht="12.75">
      <c r="A71" s="5"/>
      <c r="B71" s="5"/>
      <c r="C71" s="64"/>
      <c r="D71" s="64"/>
      <c r="E71" s="64"/>
      <c r="F71" s="64"/>
      <c r="G71" s="64"/>
      <c r="H71" s="64"/>
      <c r="I71" s="64"/>
      <c r="J71" s="5"/>
    </row>
    <row r="72" spans="1:10" ht="12.75">
      <c r="A72" s="5"/>
      <c r="B72" s="5" t="s">
        <v>170</v>
      </c>
      <c r="C72" s="140">
        <v>0</v>
      </c>
      <c r="D72" s="140">
        <f>C74</f>
        <v>0</v>
      </c>
      <c r="E72" s="140"/>
      <c r="F72" s="140">
        <f>D74</f>
        <v>0</v>
      </c>
      <c r="G72" s="140">
        <f>F74</f>
        <v>0</v>
      </c>
      <c r="H72" s="140">
        <f>G74</f>
        <v>0</v>
      </c>
      <c r="I72" s="140">
        <f>H74</f>
        <v>0</v>
      </c>
      <c r="J72" s="5"/>
    </row>
    <row r="73" spans="1:10" ht="12.75">
      <c r="A73" s="5"/>
      <c r="B73" s="5" t="str">
        <f>"Amortization Year 1 ("&amp;'3.  LDC Assumptions and Data'!C64&amp;" Years Straight Line)"</f>
        <v>Amortization Year 1 (10 Years Straight Line)</v>
      </c>
      <c r="C73" s="102">
        <f>IF(C72+(C68/'3.  LDC Assumptions and Data'!C64)+(C69/'3.  LDC Assumptions and Data'!C64/2)&lt;C70,(C68/'3.  LDC Assumptions and Data'!C64)+(C69/'3.  LDC Assumptions and Data'!C64/2),C70-C72)</f>
        <v>0</v>
      </c>
      <c r="D73" s="102">
        <f>IF(D72+(D68/'3.  LDC Assumptions and Data'!C64)+(D69/'3.  LDC Assumptions and Data'!C64/2)&lt;D70,(D68/'3.  LDC Assumptions and Data'!C64)+(D69/'3.  LDC Assumptions and Data'!C64/2),D70-D72)</f>
        <v>0</v>
      </c>
      <c r="E73" s="102"/>
      <c r="F73" s="102">
        <f>IF(F72+(F68/'3.  LDC Assumptions and Data'!C64)+(F69/'3.  LDC Assumptions and Data'!C64/2)&lt;F70,(F68/'3.  LDC Assumptions and Data'!C64)+(F69/'3.  LDC Assumptions and Data'!C64/2),F70-F72)</f>
        <v>0</v>
      </c>
      <c r="G73" s="102">
        <f>IF(G72+(G68/'3.  LDC Assumptions and Data'!C64)+(G69/'3.  LDC Assumptions and Data'!C64/2)&lt;G70,(G68/'3.  LDC Assumptions and Data'!C64)+(G69/'3.  LDC Assumptions and Data'!C64/2),G70-G72)</f>
        <v>0</v>
      </c>
      <c r="H73" s="102">
        <f>IF(H72+(H68/'3.  LDC Assumptions and Data'!C64)+(H69/'3.  LDC Assumptions and Data'!C64/2)&lt;H70,(H68/'3.  LDC Assumptions and Data'!C64)+(H69/'3.  LDC Assumptions and Data'!C64/2),H70-H72)</f>
        <v>0</v>
      </c>
      <c r="I73" s="102">
        <f>IF(I72+(I68/'3.  LDC Assumptions and Data'!D64)+(I69/'3.  LDC Assumptions and Data'!D64/2)&lt;I70,(I68/'3.  LDC Assumptions and Data'!D64)+(I69/'3.  LDC Assumptions and Data'!D64/2),I70-I72)</f>
        <v>0</v>
      </c>
      <c r="J73" s="5"/>
    </row>
    <row r="74" spans="1:10" ht="12.75">
      <c r="A74" s="5"/>
      <c r="B74" s="5" t="s">
        <v>171</v>
      </c>
      <c r="C74" s="140">
        <f aca="true" t="shared" si="21" ref="C74:I74">SUM(C72:C73)</f>
        <v>0</v>
      </c>
      <c r="D74" s="140">
        <f t="shared" si="21"/>
        <v>0</v>
      </c>
      <c r="E74" s="140"/>
      <c r="F74" s="140">
        <f t="shared" si="21"/>
        <v>0</v>
      </c>
      <c r="G74" s="140">
        <f t="shared" si="21"/>
        <v>0</v>
      </c>
      <c r="H74" s="140">
        <f t="shared" si="21"/>
        <v>0</v>
      </c>
      <c r="I74" s="140">
        <f t="shared" si="21"/>
        <v>0</v>
      </c>
      <c r="J74" s="5"/>
    </row>
    <row r="75" spans="1:10" ht="12.75">
      <c r="A75" s="5"/>
      <c r="B75" s="5"/>
      <c r="C75" s="64"/>
      <c r="D75" s="64"/>
      <c r="E75" s="64"/>
      <c r="F75" s="64"/>
      <c r="G75" s="64"/>
      <c r="H75" s="64"/>
      <c r="I75" s="64"/>
      <c r="J75" s="5"/>
    </row>
    <row r="76" spans="1:10" ht="12.75">
      <c r="A76" s="5"/>
      <c r="B76" s="5" t="s">
        <v>172</v>
      </c>
      <c r="C76" s="102">
        <f>0</f>
        <v>0</v>
      </c>
      <c r="D76" s="102">
        <f>C77</f>
        <v>0</v>
      </c>
      <c r="E76" s="102"/>
      <c r="F76" s="102">
        <f>D77</f>
        <v>0</v>
      </c>
      <c r="G76" s="102">
        <f>F77</f>
        <v>0</v>
      </c>
      <c r="H76" s="102">
        <f>G77</f>
        <v>0</v>
      </c>
      <c r="I76" s="102">
        <f>H77</f>
        <v>0</v>
      </c>
      <c r="J76" s="5"/>
    </row>
    <row r="77" spans="1:10" ht="12.75">
      <c r="A77" s="5"/>
      <c r="B77" s="5" t="s">
        <v>173</v>
      </c>
      <c r="C77" s="140">
        <f aca="true" t="shared" si="22" ref="C77:I77">C70-C74</f>
        <v>0</v>
      </c>
      <c r="D77" s="148">
        <f t="shared" si="22"/>
        <v>0</v>
      </c>
      <c r="E77" s="148"/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5"/>
    </row>
    <row r="78" spans="1:10" ht="13.5" thickBot="1">
      <c r="A78" s="5"/>
      <c r="B78" s="5" t="s">
        <v>174</v>
      </c>
      <c r="C78" s="147">
        <f aca="true" t="shared" si="23" ref="C78:I78">(C77+C76)/2</f>
        <v>0</v>
      </c>
      <c r="D78" s="149">
        <f t="shared" si="23"/>
        <v>0</v>
      </c>
      <c r="E78" s="149"/>
      <c r="F78" s="149">
        <f t="shared" si="23"/>
        <v>0</v>
      </c>
      <c r="G78" s="149">
        <f t="shared" si="23"/>
        <v>0</v>
      </c>
      <c r="H78" s="149">
        <f t="shared" si="23"/>
        <v>0</v>
      </c>
      <c r="I78" s="149">
        <f t="shared" si="23"/>
        <v>0</v>
      </c>
      <c r="J78" s="5"/>
    </row>
    <row r="79" spans="1:10" ht="12.75">
      <c r="A79" s="5"/>
      <c r="B79" s="5"/>
      <c r="C79" s="63"/>
      <c r="D79" s="63"/>
      <c r="E79" s="63"/>
      <c r="F79" s="5"/>
      <c r="G79" s="5"/>
      <c r="H79" s="5"/>
      <c r="I79" s="5"/>
      <c r="J79" s="5"/>
    </row>
    <row r="80" spans="1:10" ht="12.75">
      <c r="A80" s="5"/>
      <c r="B80" s="5"/>
      <c r="C80" s="63"/>
      <c r="D80" s="63"/>
      <c r="E80" s="63"/>
      <c r="F80" s="5"/>
      <c r="G80" s="5"/>
      <c r="H80" s="5"/>
      <c r="I80" s="5"/>
      <c r="J80" s="5"/>
    </row>
    <row r="81" spans="1:10" ht="26.25">
      <c r="A81" s="5"/>
      <c r="B81" s="60" t="s">
        <v>179</v>
      </c>
      <c r="C81" s="63"/>
      <c r="D81" s="63"/>
      <c r="E81" s="63"/>
      <c r="F81" s="5"/>
      <c r="G81" s="5"/>
      <c r="H81" s="5"/>
      <c r="I81" s="5"/>
      <c r="J81" s="5"/>
    </row>
    <row r="82" spans="1:10" ht="12.75">
      <c r="A82" s="5"/>
      <c r="B82" s="5"/>
      <c r="C82" s="63"/>
      <c r="D82" s="63"/>
      <c r="E82" s="63"/>
      <c r="F82" s="5"/>
      <c r="G82" s="5"/>
      <c r="H82" s="5"/>
      <c r="I82" s="5"/>
      <c r="J82" s="5"/>
    </row>
    <row r="83" spans="1:9" ht="18">
      <c r="A83" s="5"/>
      <c r="B83" s="28" t="s">
        <v>180</v>
      </c>
      <c r="C83" s="24">
        <f aca="true" t="shared" si="24" ref="C83:I84">C65</f>
        <v>2006</v>
      </c>
      <c r="D83" s="24">
        <f t="shared" si="24"/>
        <v>2007</v>
      </c>
      <c r="E83" s="82" t="s">
        <v>283</v>
      </c>
      <c r="F83" s="24">
        <f t="shared" si="24"/>
        <v>2008</v>
      </c>
      <c r="G83" s="24">
        <f t="shared" si="24"/>
        <v>2009</v>
      </c>
      <c r="H83" s="24">
        <f t="shared" si="24"/>
        <v>2010</v>
      </c>
      <c r="I83" s="24">
        <f t="shared" si="24"/>
        <v>2011</v>
      </c>
    </row>
    <row r="84" spans="1:9" ht="25.5">
      <c r="A84" s="5"/>
      <c r="B84" s="5"/>
      <c r="C84" s="24" t="str">
        <f t="shared" si="24"/>
        <v>Audited Actual</v>
      </c>
      <c r="D84" s="24" t="str">
        <f t="shared" si="24"/>
        <v>Audited Actual</v>
      </c>
      <c r="E84" s="163" t="s">
        <v>284</v>
      </c>
      <c r="F84" s="24" t="str">
        <f t="shared" si="24"/>
        <v>Audited Actual</v>
      </c>
      <c r="G84" s="24" t="str">
        <f t="shared" si="24"/>
        <v>Audited Actual</v>
      </c>
      <c r="H84" s="24" t="str">
        <f t="shared" si="24"/>
        <v>Forecasted</v>
      </c>
      <c r="I84" s="24" t="str">
        <f t="shared" si="24"/>
        <v>Forecasted</v>
      </c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 t="s">
        <v>181</v>
      </c>
      <c r="C86" s="140">
        <v>0</v>
      </c>
      <c r="D86" s="140">
        <f>C88-C93</f>
        <v>12186836.80652801</v>
      </c>
      <c r="E86" s="140">
        <v>0</v>
      </c>
      <c r="F86" s="140">
        <f>E94</f>
        <v>11334518.401074529</v>
      </c>
      <c r="G86" s="140">
        <f>F88-F93</f>
        <v>23468926.359388564</v>
      </c>
      <c r="H86" s="140">
        <f>G88-G93</f>
        <v>28304097.14663748</v>
      </c>
      <c r="I86" s="140">
        <f>H88-H93</f>
        <v>28274474.318906482</v>
      </c>
      <c r="J86" s="5"/>
    </row>
    <row r="87" spans="1:10" ht="12.75">
      <c r="A87" s="5"/>
      <c r="B87" s="5" t="s">
        <v>182</v>
      </c>
      <c r="C87" s="102">
        <f aca="true" t="shared" si="25" ref="C87:I87">C9</f>
        <v>12694621.673466677</v>
      </c>
      <c r="D87" s="102">
        <f t="shared" si="25"/>
        <v>13824053.327652622</v>
      </c>
      <c r="E87" s="102">
        <f t="shared" si="25"/>
        <v>11806790.0011193</v>
      </c>
      <c r="F87" s="102">
        <f t="shared" si="25"/>
        <v>13584551.489999998</v>
      </c>
      <c r="G87" s="102">
        <f t="shared" si="25"/>
        <v>6992380.1000000015</v>
      </c>
      <c r="H87" s="102">
        <f t="shared" si="25"/>
        <v>2327817.65</v>
      </c>
      <c r="I87" s="102">
        <f t="shared" si="25"/>
        <v>657354.12</v>
      </c>
      <c r="J87" s="5"/>
    </row>
    <row r="88" spans="1:10" ht="12.75">
      <c r="A88" s="5"/>
      <c r="B88" s="5" t="s">
        <v>183</v>
      </c>
      <c r="C88" s="140">
        <f aca="true" t="shared" si="26" ref="C88:I88">SUM(C86:C87)</f>
        <v>12694621.673466677</v>
      </c>
      <c r="D88" s="140">
        <f t="shared" si="26"/>
        <v>26010890.13418063</v>
      </c>
      <c r="E88" s="140">
        <f t="shared" si="26"/>
        <v>11806790.0011193</v>
      </c>
      <c r="F88" s="140">
        <f t="shared" si="26"/>
        <v>24919069.891074527</v>
      </c>
      <c r="G88" s="140">
        <f t="shared" si="26"/>
        <v>30461306.459388565</v>
      </c>
      <c r="H88" s="140">
        <f t="shared" si="26"/>
        <v>30631914.79663748</v>
      </c>
      <c r="I88" s="140">
        <f t="shared" si="26"/>
        <v>28931828.438906483</v>
      </c>
      <c r="J88" s="5"/>
    </row>
    <row r="89" spans="1:10" ht="12.75">
      <c r="A89" s="5"/>
      <c r="B89" s="5" t="s">
        <v>184</v>
      </c>
      <c r="C89" s="102">
        <f aca="true" t="shared" si="27" ref="C89:I89">SUM(C87:C87)/2</f>
        <v>6347310.836733338</v>
      </c>
      <c r="D89" s="102">
        <f t="shared" si="27"/>
        <v>6912026.663826311</v>
      </c>
      <c r="E89" s="102">
        <f>SUM(E87:E87)/2</f>
        <v>5903395.00055965</v>
      </c>
      <c r="F89" s="102">
        <f t="shared" si="27"/>
        <v>6792275.744999999</v>
      </c>
      <c r="G89" s="102">
        <f t="shared" si="27"/>
        <v>3496190.0500000007</v>
      </c>
      <c r="H89" s="102">
        <f t="shared" si="27"/>
        <v>1163908.825</v>
      </c>
      <c r="I89" s="102">
        <f t="shared" si="27"/>
        <v>328677.06</v>
      </c>
      <c r="J89" s="5"/>
    </row>
    <row r="90" spans="1:10" ht="12.75">
      <c r="A90" s="5"/>
      <c r="B90" s="5" t="s">
        <v>185</v>
      </c>
      <c r="C90" s="140">
        <f aca="true" t="shared" si="28" ref="C90:I90">C86+C89</f>
        <v>6347310.836733338</v>
      </c>
      <c r="D90" s="140">
        <f t="shared" si="28"/>
        <v>19098863.47035432</v>
      </c>
      <c r="E90" s="140">
        <f>E86+E89</f>
        <v>5903395.00055965</v>
      </c>
      <c r="F90" s="140">
        <f t="shared" si="28"/>
        <v>18126794.146074526</v>
      </c>
      <c r="G90" s="140">
        <f t="shared" si="28"/>
        <v>26965116.409388565</v>
      </c>
      <c r="H90" s="140">
        <f t="shared" si="28"/>
        <v>29468005.97163748</v>
      </c>
      <c r="I90" s="140">
        <f t="shared" si="28"/>
        <v>28603151.37890648</v>
      </c>
      <c r="J90" s="5"/>
    </row>
    <row r="91" spans="1:10" ht="12.75">
      <c r="A91" s="5"/>
      <c r="B91" s="5" t="s">
        <v>222</v>
      </c>
      <c r="C91" s="114">
        <f>'3.  LDC Assumptions and Data'!C68</f>
        <v>47</v>
      </c>
      <c r="D91" s="114">
        <f>'3.  LDC Assumptions and Data'!D68</f>
        <v>47</v>
      </c>
      <c r="E91" s="114">
        <f>'3.  LDC Assumptions and Data'!E68</f>
        <v>47</v>
      </c>
      <c r="F91" s="114">
        <f>'3.  LDC Assumptions and Data'!F68</f>
        <v>47</v>
      </c>
      <c r="G91" s="114">
        <f>'3.  LDC Assumptions and Data'!G68</f>
        <v>47</v>
      </c>
      <c r="H91" s="114">
        <f>'3.  LDC Assumptions and Data'!H68</f>
        <v>47</v>
      </c>
      <c r="I91" s="114">
        <f>'3.  LDC Assumptions and Data'!I68</f>
        <v>47</v>
      </c>
      <c r="J91" s="5"/>
    </row>
    <row r="92" spans="1:10" ht="12.75">
      <c r="A92" s="5"/>
      <c r="B92" s="5" t="s">
        <v>223</v>
      </c>
      <c r="C92" s="115">
        <f>'3.  LDC Assumptions and Data'!C69</f>
        <v>0.08</v>
      </c>
      <c r="D92" s="115">
        <f>'3.  LDC Assumptions and Data'!D69</f>
        <v>0.08</v>
      </c>
      <c r="E92" s="115">
        <f>'3.  LDC Assumptions and Data'!E69</f>
        <v>0.08</v>
      </c>
      <c r="F92" s="115">
        <f>'3.  LDC Assumptions and Data'!F69</f>
        <v>0.08</v>
      </c>
      <c r="G92" s="115">
        <f>'3.  LDC Assumptions and Data'!G69</f>
        <v>0.08</v>
      </c>
      <c r="H92" s="115">
        <f>'3.  LDC Assumptions and Data'!H69</f>
        <v>0.08</v>
      </c>
      <c r="I92" s="115">
        <f>'3.  LDC Assumptions and Data'!I69</f>
        <v>0.08</v>
      </c>
      <c r="J92" s="5"/>
    </row>
    <row r="93" spans="1:10" ht="12.75">
      <c r="A93" s="5"/>
      <c r="B93" s="5" t="s">
        <v>186</v>
      </c>
      <c r="C93" s="140">
        <f aca="true" t="shared" si="29" ref="C93:I93">IF((C90*C92)&lt;C90,(C90*C92),C90)</f>
        <v>507784.8669386671</v>
      </c>
      <c r="D93" s="140">
        <f t="shared" si="29"/>
        <v>1527909.0776283455</v>
      </c>
      <c r="E93" s="140">
        <f>IF((E90*E92)&lt;E90,(E90*E92),E90)</f>
        <v>472271.600044772</v>
      </c>
      <c r="F93" s="140">
        <f t="shared" si="29"/>
        <v>1450143.531685962</v>
      </c>
      <c r="G93" s="140">
        <f t="shared" si="29"/>
        <v>2157209.312751085</v>
      </c>
      <c r="H93" s="140">
        <f t="shared" si="29"/>
        <v>2357440.4777309983</v>
      </c>
      <c r="I93" s="140">
        <f t="shared" si="29"/>
        <v>2288252.1103125187</v>
      </c>
      <c r="J93" s="5"/>
    </row>
    <row r="94" spans="1:10" ht="13.5" thickBot="1">
      <c r="A94" s="5"/>
      <c r="B94" s="5" t="s">
        <v>187</v>
      </c>
      <c r="C94" s="147">
        <f aca="true" t="shared" si="30" ref="C94:I94">IF((C88-C93)&lt;0,0,(C88-C93))</f>
        <v>12186836.80652801</v>
      </c>
      <c r="D94" s="147">
        <f t="shared" si="30"/>
        <v>24482981.056552287</v>
      </c>
      <c r="E94" s="147">
        <f>IF((E88-E93)&lt;0,0,(E88-E93))</f>
        <v>11334518.401074529</v>
      </c>
      <c r="F94" s="147">
        <f t="shared" si="30"/>
        <v>23468926.359388564</v>
      </c>
      <c r="G94" s="147">
        <f t="shared" si="30"/>
        <v>28304097.14663748</v>
      </c>
      <c r="H94" s="147">
        <f t="shared" si="30"/>
        <v>28274474.318906482</v>
      </c>
      <c r="I94" s="147">
        <f t="shared" si="30"/>
        <v>26643576.328593966</v>
      </c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>
      <c r="A96" s="5"/>
      <c r="B96" s="28" t="s">
        <v>188</v>
      </c>
      <c r="C96" s="24">
        <f aca="true" t="shared" si="31" ref="C96:I97">C83</f>
        <v>2006</v>
      </c>
      <c r="D96" s="24">
        <f t="shared" si="31"/>
        <v>2007</v>
      </c>
      <c r="E96" s="82" t="s">
        <v>283</v>
      </c>
      <c r="F96" s="24">
        <f t="shared" si="31"/>
        <v>2008</v>
      </c>
      <c r="G96" s="24">
        <f t="shared" si="31"/>
        <v>2009</v>
      </c>
      <c r="H96" s="24">
        <f t="shared" si="31"/>
        <v>2010</v>
      </c>
      <c r="I96" s="24">
        <f t="shared" si="31"/>
        <v>2011</v>
      </c>
      <c r="J96" s="5"/>
    </row>
    <row r="97" spans="1:10" ht="25.5">
      <c r="A97" s="5"/>
      <c r="B97" s="5"/>
      <c r="C97" s="24" t="str">
        <f t="shared" si="31"/>
        <v>Audited Actual</v>
      </c>
      <c r="D97" s="24" t="str">
        <f t="shared" si="31"/>
        <v>Audited Actual</v>
      </c>
      <c r="E97" s="163" t="s">
        <v>284</v>
      </c>
      <c r="F97" s="24" t="str">
        <f t="shared" si="31"/>
        <v>Audited Actual</v>
      </c>
      <c r="G97" s="24" t="str">
        <f t="shared" si="31"/>
        <v>Audited Actual</v>
      </c>
      <c r="H97" s="24" t="str">
        <f t="shared" si="31"/>
        <v>Forecasted</v>
      </c>
      <c r="I97" s="24" t="str">
        <f t="shared" si="31"/>
        <v>Forecasted</v>
      </c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 t="s">
        <v>181</v>
      </c>
      <c r="C99" s="140">
        <v>0</v>
      </c>
      <c r="D99" s="140">
        <f>C108</f>
        <v>0</v>
      </c>
      <c r="E99" s="140">
        <v>0</v>
      </c>
      <c r="F99" s="140">
        <f>E108</f>
        <v>223496.66225</v>
      </c>
      <c r="G99" s="140">
        <f>F108</f>
        <v>816819.3115125</v>
      </c>
      <c r="H99" s="140">
        <f>G108</f>
        <v>449828.5386806249</v>
      </c>
      <c r="I99" s="140">
        <f>H108</f>
        <v>2779412.7151562814</v>
      </c>
      <c r="J99" s="5"/>
    </row>
    <row r="100" spans="1:10" ht="12.75">
      <c r="A100" s="5"/>
      <c r="B100" s="5" t="s">
        <v>189</v>
      </c>
      <c r="C100" s="102">
        <f aca="true" t="shared" si="32" ref="C100:I100">C24</f>
        <v>0</v>
      </c>
      <c r="D100" s="102">
        <f t="shared" si="32"/>
        <v>53633.69</v>
      </c>
      <c r="E100" s="102">
        <f>E24</f>
        <v>502.6900000000023</v>
      </c>
      <c r="F100" s="102">
        <f t="shared" si="32"/>
        <v>5137.709999999999</v>
      </c>
      <c r="G100" s="102">
        <f t="shared" si="32"/>
        <v>0</v>
      </c>
      <c r="H100" s="102">
        <f t="shared" si="32"/>
        <v>640724.5199999998</v>
      </c>
      <c r="I100" s="102">
        <f t="shared" si="32"/>
        <v>54400</v>
      </c>
      <c r="J100" s="5"/>
    </row>
    <row r="101" spans="1:10" ht="12.75">
      <c r="A101" s="5"/>
      <c r="B101" s="5" t="s">
        <v>190</v>
      </c>
      <c r="C101" s="102">
        <f aca="true" t="shared" si="33" ref="C101:I101">C39</f>
        <v>0</v>
      </c>
      <c r="D101" s="102">
        <f t="shared" si="33"/>
        <v>399624.1</v>
      </c>
      <c r="E101" s="102">
        <f>E39</f>
        <v>287880.1</v>
      </c>
      <c r="F101" s="102">
        <f t="shared" si="33"/>
        <v>982787.55</v>
      </c>
      <c r="G101" s="102">
        <f t="shared" si="33"/>
        <v>113461.86</v>
      </c>
      <c r="H101" s="102">
        <f t="shared" si="33"/>
        <v>2913744.27</v>
      </c>
      <c r="I101" s="102">
        <f t="shared" si="33"/>
        <v>1744061.77</v>
      </c>
      <c r="J101" s="5"/>
    </row>
    <row r="102" spans="1:10" ht="12.75">
      <c r="A102" s="5"/>
      <c r="B102" s="5" t="s">
        <v>183</v>
      </c>
      <c r="C102" s="140">
        <f aca="true" t="shared" si="34" ref="C102:I102">SUM(C99:C101)</f>
        <v>0</v>
      </c>
      <c r="D102" s="140">
        <f t="shared" si="34"/>
        <v>453257.79</v>
      </c>
      <c r="E102" s="140">
        <f>SUM(E99:E101)</f>
        <v>288382.79</v>
      </c>
      <c r="F102" s="140">
        <f t="shared" si="34"/>
        <v>1211421.92225</v>
      </c>
      <c r="G102" s="140">
        <f t="shared" si="34"/>
        <v>930281.1715125</v>
      </c>
      <c r="H102" s="140">
        <f t="shared" si="34"/>
        <v>4004297.3286806247</v>
      </c>
      <c r="I102" s="140">
        <f t="shared" si="34"/>
        <v>4577874.485156281</v>
      </c>
      <c r="J102" s="5"/>
    </row>
    <row r="103" spans="1:10" ht="12.75">
      <c r="A103" s="5"/>
      <c r="B103" s="5" t="s">
        <v>184</v>
      </c>
      <c r="C103" s="102">
        <f aca="true" t="shared" si="35" ref="C103:I103">SUM(C100:C101)/2</f>
        <v>0</v>
      </c>
      <c r="D103" s="102">
        <f t="shared" si="35"/>
        <v>226628.895</v>
      </c>
      <c r="E103" s="102">
        <f>SUM(E100:E101)/2</f>
        <v>144191.395</v>
      </c>
      <c r="F103" s="102">
        <f t="shared" si="35"/>
        <v>493962.63</v>
      </c>
      <c r="G103" s="102">
        <f t="shared" si="35"/>
        <v>56730.93</v>
      </c>
      <c r="H103" s="102">
        <f t="shared" si="35"/>
        <v>1777234.395</v>
      </c>
      <c r="I103" s="102">
        <f t="shared" si="35"/>
        <v>899230.885</v>
      </c>
      <c r="J103" s="5"/>
    </row>
    <row r="104" spans="1:10" ht="12.75">
      <c r="A104" s="5"/>
      <c r="B104" s="5" t="s">
        <v>185</v>
      </c>
      <c r="C104" s="140">
        <f aca="true" t="shared" si="36" ref="C104:I104">C99+C103</f>
        <v>0</v>
      </c>
      <c r="D104" s="140">
        <f t="shared" si="36"/>
        <v>226628.895</v>
      </c>
      <c r="E104" s="140">
        <f>E99+E103</f>
        <v>144191.395</v>
      </c>
      <c r="F104" s="140">
        <f t="shared" si="36"/>
        <v>717459.2922499999</v>
      </c>
      <c r="G104" s="140">
        <f t="shared" si="36"/>
        <v>873550.2415125001</v>
      </c>
      <c r="H104" s="140">
        <f t="shared" si="36"/>
        <v>2227062.9336806247</v>
      </c>
      <c r="I104" s="140">
        <f t="shared" si="36"/>
        <v>3678643.600156281</v>
      </c>
      <c r="J104" s="5"/>
    </row>
    <row r="105" spans="1:10" ht="12.75">
      <c r="A105" s="5"/>
      <c r="B105" s="5" t="s">
        <v>222</v>
      </c>
      <c r="C105" s="114">
        <f>'3.  LDC Assumptions and Data'!C71</f>
        <v>45</v>
      </c>
      <c r="D105" s="114">
        <f>'3.  LDC Assumptions and Data'!D71</f>
        <v>45</v>
      </c>
      <c r="E105" s="114">
        <f>'3.  LDC Assumptions and Data'!E71</f>
        <v>45</v>
      </c>
      <c r="F105" s="114">
        <f>'3.  LDC Assumptions and Data'!F71</f>
        <v>50</v>
      </c>
      <c r="G105" s="114">
        <f>'3.  LDC Assumptions and Data'!G71</f>
        <v>50</v>
      </c>
      <c r="H105" s="114">
        <f>'3.  LDC Assumptions and Data'!H71</f>
        <v>50</v>
      </c>
      <c r="I105" s="114">
        <f>'3.  LDC Assumptions and Data'!I71</f>
        <v>50</v>
      </c>
      <c r="J105" s="5"/>
    </row>
    <row r="106" spans="1:10" ht="12.75">
      <c r="A106" s="5"/>
      <c r="B106" s="5" t="s">
        <v>223</v>
      </c>
      <c r="C106" s="115">
        <f>'3.  LDC Assumptions and Data'!C72</f>
        <v>0.45</v>
      </c>
      <c r="D106" s="115">
        <f>'3.  LDC Assumptions and Data'!D72</f>
        <v>0.45</v>
      </c>
      <c r="E106" s="115">
        <f>'3.  LDC Assumptions and Data'!E72</f>
        <v>0.45</v>
      </c>
      <c r="F106" s="115">
        <f>'3.  LDC Assumptions and Data'!F72</f>
        <v>0.55</v>
      </c>
      <c r="G106" s="115">
        <f>'3.  LDC Assumptions and Data'!G72</f>
        <v>0.55</v>
      </c>
      <c r="H106" s="115">
        <f>'3.  LDC Assumptions and Data'!H72</f>
        <v>0.55</v>
      </c>
      <c r="I106" s="115">
        <f>'3.  LDC Assumptions and Data'!I72</f>
        <v>0.55</v>
      </c>
      <c r="J106" s="5"/>
    </row>
    <row r="107" spans="1:10" ht="12.75">
      <c r="A107" s="5"/>
      <c r="B107" s="5" t="s">
        <v>186</v>
      </c>
      <c r="C107" s="140">
        <f aca="true" t="shared" si="37" ref="C107:I107">IF((C104*C106)&lt;C104,(C104*C106),C104)</f>
        <v>0</v>
      </c>
      <c r="D107" s="140">
        <f t="shared" si="37"/>
        <v>101983.00275</v>
      </c>
      <c r="E107" s="140">
        <f>IF((E104*E106)&lt;E104,(E104*E106),E104)</f>
        <v>64886.12775</v>
      </c>
      <c r="F107" s="140">
        <f t="shared" si="37"/>
        <v>394602.6107375</v>
      </c>
      <c r="G107" s="140">
        <f t="shared" si="37"/>
        <v>480452.6328318751</v>
      </c>
      <c r="H107" s="140">
        <f t="shared" si="37"/>
        <v>1224884.6135243436</v>
      </c>
      <c r="I107" s="140">
        <f t="shared" si="37"/>
        <v>2023253.9800859548</v>
      </c>
      <c r="J107" s="5"/>
    </row>
    <row r="108" spans="1:10" ht="13.5" thickBot="1">
      <c r="A108" s="5"/>
      <c r="B108" s="5" t="s">
        <v>187</v>
      </c>
      <c r="C108" s="147">
        <f aca="true" t="shared" si="38" ref="C108:I108">IF((C102-C107)&lt;0,0,(C102-C107))</f>
        <v>0</v>
      </c>
      <c r="D108" s="147">
        <f t="shared" si="38"/>
        <v>351274.78725</v>
      </c>
      <c r="E108" s="147">
        <f>IF((E102-E107)&lt;0,0,(E102-E107))</f>
        <v>223496.66225</v>
      </c>
      <c r="F108" s="147">
        <f t="shared" si="38"/>
        <v>816819.3115125</v>
      </c>
      <c r="G108" s="147">
        <f t="shared" si="38"/>
        <v>449828.5386806249</v>
      </c>
      <c r="H108" s="147">
        <f t="shared" si="38"/>
        <v>2779412.7151562814</v>
      </c>
      <c r="I108" s="147">
        <f t="shared" si="38"/>
        <v>2554620.505070326</v>
      </c>
      <c r="J108" s="5"/>
    </row>
    <row r="110" spans="1:10" ht="18">
      <c r="A110" s="5"/>
      <c r="B110" s="28" t="s">
        <v>191</v>
      </c>
      <c r="C110" s="24">
        <f aca="true" t="shared" si="39" ref="C110:I111">C96</f>
        <v>2006</v>
      </c>
      <c r="D110" s="24">
        <f t="shared" si="39"/>
        <v>2007</v>
      </c>
      <c r="E110" s="82" t="s">
        <v>283</v>
      </c>
      <c r="F110" s="24">
        <f t="shared" si="39"/>
        <v>2008</v>
      </c>
      <c r="G110" s="24">
        <f t="shared" si="39"/>
        <v>2009</v>
      </c>
      <c r="H110" s="24">
        <f t="shared" si="39"/>
        <v>2010</v>
      </c>
      <c r="I110" s="24">
        <f t="shared" si="39"/>
        <v>2011</v>
      </c>
      <c r="J110" s="5"/>
    </row>
    <row r="111" spans="1:10" ht="25.5">
      <c r="A111" s="5"/>
      <c r="B111" s="5"/>
      <c r="C111" s="24" t="str">
        <f t="shared" si="39"/>
        <v>Audited Actual</v>
      </c>
      <c r="D111" s="24" t="str">
        <f t="shared" si="39"/>
        <v>Audited Actual</v>
      </c>
      <c r="E111" s="163" t="s">
        <v>284</v>
      </c>
      <c r="F111" s="24" t="str">
        <f t="shared" si="39"/>
        <v>Audited Actual</v>
      </c>
      <c r="G111" s="24" t="str">
        <f t="shared" si="39"/>
        <v>Audited Actual</v>
      </c>
      <c r="H111" s="24" t="str">
        <f t="shared" si="39"/>
        <v>Forecasted</v>
      </c>
      <c r="I111" s="24" t="str">
        <f t="shared" si="39"/>
        <v>Forecasted</v>
      </c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 t="s">
        <v>181</v>
      </c>
      <c r="C113" s="140">
        <v>0</v>
      </c>
      <c r="D113" s="140">
        <f>C122</f>
        <v>754737.7225815001</v>
      </c>
      <c r="E113" s="140">
        <v>0</v>
      </c>
      <c r="F113" s="140">
        <f>E122</f>
        <v>0.4225815000361763</v>
      </c>
      <c r="G113" s="140">
        <f>F122</f>
        <v>0.338065200028941</v>
      </c>
      <c r="H113" s="140">
        <f>G122</f>
        <v>0.2704521600231528</v>
      </c>
      <c r="I113" s="140">
        <f>H122</f>
        <v>0.21636172801852224</v>
      </c>
      <c r="J113" s="5"/>
    </row>
    <row r="114" spans="1:10" ht="12.75">
      <c r="A114" s="5"/>
      <c r="B114" s="5" t="s">
        <v>192</v>
      </c>
      <c r="C114" s="102">
        <f aca="true" t="shared" si="40" ref="C114:I114">C54</f>
        <v>838597.469535</v>
      </c>
      <c r="D114" s="102">
        <f t="shared" si="40"/>
        <v>9112</v>
      </c>
      <c r="E114" s="102">
        <f>E54</f>
        <v>0.4695350000401959</v>
      </c>
      <c r="F114" s="102">
        <f t="shared" si="40"/>
        <v>0</v>
      </c>
      <c r="G114" s="102">
        <f t="shared" si="40"/>
        <v>0</v>
      </c>
      <c r="H114" s="102">
        <f t="shared" si="40"/>
        <v>0</v>
      </c>
      <c r="I114" s="102">
        <f t="shared" si="40"/>
        <v>0</v>
      </c>
      <c r="J114" s="5"/>
    </row>
    <row r="115" spans="1:10" ht="12.75">
      <c r="A115" s="5"/>
      <c r="B115" s="5" t="s">
        <v>193</v>
      </c>
      <c r="C115" s="102">
        <f aca="true" t="shared" si="41" ref="C115:I115">C69</f>
        <v>0</v>
      </c>
      <c r="D115" s="102">
        <f t="shared" si="41"/>
        <v>0</v>
      </c>
      <c r="E115" s="102">
        <f>E69</f>
        <v>0</v>
      </c>
      <c r="F115" s="102">
        <f t="shared" si="41"/>
        <v>0</v>
      </c>
      <c r="G115" s="102">
        <f t="shared" si="41"/>
        <v>0</v>
      </c>
      <c r="H115" s="102">
        <f t="shared" si="41"/>
        <v>0</v>
      </c>
      <c r="I115" s="102">
        <f t="shared" si="41"/>
        <v>0</v>
      </c>
      <c r="J115" s="5"/>
    </row>
    <row r="116" spans="1:10" ht="12.75">
      <c r="A116" s="5"/>
      <c r="B116" s="5" t="s">
        <v>183</v>
      </c>
      <c r="C116" s="140">
        <f aca="true" t="shared" si="42" ref="C116:I116">SUM(C113:C115)</f>
        <v>838597.469535</v>
      </c>
      <c r="D116" s="140">
        <f t="shared" si="42"/>
        <v>763849.7225815001</v>
      </c>
      <c r="E116" s="140">
        <f>SUM(E113:E115)</f>
        <v>0.4695350000401959</v>
      </c>
      <c r="F116" s="140">
        <f t="shared" si="42"/>
        <v>0.4225815000361763</v>
      </c>
      <c r="G116" s="140">
        <f t="shared" si="42"/>
        <v>0.338065200028941</v>
      </c>
      <c r="H116" s="140">
        <f t="shared" si="42"/>
        <v>0.2704521600231528</v>
      </c>
      <c r="I116" s="140">
        <f t="shared" si="42"/>
        <v>0.21636172801852224</v>
      </c>
      <c r="J116" s="5"/>
    </row>
    <row r="117" spans="1:10" ht="12.75">
      <c r="A117" s="5"/>
      <c r="B117" s="5" t="s">
        <v>184</v>
      </c>
      <c r="C117" s="102">
        <f aca="true" t="shared" si="43" ref="C117:I117">SUM(C114:C115)/2</f>
        <v>419298.7347675</v>
      </c>
      <c r="D117" s="102">
        <f t="shared" si="43"/>
        <v>4556</v>
      </c>
      <c r="E117" s="102">
        <f>SUM(E114:E115)/2</f>
        <v>0.23476750002009794</v>
      </c>
      <c r="F117" s="102">
        <f t="shared" si="43"/>
        <v>0</v>
      </c>
      <c r="G117" s="102">
        <f t="shared" si="43"/>
        <v>0</v>
      </c>
      <c r="H117" s="102">
        <f t="shared" si="43"/>
        <v>0</v>
      </c>
      <c r="I117" s="102">
        <f t="shared" si="43"/>
        <v>0</v>
      </c>
      <c r="J117" s="5"/>
    </row>
    <row r="118" spans="1:10" ht="12.75">
      <c r="A118" s="5"/>
      <c r="B118" s="5" t="s">
        <v>185</v>
      </c>
      <c r="C118" s="140">
        <f aca="true" t="shared" si="44" ref="C118:I118">C113+C117</f>
        <v>419298.7347675</v>
      </c>
      <c r="D118" s="140">
        <f t="shared" si="44"/>
        <v>759293.7225815001</v>
      </c>
      <c r="E118" s="140">
        <f>E113+E117</f>
        <v>0.23476750002009794</v>
      </c>
      <c r="F118" s="140">
        <f t="shared" si="44"/>
        <v>0.4225815000361763</v>
      </c>
      <c r="G118" s="140">
        <f t="shared" si="44"/>
        <v>0.338065200028941</v>
      </c>
      <c r="H118" s="140">
        <f t="shared" si="44"/>
        <v>0.2704521600231528</v>
      </c>
      <c r="I118" s="140">
        <f t="shared" si="44"/>
        <v>0.21636172801852224</v>
      </c>
      <c r="J118" s="5"/>
    </row>
    <row r="119" spans="1:10" ht="12.75">
      <c r="A119" s="5"/>
      <c r="B119" s="5" t="s">
        <v>222</v>
      </c>
      <c r="C119" s="114">
        <f>'3.  LDC Assumptions and Data'!C74</f>
        <v>8</v>
      </c>
      <c r="D119" s="114">
        <f>'3.  LDC Assumptions and Data'!D74</f>
        <v>8</v>
      </c>
      <c r="E119" s="114">
        <f>'3.  LDC Assumptions and Data'!E74</f>
        <v>8</v>
      </c>
      <c r="F119" s="114">
        <f>'3.  LDC Assumptions and Data'!F74</f>
        <v>8</v>
      </c>
      <c r="G119" s="114">
        <f>'3.  LDC Assumptions and Data'!G74</f>
        <v>8</v>
      </c>
      <c r="H119" s="114">
        <f>'3.  LDC Assumptions and Data'!H74</f>
        <v>8</v>
      </c>
      <c r="I119" s="114">
        <f>'3.  LDC Assumptions and Data'!I74</f>
        <v>8</v>
      </c>
      <c r="J119" s="5"/>
    </row>
    <row r="120" spans="1:10" ht="12.75">
      <c r="A120" s="5"/>
      <c r="B120" s="5" t="s">
        <v>223</v>
      </c>
      <c r="C120" s="115">
        <f>'3.  LDC Assumptions and Data'!C75</f>
        <v>0.2</v>
      </c>
      <c r="D120" s="115">
        <f>'3.  LDC Assumptions and Data'!D75</f>
        <v>0.2</v>
      </c>
      <c r="E120" s="115">
        <f>'3.  LDC Assumptions and Data'!E75</f>
        <v>0.2</v>
      </c>
      <c r="F120" s="115">
        <f>'3.  LDC Assumptions and Data'!F75</f>
        <v>0.2</v>
      </c>
      <c r="G120" s="115">
        <f>'3.  LDC Assumptions and Data'!G75</f>
        <v>0.2</v>
      </c>
      <c r="H120" s="115">
        <f>'3.  LDC Assumptions and Data'!H75</f>
        <v>0.2</v>
      </c>
      <c r="I120" s="115">
        <f>'3.  LDC Assumptions and Data'!I75</f>
        <v>0.2</v>
      </c>
      <c r="J120" s="5"/>
    </row>
    <row r="121" spans="1:10" ht="12.75">
      <c r="A121" s="5"/>
      <c r="B121" s="5" t="s">
        <v>186</v>
      </c>
      <c r="C121" s="140">
        <f aca="true" t="shared" si="45" ref="C121:I121">IF((C118*C120)&lt;C118,(C118*C120),C118)</f>
        <v>83859.74695350001</v>
      </c>
      <c r="D121" s="140">
        <f t="shared" si="45"/>
        <v>151858.7445163</v>
      </c>
      <c r="E121" s="140">
        <f>IF((E118*E120)&lt;E118,(E118*E120),E118)</f>
        <v>0.04695350000401959</v>
      </c>
      <c r="F121" s="140">
        <f t="shared" si="45"/>
        <v>0.08451630000723526</v>
      </c>
      <c r="G121" s="140">
        <f t="shared" si="45"/>
        <v>0.0676130400057882</v>
      </c>
      <c r="H121" s="140">
        <f t="shared" si="45"/>
        <v>0.05409043200463057</v>
      </c>
      <c r="I121" s="140">
        <f t="shared" si="45"/>
        <v>0.04327234560370445</v>
      </c>
      <c r="J121" s="5"/>
    </row>
    <row r="122" spans="1:10" ht="13.5" thickBot="1">
      <c r="A122" s="5"/>
      <c r="B122" s="5" t="s">
        <v>187</v>
      </c>
      <c r="C122" s="147">
        <f aca="true" t="shared" si="46" ref="C122:I122">IF((C116-C121)&lt;0,0,(C116-C121))</f>
        <v>754737.7225815001</v>
      </c>
      <c r="D122" s="147">
        <f t="shared" si="46"/>
        <v>611990.9780652</v>
      </c>
      <c r="E122" s="147">
        <f>IF((E116-E121)&lt;0,0,(E116-E121))</f>
        <v>0.4225815000361763</v>
      </c>
      <c r="F122" s="147">
        <f t="shared" si="46"/>
        <v>0.338065200028941</v>
      </c>
      <c r="G122" s="147">
        <f t="shared" si="46"/>
        <v>0.2704521600231528</v>
      </c>
      <c r="H122" s="147">
        <f t="shared" si="46"/>
        <v>0.21636172801852224</v>
      </c>
      <c r="I122" s="147">
        <f t="shared" si="46"/>
        <v>0.1730893824148178</v>
      </c>
      <c r="J122" s="5"/>
    </row>
    <row r="126" ht="15">
      <c r="B126" s="25"/>
    </row>
    <row r="127" ht="15">
      <c r="B127" s="25"/>
    </row>
  </sheetData>
  <sheetProtection formatColumns="0" selectLockedCells="1"/>
  <mergeCells count="1">
    <mergeCell ref="B1:F1"/>
  </mergeCells>
  <printOptions/>
  <pageMargins left="0.5118110236220472" right="0.4330708661417323" top="0.5511811023622047" bottom="0.5511811023622047" header="0.5118110236220472" footer="0.5118110236220472"/>
  <pageSetup fitToHeight="2" fitToWidth="1" horizontalDpi="600" verticalDpi="600" orientation="landscape" scale="56" r:id="rId1"/>
  <headerFooter alignWithMargins="0">
    <oddHeader>&amp;RHydro Ottawa Limited
EB-2010-0326
Attachment F
Filed: 2010-11-30
Page &amp;P of &amp;N</oddHeader>
  </headerFooter>
  <rowBreaks count="1" manualBreakCount="1">
    <brk id="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23.8515625" style="132" customWidth="1"/>
    <col min="2" max="2" width="16.7109375" style="133" customWidth="1"/>
    <col min="3" max="3" width="15.57421875" style="133" bestFit="1" customWidth="1"/>
    <col min="4" max="4" width="11.421875" style="133" customWidth="1"/>
    <col min="5" max="5" width="12.7109375" style="133" customWidth="1"/>
    <col min="6" max="6" width="16.28125" style="133" customWidth="1"/>
    <col min="7" max="9" width="11.421875" style="133" customWidth="1"/>
    <col min="10" max="10" width="25.7109375" style="132" customWidth="1"/>
    <col min="11" max="11" width="22.7109375" style="132" customWidth="1"/>
    <col min="12" max="16384" width="11.421875" style="133" customWidth="1"/>
  </cols>
  <sheetData>
    <row r="1" spans="2:11" ht="48">
      <c r="B1" s="26" t="s">
        <v>258</v>
      </c>
      <c r="C1" s="26"/>
      <c r="D1" s="26"/>
      <c r="E1" s="26"/>
      <c r="F1" s="26"/>
      <c r="G1" s="26"/>
      <c r="I1" s="120"/>
      <c r="J1" s="121" t="s">
        <v>230</v>
      </c>
      <c r="K1" s="121" t="s">
        <v>232</v>
      </c>
    </row>
    <row r="2" spans="9:11" ht="94.5">
      <c r="I2" s="120"/>
      <c r="J2" s="121" t="s">
        <v>231</v>
      </c>
      <c r="K2" s="121" t="s">
        <v>233</v>
      </c>
    </row>
    <row r="3" spans="1:11" ht="15.75">
      <c r="A3" s="134" t="s">
        <v>272</v>
      </c>
      <c r="B3" s="134" t="s">
        <v>124</v>
      </c>
      <c r="C3" s="134" t="s">
        <v>229</v>
      </c>
      <c r="D3" s="134" t="s">
        <v>125</v>
      </c>
      <c r="E3" s="134" t="s">
        <v>126</v>
      </c>
      <c r="F3" s="134" t="s">
        <v>127</v>
      </c>
      <c r="I3" s="120" t="s">
        <v>245</v>
      </c>
      <c r="J3" s="122">
        <v>4.14</v>
      </c>
      <c r="K3" s="122">
        <v>4.68</v>
      </c>
    </row>
    <row r="4" spans="1:11" ht="15.75">
      <c r="A4" s="135">
        <v>38718</v>
      </c>
      <c r="B4" s="118">
        <v>0</v>
      </c>
      <c r="C4" s="117">
        <v>0</v>
      </c>
      <c r="D4" s="136">
        <f>'3.  LDC Assumptions and Data'!$C$19</f>
        <v>0.0525</v>
      </c>
      <c r="E4" s="118">
        <f aca="true" t="shared" si="0" ref="E4:E27">(B4*D4)/12</f>
        <v>0</v>
      </c>
      <c r="F4" s="118">
        <f>SUM(B4:C4,E4)</f>
        <v>0</v>
      </c>
      <c r="I4" s="120" t="s">
        <v>244</v>
      </c>
      <c r="J4" s="122">
        <v>4.59</v>
      </c>
      <c r="K4" s="122">
        <v>5.05</v>
      </c>
    </row>
    <row r="5" spans="1:11" ht="15.75">
      <c r="A5" s="135">
        <v>38749</v>
      </c>
      <c r="B5" s="119">
        <f aca="true" t="shared" si="1" ref="B5:B28">F4</f>
        <v>0</v>
      </c>
      <c r="C5" s="117">
        <v>0</v>
      </c>
      <c r="D5" s="136">
        <f>'3.  LDC Assumptions and Data'!$C$19</f>
        <v>0.0525</v>
      </c>
      <c r="E5" s="118">
        <f t="shared" si="0"/>
        <v>0</v>
      </c>
      <c r="F5" s="118">
        <f aca="true" t="shared" si="2" ref="F5:F27">SUM(B5:C5,E5)</f>
        <v>0</v>
      </c>
      <c r="I5" s="120" t="s">
        <v>243</v>
      </c>
      <c r="J5" s="122">
        <v>4.59</v>
      </c>
      <c r="K5" s="122">
        <v>4.72</v>
      </c>
    </row>
    <row r="6" spans="1:11" ht="15.75">
      <c r="A6" s="135">
        <v>38777</v>
      </c>
      <c r="B6" s="119">
        <f t="shared" si="1"/>
        <v>0</v>
      </c>
      <c r="C6" s="117">
        <v>0</v>
      </c>
      <c r="D6" s="136">
        <f>'3.  LDC Assumptions and Data'!$C$19</f>
        <v>0.0525</v>
      </c>
      <c r="E6" s="118">
        <f t="shared" si="0"/>
        <v>0</v>
      </c>
      <c r="F6" s="118">
        <f t="shared" si="2"/>
        <v>0</v>
      </c>
      <c r="I6" s="120" t="s">
        <v>242</v>
      </c>
      <c r="J6" s="122">
        <v>4.59</v>
      </c>
      <c r="K6" s="122">
        <v>4.72</v>
      </c>
    </row>
    <row r="7" spans="1:11" ht="15.75">
      <c r="A7" s="135">
        <v>38808</v>
      </c>
      <c r="B7" s="119">
        <f t="shared" si="1"/>
        <v>0</v>
      </c>
      <c r="C7" s="117">
        <v>0</v>
      </c>
      <c r="D7" s="137">
        <v>0.0414</v>
      </c>
      <c r="E7" s="118">
        <f t="shared" si="0"/>
        <v>0</v>
      </c>
      <c r="F7" s="118">
        <f>SUM(B7:C7,E7)</f>
        <v>0</v>
      </c>
      <c r="I7" s="120" t="s">
        <v>241</v>
      </c>
      <c r="J7" s="122">
        <v>4.59</v>
      </c>
      <c r="K7" s="122">
        <v>4.72</v>
      </c>
    </row>
    <row r="8" spans="1:11" ht="15.75">
      <c r="A8" s="135">
        <v>38838</v>
      </c>
      <c r="B8" s="119">
        <f>F7</f>
        <v>0</v>
      </c>
      <c r="C8" s="117">
        <v>125861.47999999998</v>
      </c>
      <c r="D8" s="137">
        <v>0.0414</v>
      </c>
      <c r="E8" s="118">
        <f>(B8*D8)/12</f>
        <v>0</v>
      </c>
      <c r="F8" s="118">
        <f t="shared" si="2"/>
        <v>125861.47999999998</v>
      </c>
      <c r="I8" s="120" t="s">
        <v>240</v>
      </c>
      <c r="J8" s="122">
        <v>4.59</v>
      </c>
      <c r="K8" s="122">
        <v>5.18</v>
      </c>
    </row>
    <row r="9" spans="1:11" ht="15.75">
      <c r="A9" s="135">
        <v>38869</v>
      </c>
      <c r="B9" s="119">
        <f t="shared" si="1"/>
        <v>125861.47999999998</v>
      </c>
      <c r="C9" s="117">
        <v>126013.8</v>
      </c>
      <c r="D9" s="137">
        <v>0.0414</v>
      </c>
      <c r="E9" s="118">
        <f t="shared" si="0"/>
        <v>434.22210599999994</v>
      </c>
      <c r="F9" s="118">
        <f t="shared" si="2"/>
        <v>252309.50210599997</v>
      </c>
      <c r="I9" s="120" t="s">
        <v>239</v>
      </c>
      <c r="J9" s="122">
        <v>5.14</v>
      </c>
      <c r="K9" s="122">
        <v>5.18</v>
      </c>
    </row>
    <row r="10" spans="1:11" ht="15.75">
      <c r="A10" s="135">
        <v>38899</v>
      </c>
      <c r="B10" s="119">
        <f>F9</f>
        <v>252309.50210599997</v>
      </c>
      <c r="C10" s="117">
        <v>126117.15999999999</v>
      </c>
      <c r="D10" s="137">
        <v>0.0459</v>
      </c>
      <c r="E10" s="118">
        <f t="shared" si="0"/>
        <v>965.0838455554499</v>
      </c>
      <c r="F10" s="118">
        <f t="shared" si="2"/>
        <v>379391.7459515554</v>
      </c>
      <c r="I10" s="120" t="s">
        <v>238</v>
      </c>
      <c r="J10" s="122">
        <v>5.14</v>
      </c>
      <c r="K10" s="122">
        <v>5.18</v>
      </c>
    </row>
    <row r="11" spans="1:11" ht="15.75">
      <c r="A11" s="135">
        <v>38930</v>
      </c>
      <c r="B11" s="119">
        <f t="shared" si="1"/>
        <v>379391.7459515554</v>
      </c>
      <c r="C11" s="117">
        <v>126219.56</v>
      </c>
      <c r="D11" s="137">
        <v>0.0459</v>
      </c>
      <c r="E11" s="118">
        <f t="shared" si="0"/>
        <v>1451.1734282646994</v>
      </c>
      <c r="F11" s="118">
        <f t="shared" si="2"/>
        <v>507062.47937982006</v>
      </c>
      <c r="I11" s="120" t="s">
        <v>237</v>
      </c>
      <c r="J11" s="122">
        <v>4.08</v>
      </c>
      <c r="K11" s="122">
        <v>5.18</v>
      </c>
    </row>
    <row r="12" spans="1:11" ht="15.75">
      <c r="A12" s="135">
        <v>38961</v>
      </c>
      <c r="B12" s="119">
        <f t="shared" si="1"/>
        <v>507062.47937982006</v>
      </c>
      <c r="C12" s="117">
        <v>126371.37</v>
      </c>
      <c r="D12" s="137">
        <v>0.0459</v>
      </c>
      <c r="E12" s="118">
        <f t="shared" si="0"/>
        <v>1939.513983627812</v>
      </c>
      <c r="F12" s="118">
        <f t="shared" si="2"/>
        <v>635373.3633634478</v>
      </c>
      <c r="I12" s="120" t="s">
        <v>236</v>
      </c>
      <c r="J12" s="122">
        <v>3.35</v>
      </c>
      <c r="K12" s="122">
        <v>5.43</v>
      </c>
    </row>
    <row r="13" spans="1:11" ht="15.75">
      <c r="A13" s="135">
        <v>38991</v>
      </c>
      <c r="B13" s="119">
        <f t="shared" si="1"/>
        <v>635373.3633634478</v>
      </c>
      <c r="C13" s="117">
        <v>126605.37</v>
      </c>
      <c r="D13" s="137">
        <v>0.0459</v>
      </c>
      <c r="E13" s="118">
        <f t="shared" si="0"/>
        <v>2430.303114865188</v>
      </c>
      <c r="F13" s="118">
        <f t="shared" si="2"/>
        <v>764409.036478313</v>
      </c>
      <c r="I13" s="120" t="s">
        <v>235</v>
      </c>
      <c r="J13" s="122">
        <v>3.35</v>
      </c>
      <c r="K13" s="122">
        <v>5.43</v>
      </c>
    </row>
    <row r="14" spans="1:11" ht="15.75">
      <c r="A14" s="135">
        <v>39022</v>
      </c>
      <c r="B14" s="119">
        <f t="shared" si="1"/>
        <v>764409.036478313</v>
      </c>
      <c r="C14" s="117">
        <v>126809.29</v>
      </c>
      <c r="D14" s="137">
        <v>0.0459</v>
      </c>
      <c r="E14" s="118">
        <f t="shared" si="0"/>
        <v>2923.8645645295474</v>
      </c>
      <c r="F14" s="118">
        <f t="shared" si="2"/>
        <v>894142.1910428426</v>
      </c>
      <c r="I14" s="120" t="s">
        <v>251</v>
      </c>
      <c r="J14" s="125">
        <v>2.45</v>
      </c>
      <c r="K14" s="125">
        <v>6.61</v>
      </c>
    </row>
    <row r="15" spans="1:11" ht="15.75">
      <c r="A15" s="135">
        <v>39052</v>
      </c>
      <c r="B15" s="119">
        <f t="shared" si="1"/>
        <v>894142.1910428426</v>
      </c>
      <c r="C15" s="117">
        <v>126869.12999999999</v>
      </c>
      <c r="D15" s="137">
        <v>0.0459</v>
      </c>
      <c r="E15" s="118">
        <f t="shared" si="0"/>
        <v>3420.0938807388734</v>
      </c>
      <c r="F15" s="118">
        <f t="shared" si="2"/>
        <v>1024431.4149235814</v>
      </c>
      <c r="I15" s="120" t="s">
        <v>252</v>
      </c>
      <c r="J15" s="125">
        <v>1</v>
      </c>
      <c r="K15" s="125">
        <v>6.61</v>
      </c>
    </row>
    <row r="16" spans="1:11" ht="15.75">
      <c r="A16" s="135">
        <v>39083</v>
      </c>
      <c r="B16" s="119">
        <f t="shared" si="1"/>
        <v>1024431.4149235814</v>
      </c>
      <c r="C16" s="117">
        <v>126497.53</v>
      </c>
      <c r="D16" s="137">
        <v>0.0459</v>
      </c>
      <c r="E16" s="118">
        <f t="shared" si="0"/>
        <v>3918.450162082699</v>
      </c>
      <c r="F16" s="118">
        <f t="shared" si="2"/>
        <v>1154847.395085664</v>
      </c>
      <c r="I16" s="120" t="s">
        <v>253</v>
      </c>
      <c r="J16" s="125">
        <v>0.55</v>
      </c>
      <c r="K16" s="125">
        <v>5.67</v>
      </c>
    </row>
    <row r="17" spans="1:11" ht="15.75">
      <c r="A17" s="135">
        <v>39114</v>
      </c>
      <c r="B17" s="119">
        <f t="shared" si="1"/>
        <v>1154847.395085664</v>
      </c>
      <c r="C17" s="117">
        <v>127349.04</v>
      </c>
      <c r="D17" s="137">
        <v>0.0459</v>
      </c>
      <c r="E17" s="118">
        <f t="shared" si="0"/>
        <v>4417.291286202665</v>
      </c>
      <c r="F17" s="118">
        <f t="shared" si="2"/>
        <v>1286613.7263718667</v>
      </c>
      <c r="I17" s="120" t="s">
        <v>255</v>
      </c>
      <c r="J17" s="125">
        <v>0.55</v>
      </c>
      <c r="K17" s="125">
        <v>4.66</v>
      </c>
    </row>
    <row r="18" spans="1:11" ht="15.75">
      <c r="A18" s="135">
        <v>39142</v>
      </c>
      <c r="B18" s="119">
        <f t="shared" si="1"/>
        <v>1286613.7263718667</v>
      </c>
      <c r="C18" s="166">
        <v>127432.91</v>
      </c>
      <c r="D18" s="137">
        <v>0.0459</v>
      </c>
      <c r="E18" s="118">
        <f t="shared" si="0"/>
        <v>4921.297503372391</v>
      </c>
      <c r="F18" s="118">
        <f t="shared" si="2"/>
        <v>1418967.933875239</v>
      </c>
      <c r="I18" s="120" t="s">
        <v>256</v>
      </c>
      <c r="J18" s="125">
        <v>0.55</v>
      </c>
      <c r="K18" s="125">
        <v>4.34</v>
      </c>
    </row>
    <row r="19" spans="1:11" ht="15.75">
      <c r="A19" s="135">
        <v>39173</v>
      </c>
      <c r="B19" s="119">
        <f t="shared" si="1"/>
        <v>1418967.933875239</v>
      </c>
      <c r="C19" s="117">
        <v>127512.48</v>
      </c>
      <c r="D19" s="137">
        <v>0.0459</v>
      </c>
      <c r="E19" s="118">
        <f t="shared" si="0"/>
        <v>5427.552347072789</v>
      </c>
      <c r="F19" s="118">
        <f t="shared" si="2"/>
        <v>1551907.9662223118</v>
      </c>
      <c r="I19" s="120" t="s">
        <v>257</v>
      </c>
      <c r="J19" s="125">
        <v>0.55</v>
      </c>
      <c r="K19" s="125">
        <v>4.34</v>
      </c>
    </row>
    <row r="20" spans="1:11" ht="15.75">
      <c r="A20" s="135">
        <v>39203</v>
      </c>
      <c r="B20" s="119">
        <f t="shared" si="1"/>
        <v>1551907.9662223118</v>
      </c>
      <c r="C20" s="117">
        <v>494372.28</v>
      </c>
      <c r="D20" s="137">
        <v>0.0459</v>
      </c>
      <c r="E20" s="118">
        <f t="shared" si="0"/>
        <v>5936.047970800343</v>
      </c>
      <c r="F20" s="118">
        <f t="shared" si="2"/>
        <v>2052216.2941931123</v>
      </c>
      <c r="I20" s="120" t="s">
        <v>254</v>
      </c>
      <c r="J20" s="125">
        <v>0.89</v>
      </c>
      <c r="K20" s="125">
        <v>4.66</v>
      </c>
    </row>
    <row r="21" spans="1:6" ht="15">
      <c r="A21" s="135">
        <v>39234</v>
      </c>
      <c r="B21" s="119">
        <f t="shared" si="1"/>
        <v>2052216.2941931123</v>
      </c>
      <c r="C21" s="117">
        <v>494591.52</v>
      </c>
      <c r="D21" s="137">
        <v>0.0459</v>
      </c>
      <c r="E21" s="118">
        <f t="shared" si="0"/>
        <v>7849.727325288655</v>
      </c>
      <c r="F21" s="118">
        <f t="shared" si="2"/>
        <v>2554657.541518401</v>
      </c>
    </row>
    <row r="22" spans="1:6" ht="15">
      <c r="A22" s="135">
        <v>39264</v>
      </c>
      <c r="B22" s="119">
        <f t="shared" si="1"/>
        <v>2554657.541518401</v>
      </c>
      <c r="C22" s="117">
        <v>495552</v>
      </c>
      <c r="D22" s="137">
        <v>0.0459</v>
      </c>
      <c r="E22" s="118">
        <f t="shared" si="0"/>
        <v>9771.565096307884</v>
      </c>
      <c r="F22" s="118">
        <f t="shared" si="2"/>
        <v>3059981.106614709</v>
      </c>
    </row>
    <row r="23" spans="1:10" ht="15">
      <c r="A23" s="135">
        <v>39295</v>
      </c>
      <c r="B23" s="119">
        <f t="shared" si="1"/>
        <v>3059981.106614709</v>
      </c>
      <c r="C23" s="117">
        <v>495999.18</v>
      </c>
      <c r="D23" s="137">
        <v>0.0459</v>
      </c>
      <c r="E23" s="118">
        <f t="shared" si="0"/>
        <v>11704.427732801261</v>
      </c>
      <c r="F23" s="118">
        <f t="shared" si="2"/>
        <v>3567684.71434751</v>
      </c>
      <c r="J23" s="132" t="s">
        <v>234</v>
      </c>
    </row>
    <row r="24" spans="1:6" ht="15">
      <c r="A24" s="135">
        <v>39326</v>
      </c>
      <c r="B24" s="119">
        <f t="shared" si="1"/>
        <v>3567684.71434751</v>
      </c>
      <c r="C24" s="117">
        <v>496691.7</v>
      </c>
      <c r="D24" s="137">
        <v>0.0459</v>
      </c>
      <c r="E24" s="118">
        <f t="shared" si="0"/>
        <v>13646.394032379227</v>
      </c>
      <c r="F24" s="118">
        <f t="shared" si="2"/>
        <v>4078022.8083798895</v>
      </c>
    </row>
    <row r="25" spans="1:6" ht="15">
      <c r="A25" s="135">
        <v>39356</v>
      </c>
      <c r="B25" s="119">
        <f t="shared" si="1"/>
        <v>4078022.8083798895</v>
      </c>
      <c r="C25" s="117">
        <v>497613.9</v>
      </c>
      <c r="D25" s="137">
        <v>0.0514</v>
      </c>
      <c r="E25" s="118">
        <f t="shared" si="0"/>
        <v>17467.531029227193</v>
      </c>
      <c r="F25" s="118">
        <f t="shared" si="2"/>
        <v>4593104.239409117</v>
      </c>
    </row>
    <row r="26" spans="1:6" ht="15">
      <c r="A26" s="135">
        <v>39387</v>
      </c>
      <c r="B26" s="119">
        <f t="shared" si="1"/>
        <v>4593104.239409117</v>
      </c>
      <c r="C26" s="117">
        <v>498724.02</v>
      </c>
      <c r="D26" s="137">
        <v>0.0514</v>
      </c>
      <c r="E26" s="118">
        <f t="shared" si="0"/>
        <v>19673.796492135716</v>
      </c>
      <c r="F26" s="118">
        <f t="shared" si="2"/>
        <v>5111502.055901253</v>
      </c>
    </row>
    <row r="27" spans="1:6" ht="15">
      <c r="A27" s="135">
        <v>39417</v>
      </c>
      <c r="B27" s="119">
        <f t="shared" si="1"/>
        <v>5111502.055901253</v>
      </c>
      <c r="C27" s="117">
        <v>499390.44</v>
      </c>
      <c r="D27" s="137">
        <v>0.0514</v>
      </c>
      <c r="E27" s="118">
        <f t="shared" si="0"/>
        <v>21894.267139443702</v>
      </c>
      <c r="F27" s="118">
        <f t="shared" si="2"/>
        <v>5632786.763040697</v>
      </c>
    </row>
    <row r="28" spans="1:6" ht="15">
      <c r="A28" s="135">
        <v>39448</v>
      </c>
      <c r="B28" s="119">
        <f t="shared" si="1"/>
        <v>5632786.763040697</v>
      </c>
      <c r="C28" s="117">
        <v>500255.22</v>
      </c>
      <c r="D28" s="137">
        <v>0.0514</v>
      </c>
      <c r="E28" s="118">
        <f aca="true" t="shared" si="3" ref="E28:E80">(B28*D28)/12</f>
        <v>24127.10330169099</v>
      </c>
      <c r="F28" s="118">
        <f aca="true" t="shared" si="4" ref="F28:F80">SUM(B28:C28,E28)</f>
        <v>6157169.086342388</v>
      </c>
    </row>
    <row r="29" spans="1:6" ht="15">
      <c r="A29" s="135">
        <v>39479</v>
      </c>
      <c r="B29" s="119">
        <f aca="true" t="shared" si="5" ref="B29:B80">F28</f>
        <v>6157169.086342388</v>
      </c>
      <c r="C29" s="117">
        <v>500902.5</v>
      </c>
      <c r="D29" s="137">
        <v>0.0514</v>
      </c>
      <c r="E29" s="118">
        <f t="shared" si="3"/>
        <v>26373.207586499895</v>
      </c>
      <c r="F29" s="118">
        <f t="shared" si="4"/>
        <v>6684444.793928888</v>
      </c>
    </row>
    <row r="30" spans="1:6" ht="15">
      <c r="A30" s="135">
        <v>39508</v>
      </c>
      <c r="B30" s="119">
        <f t="shared" si="5"/>
        <v>6684444.793928888</v>
      </c>
      <c r="C30" s="117">
        <v>501313.14</v>
      </c>
      <c r="D30" s="137">
        <v>0.0514</v>
      </c>
      <c r="E30" s="118">
        <f t="shared" si="3"/>
        <v>28631.70520066207</v>
      </c>
      <c r="F30" s="118">
        <f t="shared" si="4"/>
        <v>7214389.639129549</v>
      </c>
    </row>
    <row r="31" spans="1:10" ht="15">
      <c r="A31" s="135">
        <v>39539</v>
      </c>
      <c r="B31" s="119">
        <f t="shared" si="5"/>
        <v>7214389.639129549</v>
      </c>
      <c r="C31" s="117">
        <v>502047.42</v>
      </c>
      <c r="D31" s="137">
        <v>0.0408</v>
      </c>
      <c r="E31" s="118">
        <f t="shared" si="3"/>
        <v>24528.92477304047</v>
      </c>
      <c r="F31" s="118">
        <f t="shared" si="4"/>
        <v>7740965.983902589</v>
      </c>
      <c r="J31" s="132" t="s">
        <v>234</v>
      </c>
    </row>
    <row r="32" spans="1:6" ht="15">
      <c r="A32" s="135">
        <v>39569</v>
      </c>
      <c r="B32" s="119">
        <f t="shared" si="5"/>
        <v>7740965.983902589</v>
      </c>
      <c r="C32" s="117">
        <v>329277.6</v>
      </c>
      <c r="D32" s="137">
        <v>0.0408</v>
      </c>
      <c r="E32" s="118">
        <f t="shared" si="3"/>
        <v>26319.284345268807</v>
      </c>
      <c r="F32" s="118">
        <f t="shared" si="4"/>
        <v>8096562.868247858</v>
      </c>
    </row>
    <row r="33" spans="1:6" ht="15">
      <c r="A33" s="135">
        <v>39600</v>
      </c>
      <c r="B33" s="119">
        <f t="shared" si="5"/>
        <v>8096562.868247858</v>
      </c>
      <c r="C33" s="117">
        <v>329658.36</v>
      </c>
      <c r="D33" s="137">
        <v>0.0408</v>
      </c>
      <c r="E33" s="118">
        <f t="shared" si="3"/>
        <v>27528.313752042723</v>
      </c>
      <c r="F33" s="118">
        <f t="shared" si="4"/>
        <v>8453749.5419999</v>
      </c>
    </row>
    <row r="34" spans="1:6" ht="15">
      <c r="A34" s="135">
        <v>39630</v>
      </c>
      <c r="B34" s="119">
        <f t="shared" si="5"/>
        <v>8453749.5419999</v>
      </c>
      <c r="C34" s="117">
        <v>330258</v>
      </c>
      <c r="D34" s="137">
        <v>0.0335</v>
      </c>
      <c r="E34" s="118">
        <f t="shared" si="3"/>
        <v>23600.050804749724</v>
      </c>
      <c r="F34" s="118">
        <f t="shared" si="4"/>
        <v>8807607.59280465</v>
      </c>
    </row>
    <row r="35" spans="1:10" ht="15">
      <c r="A35" s="135">
        <v>39661</v>
      </c>
      <c r="B35" s="119">
        <f t="shared" si="5"/>
        <v>8807607.59280465</v>
      </c>
      <c r="C35" s="117">
        <v>330546.42</v>
      </c>
      <c r="D35" s="137">
        <v>0.0335</v>
      </c>
      <c r="E35" s="118">
        <f t="shared" si="3"/>
        <v>24587.904529912983</v>
      </c>
      <c r="F35" s="118">
        <f t="shared" si="4"/>
        <v>9162741.917334562</v>
      </c>
      <c r="J35" s="132" t="s">
        <v>234</v>
      </c>
    </row>
    <row r="36" spans="1:6" ht="15">
      <c r="A36" s="135">
        <v>39692</v>
      </c>
      <c r="B36" s="119">
        <f t="shared" si="5"/>
        <v>9162741.917334562</v>
      </c>
      <c r="C36" s="117">
        <v>330652.44</v>
      </c>
      <c r="D36" s="137">
        <v>0.0335</v>
      </c>
      <c r="E36" s="118">
        <f t="shared" si="3"/>
        <v>25579.32118589232</v>
      </c>
      <c r="F36" s="118">
        <f t="shared" si="4"/>
        <v>9518973.678520454</v>
      </c>
    </row>
    <row r="37" spans="1:6" ht="15">
      <c r="A37" s="135">
        <v>39722</v>
      </c>
      <c r="B37" s="119">
        <f t="shared" si="5"/>
        <v>9518973.678520454</v>
      </c>
      <c r="C37" s="117">
        <v>331741.14</v>
      </c>
      <c r="D37" s="137">
        <v>0.0335</v>
      </c>
      <c r="E37" s="118">
        <f t="shared" si="3"/>
        <v>26573.801519202938</v>
      </c>
      <c r="F37" s="118">
        <f t="shared" si="4"/>
        <v>9877288.620039657</v>
      </c>
    </row>
    <row r="38" spans="1:6" ht="15">
      <c r="A38" s="135">
        <v>39753</v>
      </c>
      <c r="B38" s="119">
        <f t="shared" si="5"/>
        <v>9877288.620039657</v>
      </c>
      <c r="C38" s="117">
        <v>332166.36</v>
      </c>
      <c r="D38" s="137">
        <v>0.0335</v>
      </c>
      <c r="E38" s="118">
        <f t="shared" si="3"/>
        <v>27574.09739761071</v>
      </c>
      <c r="F38" s="118">
        <f t="shared" si="4"/>
        <v>10237029.077437267</v>
      </c>
    </row>
    <row r="39" spans="1:10" ht="15">
      <c r="A39" s="135">
        <v>39783</v>
      </c>
      <c r="B39" s="119">
        <f t="shared" si="5"/>
        <v>10237029.077437267</v>
      </c>
      <c r="C39" s="117">
        <v>332542.56</v>
      </c>
      <c r="D39" s="137">
        <v>0.0335</v>
      </c>
      <c r="E39" s="118">
        <f t="shared" si="3"/>
        <v>28578.372841179036</v>
      </c>
      <c r="F39" s="118">
        <f t="shared" si="4"/>
        <v>10598150.010278447</v>
      </c>
      <c r="J39" s="132" t="s">
        <v>234</v>
      </c>
    </row>
    <row r="40" spans="1:6" ht="15">
      <c r="A40" s="135">
        <v>39814</v>
      </c>
      <c r="B40" s="119">
        <f t="shared" si="5"/>
        <v>10598150.010278447</v>
      </c>
      <c r="C40" s="117">
        <v>333101.16</v>
      </c>
      <c r="D40" s="137">
        <v>0.0245</v>
      </c>
      <c r="E40" s="118">
        <f t="shared" si="3"/>
        <v>21637.889604318498</v>
      </c>
      <c r="F40" s="118">
        <f t="shared" si="4"/>
        <v>10952889.059882766</v>
      </c>
    </row>
    <row r="41" spans="1:6" ht="15">
      <c r="A41" s="135">
        <v>39845</v>
      </c>
      <c r="B41" s="119">
        <f t="shared" si="5"/>
        <v>10952889.059882766</v>
      </c>
      <c r="C41" s="117">
        <v>333554.88</v>
      </c>
      <c r="D41" s="137">
        <v>0.0245</v>
      </c>
      <c r="E41" s="118">
        <f t="shared" si="3"/>
        <v>22362.148497260645</v>
      </c>
      <c r="F41" s="118">
        <f t="shared" si="4"/>
        <v>11308806.088380028</v>
      </c>
    </row>
    <row r="42" spans="1:6" ht="15">
      <c r="A42" s="135">
        <v>39873</v>
      </c>
      <c r="B42" s="119">
        <f t="shared" si="5"/>
        <v>11308806.088380028</v>
      </c>
      <c r="C42" s="117">
        <v>333676.86</v>
      </c>
      <c r="D42" s="137">
        <v>0.0245</v>
      </c>
      <c r="E42" s="118">
        <f t="shared" si="3"/>
        <v>23088.81243044256</v>
      </c>
      <c r="F42" s="118">
        <f t="shared" si="4"/>
        <v>11665571.76081047</v>
      </c>
    </row>
    <row r="43" spans="1:10" ht="15">
      <c r="A43" s="135">
        <v>39904</v>
      </c>
      <c r="B43" s="119">
        <f t="shared" si="5"/>
        <v>11665571.76081047</v>
      </c>
      <c r="C43" s="117">
        <v>334063.32</v>
      </c>
      <c r="D43" s="137">
        <v>0.01</v>
      </c>
      <c r="E43" s="118">
        <f t="shared" si="3"/>
        <v>9721.309800675392</v>
      </c>
      <c r="F43" s="118">
        <f t="shared" si="4"/>
        <v>12009356.390611146</v>
      </c>
      <c r="J43" s="132" t="s">
        <v>234</v>
      </c>
    </row>
    <row r="44" spans="1:6" ht="15">
      <c r="A44" s="135">
        <v>39934</v>
      </c>
      <c r="B44" s="119">
        <f t="shared" si="5"/>
        <v>12009356.390611146</v>
      </c>
      <c r="C44" s="117">
        <v>492796.08</v>
      </c>
      <c r="D44" s="137">
        <v>0.01</v>
      </c>
      <c r="E44" s="118">
        <f t="shared" si="3"/>
        <v>10007.796992175956</v>
      </c>
      <c r="F44" s="118">
        <f t="shared" si="4"/>
        <v>12512160.267603321</v>
      </c>
    </row>
    <row r="45" spans="1:6" ht="15">
      <c r="A45" s="135">
        <v>39965</v>
      </c>
      <c r="B45" s="119">
        <f t="shared" si="5"/>
        <v>12512160.267603321</v>
      </c>
      <c r="C45" s="117">
        <v>493202.64</v>
      </c>
      <c r="D45" s="137">
        <v>0.01</v>
      </c>
      <c r="E45" s="118">
        <f t="shared" si="3"/>
        <v>10426.800223002769</v>
      </c>
      <c r="F45" s="118">
        <f t="shared" si="4"/>
        <v>13015789.707826324</v>
      </c>
    </row>
    <row r="46" spans="1:6" ht="15">
      <c r="A46" s="135">
        <v>39995</v>
      </c>
      <c r="B46" s="119">
        <f t="shared" si="5"/>
        <v>13015789.707826324</v>
      </c>
      <c r="C46" s="117">
        <v>493718.4</v>
      </c>
      <c r="D46" s="137">
        <v>0.0055</v>
      </c>
      <c r="E46" s="118">
        <f t="shared" si="3"/>
        <v>5965.570282753732</v>
      </c>
      <c r="F46" s="118">
        <f t="shared" si="4"/>
        <v>13515473.678109078</v>
      </c>
    </row>
    <row r="47" spans="1:10" ht="15">
      <c r="A47" s="135">
        <v>40026</v>
      </c>
      <c r="B47" s="119">
        <f t="shared" si="5"/>
        <v>13515473.678109078</v>
      </c>
      <c r="C47" s="117">
        <v>493715.04</v>
      </c>
      <c r="D47" s="137">
        <v>0.0055</v>
      </c>
      <c r="E47" s="118">
        <f t="shared" si="3"/>
        <v>6194.59210246666</v>
      </c>
      <c r="F47" s="118">
        <f t="shared" si="4"/>
        <v>14015383.310211543</v>
      </c>
      <c r="J47" s="132" t="s">
        <v>234</v>
      </c>
    </row>
    <row r="48" spans="1:6" ht="15">
      <c r="A48" s="135">
        <v>40057</v>
      </c>
      <c r="B48" s="119">
        <f t="shared" si="5"/>
        <v>14015383.310211543</v>
      </c>
      <c r="C48" s="117">
        <v>494859.12</v>
      </c>
      <c r="D48" s="137">
        <v>0.0055</v>
      </c>
      <c r="E48" s="118">
        <f t="shared" si="3"/>
        <v>6423.717350513623</v>
      </c>
      <c r="F48" s="118">
        <f t="shared" si="4"/>
        <v>14516666.147562055</v>
      </c>
    </row>
    <row r="49" spans="1:6" ht="15">
      <c r="A49" s="135">
        <v>40087</v>
      </c>
      <c r="B49" s="119">
        <f t="shared" si="5"/>
        <v>14516666.147562055</v>
      </c>
      <c r="C49" s="117">
        <v>495794.88</v>
      </c>
      <c r="D49" s="137">
        <v>0.0055</v>
      </c>
      <c r="E49" s="118">
        <f t="shared" si="3"/>
        <v>6653.4719842992745</v>
      </c>
      <c r="F49" s="118">
        <f t="shared" si="4"/>
        <v>15019114.499546355</v>
      </c>
    </row>
    <row r="50" spans="1:6" ht="15">
      <c r="A50" s="135">
        <v>40118</v>
      </c>
      <c r="B50" s="119">
        <f t="shared" si="5"/>
        <v>15019114.499546355</v>
      </c>
      <c r="C50" s="117">
        <v>496683.6</v>
      </c>
      <c r="D50" s="137">
        <v>0.0055</v>
      </c>
      <c r="E50" s="118">
        <f t="shared" si="3"/>
        <v>6883.760812292079</v>
      </c>
      <c r="F50" s="118">
        <f t="shared" si="4"/>
        <v>15522681.860358646</v>
      </c>
    </row>
    <row r="51" spans="1:10" ht="15">
      <c r="A51" s="135">
        <v>40148</v>
      </c>
      <c r="B51" s="119">
        <f t="shared" si="5"/>
        <v>15522681.860358646</v>
      </c>
      <c r="C51" s="117">
        <v>497291.76</v>
      </c>
      <c r="D51" s="137">
        <v>0.0055</v>
      </c>
      <c r="E51" s="118">
        <f t="shared" si="3"/>
        <v>7114.562519331045</v>
      </c>
      <c r="F51" s="118">
        <f t="shared" si="4"/>
        <v>16027088.182877976</v>
      </c>
      <c r="J51" s="132" t="s">
        <v>234</v>
      </c>
    </row>
    <row r="52" spans="1:6" ht="15">
      <c r="A52" s="135">
        <v>40179</v>
      </c>
      <c r="B52" s="119">
        <f t="shared" si="5"/>
        <v>16027088.182877976</v>
      </c>
      <c r="C52" s="117">
        <v>497995.68</v>
      </c>
      <c r="D52" s="137">
        <v>0.0055</v>
      </c>
      <c r="E52" s="118">
        <f t="shared" si="3"/>
        <v>7345.748750485739</v>
      </c>
      <c r="F52" s="118">
        <f t="shared" si="4"/>
        <v>16532429.611628462</v>
      </c>
    </row>
    <row r="53" spans="1:6" ht="15">
      <c r="A53" s="135">
        <v>40210</v>
      </c>
      <c r="B53" s="119">
        <f t="shared" si="5"/>
        <v>16532429.611628462</v>
      </c>
      <c r="C53" s="117">
        <v>498474.48</v>
      </c>
      <c r="D53" s="137">
        <v>0.0055</v>
      </c>
      <c r="E53" s="118">
        <f t="shared" si="3"/>
        <v>7577.363571996378</v>
      </c>
      <c r="F53" s="118">
        <f t="shared" si="4"/>
        <v>17038481.45520046</v>
      </c>
    </row>
    <row r="54" spans="1:6" ht="15">
      <c r="A54" s="135">
        <v>40238</v>
      </c>
      <c r="B54" s="119">
        <f t="shared" si="5"/>
        <v>17038481.45520046</v>
      </c>
      <c r="C54" s="117">
        <v>499138.08</v>
      </c>
      <c r="D54" s="137">
        <v>0.0055</v>
      </c>
      <c r="E54" s="118">
        <f t="shared" si="3"/>
        <v>7809.30400030021</v>
      </c>
      <c r="F54" s="118">
        <f t="shared" si="4"/>
        <v>17545428.839200757</v>
      </c>
    </row>
    <row r="55" spans="1:10" ht="15">
      <c r="A55" s="135">
        <v>40269</v>
      </c>
      <c r="B55" s="119">
        <f t="shared" si="5"/>
        <v>17545428.839200757</v>
      </c>
      <c r="C55" s="117">
        <v>499575</v>
      </c>
      <c r="D55" s="137">
        <v>0.0055</v>
      </c>
      <c r="E55" s="118">
        <f t="shared" si="3"/>
        <v>8041.65488463368</v>
      </c>
      <c r="F55" s="118">
        <f t="shared" si="4"/>
        <v>18053045.49408539</v>
      </c>
      <c r="J55" s="132" t="s">
        <v>234</v>
      </c>
    </row>
    <row r="56" spans="1:6" ht="15">
      <c r="A56" s="135">
        <v>40299</v>
      </c>
      <c r="B56" s="119">
        <f t="shared" si="5"/>
        <v>18053045.49408539</v>
      </c>
      <c r="C56" s="117">
        <v>500196</v>
      </c>
      <c r="D56" s="137">
        <v>0.0055</v>
      </c>
      <c r="E56" s="118">
        <f t="shared" si="3"/>
        <v>8274.31251812247</v>
      </c>
      <c r="F56" s="118">
        <f t="shared" si="4"/>
        <v>18561515.806603514</v>
      </c>
    </row>
    <row r="57" spans="1:6" ht="15">
      <c r="A57" s="135">
        <v>40330</v>
      </c>
      <c r="B57" s="119">
        <f t="shared" si="5"/>
        <v>18561515.806603514</v>
      </c>
      <c r="C57" s="117">
        <v>500842</v>
      </c>
      <c r="D57" s="137">
        <v>0.0055</v>
      </c>
      <c r="E57" s="118">
        <f t="shared" si="3"/>
        <v>8507.361411359943</v>
      </c>
      <c r="F57" s="118">
        <f t="shared" si="4"/>
        <v>19070865.168014873</v>
      </c>
    </row>
    <row r="58" spans="1:6" ht="15">
      <c r="A58" s="135">
        <v>40360</v>
      </c>
      <c r="B58" s="119">
        <f t="shared" si="5"/>
        <v>19070865.168014873</v>
      </c>
      <c r="C58" s="117">
        <v>501477</v>
      </c>
      <c r="D58" s="137">
        <v>0.0089</v>
      </c>
      <c r="E58" s="118">
        <f t="shared" si="3"/>
        <v>14144.224999611031</v>
      </c>
      <c r="F58" s="118">
        <f t="shared" si="4"/>
        <v>19586486.393014483</v>
      </c>
    </row>
    <row r="59" spans="1:6" ht="15">
      <c r="A59" s="135">
        <v>40391</v>
      </c>
      <c r="B59" s="119">
        <f t="shared" si="5"/>
        <v>19586486.393014483</v>
      </c>
      <c r="C59" s="117">
        <v>502086</v>
      </c>
      <c r="D59" s="137">
        <v>0.0089</v>
      </c>
      <c r="E59" s="118">
        <f t="shared" si="3"/>
        <v>14526.644074819074</v>
      </c>
      <c r="F59" s="118">
        <f t="shared" si="4"/>
        <v>20103099.037089303</v>
      </c>
    </row>
    <row r="60" spans="1:6" ht="15">
      <c r="A60" s="135">
        <v>40422</v>
      </c>
      <c r="B60" s="119">
        <f t="shared" si="5"/>
        <v>20103099.037089303</v>
      </c>
      <c r="C60" s="117">
        <v>502706</v>
      </c>
      <c r="D60" s="137">
        <v>0.0089</v>
      </c>
      <c r="E60" s="118">
        <f t="shared" si="3"/>
        <v>14909.7984525079</v>
      </c>
      <c r="F60" s="118">
        <f t="shared" si="4"/>
        <v>20620714.83554181</v>
      </c>
    </row>
    <row r="61" spans="1:6" ht="15">
      <c r="A61" s="135">
        <v>40452</v>
      </c>
      <c r="B61" s="119">
        <f t="shared" si="5"/>
        <v>20620714.83554181</v>
      </c>
      <c r="C61" s="117">
        <v>503620.31999999995</v>
      </c>
      <c r="D61" s="137">
        <v>0.012</v>
      </c>
      <c r="E61" s="118">
        <f t="shared" si="3"/>
        <v>20620.71483554181</v>
      </c>
      <c r="F61" s="118">
        <f t="shared" si="4"/>
        <v>21144955.870377354</v>
      </c>
    </row>
    <row r="62" spans="1:6" ht="15">
      <c r="A62" s="135">
        <v>40483</v>
      </c>
      <c r="B62" s="119">
        <f t="shared" si="5"/>
        <v>21144955.870377354</v>
      </c>
      <c r="C62" s="117">
        <v>501862.55</v>
      </c>
      <c r="D62" s="137">
        <v>0.012</v>
      </c>
      <c r="E62" s="118">
        <f t="shared" si="3"/>
        <v>21144.955870377355</v>
      </c>
      <c r="F62" s="118">
        <f t="shared" si="4"/>
        <v>21667963.376247734</v>
      </c>
    </row>
    <row r="63" spans="1:6" ht="15">
      <c r="A63" s="135">
        <v>40513</v>
      </c>
      <c r="B63" s="119">
        <f t="shared" si="5"/>
        <v>21667963.376247734</v>
      </c>
      <c r="C63" s="117">
        <v>502297.61</v>
      </c>
      <c r="D63" s="137">
        <v>0.012</v>
      </c>
      <c r="E63" s="118">
        <f t="shared" si="3"/>
        <v>21667.963376247735</v>
      </c>
      <c r="F63" s="118">
        <f t="shared" si="4"/>
        <v>22191928.94962398</v>
      </c>
    </row>
    <row r="64" spans="1:6" ht="15">
      <c r="A64" s="135">
        <v>40544</v>
      </c>
      <c r="B64" s="119">
        <f t="shared" si="5"/>
        <v>22191928.94962398</v>
      </c>
      <c r="C64" s="117">
        <v>502730.256</v>
      </c>
      <c r="D64" s="137">
        <v>0.012</v>
      </c>
      <c r="E64" s="118">
        <f t="shared" si="3"/>
        <v>22191.92894962398</v>
      </c>
      <c r="F64" s="118">
        <f t="shared" si="4"/>
        <v>22716851.134573605</v>
      </c>
    </row>
    <row r="65" spans="1:6" ht="15">
      <c r="A65" s="135">
        <v>40575</v>
      </c>
      <c r="B65" s="119">
        <f t="shared" si="5"/>
        <v>22716851.134573605</v>
      </c>
      <c r="C65" s="117">
        <v>503160.5208</v>
      </c>
      <c r="D65" s="137">
        <v>0.012</v>
      </c>
      <c r="E65" s="118">
        <f t="shared" si="3"/>
        <v>22716.851134573604</v>
      </c>
      <c r="F65" s="118">
        <f t="shared" si="4"/>
        <v>23242728.506508175</v>
      </c>
    </row>
    <row r="66" spans="1:6" ht="15">
      <c r="A66" s="135">
        <v>40603</v>
      </c>
      <c r="B66" s="119">
        <f t="shared" si="5"/>
        <v>23242728.506508175</v>
      </c>
      <c r="C66" s="117">
        <v>503577.66480000014</v>
      </c>
      <c r="D66" s="137">
        <v>0.012</v>
      </c>
      <c r="E66" s="118">
        <f t="shared" si="3"/>
        <v>23242.728506508178</v>
      </c>
      <c r="F66" s="118">
        <f t="shared" si="4"/>
        <v>23769548.899814684</v>
      </c>
    </row>
    <row r="67" spans="1:6" ht="15">
      <c r="A67" s="135">
        <v>40634</v>
      </c>
      <c r="B67" s="119">
        <f t="shared" si="5"/>
        <v>23769548.899814684</v>
      </c>
      <c r="C67" s="117">
        <v>503989.98720000003</v>
      </c>
      <c r="D67" s="137">
        <v>0.012</v>
      </c>
      <c r="E67" s="118">
        <f t="shared" si="3"/>
        <v>23769.548899814687</v>
      </c>
      <c r="F67" s="118">
        <f t="shared" si="4"/>
        <v>24297308.435914498</v>
      </c>
    </row>
    <row r="68" spans="1:6" ht="15">
      <c r="A68" s="135">
        <v>40664</v>
      </c>
      <c r="B68" s="119">
        <f t="shared" si="5"/>
        <v>24297308.435914498</v>
      </c>
      <c r="C68" s="117">
        <v>0</v>
      </c>
      <c r="D68" s="137"/>
      <c r="E68" s="118">
        <f t="shared" si="3"/>
        <v>0</v>
      </c>
      <c r="F68" s="118">
        <f t="shared" si="4"/>
        <v>24297308.435914498</v>
      </c>
    </row>
    <row r="69" spans="1:6" ht="15">
      <c r="A69" s="135">
        <v>40695</v>
      </c>
      <c r="B69" s="119">
        <f t="shared" si="5"/>
        <v>24297308.435914498</v>
      </c>
      <c r="C69" s="117">
        <v>0</v>
      </c>
      <c r="D69" s="137"/>
      <c r="E69" s="118">
        <f t="shared" si="3"/>
        <v>0</v>
      </c>
      <c r="F69" s="118">
        <f t="shared" si="4"/>
        <v>24297308.435914498</v>
      </c>
    </row>
    <row r="70" spans="1:6" ht="15">
      <c r="A70" s="135">
        <v>40725</v>
      </c>
      <c r="B70" s="119">
        <f t="shared" si="5"/>
        <v>24297308.435914498</v>
      </c>
      <c r="C70" s="117">
        <v>0</v>
      </c>
      <c r="D70" s="137"/>
      <c r="E70" s="118">
        <f t="shared" si="3"/>
        <v>0</v>
      </c>
      <c r="F70" s="118">
        <f t="shared" si="4"/>
        <v>24297308.435914498</v>
      </c>
    </row>
    <row r="71" spans="1:6" ht="15">
      <c r="A71" s="135">
        <v>40756</v>
      </c>
      <c r="B71" s="119">
        <f t="shared" si="5"/>
        <v>24297308.435914498</v>
      </c>
      <c r="C71" s="117">
        <v>0</v>
      </c>
      <c r="D71" s="137"/>
      <c r="E71" s="118">
        <f t="shared" si="3"/>
        <v>0</v>
      </c>
      <c r="F71" s="118">
        <f t="shared" si="4"/>
        <v>24297308.435914498</v>
      </c>
    </row>
    <row r="72" spans="1:6" ht="15">
      <c r="A72" s="135">
        <v>40787</v>
      </c>
      <c r="B72" s="119">
        <f t="shared" si="5"/>
        <v>24297308.435914498</v>
      </c>
      <c r="C72" s="117">
        <v>0</v>
      </c>
      <c r="D72" s="137"/>
      <c r="E72" s="118">
        <f t="shared" si="3"/>
        <v>0</v>
      </c>
      <c r="F72" s="118">
        <f t="shared" si="4"/>
        <v>24297308.435914498</v>
      </c>
    </row>
    <row r="73" spans="1:6" ht="15">
      <c r="A73" s="135">
        <v>40817</v>
      </c>
      <c r="B73" s="119">
        <f t="shared" si="5"/>
        <v>24297308.435914498</v>
      </c>
      <c r="C73" s="117">
        <v>0</v>
      </c>
      <c r="D73" s="137"/>
      <c r="E73" s="118">
        <f t="shared" si="3"/>
        <v>0</v>
      </c>
      <c r="F73" s="118">
        <f t="shared" si="4"/>
        <v>24297308.435914498</v>
      </c>
    </row>
    <row r="74" spans="1:6" ht="15">
      <c r="A74" s="135">
        <v>40848</v>
      </c>
      <c r="B74" s="119">
        <f t="shared" si="5"/>
        <v>24297308.435914498</v>
      </c>
      <c r="C74" s="117">
        <v>0</v>
      </c>
      <c r="D74" s="137"/>
      <c r="E74" s="118">
        <f t="shared" si="3"/>
        <v>0</v>
      </c>
      <c r="F74" s="118">
        <f t="shared" si="4"/>
        <v>24297308.435914498</v>
      </c>
    </row>
    <row r="75" spans="1:6" ht="15">
      <c r="A75" s="135">
        <v>40878</v>
      </c>
      <c r="B75" s="119">
        <f t="shared" si="5"/>
        <v>24297308.435914498</v>
      </c>
      <c r="C75" s="117">
        <v>0</v>
      </c>
      <c r="D75" s="137"/>
      <c r="E75" s="118">
        <f t="shared" si="3"/>
        <v>0</v>
      </c>
      <c r="F75" s="118">
        <f t="shared" si="4"/>
        <v>24297308.435914498</v>
      </c>
    </row>
    <row r="76" spans="1:6" ht="15">
      <c r="A76" s="135">
        <v>40909</v>
      </c>
      <c r="B76" s="119">
        <f t="shared" si="5"/>
        <v>24297308.435914498</v>
      </c>
      <c r="C76" s="117">
        <v>0</v>
      </c>
      <c r="D76" s="137"/>
      <c r="E76" s="118">
        <f t="shared" si="3"/>
        <v>0</v>
      </c>
      <c r="F76" s="118">
        <f t="shared" si="4"/>
        <v>24297308.435914498</v>
      </c>
    </row>
    <row r="77" spans="1:6" ht="15">
      <c r="A77" s="135">
        <v>40940</v>
      </c>
      <c r="B77" s="119">
        <f t="shared" si="5"/>
        <v>24297308.435914498</v>
      </c>
      <c r="C77" s="117">
        <v>0</v>
      </c>
      <c r="D77" s="137"/>
      <c r="E77" s="118">
        <f t="shared" si="3"/>
        <v>0</v>
      </c>
      <c r="F77" s="118">
        <f t="shared" si="4"/>
        <v>24297308.435914498</v>
      </c>
    </row>
    <row r="78" spans="1:6" ht="15">
      <c r="A78" s="135">
        <v>40969</v>
      </c>
      <c r="B78" s="119">
        <f t="shared" si="5"/>
        <v>24297308.435914498</v>
      </c>
      <c r="C78" s="117">
        <v>0</v>
      </c>
      <c r="D78" s="137"/>
      <c r="E78" s="118">
        <f t="shared" si="3"/>
        <v>0</v>
      </c>
      <c r="F78" s="118">
        <f t="shared" si="4"/>
        <v>24297308.435914498</v>
      </c>
    </row>
    <row r="79" spans="1:6" ht="15">
      <c r="A79" s="135">
        <v>41000</v>
      </c>
      <c r="B79" s="119">
        <f t="shared" si="5"/>
        <v>24297308.435914498</v>
      </c>
      <c r="C79" s="117">
        <v>0</v>
      </c>
      <c r="D79" s="137"/>
      <c r="E79" s="118">
        <f t="shared" si="3"/>
        <v>0</v>
      </c>
      <c r="F79" s="118">
        <f t="shared" si="4"/>
        <v>24297308.435914498</v>
      </c>
    </row>
    <row r="80" spans="1:6" ht="15">
      <c r="A80" s="135">
        <v>41030</v>
      </c>
      <c r="B80" s="119">
        <f t="shared" si="5"/>
        <v>24297308.435914498</v>
      </c>
      <c r="C80" s="117">
        <v>0</v>
      </c>
      <c r="D80" s="137"/>
      <c r="E80" s="118">
        <f t="shared" si="3"/>
        <v>0</v>
      </c>
      <c r="F80" s="118">
        <f t="shared" si="4"/>
        <v>24297308.435914498</v>
      </c>
    </row>
    <row r="81" spans="3:6" ht="15.75" thickBot="1">
      <c r="C81" s="126">
        <f>SUM(C4:C80)</f>
        <v>23460142.2088</v>
      </c>
      <c r="E81" s="126">
        <f>SUM(E4:E80)</f>
        <v>837166.2271145048</v>
      </c>
      <c r="F81" s="5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1"/>
  <headerFooter alignWithMargins="0">
    <oddHeader>&amp;RHydro Ottawa Limited
EB-2010-0326
Attachment F
Filed: 2010-11-30
Page &amp;P of &amp;N</oddHeader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C20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9.140625" style="7" customWidth="1"/>
    <col min="2" max="2" width="38.57421875" style="7" customWidth="1"/>
    <col min="3" max="3" width="18.28125" style="7" customWidth="1"/>
    <col min="4" max="16384" width="9.140625" style="7" customWidth="1"/>
  </cols>
  <sheetData>
    <row r="1" ht="20.25">
      <c r="B1" s="26" t="s">
        <v>259</v>
      </c>
    </row>
    <row r="4" spans="2:3" ht="12.75">
      <c r="B4" s="127" t="s">
        <v>268</v>
      </c>
      <c r="C4" s="127" t="s">
        <v>267</v>
      </c>
    </row>
    <row r="5" spans="2:3" ht="12.75">
      <c r="B5" s="128" t="s">
        <v>260</v>
      </c>
      <c r="C5" s="129">
        <f>'4. Smart Meter Rev Req'!E55</f>
        <v>1004821.1167421928</v>
      </c>
    </row>
    <row r="6" spans="2:3" ht="12.75">
      <c r="B6" s="128" t="s">
        <v>261</v>
      </c>
      <c r="C6" s="129">
        <f>'4. Smart Meter Rev Req'!H55</f>
        <v>3639207.697196905</v>
      </c>
    </row>
    <row r="7" spans="2:3" ht="12.75">
      <c r="B7" s="128" t="s">
        <v>262</v>
      </c>
      <c r="C7" s="129">
        <f>'4. Smart Meter Rev Req'!K55</f>
        <v>3461343.7607811354</v>
      </c>
    </row>
    <row r="8" spans="2:3" ht="12.75">
      <c r="B8" s="128" t="s">
        <v>263</v>
      </c>
      <c r="C8" s="129">
        <f>'4. Smart Meter Rev Req'!N55</f>
        <v>5431731.32799672</v>
      </c>
    </row>
    <row r="9" spans="2:3" ht="12.75">
      <c r="B9" s="128" t="s">
        <v>264</v>
      </c>
      <c r="C9" s="129">
        <f>'4. Smart Meter Rev Req'!Q55</f>
        <v>6917990.601034779</v>
      </c>
    </row>
    <row r="10" spans="2:3" ht="12.75">
      <c r="B10" s="128" t="s">
        <v>265</v>
      </c>
      <c r="C10" s="129">
        <f>'4. Smart Meter Rev Req'!T55</f>
        <v>8237425.101693239</v>
      </c>
    </row>
    <row r="11" spans="2:3" ht="13.5" thickBot="1">
      <c r="B11" s="7" t="s">
        <v>266</v>
      </c>
      <c r="C11" s="130">
        <f>SUM(C5:C10)</f>
        <v>28692519.60544497</v>
      </c>
    </row>
    <row r="13" spans="2:3" ht="12.75">
      <c r="B13" s="7" t="s">
        <v>269</v>
      </c>
      <c r="C13" s="131">
        <f>-'7. Funding Adder Collected'!C81</f>
        <v>-23460142.2088</v>
      </c>
    </row>
    <row r="14" spans="2:3" ht="12.75">
      <c r="B14" s="7" t="s">
        <v>270</v>
      </c>
      <c r="C14" s="131">
        <v>-109499.72275064552</v>
      </c>
    </row>
    <row r="16" spans="2:3" ht="13.5" thickBot="1">
      <c r="B16" s="7" t="s">
        <v>271</v>
      </c>
      <c r="C16" s="130">
        <f>SUM(C11:C14)</f>
        <v>5122877.673894327</v>
      </c>
    </row>
    <row r="18" spans="2:3" ht="12.75">
      <c r="B18" s="7" t="s">
        <v>273</v>
      </c>
      <c r="C18" s="165">
        <v>2408462</v>
      </c>
    </row>
    <row r="20" spans="2:3" ht="12.75">
      <c r="B20" s="127" t="s">
        <v>274</v>
      </c>
      <c r="C20" s="138">
        <f>IF(C18&lt;&gt;0,C16/C18,0)</f>
        <v>2.127032800971876</v>
      </c>
    </row>
  </sheetData>
  <sheetProtection/>
  <printOptions/>
  <pageMargins left="0.7480314960629921" right="0.5905511811023623" top="1.33" bottom="0.984251968503937" header="0.5118110236220472" footer="0.5118110236220472"/>
  <pageSetup horizontalDpi="600" verticalDpi="600" orientation="portrait" r:id="rId1"/>
  <headerFooter alignWithMargins="0">
    <oddHeader>&amp;RHydro Ottawa Limited
EB-2010-0326
Attachment F
Filed: 2010-11-30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Janes</cp:lastModifiedBy>
  <cp:lastPrinted>2010-11-26T19:41:52Z</cp:lastPrinted>
  <dcterms:created xsi:type="dcterms:W3CDTF">2007-08-13T15:48:29Z</dcterms:created>
  <dcterms:modified xsi:type="dcterms:W3CDTF">2010-11-30T20:17:28Z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