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tabRatio="701" firstSheet="2" activeTab="6"/>
  </bookViews>
  <sheets>
    <sheet name="A1.1 LDC Information" sheetId="1" r:id="rId1"/>
    <sheet name="A2.1 Table of Contents" sheetId="2" r:id="rId2"/>
    <sheet name="B1.1 Re-Based Bill Det &amp; Rates" sheetId="3" r:id="rId3"/>
    <sheet name="B1.3 Re-Based Rev From Rates" sheetId="4" r:id="rId4"/>
    <sheet name="F1.1 Z-Factor Tax Changes" sheetId="5" r:id="rId5"/>
    <sheet name="F1.2 CalcTaxChg RRider OptA FV" sheetId="6" state="hidden" r:id="rId6"/>
    <sheet name="F1.3 Calc Tax Chg RRider Var" sheetId="7" r:id="rId7"/>
    <sheet name="G4.2 Incr Cap RRider Opt A FV" sheetId="8" state="hidden" r:id="rId8"/>
    <sheet name="Z1.0 OEB Control Sheet" sheetId="9" state="hidden" r:id="rId9"/>
  </sheets>
  <definedNames>
    <definedName name="___INDEX_SHEET___ASAP_Utilities">#REF!</definedName>
    <definedName name="CustBillType" localSheetId="0">2008</definedName>
    <definedName name="d">#REF!</definedName>
    <definedName name="db">#REF!</definedName>
    <definedName name="DistVolType" localSheetId="0">2007</definedName>
    <definedName name="g">#REF!</definedName>
    <definedName name="LastSheet" hidden="1">"Z1.0 OEB Control Sheet"</definedName>
    <definedName name="PCI">#REF!</definedName>
    <definedName name="_xlnm.Print_Area" localSheetId="2">'B1.1 Re-Based Bill Det &amp; Rates'!$A$1:$P$47</definedName>
    <definedName name="_xlnm.Print_Area" localSheetId="3">'B1.3 Re-Based Rev From Rates'!$A$1:$P$47</definedName>
    <definedName name="_xlnm.Print_Area" localSheetId="4">'F1.1 Z-Factor Tax Changes'!$A$1:$M$61</definedName>
    <definedName name="Query_from_MS_Access_Database" localSheetId="0">'A1.1 LDC Information'!$AA$20:$AH$82</definedName>
    <definedName name="RB">#REF!</definedName>
  </definedNames>
  <calcPr calcMode="manual" fullCalcOnLoad="1"/>
</workbook>
</file>

<file path=xl/sharedStrings.xml><?xml version="1.0" encoding="utf-8"?>
<sst xmlns="http://schemas.openxmlformats.org/spreadsheetml/2006/main" count="859" uniqueCount="514">
  <si>
    <t>A</t>
  </si>
  <si>
    <t>B</t>
  </si>
  <si>
    <t>D</t>
  </si>
  <si>
    <t>F</t>
  </si>
  <si>
    <t>C</t>
  </si>
  <si>
    <t>E</t>
  </si>
  <si>
    <t>Applicant Name</t>
  </si>
  <si>
    <t>OEB Application Number</t>
  </si>
  <si>
    <t>LDC Licence Number</t>
  </si>
  <si>
    <t>Control</t>
  </si>
  <si>
    <t>Rate Group</t>
  </si>
  <si>
    <t>Rate Class</t>
  </si>
  <si>
    <t>Fixed Metric</t>
  </si>
  <si>
    <t>Vol Metric</t>
  </si>
  <si>
    <t>Residential</t>
  </si>
  <si>
    <t>Large Use</t>
  </si>
  <si>
    <t>NA</t>
  </si>
  <si>
    <t>250 / 2,250</t>
  </si>
  <si>
    <t>General Service Less Than 50 kW</t>
  </si>
  <si>
    <t>2,000 / 20,000</t>
  </si>
  <si>
    <t>General Service 50 to 499 kW</t>
  </si>
  <si>
    <t>50 / 500</t>
  </si>
  <si>
    <t>5,000 / 100,000</t>
  </si>
  <si>
    <t>Unmetered Scattered Load</t>
  </si>
  <si>
    <t>Sentinel Lighting</t>
  </si>
  <si>
    <t>0.2 / 1.0</t>
  </si>
  <si>
    <t>Street Lighting</t>
  </si>
  <si>
    <t>Residential Regular</t>
  </si>
  <si>
    <t>General Service Less Than 50 kW – Single Phase energy-billed [G1]</t>
  </si>
  <si>
    <t>General Service 50 to 699 kW</t>
  </si>
  <si>
    <t>50 / 700</t>
  </si>
  <si>
    <t>Large Use - Regular</t>
  </si>
  <si>
    <t>Residential Urban</t>
  </si>
  <si>
    <t>General Service Less Than 50 kW – Three Phase energy-billed [G3]</t>
  </si>
  <si>
    <t>General Service 50 to 999 kW</t>
  </si>
  <si>
    <t>50 / 1,000</t>
  </si>
  <si>
    <t>Large Use &gt; 5000 kW</t>
  </si>
  <si>
    <t>Residential Urban Year-Round</t>
  </si>
  <si>
    <t>General Service Less Than 50 kW – Transmission Class energy-billed [T]</t>
  </si>
  <si>
    <t>General Service 50 to 1,000 kW - Interval Meters</t>
  </si>
  <si>
    <t>Residential Suburban</t>
  </si>
  <si>
    <t>General Service Less Than 50 kW – Urban energy-billed [UG]</t>
  </si>
  <si>
    <t>General Service 50 to 1,000 kW - Non Interval Meters</t>
  </si>
  <si>
    <t>Residential Suburban Seasonal</t>
  </si>
  <si>
    <t>Westport Sewage Treatment Plant</t>
  </si>
  <si>
    <t>General Service 50 to 1,499 kW</t>
  </si>
  <si>
    <t>50 / 1,500</t>
  </si>
  <si>
    <t>Residential Suburban Year Round</t>
  </si>
  <si>
    <t>General Service  50 to 2,499 kW</t>
  </si>
  <si>
    <t>50 / 2,500</t>
  </si>
  <si>
    <t>Residential - Time of Use</t>
  </si>
  <si>
    <t>Small Commercial and USL - per connection</t>
  </si>
  <si>
    <t>General Service 50 to 2,999 kW</t>
  </si>
  <si>
    <t>50 / 3,000</t>
  </si>
  <si>
    <t>Residential - Hensall</t>
  </si>
  <si>
    <t>Farms – Single Phase energy-billed [F1]</t>
  </si>
  <si>
    <t>General Service 50 to 2,999 kW - Time of Use</t>
  </si>
  <si>
    <t>Residential – High Density [R1]</t>
  </si>
  <si>
    <t>General Service 50 to 4,999 kW</t>
  </si>
  <si>
    <t>50 / 5,000</t>
  </si>
  <si>
    <t>Residential – Normal Density [R2]</t>
  </si>
  <si>
    <t>General Service 50 to 4,999 kW - Time of Use</t>
  </si>
  <si>
    <t>Rate Class 12</t>
  </si>
  <si>
    <t>Seasonal Residential – High Density [R3]</t>
  </si>
  <si>
    <t>General Service 50 to 4,999 kW (CoGeneration)</t>
  </si>
  <si>
    <t>Rate Class 13</t>
  </si>
  <si>
    <t>Seasonal Residential – Normal Density [R4]</t>
  </si>
  <si>
    <t>General Service 50 to 4,999 kW (formerly Time of Use)</t>
  </si>
  <si>
    <t>Rate Class 14</t>
  </si>
  <si>
    <t>Residential – Urban [UR]</t>
  </si>
  <si>
    <t>General Service 500 to 4,999 kW</t>
  </si>
  <si>
    <t>500 / 5,000</t>
  </si>
  <si>
    <t>Rate Class 15</t>
  </si>
  <si>
    <t>General Service 700 to 4,999 kW</t>
  </si>
  <si>
    <t>700 / 5,000</t>
  </si>
  <si>
    <t>Rate Class 16</t>
  </si>
  <si>
    <t>General Service 1,000 to 2,999 kW</t>
  </si>
  <si>
    <t>1,000 / 3,000</t>
  </si>
  <si>
    <t>Rate Class 17</t>
  </si>
  <si>
    <t>General Service 1,000 to 4,999 kW</t>
  </si>
  <si>
    <t>1,000 / 5,000</t>
  </si>
  <si>
    <t>Rate Class 18</t>
  </si>
  <si>
    <t>General Service 1,500 to 4,999 kW</t>
  </si>
  <si>
    <t>1,500 / 5,000</t>
  </si>
  <si>
    <t>Rate Class 19</t>
  </si>
  <si>
    <t>General Service 2,500 to 4,999 kW</t>
  </si>
  <si>
    <t>2,500 / 5,000</t>
  </si>
  <si>
    <t>Rate Class 20</t>
  </si>
  <si>
    <t>General Service 3,000 to 4,999 kW</t>
  </si>
  <si>
    <t>3,000 / 5,000</t>
  </si>
  <si>
    <t>Rate Class 21</t>
  </si>
  <si>
    <t>General Service 3,000 to 4.999 kW - Time of Use</t>
  </si>
  <si>
    <t>Rate Class 22</t>
  </si>
  <si>
    <t>General Service - Commercial</t>
  </si>
  <si>
    <t>Rate Class 23</t>
  </si>
  <si>
    <t>General Service - Institutional</t>
  </si>
  <si>
    <t>Rate Class 24</t>
  </si>
  <si>
    <t>Farms – Three Phase energy-billed [F3]</t>
  </si>
  <si>
    <t>Rate Class 25</t>
  </si>
  <si>
    <t>Billed Customers or Connections</t>
  </si>
  <si>
    <t>Billed kWh</t>
  </si>
  <si>
    <t>Billed kW</t>
  </si>
  <si>
    <t>Service Charge Revenue</t>
  </si>
  <si>
    <t>Distribution Volumetric Rate Revenue 
kWh</t>
  </si>
  <si>
    <t>Distribution Volumetric Rate Revenue 
kW</t>
  </si>
  <si>
    <t>Total Revenue by Rate Class</t>
  </si>
  <si>
    <t>H</t>
  </si>
  <si>
    <t>Regulatory Taxable Income</t>
  </si>
  <si>
    <t>N</t>
  </si>
  <si>
    <t>P</t>
  </si>
  <si>
    <t>Q</t>
  </si>
  <si>
    <t>O</t>
  </si>
  <si>
    <t>R</t>
  </si>
  <si>
    <t>OEB Audit</t>
  </si>
  <si>
    <t>Sheet Number</t>
  </si>
  <si>
    <t>Assignment</t>
  </si>
  <si>
    <t>Sheet Title</t>
  </si>
  <si>
    <t>Core Sheet Name</t>
  </si>
  <si>
    <t>Chrs</t>
  </si>
  <si>
    <t>Sheet1</t>
  </si>
  <si>
    <t>A1.1</t>
  </si>
  <si>
    <t>LDC Information</t>
  </si>
  <si>
    <t>No</t>
  </si>
  <si>
    <t>Sheet2</t>
  </si>
  <si>
    <t>Sheet5</t>
  </si>
  <si>
    <t>Sheet7</t>
  </si>
  <si>
    <t>A2.1</t>
  </si>
  <si>
    <t>Table of Contents</t>
  </si>
  <si>
    <t>B1.1</t>
  </si>
  <si>
    <t>F1.1</t>
  </si>
  <si>
    <t>N/A</t>
  </si>
  <si>
    <t>Stretch Factor Group</t>
  </si>
  <si>
    <t>Stretch Factor Value</t>
  </si>
  <si>
    <t>ED-2003-0001</t>
  </si>
  <si>
    <t>ED-2002-0517</t>
  </si>
  <si>
    <t>ED-2003-0060</t>
  </si>
  <si>
    <t>ED-2002-0498</t>
  </si>
  <si>
    <t>ED-2002-0528</t>
  </si>
  <si>
    <t>ED-2002-0518</t>
  </si>
  <si>
    <t>ED-2003-0017</t>
  </si>
  <si>
    <t>ED-2002-0527</t>
  </si>
  <si>
    <t>ED-2002-0516</t>
  </si>
  <si>
    <t>ED-2002-0502</t>
  </si>
  <si>
    <t>ED-2002-0559</t>
  </si>
  <si>
    <t>ED-2002-0565</t>
  </si>
  <si>
    <t>ED-2002-0552</t>
  </si>
  <si>
    <t>ED-2002-0542</t>
  </si>
  <si>
    <t>ED-2002-0520</t>
  </si>
  <si>
    <t>ED-2002-0545</t>
  </si>
  <si>
    <t>ED-2002-0540</t>
  </si>
  <si>
    <t>ED-2002-0541</t>
  </si>
  <si>
    <t>ED-2002-0560</t>
  </si>
  <si>
    <t>ED-2002-0504</t>
  </si>
  <si>
    <t>ED-2004-0420</t>
  </si>
  <si>
    <t>ED-2002-0546</t>
  </si>
  <si>
    <t>ED-2003-0003</t>
  </si>
  <si>
    <t>ED-2002-0514</t>
  </si>
  <si>
    <t>ED-2002-0529</t>
  </si>
  <si>
    <t>ED-2003-0026</t>
  </si>
  <si>
    <t>ED-2003-0002</t>
  </si>
  <si>
    <t>ED-2002-0511</t>
  </si>
  <si>
    <t>ED-2002-0510</t>
  </si>
  <si>
    <t>ED-2002-0508</t>
  </si>
  <si>
    <t>ED-2002-0515</t>
  </si>
  <si>
    <t>Sheet23</t>
  </si>
  <si>
    <t>Z-Factor Tax Changes</t>
  </si>
  <si>
    <t>Sheet24</t>
  </si>
  <si>
    <t>Sheet25</t>
  </si>
  <si>
    <t>A1.1 LDC Information</t>
  </si>
  <si>
    <t>A2.1 Table of Contents</t>
  </si>
  <si>
    <t>F1.1 Z-Factor Tax Changes</t>
  </si>
  <si>
    <t>Sheet Name</t>
  </si>
  <si>
    <t>Purpose of Sheet</t>
  </si>
  <si>
    <t>OEB Control Sheet</t>
  </si>
  <si>
    <t>Z1.0</t>
  </si>
  <si>
    <t>Z1.0 OEB Control Sheet</t>
  </si>
  <si>
    <t>Enter LDC Data</t>
  </si>
  <si>
    <t>H = B * E</t>
  </si>
  <si>
    <t>I = C * F</t>
  </si>
  <si>
    <t>J = G + H + I</t>
  </si>
  <si>
    <t>B = A / $H</t>
  </si>
  <si>
    <t>Threshold</t>
  </si>
  <si>
    <t>Less Than 50</t>
  </si>
  <si>
    <t>Greater Than 50</t>
  </si>
  <si>
    <t>USL</t>
  </si>
  <si>
    <t>Sentinel</t>
  </si>
  <si>
    <t>Street</t>
  </si>
  <si>
    <t>500 / 20,000</t>
  </si>
  <si>
    <t>G = A * D *12</t>
  </si>
  <si>
    <t>Service Charge % Revenue</t>
  </si>
  <si>
    <t>Distribution Volumetric Rate % Revenue 
kWh</t>
  </si>
  <si>
    <t>Distribution Volumetric Rate % Revenue 
kW</t>
  </si>
  <si>
    <t>Total % Revenue</t>
  </si>
  <si>
    <t>Summary - Sharing of Tax Change Forecast Amounts</t>
  </si>
  <si>
    <t xml:space="preserve"> </t>
  </si>
  <si>
    <t xml:space="preserve">Tax Impact </t>
  </si>
  <si>
    <t>Not Shown</t>
  </si>
  <si>
    <t>Sharing formula for Tax changes - this is very preliminary</t>
  </si>
  <si>
    <t>Grossed-up Tax Amount</t>
  </si>
  <si>
    <t xml:space="preserve">Tax Related Amounts Forecast from Capital Tax Rate Changes </t>
  </si>
  <si>
    <t>Taxable Capital</t>
  </si>
  <si>
    <t>Deduction from taxable capital up to $15,000,000</t>
  </si>
  <si>
    <t xml:space="preserve">Net Taxable Capital </t>
  </si>
  <si>
    <t>Rate</t>
  </si>
  <si>
    <t>Ontario Capital Tax (Deductible, not grossed-up)</t>
  </si>
  <si>
    <t xml:space="preserve">Tax Related Amounts Forecast from lncome Tax Rate Changes </t>
  </si>
  <si>
    <t>Corporate Tax Rate</t>
  </si>
  <si>
    <t>Total Tax Related Amounts</t>
  </si>
  <si>
    <t>Incremental Tax Savings</t>
  </si>
  <si>
    <t>Sharing of Tax Savings (50%)</t>
  </si>
  <si>
    <t>Distribution Volumetric Rate kWh Rate Rider</t>
  </si>
  <si>
    <t>Distribution Volumetric Rate kW Rate Rider</t>
  </si>
  <si>
    <t xml:space="preserve">I </t>
  </si>
  <si>
    <t>Total Revenue $ by Rate Class</t>
  </si>
  <si>
    <t>Total Revenue % by Rate Class</t>
  </si>
  <si>
    <t>F = C / D</t>
  </si>
  <si>
    <t>G = C / E</t>
  </si>
  <si>
    <t>C = $I * B</t>
  </si>
  <si>
    <t>Total Z-Factor Tax Change$ by Rate Class</t>
  </si>
  <si>
    <t>Service Charge Rate Rider</t>
  </si>
  <si>
    <t>D = $N * A</t>
  </si>
  <si>
    <t>E = $N * B</t>
  </si>
  <si>
    <t>F = $N * C</t>
  </si>
  <si>
    <t>G = D + E + F</t>
  </si>
  <si>
    <t xml:space="preserve">J </t>
  </si>
  <si>
    <t>K = D / H / 12</t>
  </si>
  <si>
    <t>L = E / I</t>
  </si>
  <si>
    <t>M = F / J</t>
  </si>
  <si>
    <t>II</t>
  </si>
  <si>
    <t>ED-2003-0037</t>
  </si>
  <si>
    <t>F1.2 CalcTaxChg RRider OptA FV</t>
  </si>
  <si>
    <t>Option A - Calculation of Tax Sharing Rate Rider - Fixed Variable Split</t>
  </si>
  <si>
    <t>Option B - Calculation of Tax Sharing Rate Rider - Volumetric Allocation</t>
  </si>
  <si>
    <t>aaa</t>
  </si>
  <si>
    <t>K = G / J</t>
  </si>
  <si>
    <t>L = H / J</t>
  </si>
  <si>
    <t>M = I / J</t>
  </si>
  <si>
    <t>Re-based Billed kWh</t>
  </si>
  <si>
    <t>Re-based Billed kW</t>
  </si>
  <si>
    <t>Re-based Billed Customers or Connections</t>
  </si>
  <si>
    <t>B1.1 Re-Based Bill Det &amp; Rates</t>
  </si>
  <si>
    <t>B1.3 Re-Based Rev From Rates</t>
  </si>
  <si>
    <t>N = J / R</t>
  </si>
  <si>
    <t>Revenue Requirement from Rates</t>
  </si>
  <si>
    <t xml:space="preserve">1. Tax Related Amounts Forecast from Capital Tax Rate Changes </t>
  </si>
  <si>
    <t xml:space="preserve">2. Tax Related Amounts Forecast from lncome Tax Rate Changes </t>
  </si>
  <si>
    <t>Licence Number</t>
  </si>
  <si>
    <t>Application Type</t>
  </si>
  <si>
    <t>Applied for Effective Date</t>
  </si>
  <si>
    <t>Stretch Factor</t>
  </si>
  <si>
    <t>IRM3</t>
  </si>
  <si>
    <t>ED-2002-0547</t>
  </si>
  <si>
    <t>EB-2009-0255</t>
  </si>
  <si>
    <t xml:space="preserve">Set Up Rate Classes and enter Re-Based Billing Determinants and Tariff Rates </t>
  </si>
  <si>
    <t>Rate Class and Re-Based Billing Determinants &amp; Rates</t>
  </si>
  <si>
    <t>B1.3</t>
  </si>
  <si>
    <t>Calculated Re-Based Revenue From Rates</t>
  </si>
  <si>
    <t>Sheet32</t>
  </si>
  <si>
    <t>F1.2</t>
  </si>
  <si>
    <t>F1.3</t>
  </si>
  <si>
    <t>Enter the above value onto Sheet 
"J2.1 Tax Change Rate Rider" 
of the 2010 OEB IRM3 Rate Generator.</t>
  </si>
  <si>
    <t>Enter the above value onto Sheet 
"J1.2 Incremental Cap Fund Adder" 
of the 2010 OEB IRM3 Rate Generator.</t>
  </si>
  <si>
    <t>EMB</t>
  </si>
  <si>
    <t>SB</t>
  </si>
  <si>
    <t>Embedded Distributor</t>
  </si>
  <si>
    <t>Stand-By</t>
  </si>
  <si>
    <t>Low Voltage Wheeling Charge Rate</t>
  </si>
  <si>
    <t>Standby Power</t>
  </si>
  <si>
    <t>Standby Power – INTERIM APPROVAL</t>
  </si>
  <si>
    <t>Large Use - 3TS</t>
  </si>
  <si>
    <t>Standby Power - APPROVED ON AN INTERIM BASIS</t>
  </si>
  <si>
    <t>Large Use - Ford Annex</t>
  </si>
  <si>
    <t>Standby - General Service 50 - 1,000 kW</t>
  </si>
  <si>
    <t>Standby Power General Service 50 to 1,499 kW</t>
  </si>
  <si>
    <t>Small Commercial and USL - per meter</t>
  </si>
  <si>
    <t>Standby - General Service 1,000 - 5,000 kW</t>
  </si>
  <si>
    <t>Standby Power General Service 1,500 to 4,999 kW</t>
  </si>
  <si>
    <t>Standby - Large Use</t>
  </si>
  <si>
    <t>Standby Power General Service Large Use</t>
  </si>
  <si>
    <t>Standby Distribution Service</t>
  </si>
  <si>
    <t>General Service 50 to 4,999 kW – Time of Use by Service Area - Blenheim</t>
  </si>
  <si>
    <t>General Service 50 to 4,999 kW – Time of Use by Service Area - Chatham</t>
  </si>
  <si>
    <t>Calculate Tax Change Rate Rider Option A Fixed and Volumetric</t>
  </si>
  <si>
    <t>F1.3 Calc Tax Chg RRider Var</t>
  </si>
  <si>
    <t>Company Name</t>
  </si>
  <si>
    <t>EB Number</t>
  </si>
  <si>
    <t>Effective Date</t>
  </si>
  <si>
    <t>Last Rebasing</t>
  </si>
  <si>
    <t>Previous COS EB Number</t>
  </si>
  <si>
    <t>Atikokan Hydro Inc.</t>
  </si>
  <si>
    <t>EB-2010-0064</t>
  </si>
  <si>
    <t>EB-2008-0014</t>
  </si>
  <si>
    <t>Bluewater Power Distribution Corporation</t>
  </si>
  <si>
    <t>EB-2010-0065</t>
  </si>
  <si>
    <t>EB-2008-0221</t>
  </si>
  <si>
    <t>Brantford Power Inc.</t>
  </si>
  <si>
    <t>EB-2010-0066</t>
  </si>
  <si>
    <t>EB-2007-0698</t>
  </si>
  <si>
    <t>Burlington Hydro Inc.</t>
  </si>
  <si>
    <t>ED-2003-0004</t>
  </si>
  <si>
    <t>EB-2010-0067</t>
  </si>
  <si>
    <t>EB-2009-0259</t>
  </si>
  <si>
    <t>Cambridge and North Dumfries Hydro Inc.</t>
  </si>
  <si>
    <t>ED-2002-0574</t>
  </si>
  <si>
    <t>EB-2010-0068</t>
  </si>
  <si>
    <t>EB-2009-0260</t>
  </si>
  <si>
    <t>Centre Wellington Hydro Ltd.</t>
  </si>
  <si>
    <t xml:space="preserve">EB-2010-0072 </t>
  </si>
  <si>
    <t>EB-2008-0225</t>
  </si>
  <si>
    <t>Chapleau Public Utilities Corporation</t>
  </si>
  <si>
    <t>EB-2010-0073</t>
  </si>
  <si>
    <t>EB-2007-0755</t>
  </si>
  <si>
    <t>Chatham-Kent Hydro Inc.</t>
  </si>
  <si>
    <t>ED-2002-0563</t>
  </si>
  <si>
    <t xml:space="preserve">EB-2010-0074 </t>
  </si>
  <si>
    <t>EB-2009-0261</t>
  </si>
  <si>
    <t>Clinton Power Corporation</t>
  </si>
  <si>
    <t>ED-2002-0496</t>
  </si>
  <si>
    <t xml:space="preserve">EB-2010-0075 </t>
  </si>
  <si>
    <t>EB-2009-0262</t>
  </si>
  <si>
    <t>COLLUS Power Corporation</t>
  </si>
  <si>
    <t xml:space="preserve">EB-2010-0076 </t>
  </si>
  <si>
    <t>EB-2008-0226</t>
  </si>
  <si>
    <t>Cooperative Hydro Embrun Inc.</t>
  </si>
  <si>
    <t>ED-2002-0493</t>
  </si>
  <si>
    <t xml:space="preserve">EB-2010-0077 </t>
  </si>
  <si>
    <t>EB-2009-0132</t>
  </si>
  <si>
    <t>Enersource Hydro Mississauga Inc.</t>
  </si>
  <si>
    <t xml:space="preserve">EB-2010-0078 </t>
  </si>
  <si>
    <t>EB-2007-0706</t>
  </si>
  <si>
    <t>ENWIN Utilities Ltd.</t>
  </si>
  <si>
    <t xml:space="preserve">EB-2010-0079 </t>
  </si>
  <si>
    <t>EB-2008-0227</t>
  </si>
  <si>
    <t>Erie Thames Powerlines Corporation</t>
  </si>
  <si>
    <t xml:space="preserve">EB-2010-0080 </t>
  </si>
  <si>
    <t>EB-2007-0928</t>
  </si>
  <si>
    <t>Espanola Regional Hydro Distribution Corporation</t>
  </si>
  <si>
    <t xml:space="preserve">EB-2010-0081 </t>
  </si>
  <si>
    <t>EB-2007-0901</t>
  </si>
  <si>
    <t>Essex Powerlines Corporation</t>
  </si>
  <si>
    <t>ED-2002-0499</t>
  </si>
  <si>
    <t>EB-2010-0082</t>
  </si>
  <si>
    <t>EB-2009-0143</t>
  </si>
  <si>
    <t>Festival Hydro Inc.</t>
  </si>
  <si>
    <t>ED-2002-0513</t>
  </si>
  <si>
    <t xml:space="preserve">EB-2010-0083 </t>
  </si>
  <si>
    <t>EB-2009-0263</t>
  </si>
  <si>
    <t>Greater Sudbury Hydro Inc. - Greater Sudbury</t>
  </si>
  <si>
    <t xml:space="preserve">EB-2010-0085 </t>
  </si>
  <si>
    <t>EB-2008-0230</t>
  </si>
  <si>
    <t>Guelph Hydro Electric Systems Inc.</t>
  </si>
  <si>
    <t xml:space="preserve">EB-2010-0130 </t>
  </si>
  <si>
    <t>EB-2007-0742</t>
  </si>
  <si>
    <t>Haldimand County Hydro Inc.</t>
  </si>
  <si>
    <t>ED-2002-0539</t>
  </si>
  <si>
    <t xml:space="preserve">EB-2010-0086 </t>
  </si>
  <si>
    <t>EB-2009-0265</t>
  </si>
  <si>
    <t>Halton Hills Hydro Inc.</t>
  </si>
  <si>
    <t xml:space="preserve">EB-2010-0087 </t>
  </si>
  <si>
    <t>EB-2007-0696</t>
  </si>
  <si>
    <t>Hearst Power Distribution Company Limited</t>
  </si>
  <si>
    <t>ED-2002-0533</t>
  </si>
  <si>
    <t xml:space="preserve">EB-2010-0088 </t>
  </si>
  <si>
    <t>EB-2009-0266</t>
  </si>
  <si>
    <t>Hydro 2000 Inc.</t>
  </si>
  <si>
    <t xml:space="preserve">EB-2010-0089 </t>
  </si>
  <si>
    <t>EB-2007-0704</t>
  </si>
  <si>
    <t>Hydro Hawkesbury Inc.</t>
  </si>
  <si>
    <t>ED-2003-0027</t>
  </si>
  <si>
    <t xml:space="preserve">EB-2010-0090 </t>
  </si>
  <si>
    <t>EB-2009-0186</t>
  </si>
  <si>
    <t>Hydro One Remote Communities Inc.</t>
  </si>
  <si>
    <t xml:space="preserve">EB-2010-0092 </t>
  </si>
  <si>
    <t>EB-2008-0232</t>
  </si>
  <si>
    <t>Innisfil Hydro Distribution Systems Limited</t>
  </si>
  <si>
    <t xml:space="preserve">EB-2010-0093 </t>
  </si>
  <si>
    <t>EB-2008-0233</t>
  </si>
  <si>
    <t>Kitchener-Wilmot Hydro Inc.</t>
  </si>
  <si>
    <t>ED-2002-0573</t>
  </si>
  <si>
    <t xml:space="preserve">EB-2010-0094 </t>
  </si>
  <si>
    <t>EB-2009-0267</t>
  </si>
  <si>
    <t>Lakefront Utilities Inc.</t>
  </si>
  <si>
    <t xml:space="preserve">EB-2010-0095 </t>
  </si>
  <si>
    <t>EB-2008-0193</t>
  </si>
  <si>
    <t>Lakeland Power Distribution Ltd.</t>
  </si>
  <si>
    <t xml:space="preserve">EB-2010-0096 </t>
  </si>
  <si>
    <t>EB-2008-0234</t>
  </si>
  <si>
    <t>London Hydro Inc.</t>
  </si>
  <si>
    <t>ED-2002-0557</t>
  </si>
  <si>
    <t>EB-2010-0097</t>
  </si>
  <si>
    <t>EB-2008-0235</t>
  </si>
  <si>
    <t>Midland Power Utility Corporation</t>
  </si>
  <si>
    <t xml:space="preserve">EB-2010-0099 </t>
  </si>
  <si>
    <t>EB-2008-0236</t>
  </si>
  <si>
    <t>Newmarket - Tay Power Distribution Ltd. - Newmarket</t>
  </si>
  <si>
    <t>ED-2007-0624</t>
  </si>
  <si>
    <t xml:space="preserve">EB-2010-0100 </t>
  </si>
  <si>
    <t>EB-2009-0268</t>
  </si>
  <si>
    <t>Newmarket - Tay Power Distribution Ltd. - Tay</t>
  </si>
  <si>
    <t>Niagara-on-the-Lake Hydro Inc.</t>
  </si>
  <si>
    <t xml:space="preserve">EB-2010-0101 </t>
  </si>
  <si>
    <t>EB-2008-0237</t>
  </si>
  <si>
    <t>North Bay Hydro Distribution Limited</t>
  </si>
  <si>
    <t>ED-2003-0024</t>
  </si>
  <si>
    <t xml:space="preserve">EB-2010-0102 </t>
  </si>
  <si>
    <t>EB-2009-0270</t>
  </si>
  <si>
    <t>Northern Ontario Wires Inc.</t>
  </si>
  <si>
    <t>ED-2003-0018</t>
  </si>
  <si>
    <t>EB-2010-0103</t>
  </si>
  <si>
    <t>EB-2008-0238</t>
  </si>
  <si>
    <t>Oakville Hydro Electricity Distribution Inc.</t>
  </si>
  <si>
    <t>ED-2003-0135</t>
  </si>
  <si>
    <t xml:space="preserve">EB-2010-0104 </t>
  </si>
  <si>
    <t>EB-2009-0271</t>
  </si>
  <si>
    <t>Orangeville Hydro Limited</t>
  </si>
  <si>
    <t>ED-2002-0500</t>
  </si>
  <si>
    <t>EB-2010-0105</t>
  </si>
  <si>
    <t>EB-2009-0272</t>
  </si>
  <si>
    <t>Orillia Power Distribution Corporation</t>
  </si>
  <si>
    <t>ED-2002-0530</t>
  </si>
  <si>
    <t xml:space="preserve">EB-2010-0106 </t>
  </si>
  <si>
    <t>EB-2009-0273</t>
  </si>
  <si>
    <t>Oshawa PUC Networks Inc.</t>
  </si>
  <si>
    <t xml:space="preserve">EB-2010-0107 </t>
  </si>
  <si>
    <t>EB-2007-0710</t>
  </si>
  <si>
    <t>Ottawa River Power Corporation</t>
  </si>
  <si>
    <t>ED-2003-0033</t>
  </si>
  <si>
    <t xml:space="preserve">EB-2010-0108 </t>
  </si>
  <si>
    <t>EB-2009-0165</t>
  </si>
  <si>
    <t>Peterborough Distribution Incorporated</t>
  </si>
  <si>
    <t>EB-2010-0109</t>
  </si>
  <si>
    <t>EB-2008-0241</t>
  </si>
  <si>
    <t>PowerStream Inc. - Barrie</t>
  </si>
  <si>
    <t xml:space="preserve">EB-2010-0110 </t>
  </si>
  <si>
    <t>EB-2007-0746</t>
  </si>
  <si>
    <t>PowerStream Inc. - South</t>
  </si>
  <si>
    <t>EB-2008-0244</t>
  </si>
  <si>
    <t>PUC Distribution Inc.</t>
  </si>
  <si>
    <t xml:space="preserve">EB-2010-0111 </t>
  </si>
  <si>
    <t>EB-2007-0931</t>
  </si>
  <si>
    <t>Renfrew Hydro Inc.</t>
  </si>
  <si>
    <t>ED-2002-0577</t>
  </si>
  <si>
    <t xml:space="preserve">EB-2010-0112 </t>
  </si>
  <si>
    <t>EB-2009-0146</t>
  </si>
  <si>
    <t>Rideau St. Lawrence Distribution Inc.</t>
  </si>
  <si>
    <t>EB-2010-0113</t>
  </si>
  <si>
    <t>EB-2007-0762</t>
  </si>
  <si>
    <t>Sioux Lookout Hydro Inc.</t>
  </si>
  <si>
    <t xml:space="preserve">EB-2010-0114 </t>
  </si>
  <si>
    <t>EB-2007-0785</t>
  </si>
  <si>
    <t>Thunder Bay Hydro Electricity Distribution Inc.</t>
  </si>
  <si>
    <t xml:space="preserve">EB-2010-0115 </t>
  </si>
  <si>
    <t>EB-2008-0245</t>
  </si>
  <si>
    <t>Tillsonburg Hydro Inc.</t>
  </si>
  <si>
    <t xml:space="preserve">EB-2010-0116 </t>
  </si>
  <si>
    <t>EB-2008-0246</t>
  </si>
  <si>
    <t>Veridian Connections Inc. - Gravenhurst</t>
  </si>
  <si>
    <t>ED-2002-0503</t>
  </si>
  <si>
    <t xml:space="preserve">EB-2010-0117 </t>
  </si>
  <si>
    <t>EB-2009-0140</t>
  </si>
  <si>
    <t>Veridian Connections Inc. - Veridian</t>
  </si>
  <si>
    <t>Welland Hydro-Electric System Corp.</t>
  </si>
  <si>
    <t xml:space="preserve">EB-2010-0118 </t>
  </si>
  <si>
    <t>EB-2008-0247</t>
  </si>
  <si>
    <t>Wellington North Power Inc.</t>
  </si>
  <si>
    <t xml:space="preserve">EB-2010-0119 </t>
  </si>
  <si>
    <t>EB-2007-0693</t>
  </si>
  <si>
    <t>West Coast Huron Energy Inc.</t>
  </si>
  <si>
    <t xml:space="preserve">EB-2010-0120 </t>
  </si>
  <si>
    <t>EB-2008-0248</t>
  </si>
  <si>
    <t>West Perth Power Inc.</t>
  </si>
  <si>
    <t>EB-2010-0075</t>
  </si>
  <si>
    <t>Westario Power Inc.</t>
  </si>
  <si>
    <t xml:space="preserve">EB-2010-0122 </t>
  </si>
  <si>
    <t>EB-2008-0250</t>
  </si>
  <si>
    <t>Whitby Hydro Electric Corporation</t>
  </si>
  <si>
    <t>ED-2002-0571</t>
  </si>
  <si>
    <t xml:space="preserve">EB-2010-0123 </t>
  </si>
  <si>
    <t>EB-2009-0274</t>
  </si>
  <si>
    <t>Last COS Re-based Year</t>
  </si>
  <si>
    <t>Last COS OEB Application Number</t>
  </si>
  <si>
    <t>ICM Billing Determinants for Growth - Numerator</t>
  </si>
  <si>
    <t>ICM Billing Determinants for Growth - Denominator</t>
  </si>
  <si>
    <t>Rate ReBal Base Service Charge</t>
  </si>
  <si>
    <t>Rate ReBal Base Distribution Volumetric Rate kWh</t>
  </si>
  <si>
    <t>Rate ReBal Base Distribution Volumetric Rate kW</t>
  </si>
  <si>
    <t>Calculate Tax Change Rate Rider Volumetric</t>
  </si>
  <si>
    <t>Enter the above value onto Sheet 
"J2.7 Tax Change Rate Rider" 
of the 2011 IRM3 Rate Generator.</t>
  </si>
  <si>
    <t>Version : 1.0</t>
  </si>
  <si>
    <t>Canadian Niagara Power Inc. - Eastern Ontario Power</t>
  </si>
  <si>
    <t>ED-2002-0572</t>
  </si>
  <si>
    <t xml:space="preserve">EB-2010-0071 </t>
  </si>
  <si>
    <t>EB-2008-0222</t>
  </si>
  <si>
    <t>Canadian Niagara Power Inc. - Fort Erie</t>
  </si>
  <si>
    <t xml:space="preserve">EB-2010-0070 </t>
  </si>
  <si>
    <t>EB-2008-0223</t>
  </si>
  <si>
    <t>Canadian Niagara Power Inc. - Port Colborne</t>
  </si>
  <si>
    <t>EB-2010-0069</t>
  </si>
  <si>
    <t>EB-2008-0224</t>
  </si>
  <si>
    <t>Hydro Ottawa Limited</t>
  </si>
  <si>
    <t>ED-2002-0556</t>
  </si>
  <si>
    <t>EB-2010-0326</t>
  </si>
  <si>
    <t>EB-2007-0713</t>
  </si>
  <si>
    <t>December 30, 1899</t>
  </si>
  <si>
    <t>RES</t>
  </si>
  <si>
    <t>Customer</t>
  </si>
  <si>
    <t>kWh</t>
  </si>
  <si>
    <t>GSLT50</t>
  </si>
  <si>
    <t>GSGT50</t>
  </si>
  <si>
    <t>kW</t>
  </si>
  <si>
    <t>LU</t>
  </si>
  <si>
    <t>Connection</t>
  </si>
  <si>
    <t>Sen</t>
  </si>
  <si>
    <t>SL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</si>
</sst>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"/>
    <numFmt numFmtId="174" formatCode="0.0%"/>
    <numFmt numFmtId="175" formatCode="_-* #,##0.0000_-;\-* #,##0.0000_-;_-* &quot;-&quot;??_-;_-@_-"/>
    <numFmt numFmtId="176" formatCode="_-&quot;$&quot;* #,##0.0000_-;\-&quot;$&quot;* #,##0.0000_-;_-&quot;$&quot;* &quot;-&quot;??_-;_-@_-"/>
    <numFmt numFmtId="177" formatCode="_-* #,##0_-;\-* #,##0_-;_-* &quot;-&quot;??_-;_-@_-"/>
    <numFmt numFmtId="178" formatCode="[$-1009]mmmm\ d\,\ yyyy;@"/>
    <numFmt numFmtId="179" formatCode="[$-F800]dddd\,\ mmmm\ dd\,\ yyyy"/>
    <numFmt numFmtId="180" formatCode="0.000%"/>
    <numFmt numFmtId="181" formatCode="&quot;$&quot;#,##0"/>
    <numFmt numFmtId="182" formatCode="_-&quot;$&quot;* #,##0_-;\-&quot;$&quot;* #,##0_-;_-&quot;$&quot;* &quot;-&quot;??_-;_-@_-"/>
    <numFmt numFmtId="183" formatCode="_-* #,##0.0_-;\-* #,##0.0_-;_-* &quot;-&quot;??_-;_-@_-"/>
    <numFmt numFmtId="184" formatCode="&quot;$&quot;#,##0.0000"/>
    <numFmt numFmtId="185" formatCode="&quot;$&quot;#,##0.000000"/>
    <numFmt numFmtId="186" formatCode="&quot;$&quot;#,##0.0000000"/>
    <numFmt numFmtId="187" formatCode="#,##0_);\(#,##0\ \)"/>
    <numFmt numFmtId="188" formatCode="#,##0.00_);\(#,##0.00\ \)"/>
    <numFmt numFmtId="189" formatCode="#,##0.0000_);\(#,##0.0000\ \)"/>
    <numFmt numFmtId="190" formatCode="#,##0.0%_);\(#,##0.0%\ \)"/>
    <numFmt numFmtId="191" formatCode="#,##0.00%_);\(#,##0.00%\ \)"/>
    <numFmt numFmtId="192" formatCode="_-* #,##0.000_-;\-* #,##0.000_-;_-* &quot;-&quot;??_-;_-@_-"/>
    <numFmt numFmtId="193" formatCode="_-* #,##0.0000_-;\-* #,##0.0000_-;_-* &quot;-&quot;????_-;_-@_-"/>
    <numFmt numFmtId="194" formatCode="0.0"/>
    <numFmt numFmtId="195" formatCode="_-* #,##0.0_-;\-* #,##0.0_-;_-* &quot;-&quot;?_-;_-@_-"/>
    <numFmt numFmtId="196" formatCode="[$-1009]mmmm\ d\,\ yyyy"/>
    <numFmt numFmtId="197" formatCode="&quot;$&quot;#,##0.000"/>
    <numFmt numFmtId="198" formatCode="&quot;$&quot;#,##0.00000"/>
    <numFmt numFmtId="199" formatCode="&quot;$&quot;#,##0.0"/>
    <numFmt numFmtId="200" formatCode="&quot;$&quot;#,##0.00000000"/>
    <numFmt numFmtId="201" formatCode="&quot;$&quot;#,##0.000000000"/>
    <numFmt numFmtId="202" formatCode="&quot;$&quot;#,##0.0000000000"/>
    <numFmt numFmtId="203" formatCode="&quot;$&quot;#,##0.00000000000"/>
  </numFmts>
  <fonts count="50">
    <font>
      <sz val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color indexed="18"/>
      <name val="Cooper Black"/>
      <family val="1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4" fillId="0" borderId="0" xfId="58" applyProtection="1">
      <alignment/>
      <protection/>
    </xf>
    <xf numFmtId="0" fontId="4" fillId="0" borderId="0" xfId="58" applyProtection="1">
      <alignment/>
      <protection locked="0"/>
    </xf>
    <xf numFmtId="0" fontId="4" fillId="0" borderId="0" xfId="58" applyAlignment="1" applyProtection="1">
      <alignment horizontal="center"/>
      <protection/>
    </xf>
    <xf numFmtId="0" fontId="4" fillId="32" borderId="0" xfId="58" applyFill="1" applyAlignment="1" applyProtection="1">
      <alignment horizontal="center"/>
      <protection/>
    </xf>
    <xf numFmtId="184" fontId="4" fillId="33" borderId="0" xfId="58" applyNumberFormat="1" applyFill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" fontId="4" fillId="33" borderId="0" xfId="58" applyNumberFormat="1" applyFill="1" applyProtection="1">
      <alignment/>
      <protection/>
    </xf>
    <xf numFmtId="174" fontId="4" fillId="33" borderId="0" xfId="61" applyNumberFormat="1" applyFont="1" applyFill="1" applyAlignment="1" applyProtection="1">
      <alignment/>
      <protection/>
    </xf>
    <xf numFmtId="174" fontId="4" fillId="33" borderId="10" xfId="61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1"/>
      <protection/>
    </xf>
    <xf numFmtId="182" fontId="0" fillId="33" borderId="0" xfId="44" applyNumberFormat="1" applyFill="1" applyAlignment="1" applyProtection="1">
      <alignment/>
      <protection/>
    </xf>
    <xf numFmtId="182" fontId="2" fillId="33" borderId="11" xfId="0" applyNumberFormat="1" applyFont="1" applyFill="1" applyBorder="1" applyAlignment="1" applyProtection="1">
      <alignment/>
      <protection/>
    </xf>
    <xf numFmtId="182" fontId="2" fillId="33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182" fontId="0" fillId="33" borderId="0" xfId="0" applyNumberFormat="1" applyFill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180" fontId="0" fillId="33" borderId="0" xfId="0" applyNumberFormat="1" applyFill="1" applyAlignment="1" applyProtection="1">
      <alignment/>
      <protection/>
    </xf>
    <xf numFmtId="44" fontId="4" fillId="33" borderId="0" xfId="44" applyFont="1" applyFill="1" applyAlignment="1" applyProtection="1">
      <alignment/>
      <protection/>
    </xf>
    <xf numFmtId="43" fontId="0" fillId="0" borderId="0" xfId="42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185" fontId="4" fillId="33" borderId="0" xfId="58" applyNumberFormat="1" applyFill="1" applyProtection="1">
      <alignment/>
      <protection/>
    </xf>
    <xf numFmtId="186" fontId="4" fillId="33" borderId="0" xfId="58" applyNumberFormat="1" applyFill="1" applyProtection="1">
      <alignment/>
      <protection/>
    </xf>
    <xf numFmtId="44" fontId="4" fillId="33" borderId="10" xfId="44" applyFont="1" applyFill="1" applyBorder="1" applyAlignment="1" applyProtection="1">
      <alignment/>
      <protection/>
    </xf>
    <xf numFmtId="44" fontId="4" fillId="18" borderId="10" xfId="44" applyFont="1" applyFill="1" applyBorder="1" applyAlignment="1" applyProtection="1">
      <alignment/>
      <protection/>
    </xf>
    <xf numFmtId="182" fontId="2" fillId="33" borderId="11" xfId="44" applyNumberFormat="1" applyFont="1" applyFill="1" applyBorder="1" applyAlignment="1" applyProtection="1">
      <alignment/>
      <protection/>
    </xf>
    <xf numFmtId="182" fontId="0" fillId="4" borderId="0" xfId="0" applyNumberFormat="1" applyFill="1" applyAlignment="1" applyProtection="1">
      <alignment/>
      <protection locked="0"/>
    </xf>
    <xf numFmtId="0" fontId="11" fillId="0" borderId="0" xfId="0" applyFont="1" applyAlignment="1" applyProtection="1">
      <alignment horizontal="left"/>
      <protection/>
    </xf>
    <xf numFmtId="0" fontId="2" fillId="35" borderId="0" xfId="0" applyFont="1" applyFill="1" applyAlignment="1" applyProtection="1">
      <alignment horizontal="center" wrapText="1"/>
      <protection/>
    </xf>
    <xf numFmtId="0" fontId="7" fillId="35" borderId="0" xfId="58" applyFont="1" applyFill="1" applyAlignment="1" applyProtection="1">
      <alignment horizontal="center"/>
      <protection/>
    </xf>
    <xf numFmtId="182" fontId="4" fillId="33" borderId="0" xfId="44" applyNumberFormat="1" applyFont="1" applyFill="1" applyAlignment="1" applyProtection="1">
      <alignment/>
      <protection/>
    </xf>
    <xf numFmtId="0" fontId="4" fillId="0" borderId="0" xfId="58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3" fillId="0" borderId="0" xfId="58" applyFont="1" applyProtection="1">
      <alignment/>
      <protection/>
    </xf>
    <xf numFmtId="182" fontId="4" fillId="33" borderId="10" xfId="58" applyNumberFormat="1" applyFill="1" applyBorder="1" applyProtection="1">
      <alignment/>
      <protection/>
    </xf>
    <xf numFmtId="182" fontId="4" fillId="18" borderId="10" xfId="58" applyNumberFormat="1" applyFill="1" applyBorder="1" applyProtection="1">
      <alignment/>
      <protection/>
    </xf>
    <xf numFmtId="43" fontId="0" fillId="0" borderId="0" xfId="42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81" fontId="4" fillId="33" borderId="0" xfId="0" applyNumberFormat="1" applyFont="1" applyFill="1" applyAlignment="1" applyProtection="1">
      <alignment/>
      <protection/>
    </xf>
    <xf numFmtId="10" fontId="4" fillId="33" borderId="0" xfId="0" applyNumberFormat="1" applyFont="1" applyFill="1" applyAlignment="1" applyProtection="1">
      <alignment/>
      <protection/>
    </xf>
    <xf numFmtId="181" fontId="4" fillId="33" borderId="10" xfId="58" applyNumberFormat="1" applyFont="1" applyFill="1" applyBorder="1" applyProtection="1">
      <alignment/>
      <protection/>
    </xf>
    <xf numFmtId="10" fontId="4" fillId="33" borderId="10" xfId="58" applyNumberFormat="1" applyFont="1" applyFill="1" applyBorder="1" applyProtection="1">
      <alignment/>
      <protection/>
    </xf>
    <xf numFmtId="181" fontId="4" fillId="36" borderId="10" xfId="58" applyNumberFormat="1" applyFont="1" applyFill="1" applyBorder="1" applyProtection="1">
      <alignment/>
      <protection/>
    </xf>
    <xf numFmtId="0" fontId="3" fillId="0" borderId="0" xfId="0" applyFont="1" applyAlignment="1" applyProtection="1">
      <alignment/>
      <protection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/>
    </xf>
    <xf numFmtId="179" fontId="2" fillId="0" borderId="0" xfId="0" applyNumberFormat="1" applyFont="1" applyAlignment="1" applyProtection="1">
      <alignment horizontal="center"/>
      <protection/>
    </xf>
    <xf numFmtId="174" fontId="2" fillId="33" borderId="0" xfId="61" applyNumberFormat="1" applyFont="1" applyFill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78" fontId="2" fillId="33" borderId="0" xfId="0" applyNumberFormat="1" applyFont="1" applyFill="1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3" fillId="0" borderId="0" xfId="58" applyFont="1" applyProtection="1">
      <alignment/>
      <protection/>
    </xf>
    <xf numFmtId="0" fontId="13" fillId="0" borderId="0" xfId="58" applyFont="1" applyProtection="1">
      <alignment/>
      <protection/>
    </xf>
    <xf numFmtId="0" fontId="0" fillId="0" borderId="0" xfId="57" applyProtection="1">
      <alignment/>
      <protection/>
    </xf>
    <xf numFmtId="0" fontId="0" fillId="0" borderId="0" xfId="57" applyAlignment="1" applyProtection="1">
      <alignment horizontal="center"/>
      <protection/>
    </xf>
    <xf numFmtId="0" fontId="4" fillId="34" borderId="0" xfId="58" applyFill="1" applyAlignment="1" applyProtection="1">
      <alignment horizontal="center"/>
      <protection locked="0"/>
    </xf>
    <xf numFmtId="3" fontId="4" fillId="18" borderId="12" xfId="58" applyNumberFormat="1" applyFill="1" applyBorder="1" applyProtection="1">
      <alignment/>
      <protection locked="0"/>
    </xf>
    <xf numFmtId="3" fontId="4" fillId="18" borderId="12" xfId="58" applyNumberFormat="1" applyFill="1" applyBorder="1" applyAlignment="1" applyProtection="1">
      <alignment horizontal="center"/>
      <protection locked="0"/>
    </xf>
    <xf numFmtId="3" fontId="4" fillId="18" borderId="12" xfId="58" applyNumberFormat="1" applyFill="1" applyBorder="1" applyAlignment="1" applyProtection="1">
      <alignment horizontal="center"/>
      <protection/>
    </xf>
    <xf numFmtId="187" fontId="4" fillId="33" borderId="12" xfId="58" applyNumberFormat="1" applyFill="1" applyBorder="1" applyProtection="1">
      <alignment/>
      <protection/>
    </xf>
    <xf numFmtId="188" fontId="4" fillId="33" borderId="12" xfId="58" applyNumberFormat="1" applyFill="1" applyBorder="1" applyProtection="1">
      <alignment/>
      <protection/>
    </xf>
    <xf numFmtId="189" fontId="4" fillId="33" borderId="12" xfId="58" applyNumberFormat="1" applyFill="1" applyBorder="1" applyProtection="1">
      <alignment/>
      <protection/>
    </xf>
    <xf numFmtId="189" fontId="4" fillId="0" borderId="0" xfId="58" applyNumberFormat="1" applyProtection="1">
      <alignment/>
      <protection/>
    </xf>
    <xf numFmtId="188" fontId="4" fillId="33" borderId="0" xfId="58" applyNumberFormat="1" applyFill="1" applyProtection="1">
      <alignment/>
      <protection/>
    </xf>
    <xf numFmtId="189" fontId="4" fillId="33" borderId="0" xfId="44" applyNumberFormat="1" applyFont="1" applyFill="1" applyAlignment="1" applyProtection="1">
      <alignment/>
      <protection/>
    </xf>
    <xf numFmtId="187" fontId="4" fillId="33" borderId="0" xfId="58" applyNumberFormat="1" applyFill="1" applyProtection="1">
      <alignment/>
      <protection/>
    </xf>
    <xf numFmtId="187" fontId="4" fillId="33" borderId="10" xfId="58" applyNumberFormat="1" applyFill="1" applyBorder="1" applyProtection="1">
      <alignment/>
      <protection/>
    </xf>
    <xf numFmtId="190" fontId="4" fillId="33" borderId="0" xfId="61" applyNumberFormat="1" applyFont="1" applyFill="1" applyAlignment="1" applyProtection="1">
      <alignment horizontal="center"/>
      <protection/>
    </xf>
    <xf numFmtId="190" fontId="0" fillId="0" borderId="0" xfId="0" applyNumberFormat="1" applyAlignment="1" applyProtection="1">
      <alignment horizontal="center"/>
      <protection/>
    </xf>
    <xf numFmtId="190" fontId="4" fillId="33" borderId="10" xfId="61" applyNumberFormat="1" applyFont="1" applyFill="1" applyBorder="1" applyAlignment="1" applyProtection="1">
      <alignment horizontal="center"/>
      <protection/>
    </xf>
    <xf numFmtId="0" fontId="13" fillId="0" borderId="0" xfId="58" applyFont="1" applyAlignment="1" applyProtection="1">
      <alignment horizontal="left"/>
      <protection/>
    </xf>
    <xf numFmtId="0" fontId="3" fillId="0" borderId="0" xfId="58" applyFont="1" applyAlignment="1" applyProtection="1">
      <alignment horizontal="left"/>
      <protection/>
    </xf>
    <xf numFmtId="0" fontId="3" fillId="0" borderId="0" xfId="58" applyFont="1" applyAlignment="1" applyProtection="1">
      <alignment horizontal="left"/>
      <protection/>
    </xf>
    <xf numFmtId="0" fontId="6" fillId="0" borderId="0" xfId="53" applyAlignment="1" applyProtection="1">
      <alignment/>
      <protection/>
    </xf>
    <xf numFmtId="0" fontId="2" fillId="33" borderId="0" xfId="0" applyFont="1" applyFill="1" applyAlignment="1" applyProtection="1">
      <alignment horizontal="center"/>
      <protection locked="0"/>
    </xf>
    <xf numFmtId="0" fontId="7" fillId="0" borderId="0" xfId="58" applyFont="1" applyProtection="1">
      <alignment/>
      <protection/>
    </xf>
    <xf numFmtId="0" fontId="7" fillId="33" borderId="0" xfId="58" applyFont="1" applyFill="1" applyAlignment="1" applyProtection="1">
      <alignment horizontal="center"/>
      <protection/>
    </xf>
    <xf numFmtId="10" fontId="0" fillId="33" borderId="0" xfId="61" applyNumberFormat="1" applyFill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3" fontId="4" fillId="34" borderId="12" xfId="58" applyNumberFormat="1" applyFont="1" applyFill="1" applyBorder="1" applyAlignment="1" applyProtection="1">
      <alignment horizontal="center"/>
      <protection locked="0"/>
    </xf>
    <xf numFmtId="184" fontId="4" fillId="33" borderId="0" xfId="0" applyNumberFormat="1" applyFont="1" applyFill="1" applyAlignment="1" applyProtection="1">
      <alignment/>
      <protection/>
    </xf>
    <xf numFmtId="3" fontId="4" fillId="34" borderId="12" xfId="58" applyNumberFormat="1" applyFill="1" applyBorder="1" applyProtection="1">
      <alignment/>
      <protection locked="0"/>
    </xf>
    <xf numFmtId="3" fontId="4" fillId="33" borderId="12" xfId="58" applyNumberFormat="1" applyFill="1" applyBorder="1" applyAlignment="1" applyProtection="1">
      <alignment horizontal="center"/>
      <protection locked="0"/>
    </xf>
    <xf numFmtId="3" fontId="4" fillId="33" borderId="12" xfId="58" applyNumberFormat="1" applyFill="1" applyBorder="1" applyAlignment="1" applyProtection="1">
      <alignment horizontal="center"/>
      <protection/>
    </xf>
    <xf numFmtId="187" fontId="4" fillId="4" borderId="12" xfId="58" applyNumberFormat="1" applyFill="1" applyBorder="1" applyProtection="1">
      <alignment/>
      <protection locked="0"/>
    </xf>
    <xf numFmtId="188" fontId="4" fillId="4" borderId="12" xfId="58" applyNumberFormat="1" applyFill="1" applyBorder="1" applyProtection="1">
      <alignment/>
      <protection locked="0"/>
    </xf>
    <xf numFmtId="189" fontId="4" fillId="4" borderId="12" xfId="58" applyNumberFormat="1" applyFill="1" applyBorder="1" applyProtection="1">
      <alignment/>
      <protection locked="0"/>
    </xf>
    <xf numFmtId="3" fontId="4" fillId="34" borderId="12" xfId="58" applyNumberFormat="1" applyFill="1" applyBorder="1" applyAlignment="1" applyProtection="1">
      <alignment horizontal="center"/>
      <protection locked="0"/>
    </xf>
    <xf numFmtId="182" fontId="0" fillId="4" borderId="0" xfId="44" applyNumberFormat="1" applyFont="1" applyFill="1" applyAlignment="1" applyProtection="1">
      <alignment/>
      <protection locked="0"/>
    </xf>
    <xf numFmtId="0" fontId="10" fillId="0" borderId="0" xfId="0" applyFont="1" applyAlignment="1" applyProtection="1">
      <alignment horizontal="center" vertical="center" wrapText="1"/>
      <protection/>
    </xf>
    <xf numFmtId="0" fontId="12" fillId="35" borderId="0" xfId="0" applyFont="1" applyFill="1" applyBorder="1" applyAlignment="1" applyProtection="1">
      <alignment/>
      <protection/>
    </xf>
    <xf numFmtId="0" fontId="0" fillId="18" borderId="0" xfId="0" applyFill="1" applyAlignment="1" applyProtection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1.1 Curr&amp;Appl Rt Class General" xfId="57"/>
    <cellStyle name="Normal_Core Model Version 0.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ill>
        <patternFill patternType="lightGray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46</xdr:row>
      <xdr:rowOff>190500</xdr:rowOff>
    </xdr:from>
    <xdr:to>
      <xdr:col>15</xdr:col>
      <xdr:colOff>0</xdr:colOff>
      <xdr:row>49</xdr:row>
      <xdr:rowOff>171450</xdr:rowOff>
    </xdr:to>
    <xdr:sp>
      <xdr:nvSpPr>
        <xdr:cNvPr id="1" name="Text Box 54"/>
        <xdr:cNvSpPr txBox="1">
          <a:spLocks noChangeArrowheads="1"/>
        </xdr:cNvSpPr>
      </xdr:nvSpPr>
      <xdr:spPr>
        <a:xfrm>
          <a:off x="11544300" y="10153650"/>
          <a:ext cx="5876925" cy="561975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"Rate ReBal Base" rates from Sheet "E1.1 Rate Reb Base Dist Rts Gen" of your 2011 IRM3 Rate Generator.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  <pageSetUpPr fitToPage="1"/>
  </sheetPr>
  <dimension ref="A1:AH101"/>
  <sheetViews>
    <sheetView showGridLines="0" tabSelected="1" zoomScalePageLayoutView="0" workbookViewId="0" topLeftCell="A1">
      <selection activeCell="D20" sqref="D20"/>
    </sheetView>
  </sheetViews>
  <sheetFormatPr defaultColWidth="0" defaultRowHeight="15" zeroHeight="1"/>
  <cols>
    <col min="1" max="1" width="15.77734375" style="8" customWidth="1"/>
    <col min="2" max="2" width="8.88671875" style="8" hidden="1" customWidth="1"/>
    <col min="3" max="3" width="55.77734375" style="8" customWidth="1"/>
    <col min="4" max="4" width="21.99609375" style="8" bestFit="1" customWidth="1"/>
    <col min="5" max="5" width="23.88671875" style="9" customWidth="1"/>
    <col min="6" max="6" width="10.5546875" style="8" hidden="1" customWidth="1"/>
    <col min="7" max="26" width="8.88671875" style="8" customWidth="1"/>
    <col min="27" max="27" width="43.10546875" style="8" hidden="1" customWidth="1"/>
    <col min="28" max="28" width="14.99609375" style="17" hidden="1" customWidth="1"/>
    <col min="29" max="29" width="13.10546875" style="17" hidden="1" customWidth="1"/>
    <col min="30" max="30" width="15.3359375" style="17" hidden="1" customWidth="1"/>
    <col min="31" max="31" width="12.6640625" style="59" hidden="1" customWidth="1"/>
    <col min="32" max="32" width="13.10546875" style="17" hidden="1" customWidth="1"/>
    <col min="33" max="33" width="13.3359375" style="17" hidden="1" customWidth="1"/>
    <col min="34" max="34" width="23.4453125" style="8" hidden="1" customWidth="1"/>
    <col min="35" max="16384" width="8.88671875" style="8" hidden="1" customWidth="1"/>
  </cols>
  <sheetData>
    <row r="1" spans="1:34" ht="15.75">
      <c r="A1" s="2"/>
      <c r="B1" s="2"/>
      <c r="C1" s="2"/>
      <c r="D1" s="2"/>
      <c r="E1" s="1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4"/>
      <c r="AC1" s="14"/>
      <c r="AD1" s="14"/>
      <c r="AE1" s="60"/>
      <c r="AF1" s="14"/>
      <c r="AG1" s="14"/>
      <c r="AH1" s="2"/>
    </row>
    <row r="2" spans="3:33" s="2" customFormat="1" ht="18">
      <c r="C2" s="106" t="str">
        <f>"Name of LDC:       "&amp;D20</f>
        <v>Name of LDC:       Hydro Ottawa Limited</v>
      </c>
      <c r="D2" s="106"/>
      <c r="E2" s="106"/>
      <c r="F2" s="106"/>
      <c r="G2" s="106"/>
      <c r="H2" s="106"/>
      <c r="I2" s="106"/>
      <c r="J2" s="106"/>
      <c r="AB2" s="14"/>
      <c r="AC2" s="14"/>
      <c r="AD2" s="14"/>
      <c r="AE2" s="60"/>
      <c r="AF2" s="14"/>
      <c r="AG2" s="14"/>
    </row>
    <row r="3" spans="3:33" s="2" customFormat="1" ht="18">
      <c r="C3" s="106" t="str">
        <f>"File Number:          "&amp;D22</f>
        <v>File Number:          IRM3</v>
      </c>
      <c r="D3" s="106"/>
      <c r="E3" s="106"/>
      <c r="F3" s="106"/>
      <c r="G3" s="106"/>
      <c r="H3" s="106"/>
      <c r="I3" s="106"/>
      <c r="J3" s="106"/>
      <c r="AB3" s="14"/>
      <c r="AC3" s="14"/>
      <c r="AD3" s="14"/>
      <c r="AE3" s="60"/>
      <c r="AF3" s="14"/>
      <c r="AG3" s="14"/>
    </row>
    <row r="4" spans="3:33" s="2" customFormat="1" ht="18">
      <c r="C4" s="106" t="str">
        <f>"Effective Date:       "&amp;F26</f>
        <v>Effective Date:       December 30, 1899</v>
      </c>
      <c r="D4" s="106"/>
      <c r="E4" s="106"/>
      <c r="F4" s="106"/>
      <c r="G4" s="106"/>
      <c r="H4" s="106"/>
      <c r="I4" s="106"/>
      <c r="J4" s="106"/>
      <c r="AB4" s="14"/>
      <c r="AC4" s="14"/>
      <c r="AD4" s="14"/>
      <c r="AE4" s="60"/>
      <c r="AF4" s="14"/>
      <c r="AG4" s="14"/>
    </row>
    <row r="5" spans="3:33" s="2" customFormat="1" ht="18">
      <c r="C5" s="106" t="s">
        <v>488</v>
      </c>
      <c r="D5" s="106"/>
      <c r="E5" s="106"/>
      <c r="F5" s="106"/>
      <c r="G5" s="106"/>
      <c r="H5" s="106"/>
      <c r="I5" s="106"/>
      <c r="J5" s="106"/>
      <c r="AB5" s="14"/>
      <c r="AC5" s="14"/>
      <c r="AD5" s="14"/>
      <c r="AE5" s="60"/>
      <c r="AF5" s="14"/>
      <c r="AG5" s="14"/>
    </row>
    <row r="6" spans="5:33" s="2" customFormat="1" ht="15.75">
      <c r="E6" s="13"/>
      <c r="AB6" s="14"/>
      <c r="AC6" s="14"/>
      <c r="AD6" s="14"/>
      <c r="AE6" s="60"/>
      <c r="AF6" s="14"/>
      <c r="AG6" s="14"/>
    </row>
    <row r="7" spans="5:33" s="2" customFormat="1" ht="15.75">
      <c r="E7" s="13"/>
      <c r="AB7" s="14"/>
      <c r="AC7" s="14"/>
      <c r="AD7" s="14"/>
      <c r="AE7" s="60"/>
      <c r="AF7" s="14"/>
      <c r="AG7" s="14"/>
    </row>
    <row r="8" spans="5:33" s="2" customFormat="1" ht="15.75">
      <c r="E8" s="13"/>
      <c r="AB8" s="14"/>
      <c r="AC8" s="14"/>
      <c r="AD8" s="14"/>
      <c r="AE8" s="60"/>
      <c r="AF8" s="14"/>
      <c r="AG8" s="14"/>
    </row>
    <row r="9" spans="5:33" s="2" customFormat="1" ht="15.75">
      <c r="E9" s="13"/>
      <c r="AB9" s="14"/>
      <c r="AC9" s="14"/>
      <c r="AD9" s="14"/>
      <c r="AE9" s="60"/>
      <c r="AF9" s="14"/>
      <c r="AG9" s="14"/>
    </row>
    <row r="10" spans="3:33" s="2" customFormat="1" ht="26.25">
      <c r="C10" s="64" t="str">
        <f>'Z1.0 OEB Control Sheet'!C2</f>
        <v>LDC Information</v>
      </c>
      <c r="E10" s="13"/>
      <c r="AB10" s="14"/>
      <c r="AC10" s="14"/>
      <c r="AD10" s="14"/>
      <c r="AE10" s="60"/>
      <c r="AF10" s="14"/>
      <c r="AG10" s="14"/>
    </row>
    <row r="11" spans="5:33" s="2" customFormat="1" ht="15.75">
      <c r="E11" s="13"/>
      <c r="AB11" s="14"/>
      <c r="AC11" s="14"/>
      <c r="AD11" s="14"/>
      <c r="AE11" s="60"/>
      <c r="AF11" s="14"/>
      <c r="AG11" s="14"/>
    </row>
    <row r="12" spans="5:33" s="2" customFormat="1" ht="15.75">
      <c r="E12" s="13"/>
      <c r="AB12" s="14"/>
      <c r="AC12" s="14"/>
      <c r="AD12" s="14"/>
      <c r="AE12" s="60"/>
      <c r="AF12" s="14"/>
      <c r="AG12" s="14"/>
    </row>
    <row r="13" spans="5:33" s="2" customFormat="1" ht="15.75">
      <c r="E13" s="13"/>
      <c r="AB13" s="14"/>
      <c r="AC13" s="14"/>
      <c r="AD13" s="14"/>
      <c r="AE13" s="60"/>
      <c r="AF13" s="14"/>
      <c r="AG13" s="14"/>
    </row>
    <row r="14" spans="5:33" s="2" customFormat="1" ht="15.75">
      <c r="E14" s="13"/>
      <c r="AB14" s="14"/>
      <c r="AC14" s="14"/>
      <c r="AD14" s="14"/>
      <c r="AE14" s="60"/>
      <c r="AF14" s="14"/>
      <c r="AG14" s="14"/>
    </row>
    <row r="15" spans="5:33" s="2" customFormat="1" ht="15.75">
      <c r="E15" s="13"/>
      <c r="AB15" s="14"/>
      <c r="AC15" s="14"/>
      <c r="AD15" s="14"/>
      <c r="AE15" s="60"/>
      <c r="AF15" s="14"/>
      <c r="AG15" s="14"/>
    </row>
    <row r="16" spans="5:33" s="2" customFormat="1" ht="15.75">
      <c r="E16" s="13"/>
      <c r="AB16" s="14"/>
      <c r="AC16" s="14"/>
      <c r="AD16" s="14"/>
      <c r="AE16" s="60"/>
      <c r="AF16" s="14"/>
      <c r="AG16" s="14"/>
    </row>
    <row r="17" spans="5:33" s="2" customFormat="1" ht="15.75">
      <c r="E17" s="13"/>
      <c r="AB17" s="14"/>
      <c r="AC17" s="14"/>
      <c r="AD17" s="14"/>
      <c r="AE17" s="60"/>
      <c r="AF17" s="14"/>
      <c r="AG17" s="14"/>
    </row>
    <row r="18" spans="5:33" s="2" customFormat="1" ht="15.75">
      <c r="E18" s="13"/>
      <c r="AB18" s="14"/>
      <c r="AC18" s="14"/>
      <c r="AD18" s="14"/>
      <c r="AE18" s="60"/>
      <c r="AF18" s="14"/>
      <c r="AG18" s="14"/>
    </row>
    <row r="19" spans="3:33" s="2" customFormat="1" ht="46.5" customHeight="1">
      <c r="C19" s="105"/>
      <c r="D19" s="105"/>
      <c r="E19" s="105"/>
      <c r="F19" s="105"/>
      <c r="G19" s="105"/>
      <c r="H19" s="105"/>
      <c r="AB19" s="14"/>
      <c r="AC19" s="14"/>
      <c r="AD19" s="14"/>
      <c r="AE19" s="60"/>
      <c r="AF19" s="14"/>
      <c r="AG19" s="14"/>
    </row>
    <row r="20" spans="3:34" s="2" customFormat="1" ht="15.75">
      <c r="C20" s="34" t="s">
        <v>6</v>
      </c>
      <c r="D20" s="33" t="s">
        <v>499</v>
      </c>
      <c r="E20" s="13"/>
      <c r="F20" s="2" t="s">
        <v>113</v>
      </c>
      <c r="AA20" s="16" t="s">
        <v>284</v>
      </c>
      <c r="AB20" s="13" t="s">
        <v>246</v>
      </c>
      <c r="AC20" s="13" t="s">
        <v>285</v>
      </c>
      <c r="AD20" s="13" t="s">
        <v>247</v>
      </c>
      <c r="AE20" s="61" t="s">
        <v>286</v>
      </c>
      <c r="AF20" s="13" t="s">
        <v>249</v>
      </c>
      <c r="AG20" s="13" t="s">
        <v>287</v>
      </c>
      <c r="AH20" s="16" t="s">
        <v>288</v>
      </c>
    </row>
    <row r="21" spans="3:34" s="2" customFormat="1" ht="15.75">
      <c r="C21" s="34"/>
      <c r="D21" s="16"/>
      <c r="E21" s="13"/>
      <c r="F21" s="2" t="str">
        <f>'Z1.0 OEB Control Sheet'!F2</f>
        <v>No</v>
      </c>
      <c r="AA21" s="2" t="s">
        <v>289</v>
      </c>
      <c r="AB21" s="14" t="s">
        <v>133</v>
      </c>
      <c r="AC21" s="14" t="s">
        <v>290</v>
      </c>
      <c r="AD21" s="14" t="s">
        <v>250</v>
      </c>
      <c r="AE21" s="60">
        <v>40664</v>
      </c>
      <c r="AF21" s="14" t="s">
        <v>228</v>
      </c>
      <c r="AG21" s="14">
        <v>2008</v>
      </c>
      <c r="AH21" s="2" t="s">
        <v>291</v>
      </c>
    </row>
    <row r="22" spans="3:34" s="2" customFormat="1" ht="15.75">
      <c r="C22" s="34" t="s">
        <v>7</v>
      </c>
      <c r="D22" s="15" t="str">
        <f>IF(ISNA(VLOOKUP(D20,AA20:AG83,4,0)),"",VLOOKUP(D20,AA20:AG83,4,0))</f>
        <v>IRM3</v>
      </c>
      <c r="E22" s="13"/>
      <c r="AA22" s="2" t="s">
        <v>292</v>
      </c>
      <c r="AB22" s="14" t="s">
        <v>134</v>
      </c>
      <c r="AC22" s="14" t="s">
        <v>293</v>
      </c>
      <c r="AD22" s="14" t="s">
        <v>250</v>
      </c>
      <c r="AE22" s="60">
        <v>40664</v>
      </c>
      <c r="AF22" s="14" t="s">
        <v>228</v>
      </c>
      <c r="AG22" s="14">
        <v>2009</v>
      </c>
      <c r="AH22" s="2" t="s">
        <v>294</v>
      </c>
    </row>
    <row r="23" spans="3:34" s="2" customFormat="1" ht="15.75">
      <c r="C23" s="34"/>
      <c r="D23" s="16"/>
      <c r="E23" s="13"/>
      <c r="AA23" s="2" t="s">
        <v>295</v>
      </c>
      <c r="AB23" s="14" t="s">
        <v>135</v>
      </c>
      <c r="AC23" s="14" t="s">
        <v>296</v>
      </c>
      <c r="AD23" s="14" t="s">
        <v>250</v>
      </c>
      <c r="AE23" s="60">
        <v>40664</v>
      </c>
      <c r="AF23" s="14" t="s">
        <v>228</v>
      </c>
      <c r="AG23" s="14">
        <v>2008</v>
      </c>
      <c r="AH23" s="2" t="s">
        <v>297</v>
      </c>
    </row>
    <row r="24" spans="3:34" s="2" customFormat="1" ht="15.75">
      <c r="C24" s="34" t="s">
        <v>8</v>
      </c>
      <c r="D24" s="15" t="str">
        <f>IF(ISNA(VLOOKUP(D20,AA20:AG83,2,0)),"",VLOOKUP(D20,AA20:AG83,2,0))</f>
        <v>ED-2002-0556</v>
      </c>
      <c r="E24" s="13"/>
      <c r="AA24" s="2" t="s">
        <v>298</v>
      </c>
      <c r="AB24" s="14" t="s">
        <v>299</v>
      </c>
      <c r="AC24" s="14" t="s">
        <v>300</v>
      </c>
      <c r="AD24" s="14" t="s">
        <v>250</v>
      </c>
      <c r="AE24" s="60">
        <v>40664</v>
      </c>
      <c r="AF24" s="14" t="s">
        <v>228</v>
      </c>
      <c r="AG24" s="14">
        <v>2010</v>
      </c>
      <c r="AH24" s="2" t="s">
        <v>301</v>
      </c>
    </row>
    <row r="25" spans="3:34" s="2" customFormat="1" ht="15.75">
      <c r="C25" s="34"/>
      <c r="D25" s="16"/>
      <c r="E25" s="13"/>
      <c r="AA25" s="2" t="s">
        <v>302</v>
      </c>
      <c r="AB25" s="14" t="s">
        <v>303</v>
      </c>
      <c r="AC25" s="14" t="s">
        <v>304</v>
      </c>
      <c r="AD25" s="14" t="s">
        <v>250</v>
      </c>
      <c r="AE25" s="60">
        <v>40664</v>
      </c>
      <c r="AF25" s="14" t="s">
        <v>228</v>
      </c>
      <c r="AG25" s="14">
        <v>2010</v>
      </c>
      <c r="AH25" s="2" t="s">
        <v>305</v>
      </c>
    </row>
    <row r="26" spans="3:34" s="2" customFormat="1" ht="15.75">
      <c r="C26" s="34" t="s">
        <v>248</v>
      </c>
      <c r="D26" s="65">
        <f>IF(ISNA(VLOOKUP(D20,AA20:AG83,5,0)),"",VLOOKUP(D20,AA20:AG83,5,0))</f>
        <v>0</v>
      </c>
      <c r="E26" s="13"/>
      <c r="F26" s="66" t="s">
        <v>503</v>
      </c>
      <c r="I26" s="66"/>
      <c r="AA26" s="2" t="s">
        <v>489</v>
      </c>
      <c r="AB26" s="14" t="s">
        <v>490</v>
      </c>
      <c r="AC26" s="14" t="s">
        <v>491</v>
      </c>
      <c r="AD26" s="14" t="s">
        <v>250</v>
      </c>
      <c r="AE26" s="60">
        <v>40664</v>
      </c>
      <c r="AF26" s="14" t="s">
        <v>228</v>
      </c>
      <c r="AG26" s="14">
        <v>2009</v>
      </c>
      <c r="AH26" s="2" t="s">
        <v>492</v>
      </c>
    </row>
    <row r="27" spans="3:34" s="2" customFormat="1" ht="15.75" hidden="1">
      <c r="C27" s="34"/>
      <c r="D27" s="13"/>
      <c r="E27" s="13"/>
      <c r="AA27" s="2" t="s">
        <v>493</v>
      </c>
      <c r="AB27" s="14" t="s">
        <v>490</v>
      </c>
      <c r="AC27" s="14" t="s">
        <v>494</v>
      </c>
      <c r="AD27" s="14" t="s">
        <v>250</v>
      </c>
      <c r="AE27" s="60">
        <v>40664</v>
      </c>
      <c r="AF27" s="14" t="s">
        <v>228</v>
      </c>
      <c r="AG27" s="14">
        <v>2009</v>
      </c>
      <c r="AH27" s="2" t="s">
        <v>495</v>
      </c>
    </row>
    <row r="28" spans="3:34" s="2" customFormat="1" ht="15.75" hidden="1">
      <c r="C28" s="34" t="s">
        <v>131</v>
      </c>
      <c r="D28" s="15" t="str">
        <f>IF(ISNA(VLOOKUP(D20,AA20:AG83,6,0)),"",VLOOKUP(D20,AA20:AG83,6,0))</f>
        <v>II</v>
      </c>
      <c r="E28" s="13"/>
      <c r="AA28" s="2" t="s">
        <v>496</v>
      </c>
      <c r="AB28" s="14" t="s">
        <v>490</v>
      </c>
      <c r="AC28" s="14" t="s">
        <v>497</v>
      </c>
      <c r="AD28" s="14" t="s">
        <v>250</v>
      </c>
      <c r="AE28" s="60">
        <v>40664</v>
      </c>
      <c r="AF28" s="14" t="s">
        <v>228</v>
      </c>
      <c r="AG28" s="14">
        <v>2009</v>
      </c>
      <c r="AH28" s="2" t="s">
        <v>498</v>
      </c>
    </row>
    <row r="29" spans="3:34" s="2" customFormat="1" ht="15.75" hidden="1">
      <c r="C29" s="34"/>
      <c r="D29" s="13"/>
      <c r="E29" s="13"/>
      <c r="AA29" s="2" t="s">
        <v>306</v>
      </c>
      <c r="AB29" s="14" t="s">
        <v>136</v>
      </c>
      <c r="AC29" s="14" t="s">
        <v>307</v>
      </c>
      <c r="AD29" s="14" t="s">
        <v>250</v>
      </c>
      <c r="AE29" s="60">
        <v>40664</v>
      </c>
      <c r="AF29" s="14" t="s">
        <v>228</v>
      </c>
      <c r="AG29" s="14">
        <v>2009</v>
      </c>
      <c r="AH29" s="2" t="s">
        <v>308</v>
      </c>
    </row>
    <row r="30" spans="3:34" s="2" customFormat="1" ht="15.75" hidden="1">
      <c r="C30" s="34" t="s">
        <v>132</v>
      </c>
      <c r="D30" s="62">
        <f>STRETCH(D28)</f>
        <v>0.004</v>
      </c>
      <c r="E30" s="13"/>
      <c r="AA30" s="2" t="s">
        <v>309</v>
      </c>
      <c r="AB30" s="14" t="s">
        <v>137</v>
      </c>
      <c r="AC30" s="14" t="s">
        <v>310</v>
      </c>
      <c r="AD30" s="14" t="s">
        <v>250</v>
      </c>
      <c r="AE30" s="60">
        <v>40664</v>
      </c>
      <c r="AF30" s="14" t="s">
        <v>228</v>
      </c>
      <c r="AG30" s="14">
        <v>2008</v>
      </c>
      <c r="AH30" s="2" t="s">
        <v>311</v>
      </c>
    </row>
    <row r="31" spans="5:34" s="2" customFormat="1" ht="15.75">
      <c r="E31" s="13"/>
      <c r="AA31" s="2" t="s">
        <v>312</v>
      </c>
      <c r="AB31" s="14" t="s">
        <v>313</v>
      </c>
      <c r="AC31" s="14" t="s">
        <v>314</v>
      </c>
      <c r="AD31" s="14" t="s">
        <v>250</v>
      </c>
      <c r="AE31" s="60">
        <v>40664</v>
      </c>
      <c r="AF31" s="14" t="s">
        <v>228</v>
      </c>
      <c r="AG31" s="14">
        <v>2010</v>
      </c>
      <c r="AH31" s="2" t="s">
        <v>315</v>
      </c>
    </row>
    <row r="32" spans="3:34" s="2" customFormat="1" ht="15.75">
      <c r="C32" s="34" t="s">
        <v>479</v>
      </c>
      <c r="D32" s="15">
        <f>IF(ISNA(VLOOKUP(D20,AA20:AG83,7,0)),"",VLOOKUP(D20,AA20:AG83,7,0))</f>
        <v>2008</v>
      </c>
      <c r="E32" s="13"/>
      <c r="AA32" s="2" t="s">
        <v>316</v>
      </c>
      <c r="AB32" s="14" t="s">
        <v>317</v>
      </c>
      <c r="AC32" s="14" t="s">
        <v>318</v>
      </c>
      <c r="AD32" s="14" t="s">
        <v>250</v>
      </c>
      <c r="AE32" s="60">
        <v>40664</v>
      </c>
      <c r="AF32" s="14" t="s">
        <v>228</v>
      </c>
      <c r="AG32" s="14">
        <v>2010</v>
      </c>
      <c r="AH32" s="2" t="s">
        <v>319</v>
      </c>
    </row>
    <row r="33" spans="3:34" s="2" customFormat="1" ht="15.75">
      <c r="C33" s="34"/>
      <c r="E33" s="13"/>
      <c r="AA33" s="2" t="s">
        <v>320</v>
      </c>
      <c r="AB33" s="14" t="s">
        <v>138</v>
      </c>
      <c r="AC33" s="14" t="s">
        <v>321</v>
      </c>
      <c r="AD33" s="14" t="s">
        <v>250</v>
      </c>
      <c r="AE33" s="60">
        <v>40664</v>
      </c>
      <c r="AF33" s="14" t="s">
        <v>228</v>
      </c>
      <c r="AG33" s="14">
        <v>2009</v>
      </c>
      <c r="AH33" s="2" t="s">
        <v>322</v>
      </c>
    </row>
    <row r="34" spans="3:34" s="2" customFormat="1" ht="15.75">
      <c r="C34" s="34" t="s">
        <v>480</v>
      </c>
      <c r="D34" s="90" t="str">
        <f>IF(ISNA(VLOOKUP(D20,AA20:AH83,8,0)),"",VLOOKUP(D20,AA20:AH83,8,0))</f>
        <v>EB-2007-0713</v>
      </c>
      <c r="E34" s="13"/>
      <c r="AA34" s="2" t="s">
        <v>323</v>
      </c>
      <c r="AB34" s="14" t="s">
        <v>324</v>
      </c>
      <c r="AC34" s="14" t="s">
        <v>325</v>
      </c>
      <c r="AD34" s="14" t="s">
        <v>250</v>
      </c>
      <c r="AE34" s="60">
        <v>40664</v>
      </c>
      <c r="AF34" s="14" t="s">
        <v>228</v>
      </c>
      <c r="AG34" s="14">
        <v>2010</v>
      </c>
      <c r="AH34" s="2" t="s">
        <v>326</v>
      </c>
    </row>
    <row r="35" spans="5:34" s="2" customFormat="1" ht="15.75">
      <c r="E35" s="13"/>
      <c r="AA35" s="2" t="s">
        <v>327</v>
      </c>
      <c r="AB35" s="14" t="s">
        <v>139</v>
      </c>
      <c r="AC35" s="14" t="s">
        <v>328</v>
      </c>
      <c r="AD35" s="14" t="s">
        <v>250</v>
      </c>
      <c r="AE35" s="60">
        <v>40664</v>
      </c>
      <c r="AF35" s="14" t="s">
        <v>228</v>
      </c>
      <c r="AG35" s="14">
        <v>2008</v>
      </c>
      <c r="AH35" s="2" t="s">
        <v>329</v>
      </c>
    </row>
    <row r="36" spans="3:34" s="2" customFormat="1" ht="15.75" hidden="1">
      <c r="C36" s="34" t="s">
        <v>481</v>
      </c>
      <c r="D36" s="15" t="str">
        <f>ICMGrowthNumerator(D32)</f>
        <v>2009 Audited RRR</v>
      </c>
      <c r="E36" s="13"/>
      <c r="AA36" s="2" t="s">
        <v>330</v>
      </c>
      <c r="AB36" s="14" t="s">
        <v>140</v>
      </c>
      <c r="AC36" s="14" t="s">
        <v>331</v>
      </c>
      <c r="AD36" s="14" t="s">
        <v>250</v>
      </c>
      <c r="AE36" s="60">
        <v>40664</v>
      </c>
      <c r="AF36" s="14" t="s">
        <v>228</v>
      </c>
      <c r="AG36" s="14">
        <v>2009</v>
      </c>
      <c r="AH36" s="2" t="s">
        <v>332</v>
      </c>
    </row>
    <row r="37" spans="5:34" s="2" customFormat="1" ht="15.75" hidden="1">
      <c r="E37" s="13"/>
      <c r="AA37" s="2" t="s">
        <v>333</v>
      </c>
      <c r="AB37" s="14" t="s">
        <v>141</v>
      </c>
      <c r="AC37" s="14" t="s">
        <v>334</v>
      </c>
      <c r="AD37" s="14" t="s">
        <v>250</v>
      </c>
      <c r="AE37" s="60">
        <v>40664</v>
      </c>
      <c r="AF37" s="14" t="s">
        <v>228</v>
      </c>
      <c r="AG37" s="14">
        <v>2008</v>
      </c>
      <c r="AH37" s="2" t="s">
        <v>335</v>
      </c>
    </row>
    <row r="38" spans="3:34" s="2" customFormat="1" ht="15.75" hidden="1">
      <c r="C38" s="34" t="s">
        <v>482</v>
      </c>
      <c r="D38" s="15" t="str">
        <f>ICMGrowthDenominator(D32)</f>
        <v>2008 Re-Based Forecast</v>
      </c>
      <c r="E38" s="13"/>
      <c r="AA38" s="2" t="s">
        <v>336</v>
      </c>
      <c r="AB38" s="14" t="s">
        <v>142</v>
      </c>
      <c r="AC38" s="14" t="s">
        <v>337</v>
      </c>
      <c r="AD38" s="14" t="s">
        <v>250</v>
      </c>
      <c r="AE38" s="60">
        <v>40664</v>
      </c>
      <c r="AF38" s="14" t="s">
        <v>228</v>
      </c>
      <c r="AG38" s="14">
        <v>2008</v>
      </c>
      <c r="AH38" s="2" t="s">
        <v>338</v>
      </c>
    </row>
    <row r="39" spans="5:34" s="2" customFormat="1" ht="15.75" hidden="1">
      <c r="E39" s="13"/>
      <c r="AA39" s="2" t="s">
        <v>339</v>
      </c>
      <c r="AB39" s="14" t="s">
        <v>340</v>
      </c>
      <c r="AC39" s="14" t="s">
        <v>341</v>
      </c>
      <c r="AD39" s="14" t="s">
        <v>250</v>
      </c>
      <c r="AE39" s="60">
        <v>40664</v>
      </c>
      <c r="AF39" s="14" t="s">
        <v>228</v>
      </c>
      <c r="AG39" s="14">
        <v>2010</v>
      </c>
      <c r="AH39" s="2" t="s">
        <v>342</v>
      </c>
    </row>
    <row r="40" spans="5:34" s="2" customFormat="1" ht="15.75">
      <c r="E40" s="13"/>
      <c r="AA40" s="2" t="s">
        <v>343</v>
      </c>
      <c r="AB40" s="14" t="s">
        <v>344</v>
      </c>
      <c r="AC40" s="14" t="s">
        <v>345</v>
      </c>
      <c r="AD40" s="14" t="s">
        <v>250</v>
      </c>
      <c r="AE40" s="60">
        <v>40664</v>
      </c>
      <c r="AF40" s="14" t="s">
        <v>228</v>
      </c>
      <c r="AG40" s="14">
        <v>2010</v>
      </c>
      <c r="AH40" s="2" t="s">
        <v>346</v>
      </c>
    </row>
    <row r="41" spans="5:34" s="2" customFormat="1" ht="15.75">
      <c r="E41" s="13"/>
      <c r="AA41" s="2" t="s">
        <v>347</v>
      </c>
      <c r="AB41" s="14" t="s">
        <v>143</v>
      </c>
      <c r="AC41" s="14" t="s">
        <v>348</v>
      </c>
      <c r="AD41" s="14" t="s">
        <v>250</v>
      </c>
      <c r="AE41" s="60">
        <v>40664</v>
      </c>
      <c r="AF41" s="14" t="s">
        <v>228</v>
      </c>
      <c r="AG41" s="14">
        <v>2009</v>
      </c>
      <c r="AH41" s="2" t="s">
        <v>349</v>
      </c>
    </row>
    <row r="42" spans="5:34" s="2" customFormat="1" ht="15.75">
      <c r="E42" s="13"/>
      <c r="AA42" s="2" t="s">
        <v>350</v>
      </c>
      <c r="AB42" s="14" t="s">
        <v>144</v>
      </c>
      <c r="AC42" s="14" t="s">
        <v>351</v>
      </c>
      <c r="AD42" s="14" t="s">
        <v>250</v>
      </c>
      <c r="AE42" s="60">
        <v>40664</v>
      </c>
      <c r="AF42" s="14" t="s">
        <v>228</v>
      </c>
      <c r="AG42" s="14">
        <v>2008</v>
      </c>
      <c r="AH42" s="2" t="s">
        <v>352</v>
      </c>
    </row>
    <row r="43" spans="5:34" s="2" customFormat="1" ht="15.75">
      <c r="E43" s="13"/>
      <c r="AA43" s="2" t="s">
        <v>353</v>
      </c>
      <c r="AB43" s="14" t="s">
        <v>354</v>
      </c>
      <c r="AC43" s="14" t="s">
        <v>355</v>
      </c>
      <c r="AD43" s="14" t="s">
        <v>250</v>
      </c>
      <c r="AE43" s="60">
        <v>40664</v>
      </c>
      <c r="AF43" s="14" t="s">
        <v>228</v>
      </c>
      <c r="AG43" s="14">
        <v>2010</v>
      </c>
      <c r="AH43" s="2" t="s">
        <v>356</v>
      </c>
    </row>
    <row r="44" spans="5:34" s="2" customFormat="1" ht="15.75">
      <c r="E44" s="13"/>
      <c r="AA44" s="2" t="s">
        <v>357</v>
      </c>
      <c r="AB44" s="14" t="s">
        <v>145</v>
      </c>
      <c r="AC44" s="14" t="s">
        <v>358</v>
      </c>
      <c r="AD44" s="14" t="s">
        <v>250</v>
      </c>
      <c r="AE44" s="60">
        <v>40664</v>
      </c>
      <c r="AF44" s="14" t="s">
        <v>228</v>
      </c>
      <c r="AG44" s="14">
        <v>2008</v>
      </c>
      <c r="AH44" s="2" t="s">
        <v>359</v>
      </c>
    </row>
    <row r="45" spans="5:34" s="2" customFormat="1" ht="15.75">
      <c r="E45" s="13"/>
      <c r="AA45" s="2" t="s">
        <v>360</v>
      </c>
      <c r="AB45" s="14" t="s">
        <v>361</v>
      </c>
      <c r="AC45" s="14" t="s">
        <v>362</v>
      </c>
      <c r="AD45" s="14" t="s">
        <v>250</v>
      </c>
      <c r="AE45" s="60">
        <v>40664</v>
      </c>
      <c r="AF45" s="14" t="s">
        <v>228</v>
      </c>
      <c r="AG45" s="14">
        <v>2010</v>
      </c>
      <c r="AH45" s="2" t="s">
        <v>363</v>
      </c>
    </row>
    <row r="46" spans="5:34" s="2" customFormat="1" ht="15.75">
      <c r="E46" s="13"/>
      <c r="AA46" s="2" t="s">
        <v>364</v>
      </c>
      <c r="AB46" s="14" t="s">
        <v>146</v>
      </c>
      <c r="AC46" s="14" t="s">
        <v>365</v>
      </c>
      <c r="AD46" s="14" t="s">
        <v>250</v>
      </c>
      <c r="AE46" s="60">
        <v>40664</v>
      </c>
      <c r="AF46" s="14" t="s">
        <v>228</v>
      </c>
      <c r="AG46" s="14">
        <v>2008</v>
      </c>
      <c r="AH46" s="2" t="s">
        <v>366</v>
      </c>
    </row>
    <row r="47" spans="5:34" s="2" customFormat="1" ht="15.75">
      <c r="E47" s="13"/>
      <c r="AA47" s="2" t="s">
        <v>367</v>
      </c>
      <c r="AB47" s="14" t="s">
        <v>368</v>
      </c>
      <c r="AC47" s="14" t="s">
        <v>369</v>
      </c>
      <c r="AD47" s="14" t="s">
        <v>250</v>
      </c>
      <c r="AE47" s="60">
        <v>40664</v>
      </c>
      <c r="AF47" s="14" t="s">
        <v>228</v>
      </c>
      <c r="AG47" s="14">
        <v>2010</v>
      </c>
      <c r="AH47" s="2" t="s">
        <v>370</v>
      </c>
    </row>
    <row r="48" spans="5:34" s="2" customFormat="1" ht="15.75">
      <c r="E48" s="13"/>
      <c r="AA48" s="2" t="s">
        <v>371</v>
      </c>
      <c r="AB48" s="14" t="s">
        <v>229</v>
      </c>
      <c r="AC48" s="14" t="s">
        <v>372</v>
      </c>
      <c r="AD48" s="14" t="s">
        <v>250</v>
      </c>
      <c r="AE48" s="60">
        <v>40664</v>
      </c>
      <c r="AF48" s="14" t="s">
        <v>228</v>
      </c>
      <c r="AG48" s="14">
        <v>2009</v>
      </c>
      <c r="AH48" s="2" t="s">
        <v>373</v>
      </c>
    </row>
    <row r="49" spans="5:34" s="2" customFormat="1" ht="15.75">
      <c r="E49" s="13"/>
      <c r="AA49" s="2" t="s">
        <v>499</v>
      </c>
      <c r="AB49" s="14" t="s">
        <v>500</v>
      </c>
      <c r="AC49" s="14" t="s">
        <v>501</v>
      </c>
      <c r="AD49" s="14" t="s">
        <v>250</v>
      </c>
      <c r="AE49" s="60"/>
      <c r="AF49" s="14" t="s">
        <v>228</v>
      </c>
      <c r="AG49" s="14">
        <v>2008</v>
      </c>
      <c r="AH49" s="2" t="s">
        <v>502</v>
      </c>
    </row>
    <row r="50" spans="5:34" s="2" customFormat="1" ht="15.75">
      <c r="E50" s="13"/>
      <c r="AA50" s="2" t="s">
        <v>374</v>
      </c>
      <c r="AB50" s="14" t="s">
        <v>147</v>
      </c>
      <c r="AC50" s="14" t="s">
        <v>375</v>
      </c>
      <c r="AD50" s="14" t="s">
        <v>250</v>
      </c>
      <c r="AE50" s="60">
        <v>40664</v>
      </c>
      <c r="AF50" s="14" t="s">
        <v>228</v>
      </c>
      <c r="AG50" s="14">
        <v>2009</v>
      </c>
      <c r="AH50" s="2" t="s">
        <v>376</v>
      </c>
    </row>
    <row r="51" spans="5:34" s="2" customFormat="1" ht="15.75">
      <c r="E51" s="13"/>
      <c r="AA51" s="2" t="s">
        <v>377</v>
      </c>
      <c r="AB51" s="14" t="s">
        <v>378</v>
      </c>
      <c r="AC51" s="14" t="s">
        <v>379</v>
      </c>
      <c r="AD51" s="14" t="s">
        <v>250</v>
      </c>
      <c r="AE51" s="60">
        <v>40664</v>
      </c>
      <c r="AF51" s="14" t="s">
        <v>228</v>
      </c>
      <c r="AG51" s="14">
        <v>2010</v>
      </c>
      <c r="AH51" s="2" t="s">
        <v>380</v>
      </c>
    </row>
    <row r="52" spans="5:34" s="2" customFormat="1" ht="15.75">
      <c r="E52" s="13"/>
      <c r="AA52" s="2" t="s">
        <v>381</v>
      </c>
      <c r="AB52" s="14" t="s">
        <v>148</v>
      </c>
      <c r="AC52" s="14" t="s">
        <v>382</v>
      </c>
      <c r="AD52" s="14" t="s">
        <v>250</v>
      </c>
      <c r="AE52" s="60">
        <v>40664</v>
      </c>
      <c r="AF52" s="14" t="s">
        <v>228</v>
      </c>
      <c r="AG52" s="14">
        <v>2008</v>
      </c>
      <c r="AH52" s="2" t="s">
        <v>383</v>
      </c>
    </row>
    <row r="53" spans="5:34" s="2" customFormat="1" ht="15.75">
      <c r="E53" s="13"/>
      <c r="AA53" s="2" t="s">
        <v>384</v>
      </c>
      <c r="AB53" s="14" t="s">
        <v>149</v>
      </c>
      <c r="AC53" s="14" t="s">
        <v>385</v>
      </c>
      <c r="AD53" s="14" t="s">
        <v>250</v>
      </c>
      <c r="AE53" s="60">
        <v>40664</v>
      </c>
      <c r="AF53" s="14" t="s">
        <v>228</v>
      </c>
      <c r="AG53" s="14">
        <v>2009</v>
      </c>
      <c r="AH53" s="2" t="s">
        <v>386</v>
      </c>
    </row>
    <row r="54" spans="5:34" s="2" customFormat="1" ht="15.75">
      <c r="E54" s="13"/>
      <c r="AA54" s="2" t="s">
        <v>387</v>
      </c>
      <c r="AB54" s="14" t="s">
        <v>388</v>
      </c>
      <c r="AC54" s="14" t="s">
        <v>389</v>
      </c>
      <c r="AD54" s="14" t="s">
        <v>250</v>
      </c>
      <c r="AE54" s="60">
        <v>40664</v>
      </c>
      <c r="AF54" s="14" t="s">
        <v>228</v>
      </c>
      <c r="AG54" s="14">
        <v>2009</v>
      </c>
      <c r="AH54" s="2" t="s">
        <v>390</v>
      </c>
    </row>
    <row r="55" spans="5:34" s="2" customFormat="1" ht="15.75">
      <c r="E55" s="13"/>
      <c r="AA55" s="2" t="s">
        <v>391</v>
      </c>
      <c r="AB55" s="14" t="s">
        <v>150</v>
      </c>
      <c r="AC55" s="14" t="s">
        <v>392</v>
      </c>
      <c r="AD55" s="14" t="s">
        <v>250</v>
      </c>
      <c r="AE55" s="60">
        <v>40664</v>
      </c>
      <c r="AF55" s="14" t="s">
        <v>228</v>
      </c>
      <c r="AG55" s="14">
        <v>2009</v>
      </c>
      <c r="AH55" s="2" t="s">
        <v>393</v>
      </c>
    </row>
    <row r="56" spans="5:34" s="2" customFormat="1" ht="15.75">
      <c r="E56" s="13"/>
      <c r="AA56" s="2" t="s">
        <v>394</v>
      </c>
      <c r="AB56" s="14" t="s">
        <v>395</v>
      </c>
      <c r="AC56" s="14" t="s">
        <v>396</v>
      </c>
      <c r="AD56" s="14" t="s">
        <v>250</v>
      </c>
      <c r="AE56" s="60">
        <v>40664</v>
      </c>
      <c r="AF56" s="14" t="s">
        <v>228</v>
      </c>
      <c r="AG56" s="14">
        <v>2010</v>
      </c>
      <c r="AH56" s="2" t="s">
        <v>397</v>
      </c>
    </row>
    <row r="57" spans="5:34" s="2" customFormat="1" ht="15.75">
      <c r="E57" s="13"/>
      <c r="AA57" s="2" t="s">
        <v>398</v>
      </c>
      <c r="AB57" s="14" t="s">
        <v>395</v>
      </c>
      <c r="AC57" s="14" t="s">
        <v>396</v>
      </c>
      <c r="AD57" s="14" t="s">
        <v>250</v>
      </c>
      <c r="AE57" s="60">
        <v>40664</v>
      </c>
      <c r="AF57" s="14" t="s">
        <v>228</v>
      </c>
      <c r="AG57" s="14">
        <v>2010</v>
      </c>
      <c r="AH57" s="2" t="s">
        <v>397</v>
      </c>
    </row>
    <row r="58" spans="5:34" s="2" customFormat="1" ht="15.75">
      <c r="E58" s="13"/>
      <c r="AA58" s="2" t="s">
        <v>399</v>
      </c>
      <c r="AB58" s="14" t="s">
        <v>251</v>
      </c>
      <c r="AC58" s="14" t="s">
        <v>400</v>
      </c>
      <c r="AD58" s="14" t="s">
        <v>250</v>
      </c>
      <c r="AE58" s="60">
        <v>40664</v>
      </c>
      <c r="AF58" s="14" t="s">
        <v>228</v>
      </c>
      <c r="AG58" s="14">
        <v>2009</v>
      </c>
      <c r="AH58" s="2" t="s">
        <v>401</v>
      </c>
    </row>
    <row r="59" spans="5:34" s="2" customFormat="1" ht="15.75">
      <c r="E59" s="13"/>
      <c r="AA59" s="2" t="s">
        <v>402</v>
      </c>
      <c r="AB59" s="14" t="s">
        <v>403</v>
      </c>
      <c r="AC59" s="14" t="s">
        <v>404</v>
      </c>
      <c r="AD59" s="14" t="s">
        <v>250</v>
      </c>
      <c r="AE59" s="60">
        <v>40664</v>
      </c>
      <c r="AF59" s="14" t="s">
        <v>228</v>
      </c>
      <c r="AG59" s="14">
        <v>2010</v>
      </c>
      <c r="AH59" s="2" t="s">
        <v>405</v>
      </c>
    </row>
    <row r="60" spans="5:34" s="2" customFormat="1" ht="15.75">
      <c r="E60" s="13"/>
      <c r="AA60" s="2" t="s">
        <v>406</v>
      </c>
      <c r="AB60" s="14" t="s">
        <v>407</v>
      </c>
      <c r="AC60" s="14" t="s">
        <v>408</v>
      </c>
      <c r="AD60" s="14" t="s">
        <v>250</v>
      </c>
      <c r="AE60" s="60">
        <v>40664</v>
      </c>
      <c r="AF60" s="14" t="s">
        <v>228</v>
      </c>
      <c r="AG60" s="14">
        <v>2009</v>
      </c>
      <c r="AH60" s="2" t="s">
        <v>409</v>
      </c>
    </row>
    <row r="61" spans="5:34" s="2" customFormat="1" ht="15.75">
      <c r="E61" s="13"/>
      <c r="AA61" s="2" t="s">
        <v>410</v>
      </c>
      <c r="AB61" s="14" t="s">
        <v>411</v>
      </c>
      <c r="AC61" s="14" t="s">
        <v>412</v>
      </c>
      <c r="AD61" s="14" t="s">
        <v>250</v>
      </c>
      <c r="AE61" s="60">
        <v>40664</v>
      </c>
      <c r="AF61" s="14" t="s">
        <v>228</v>
      </c>
      <c r="AG61" s="14">
        <v>2010</v>
      </c>
      <c r="AH61" s="2" t="s">
        <v>413</v>
      </c>
    </row>
    <row r="62" spans="5:34" s="2" customFormat="1" ht="15.75">
      <c r="E62" s="13"/>
      <c r="AA62" s="2" t="s">
        <v>414</v>
      </c>
      <c r="AB62" s="14" t="s">
        <v>415</v>
      </c>
      <c r="AC62" s="14" t="s">
        <v>416</v>
      </c>
      <c r="AD62" s="14" t="s">
        <v>250</v>
      </c>
      <c r="AE62" s="60">
        <v>40664</v>
      </c>
      <c r="AF62" s="14" t="s">
        <v>228</v>
      </c>
      <c r="AG62" s="14">
        <v>2010</v>
      </c>
      <c r="AH62" s="2" t="s">
        <v>417</v>
      </c>
    </row>
    <row r="63" spans="5:34" s="2" customFormat="1" ht="15.75">
      <c r="E63" s="13"/>
      <c r="AA63" s="2" t="s">
        <v>418</v>
      </c>
      <c r="AB63" s="14" t="s">
        <v>419</v>
      </c>
      <c r="AC63" s="14" t="s">
        <v>420</v>
      </c>
      <c r="AD63" s="14" t="s">
        <v>250</v>
      </c>
      <c r="AE63" s="60">
        <v>40664</v>
      </c>
      <c r="AF63" s="14" t="s">
        <v>228</v>
      </c>
      <c r="AG63" s="14">
        <v>2010</v>
      </c>
      <c r="AH63" s="2" t="s">
        <v>421</v>
      </c>
    </row>
    <row r="64" spans="5:34" s="2" customFormat="1" ht="15.75">
      <c r="E64" s="13"/>
      <c r="AA64" s="2" t="s">
        <v>422</v>
      </c>
      <c r="AB64" s="14" t="s">
        <v>151</v>
      </c>
      <c r="AC64" s="14" t="s">
        <v>423</v>
      </c>
      <c r="AD64" s="14" t="s">
        <v>250</v>
      </c>
      <c r="AE64" s="60">
        <v>40664</v>
      </c>
      <c r="AF64" s="14" t="s">
        <v>228</v>
      </c>
      <c r="AG64" s="14">
        <v>2008</v>
      </c>
      <c r="AH64" s="2" t="s">
        <v>424</v>
      </c>
    </row>
    <row r="65" spans="5:34" s="2" customFormat="1" ht="15.75">
      <c r="E65" s="13"/>
      <c r="AA65" s="2" t="s">
        <v>425</v>
      </c>
      <c r="AB65" s="14" t="s">
        <v>426</v>
      </c>
      <c r="AC65" s="14" t="s">
        <v>427</v>
      </c>
      <c r="AD65" s="14" t="s">
        <v>250</v>
      </c>
      <c r="AE65" s="60">
        <v>40664</v>
      </c>
      <c r="AF65" s="14" t="s">
        <v>228</v>
      </c>
      <c r="AG65" s="14">
        <v>2010</v>
      </c>
      <c r="AH65" s="2" t="s">
        <v>428</v>
      </c>
    </row>
    <row r="66" spans="5:34" s="2" customFormat="1" ht="15.75">
      <c r="E66" s="13"/>
      <c r="AA66" s="2" t="s">
        <v>429</v>
      </c>
      <c r="AB66" s="14" t="s">
        <v>152</v>
      </c>
      <c r="AC66" s="14" t="s">
        <v>430</v>
      </c>
      <c r="AD66" s="14" t="s">
        <v>250</v>
      </c>
      <c r="AE66" s="60">
        <v>40664</v>
      </c>
      <c r="AF66" s="14" t="s">
        <v>228</v>
      </c>
      <c r="AG66" s="14">
        <v>2009</v>
      </c>
      <c r="AH66" s="2" t="s">
        <v>431</v>
      </c>
    </row>
    <row r="67" spans="5:34" s="2" customFormat="1" ht="15.75">
      <c r="E67" s="13"/>
      <c r="AA67" s="2" t="s">
        <v>432</v>
      </c>
      <c r="AB67" s="14" t="s">
        <v>153</v>
      </c>
      <c r="AC67" s="14" t="s">
        <v>433</v>
      </c>
      <c r="AD67" s="14" t="s">
        <v>250</v>
      </c>
      <c r="AE67" s="60">
        <v>40664</v>
      </c>
      <c r="AF67" s="14" t="s">
        <v>228</v>
      </c>
      <c r="AG67" s="14">
        <v>2008</v>
      </c>
      <c r="AH67" s="2" t="s">
        <v>434</v>
      </c>
    </row>
    <row r="68" spans="5:34" s="2" customFormat="1" ht="15.75">
      <c r="E68" s="13"/>
      <c r="AA68" s="2" t="s">
        <v>435</v>
      </c>
      <c r="AB68" s="14" t="s">
        <v>153</v>
      </c>
      <c r="AC68" s="14" t="s">
        <v>433</v>
      </c>
      <c r="AD68" s="14" t="s">
        <v>250</v>
      </c>
      <c r="AE68" s="60">
        <v>40664</v>
      </c>
      <c r="AF68" s="14" t="s">
        <v>228</v>
      </c>
      <c r="AG68" s="14">
        <v>2009</v>
      </c>
      <c r="AH68" s="2" t="s">
        <v>436</v>
      </c>
    </row>
    <row r="69" spans="5:34" s="2" customFormat="1" ht="15.75">
      <c r="E69" s="13"/>
      <c r="AA69" s="2" t="s">
        <v>437</v>
      </c>
      <c r="AB69" s="14" t="s">
        <v>154</v>
      </c>
      <c r="AC69" s="14" t="s">
        <v>438</v>
      </c>
      <c r="AD69" s="14" t="s">
        <v>250</v>
      </c>
      <c r="AE69" s="60">
        <v>40664</v>
      </c>
      <c r="AF69" s="14" t="s">
        <v>228</v>
      </c>
      <c r="AG69" s="14">
        <v>2008</v>
      </c>
      <c r="AH69" s="2" t="s">
        <v>439</v>
      </c>
    </row>
    <row r="70" spans="5:34" s="2" customFormat="1" ht="15.75">
      <c r="E70" s="13"/>
      <c r="AA70" s="2" t="s">
        <v>440</v>
      </c>
      <c r="AB70" s="14" t="s">
        <v>441</v>
      </c>
      <c r="AC70" s="14" t="s">
        <v>442</v>
      </c>
      <c r="AD70" s="14" t="s">
        <v>250</v>
      </c>
      <c r="AE70" s="60">
        <v>40664</v>
      </c>
      <c r="AF70" s="14" t="s">
        <v>228</v>
      </c>
      <c r="AG70" s="14">
        <v>2010</v>
      </c>
      <c r="AH70" s="2" t="s">
        <v>443</v>
      </c>
    </row>
    <row r="71" spans="5:34" s="2" customFormat="1" ht="15.75">
      <c r="E71" s="13"/>
      <c r="AA71" s="2" t="s">
        <v>444</v>
      </c>
      <c r="AB71" s="14" t="s">
        <v>155</v>
      </c>
      <c r="AC71" s="14" t="s">
        <v>445</v>
      </c>
      <c r="AD71" s="14" t="s">
        <v>250</v>
      </c>
      <c r="AE71" s="60">
        <v>40664</v>
      </c>
      <c r="AF71" s="14" t="s">
        <v>228</v>
      </c>
      <c r="AG71" s="14">
        <v>2008</v>
      </c>
      <c r="AH71" s="2" t="s">
        <v>446</v>
      </c>
    </row>
    <row r="72" spans="5:34" s="2" customFormat="1" ht="15.75">
      <c r="E72" s="13"/>
      <c r="AA72" s="2" t="s">
        <v>447</v>
      </c>
      <c r="AB72" s="14" t="s">
        <v>156</v>
      </c>
      <c r="AC72" s="14" t="s">
        <v>448</v>
      </c>
      <c r="AD72" s="14" t="s">
        <v>250</v>
      </c>
      <c r="AE72" s="60">
        <v>40664</v>
      </c>
      <c r="AF72" s="14" t="s">
        <v>228</v>
      </c>
      <c r="AG72" s="14">
        <v>2008</v>
      </c>
      <c r="AH72" s="2" t="s">
        <v>449</v>
      </c>
    </row>
    <row r="73" spans="5:34" s="2" customFormat="1" ht="15.75">
      <c r="E73" s="13"/>
      <c r="AA73" s="2" t="s">
        <v>450</v>
      </c>
      <c r="AB73" s="14" t="s">
        <v>157</v>
      </c>
      <c r="AC73" s="14" t="s">
        <v>451</v>
      </c>
      <c r="AD73" s="14" t="s">
        <v>250</v>
      </c>
      <c r="AE73" s="60">
        <v>40664</v>
      </c>
      <c r="AF73" s="14" t="s">
        <v>228</v>
      </c>
      <c r="AG73" s="14">
        <v>2009</v>
      </c>
      <c r="AH73" s="2" t="s">
        <v>452</v>
      </c>
    </row>
    <row r="74" spans="5:34" s="2" customFormat="1" ht="15.75">
      <c r="E74" s="13"/>
      <c r="AA74" s="2" t="s">
        <v>453</v>
      </c>
      <c r="AB74" s="14" t="s">
        <v>158</v>
      </c>
      <c r="AC74" s="14" t="s">
        <v>454</v>
      </c>
      <c r="AD74" s="14" t="s">
        <v>250</v>
      </c>
      <c r="AE74" s="60">
        <v>40664</v>
      </c>
      <c r="AF74" s="14" t="s">
        <v>228</v>
      </c>
      <c r="AG74" s="14">
        <v>2009</v>
      </c>
      <c r="AH74" s="2" t="s">
        <v>455</v>
      </c>
    </row>
    <row r="75" spans="5:34" s="2" customFormat="1" ht="15.75">
      <c r="E75" s="13"/>
      <c r="AA75" s="2" t="s">
        <v>456</v>
      </c>
      <c r="AB75" s="14" t="s">
        <v>457</v>
      </c>
      <c r="AC75" s="14" t="s">
        <v>458</v>
      </c>
      <c r="AD75" s="14" t="s">
        <v>250</v>
      </c>
      <c r="AE75" s="60">
        <v>40664</v>
      </c>
      <c r="AF75" s="14" t="s">
        <v>228</v>
      </c>
      <c r="AG75" s="14">
        <v>2010</v>
      </c>
      <c r="AH75" s="2" t="s">
        <v>459</v>
      </c>
    </row>
    <row r="76" spans="5:34" s="2" customFormat="1" ht="15.75">
      <c r="E76" s="13"/>
      <c r="AA76" s="2" t="s">
        <v>460</v>
      </c>
      <c r="AB76" s="14" t="s">
        <v>457</v>
      </c>
      <c r="AC76" s="14" t="s">
        <v>458</v>
      </c>
      <c r="AD76" s="14" t="s">
        <v>250</v>
      </c>
      <c r="AE76" s="60">
        <v>40664</v>
      </c>
      <c r="AF76" s="14" t="s">
        <v>228</v>
      </c>
      <c r="AG76" s="14">
        <v>2010</v>
      </c>
      <c r="AH76" s="2" t="s">
        <v>459</v>
      </c>
    </row>
    <row r="77" spans="5:34" s="2" customFormat="1" ht="15.75">
      <c r="E77" s="13"/>
      <c r="AA77" s="2" t="s">
        <v>461</v>
      </c>
      <c r="AB77" s="14" t="s">
        <v>159</v>
      </c>
      <c r="AC77" s="14" t="s">
        <v>462</v>
      </c>
      <c r="AD77" s="14" t="s">
        <v>250</v>
      </c>
      <c r="AE77" s="60">
        <v>40664</v>
      </c>
      <c r="AF77" s="14" t="s">
        <v>228</v>
      </c>
      <c r="AG77" s="14">
        <v>2009</v>
      </c>
      <c r="AH77" s="2" t="s">
        <v>463</v>
      </c>
    </row>
    <row r="78" spans="5:34" s="2" customFormat="1" ht="15.75">
      <c r="E78" s="13"/>
      <c r="AA78" s="2" t="s">
        <v>464</v>
      </c>
      <c r="AB78" s="14" t="s">
        <v>160</v>
      </c>
      <c r="AC78" s="14" t="s">
        <v>465</v>
      </c>
      <c r="AD78" s="14" t="s">
        <v>250</v>
      </c>
      <c r="AE78" s="60">
        <v>40664</v>
      </c>
      <c r="AF78" s="14" t="s">
        <v>228</v>
      </c>
      <c r="AG78" s="14">
        <v>2008</v>
      </c>
      <c r="AH78" s="2" t="s">
        <v>466</v>
      </c>
    </row>
    <row r="79" spans="5:34" s="2" customFormat="1" ht="15.75">
      <c r="E79" s="13"/>
      <c r="AA79" s="2" t="s">
        <v>467</v>
      </c>
      <c r="AB79" s="14" t="s">
        <v>161</v>
      </c>
      <c r="AC79" s="14" t="s">
        <v>468</v>
      </c>
      <c r="AD79" s="14" t="s">
        <v>250</v>
      </c>
      <c r="AE79" s="60">
        <v>40664</v>
      </c>
      <c r="AF79" s="14" t="s">
        <v>228</v>
      </c>
      <c r="AG79" s="14">
        <v>2009</v>
      </c>
      <c r="AH79" s="2" t="s">
        <v>469</v>
      </c>
    </row>
    <row r="80" spans="5:34" s="2" customFormat="1" ht="15.75">
      <c r="E80" s="13"/>
      <c r="AA80" s="2" t="s">
        <v>470</v>
      </c>
      <c r="AB80" s="14" t="s">
        <v>162</v>
      </c>
      <c r="AC80" s="14" t="s">
        <v>471</v>
      </c>
      <c r="AD80" s="14" t="s">
        <v>250</v>
      </c>
      <c r="AE80" s="60">
        <v>40664</v>
      </c>
      <c r="AF80" s="14" t="s">
        <v>228</v>
      </c>
      <c r="AG80" s="14">
        <v>2010</v>
      </c>
      <c r="AH80" s="2" t="s">
        <v>252</v>
      </c>
    </row>
    <row r="81" spans="5:34" s="2" customFormat="1" ht="15.75">
      <c r="E81" s="13"/>
      <c r="AA81" s="2" t="s">
        <v>472</v>
      </c>
      <c r="AB81" s="14" t="s">
        <v>163</v>
      </c>
      <c r="AC81" s="14" t="s">
        <v>473</v>
      </c>
      <c r="AD81" s="14" t="s">
        <v>250</v>
      </c>
      <c r="AE81" s="60">
        <v>40664</v>
      </c>
      <c r="AF81" s="14" t="s">
        <v>228</v>
      </c>
      <c r="AG81" s="14">
        <v>2009</v>
      </c>
      <c r="AH81" s="2" t="s">
        <v>474</v>
      </c>
    </row>
    <row r="82" spans="5:34" s="2" customFormat="1" ht="15.75">
      <c r="E82" s="13"/>
      <c r="AA82" s="2" t="s">
        <v>475</v>
      </c>
      <c r="AB82" s="14" t="s">
        <v>476</v>
      </c>
      <c r="AC82" s="14" t="s">
        <v>477</v>
      </c>
      <c r="AD82" s="14" t="s">
        <v>250</v>
      </c>
      <c r="AE82" s="60">
        <v>40664</v>
      </c>
      <c r="AF82" s="14" t="s">
        <v>228</v>
      </c>
      <c r="AG82" s="14">
        <v>2010</v>
      </c>
      <c r="AH82" s="2" t="s">
        <v>478</v>
      </c>
    </row>
    <row r="83" spans="5:33" s="2" customFormat="1" ht="15.75">
      <c r="E83" s="13"/>
      <c r="AB83" s="14"/>
      <c r="AC83" s="14"/>
      <c r="AD83" s="14"/>
      <c r="AE83" s="60"/>
      <c r="AF83" s="14"/>
      <c r="AG83" s="14"/>
    </row>
    <row r="84" spans="5:33" s="2" customFormat="1" ht="15.75">
      <c r="E84" s="13"/>
      <c r="AB84" s="14"/>
      <c r="AC84" s="14"/>
      <c r="AD84" s="14"/>
      <c r="AE84" s="60"/>
      <c r="AF84" s="14"/>
      <c r="AG84" s="14"/>
    </row>
    <row r="85" spans="5:33" s="2" customFormat="1" ht="15.75">
      <c r="E85" s="13"/>
      <c r="AB85" s="14"/>
      <c r="AC85" s="14"/>
      <c r="AD85" s="14"/>
      <c r="AE85" s="60"/>
      <c r="AF85" s="14"/>
      <c r="AG85" s="14"/>
    </row>
    <row r="86" spans="5:33" s="2" customFormat="1" ht="15.75">
      <c r="E86" s="13"/>
      <c r="AB86" s="14"/>
      <c r="AC86" s="14"/>
      <c r="AD86" s="14"/>
      <c r="AE86" s="60"/>
      <c r="AF86" s="14"/>
      <c r="AG86" s="14"/>
    </row>
    <row r="87" spans="5:33" s="2" customFormat="1" ht="15.75">
      <c r="E87" s="13"/>
      <c r="AB87" s="14"/>
      <c r="AC87" s="14"/>
      <c r="AD87" s="14"/>
      <c r="AE87" s="60"/>
      <c r="AF87" s="14"/>
      <c r="AG87" s="14"/>
    </row>
    <row r="88" spans="5:33" s="2" customFormat="1" ht="15.75">
      <c r="E88" s="13"/>
      <c r="AB88" s="14"/>
      <c r="AC88" s="14"/>
      <c r="AD88" s="14"/>
      <c r="AE88" s="60"/>
      <c r="AF88" s="14"/>
      <c r="AG88" s="14"/>
    </row>
    <row r="89" spans="5:33" s="2" customFormat="1" ht="15.75">
      <c r="E89" s="13"/>
      <c r="AB89" s="14"/>
      <c r="AC89" s="14"/>
      <c r="AD89" s="14"/>
      <c r="AE89" s="60"/>
      <c r="AF89" s="14"/>
      <c r="AG89" s="14"/>
    </row>
    <row r="90" spans="5:33" s="2" customFormat="1" ht="15.75">
      <c r="E90" s="13"/>
      <c r="AB90" s="14"/>
      <c r="AC90" s="14"/>
      <c r="AD90" s="14"/>
      <c r="AE90" s="60"/>
      <c r="AF90" s="14"/>
      <c r="AG90" s="14"/>
    </row>
    <row r="91" spans="5:33" s="2" customFormat="1" ht="15.75">
      <c r="E91" s="13"/>
      <c r="AB91" s="14"/>
      <c r="AC91" s="14"/>
      <c r="AD91" s="14"/>
      <c r="AE91" s="60"/>
      <c r="AF91" s="14"/>
      <c r="AG91" s="14"/>
    </row>
    <row r="92" spans="5:33" s="2" customFormat="1" ht="15.75">
      <c r="E92" s="13"/>
      <c r="AB92" s="14"/>
      <c r="AC92" s="14"/>
      <c r="AD92" s="14"/>
      <c r="AE92" s="60"/>
      <c r="AF92" s="14"/>
      <c r="AG92" s="14"/>
    </row>
    <row r="93" spans="5:33" s="2" customFormat="1" ht="15.75">
      <c r="E93" s="13"/>
      <c r="AB93" s="14"/>
      <c r="AC93" s="14"/>
      <c r="AD93" s="14"/>
      <c r="AE93" s="60"/>
      <c r="AF93" s="14"/>
      <c r="AG93" s="14"/>
    </row>
    <row r="94" spans="5:33" s="2" customFormat="1" ht="15.75">
      <c r="E94" s="13"/>
      <c r="AB94" s="14"/>
      <c r="AC94" s="14"/>
      <c r="AD94" s="14"/>
      <c r="AE94" s="60"/>
      <c r="AF94" s="14"/>
      <c r="AG94" s="14"/>
    </row>
    <row r="95" spans="5:33" s="2" customFormat="1" ht="15.75">
      <c r="E95" s="13"/>
      <c r="AB95" s="14"/>
      <c r="AC95" s="14"/>
      <c r="AD95" s="14"/>
      <c r="AE95" s="60"/>
      <c r="AF95" s="14"/>
      <c r="AG95" s="14"/>
    </row>
    <row r="96" spans="5:33" s="2" customFormat="1" ht="15.75">
      <c r="E96" s="13"/>
      <c r="AB96" s="14"/>
      <c r="AC96" s="14"/>
      <c r="AD96" s="14"/>
      <c r="AE96" s="60"/>
      <c r="AF96" s="14"/>
      <c r="AG96" s="14"/>
    </row>
    <row r="97" spans="5:33" s="2" customFormat="1" ht="15.75">
      <c r="E97" s="13"/>
      <c r="AB97" s="14"/>
      <c r="AC97" s="14"/>
      <c r="AD97" s="14"/>
      <c r="AE97" s="60"/>
      <c r="AF97" s="14"/>
      <c r="AG97" s="14"/>
    </row>
    <row r="98" spans="5:33" s="2" customFormat="1" ht="15.75">
      <c r="E98" s="13"/>
      <c r="AB98" s="14"/>
      <c r="AC98" s="14"/>
      <c r="AD98" s="14"/>
      <c r="AE98" s="60"/>
      <c r="AF98" s="14"/>
      <c r="AG98" s="14"/>
    </row>
    <row r="99" spans="5:33" s="2" customFormat="1" ht="15.75">
      <c r="E99" s="13"/>
      <c r="AB99" s="14"/>
      <c r="AC99" s="14"/>
      <c r="AD99" s="14"/>
      <c r="AE99" s="60"/>
      <c r="AF99" s="14"/>
      <c r="AG99" s="14"/>
    </row>
    <row r="100" spans="5:33" s="2" customFormat="1" ht="15.75">
      <c r="E100" s="13"/>
      <c r="AB100" s="14"/>
      <c r="AC100" s="14"/>
      <c r="AD100" s="14"/>
      <c r="AE100" s="60"/>
      <c r="AF100" s="14"/>
      <c r="AG100" s="14"/>
    </row>
    <row r="101" spans="5:33" s="2" customFormat="1" ht="15.75">
      <c r="E101" s="13"/>
      <c r="AB101" s="14"/>
      <c r="AC101" s="14"/>
      <c r="AD101" s="14"/>
      <c r="AE101" s="60"/>
      <c r="AF101" s="14"/>
      <c r="AG101" s="14"/>
    </row>
  </sheetData>
  <sheetProtection password="927E" sheet="1" objects="1" scenarios="1"/>
  <mergeCells count="5">
    <mergeCell ref="C19:H19"/>
    <mergeCell ref="C2:J2"/>
    <mergeCell ref="C3:J3"/>
    <mergeCell ref="C4:J4"/>
    <mergeCell ref="C5:J5"/>
  </mergeCells>
  <dataValidations count="1">
    <dataValidation type="list" allowBlank="1" showInputMessage="1" showErrorMessage="1" sqref="D20">
      <formula1>$AA$21:$AA83</formula1>
    </dataValidation>
  </dataValidations>
  <printOptions/>
  <pageMargins left="0.7480314960629921" right="0.7480314960629921" top="1.220472440944882" bottom="0.984251968503937" header="0.7086614173228347" footer="0.5118110236220472"/>
  <pageSetup fitToHeight="1" fitToWidth="1" horizontalDpi="600" verticalDpi="600" orientation="landscape" scale="66" r:id="rId3"/>
  <headerFooter alignWithMargins="0">
    <oddHeader>&amp;RHydro Ottawa Limited
EB-2010-0326
Attachment C
Filed: 2010-11-30
Page &amp;P of &amp;N</oddHeader>
    <oddFooter>&amp;C&amp;A</oddFooter>
  </headerFooter>
  <legacyDrawing r:id="rId2"/>
  <oleObjects>
    <oleObject progId="Unknown" shapeId="53446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1"/>
    <pageSetUpPr fitToPage="1"/>
  </sheetPr>
  <dimension ref="A1:D32"/>
  <sheetViews>
    <sheetView showGridLines="0" tabSelected="1" zoomScale="75" zoomScaleNormal="75" zoomScalePageLayoutView="0" workbookViewId="0" topLeftCell="A1">
      <selection activeCell="D20" sqref="D20"/>
    </sheetView>
  </sheetViews>
  <sheetFormatPr defaultColWidth="0" defaultRowHeight="15" zeroHeight="1"/>
  <cols>
    <col min="1" max="2" width="8.88671875" style="8" customWidth="1"/>
    <col min="3" max="3" width="42.10546875" style="8" bestFit="1" customWidth="1"/>
    <col min="4" max="4" width="67.77734375" style="8" bestFit="1" customWidth="1"/>
    <col min="5" max="16384" width="0" style="8" hidden="1" customWidth="1"/>
  </cols>
  <sheetData>
    <row r="1" spans="1:4" ht="15">
      <c r="A1" s="2"/>
      <c r="B1" s="2"/>
      <c r="C1" s="2"/>
      <c r="D1" s="2"/>
    </row>
    <row r="2" s="2" customFormat="1" ht="18">
      <c r="C2" s="58" t="str">
        <f>'A1.1 LDC Information'!C2</f>
        <v>Name of LDC:       Hydro Ottawa Limited</v>
      </c>
    </row>
    <row r="3" s="2" customFormat="1" ht="18">
      <c r="C3" s="58" t="str">
        <f>'A1.1 LDC Information'!C3</f>
        <v>File Number:          IRM3</v>
      </c>
    </row>
    <row r="4" s="2" customFormat="1" ht="18">
      <c r="C4" s="58" t="str">
        <f>'A1.1 LDC Information'!C4</f>
        <v>Effective Date:       December 30, 1899</v>
      </c>
    </row>
    <row r="5" s="2" customFormat="1" ht="18">
      <c r="C5" s="58" t="str">
        <f>'A1.1 LDC Information'!C5</f>
        <v>Version : 1.0</v>
      </c>
    </row>
    <row r="6" s="2" customFormat="1" ht="15"/>
    <row r="7" s="2" customFormat="1" ht="15"/>
    <row r="8" s="2" customFormat="1" ht="15"/>
    <row r="9" s="2" customFormat="1" ht="15"/>
    <row r="10" s="2" customFormat="1" ht="26.25">
      <c r="C10" s="63" t="str">
        <f>'Z1.0 OEB Control Sheet'!C3</f>
        <v>Table of Contents</v>
      </c>
    </row>
    <row r="11" s="2" customFormat="1" ht="15" hidden="1"/>
    <row r="12" s="2" customFormat="1" ht="15" hidden="1"/>
    <row r="13" s="2" customFormat="1" ht="15" hidden="1"/>
    <row r="14" s="2" customFormat="1" ht="15" hidden="1"/>
    <row r="15" s="2" customFormat="1" ht="15" hidden="1"/>
    <row r="16" s="2" customFormat="1" ht="15" hidden="1"/>
    <row r="17" s="2" customFormat="1" ht="15" hidden="1"/>
    <row r="18" s="2" customFormat="1" ht="15" hidden="1"/>
    <row r="19" s="2" customFormat="1" ht="15"/>
    <row r="20" spans="3:4" s="2" customFormat="1" ht="15.75">
      <c r="C20" s="16" t="s">
        <v>171</v>
      </c>
      <c r="D20" s="16" t="s">
        <v>172</v>
      </c>
    </row>
    <row r="21" s="2" customFormat="1" ht="15"/>
    <row r="22" spans="3:4" s="2" customFormat="1" ht="15">
      <c r="C22" s="89" t="s">
        <v>168</v>
      </c>
      <c r="D22" s="2" t="str">
        <f>VLOOKUP(C22,'Z1.0 OEB Control Sheet'!D:G,4,0)</f>
        <v>Enter LDC Data</v>
      </c>
    </row>
    <row r="23" s="2" customFormat="1" ht="15"/>
    <row r="24" spans="3:4" s="2" customFormat="1" ht="15">
      <c r="C24" s="89" t="s">
        <v>169</v>
      </c>
      <c r="D24" s="2" t="str">
        <f>VLOOKUP(C24,'Z1.0 OEB Control Sheet'!D:G,4,0)</f>
        <v>Table of Contents</v>
      </c>
    </row>
    <row r="25" s="2" customFormat="1" ht="15"/>
    <row r="26" spans="3:4" s="2" customFormat="1" ht="15">
      <c r="C26" s="89" t="s">
        <v>240</v>
      </c>
      <c r="D26" s="2" t="str">
        <f>VLOOKUP(C26,'Z1.0 OEB Control Sheet'!D:G,4,0)</f>
        <v>Set Up Rate Classes and enter Re-Based Billing Determinants and Tariff Rates </v>
      </c>
    </row>
    <row r="27" s="2" customFormat="1" ht="15"/>
    <row r="28" spans="3:4" s="2" customFormat="1" ht="15">
      <c r="C28" s="89" t="s">
        <v>241</v>
      </c>
      <c r="D28" s="2" t="str">
        <f>VLOOKUP(C28,'Z1.0 OEB Control Sheet'!D:G,4,0)</f>
        <v>Calculated Re-Based Revenue From Rates</v>
      </c>
    </row>
    <row r="29" s="2" customFormat="1" ht="15"/>
    <row r="30" spans="3:4" s="2" customFormat="1" ht="15">
      <c r="C30" s="89" t="s">
        <v>170</v>
      </c>
      <c r="D30" s="2" t="str">
        <f>VLOOKUP(C30,'Z1.0 OEB Control Sheet'!D:G,4,0)</f>
        <v>Sharing formula for Tax changes - this is very preliminary</v>
      </c>
    </row>
    <row r="31" s="2" customFormat="1" ht="15"/>
    <row r="32" spans="3:4" s="2" customFormat="1" ht="15">
      <c r="C32" s="89" t="s">
        <v>283</v>
      </c>
      <c r="D32" s="2" t="str">
        <f>VLOOKUP(C32,'Z1.0 OEB Control Sheet'!D:G,4,0)</f>
        <v>Option B - Calculation of Tax Sharing Rate Rider - Volumetric Allocation</v>
      </c>
    </row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</sheetData>
  <sheetProtection password="927E" sheet="1" objects="1" scenarios="1"/>
  <hyperlinks>
    <hyperlink ref="C22" location="'A1.1 LDC Information'!A1" display="A1.1 LDC Information"/>
    <hyperlink ref="C24" location="'A2.1 Table of Contents'!A1" display="A2.1 Table of Contents"/>
    <hyperlink ref="C26" location="'B1.1 Re-Based Bill Det &amp; Rates'!A1" display="B1.1 Re-Based Bill Det &amp; Rates"/>
    <hyperlink ref="C28" location="'B1.3 Re-Based Rev From Rates'!A1" display="B1.3 Re-Based Rev From Rates"/>
    <hyperlink ref="C30" location="'F1.1 Z-Factor Tax Changes'!A1" display="F1.1 Z-Factor Tax Changes"/>
    <hyperlink ref="C32" location="'F1.3 Calc Tax Chg RRider Var'!A1" display="F1.3 Calc Tax Chg RRider Var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scale="58" r:id="rId3"/>
  <headerFooter alignWithMargins="0">
    <oddHeader>&amp;RHydro Ottawa Limited
EB-2010-0326
Attachment C
Filed: 2010-11-30
Page &amp;P of &amp;N</oddHeader>
    <oddFooter>&amp;C&amp;A</oddFooter>
  </headerFooter>
  <legacyDrawing r:id="rId2"/>
  <oleObjects>
    <oleObject progId="Unknown" shapeId="535666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2"/>
    <pageSetUpPr fitToPage="1"/>
  </sheetPr>
  <dimension ref="A1:AZ2443"/>
  <sheetViews>
    <sheetView showGridLines="0" tabSelected="1" zoomScale="80" zoomScaleNormal="80" zoomScalePageLayoutView="0" workbookViewId="0" topLeftCell="E1">
      <selection activeCell="D20" sqref="D20"/>
    </sheetView>
  </sheetViews>
  <sheetFormatPr defaultColWidth="0" defaultRowHeight="15" zeroHeight="1"/>
  <cols>
    <col min="1" max="1" width="15.77734375" style="4" customWidth="1"/>
    <col min="2" max="2" width="11.21484375" style="4" hidden="1" customWidth="1"/>
    <col min="3" max="3" width="10.77734375" style="45" customWidth="1"/>
    <col min="4" max="4" width="35.6640625" style="4" bestFit="1" customWidth="1"/>
    <col min="5" max="5" width="11.88671875" style="45" bestFit="1" customWidth="1"/>
    <col min="6" max="6" width="9.88671875" style="45" bestFit="1" customWidth="1"/>
    <col min="7" max="7" width="11.21484375" style="17" hidden="1" customWidth="1"/>
    <col min="8" max="8" width="2.77734375" style="4" customWidth="1"/>
    <col min="9" max="9" width="24.10546875" style="4" bestFit="1" customWidth="1"/>
    <col min="10" max="10" width="11.10546875" style="4" bestFit="1" customWidth="1"/>
    <col min="11" max="11" width="9.4453125" style="4" bestFit="1" customWidth="1"/>
    <col min="12" max="12" width="2.77734375" style="4" customWidth="1"/>
    <col min="13" max="13" width="15.6640625" style="4" bestFit="1" customWidth="1"/>
    <col min="14" max="15" width="26.6640625" style="4" bestFit="1" customWidth="1"/>
    <col min="16" max="16" width="2.77734375" style="4" customWidth="1"/>
    <col min="17" max="26" width="2.77734375" style="4" hidden="1" customWidth="1"/>
    <col min="27" max="27" width="35.3359375" style="4" hidden="1" customWidth="1"/>
    <col min="28" max="28" width="9.77734375" style="4" hidden="1" customWidth="1"/>
    <col min="29" max="29" width="11.21484375" style="4" hidden="1" customWidth="1"/>
    <col min="30" max="30" width="58.4453125" style="4" hidden="1" customWidth="1"/>
    <col min="31" max="31" width="2.77734375" style="4" hidden="1" customWidth="1"/>
    <col min="32" max="32" width="11.21484375" style="4" hidden="1" customWidth="1"/>
    <col min="33" max="33" width="43.99609375" style="4" hidden="1" customWidth="1"/>
    <col min="34" max="16384" width="11.21484375" style="4" hidden="1" customWidth="1"/>
  </cols>
  <sheetData>
    <row r="1" spans="1:51" s="8" customFormat="1" ht="15">
      <c r="A1" s="2"/>
      <c r="B1" s="2"/>
      <c r="C1" s="14"/>
      <c r="D1" s="2"/>
      <c r="E1" s="14"/>
      <c r="F1" s="1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3:13" s="3" customFormat="1" ht="18">
      <c r="C2" s="87" t="str">
        <f>'A1.1 LDC Information'!C2</f>
        <v>Name of LDC:       Hydro Ottawa Limited</v>
      </c>
      <c r="E2" s="5"/>
      <c r="F2" s="14"/>
      <c r="G2" s="2"/>
      <c r="H2" s="2"/>
      <c r="I2" s="2"/>
      <c r="J2" s="2"/>
      <c r="K2" s="2"/>
      <c r="L2" s="2"/>
      <c r="M2" s="2"/>
    </row>
    <row r="3" spans="3:7" s="3" customFormat="1" ht="18">
      <c r="C3" s="87" t="str">
        <f>'A1.1 LDC Information'!C3</f>
        <v>File Number:          IRM3</v>
      </c>
      <c r="E3" s="5"/>
      <c r="F3" s="5"/>
      <c r="G3" s="14"/>
    </row>
    <row r="4" spans="3:7" s="3" customFormat="1" ht="18">
      <c r="C4" s="88" t="str">
        <f>'A1.1 LDC Information'!C4</f>
        <v>Effective Date:       December 30, 1899</v>
      </c>
      <c r="E4" s="5"/>
      <c r="F4" s="5"/>
      <c r="G4" s="14"/>
    </row>
    <row r="5" spans="3:7" s="3" customFormat="1" ht="18">
      <c r="C5" s="88" t="str">
        <f>'A1.1 LDC Information'!C5</f>
        <v>Version : 1.0</v>
      </c>
      <c r="E5" s="5"/>
      <c r="F5" s="5"/>
      <c r="G5" s="14"/>
    </row>
    <row r="6" spans="3:7" s="3" customFormat="1" ht="15">
      <c r="C6" s="5"/>
      <c r="E6" s="5"/>
      <c r="F6" s="5"/>
      <c r="G6" s="14"/>
    </row>
    <row r="7" spans="3:7" s="3" customFormat="1" ht="15">
      <c r="C7" s="5"/>
      <c r="E7" s="5"/>
      <c r="F7" s="5"/>
      <c r="G7" s="14"/>
    </row>
    <row r="8" spans="3:7" s="3" customFormat="1" ht="15">
      <c r="C8" s="5"/>
      <c r="E8" s="5"/>
      <c r="F8" s="5"/>
      <c r="G8" s="14"/>
    </row>
    <row r="9" spans="3:7" s="3" customFormat="1" ht="15">
      <c r="C9" s="5"/>
      <c r="E9" s="5"/>
      <c r="F9" s="5"/>
      <c r="G9" s="14"/>
    </row>
    <row r="10" spans="3:7" s="3" customFormat="1" ht="26.25">
      <c r="C10" s="86" t="str">
        <f>'Z1.0 OEB Control Sheet'!C4</f>
        <v>Rate Class and Re-Based Billing Determinants &amp; Rates</v>
      </c>
      <c r="E10" s="5"/>
      <c r="F10" s="5"/>
      <c r="G10" s="14"/>
    </row>
    <row r="11" spans="3:7" s="3" customFormat="1" ht="15">
      <c r="C11" s="5"/>
      <c r="E11" s="5"/>
      <c r="F11" s="5"/>
      <c r="G11" s="14"/>
    </row>
    <row r="12" spans="3:7" s="3" customFormat="1" ht="15">
      <c r="C12" s="5"/>
      <c r="E12" s="5"/>
      <c r="F12" s="5"/>
      <c r="G12" s="14"/>
    </row>
    <row r="13" spans="3:7" s="3" customFormat="1" ht="15">
      <c r="C13" s="5"/>
      <c r="E13" s="5"/>
      <c r="F13" s="5"/>
      <c r="G13" s="14"/>
    </row>
    <row r="14" spans="3:7" s="3" customFormat="1" ht="15">
      <c r="C14" s="5"/>
      <c r="E14" s="5"/>
      <c r="F14" s="5"/>
      <c r="G14" s="14"/>
    </row>
    <row r="15" spans="3:7" s="3" customFormat="1" ht="15">
      <c r="C15" s="5"/>
      <c r="E15" s="5"/>
      <c r="F15" s="5"/>
      <c r="G15" s="14"/>
    </row>
    <row r="16" spans="3:9" s="3" customFormat="1" ht="15">
      <c r="C16" s="5"/>
      <c r="D16" s="91" t="s">
        <v>479</v>
      </c>
      <c r="E16" s="5"/>
      <c r="F16" s="5"/>
      <c r="G16" s="14"/>
      <c r="I16" s="92">
        <f>'A1.1 LDC Information'!D32</f>
        <v>2008</v>
      </c>
    </row>
    <row r="17" spans="3:9" s="3" customFormat="1" ht="15">
      <c r="C17" s="5"/>
      <c r="E17" s="5"/>
      <c r="F17" s="5"/>
      <c r="G17" s="14"/>
      <c r="I17" s="5"/>
    </row>
    <row r="18" spans="3:9" s="3" customFormat="1" ht="15">
      <c r="C18" s="5"/>
      <c r="D18" s="91" t="s">
        <v>480</v>
      </c>
      <c r="E18" s="5"/>
      <c r="F18" s="5"/>
      <c r="G18" s="14"/>
      <c r="I18" s="92" t="str">
        <f>'A1.1 LDC Information'!D34</f>
        <v>EB-2007-0713</v>
      </c>
    </row>
    <row r="19" spans="3:7" s="3" customFormat="1" ht="15">
      <c r="C19" s="5"/>
      <c r="E19" s="5"/>
      <c r="F19" s="5"/>
      <c r="G19" s="14"/>
    </row>
    <row r="20" spans="2:52" s="3" customFormat="1" ht="47.25">
      <c r="B20" s="5" t="s">
        <v>9</v>
      </c>
      <c r="C20" s="24" t="s">
        <v>10</v>
      </c>
      <c r="D20" s="24" t="s">
        <v>11</v>
      </c>
      <c r="E20" s="24" t="s">
        <v>12</v>
      </c>
      <c r="F20" s="24" t="s">
        <v>13</v>
      </c>
      <c r="G20" s="24" t="s">
        <v>113</v>
      </c>
      <c r="H20" s="24"/>
      <c r="I20" s="24" t="s">
        <v>239</v>
      </c>
      <c r="J20" s="24" t="s">
        <v>237</v>
      </c>
      <c r="K20" s="24" t="s">
        <v>238</v>
      </c>
      <c r="L20" s="24"/>
      <c r="M20" s="24" t="s">
        <v>483</v>
      </c>
      <c r="N20" s="24" t="s">
        <v>484</v>
      </c>
      <c r="O20" s="24" t="s">
        <v>485</v>
      </c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" t="s">
        <v>14</v>
      </c>
      <c r="AB20" s="14" t="s">
        <v>181</v>
      </c>
      <c r="AC20" s="2"/>
      <c r="AD20" s="2" t="s">
        <v>182</v>
      </c>
      <c r="AE20" s="14" t="s">
        <v>181</v>
      </c>
      <c r="AF20" s="2"/>
      <c r="AG20" s="69" t="s">
        <v>183</v>
      </c>
      <c r="AH20" s="70" t="s">
        <v>181</v>
      </c>
      <c r="AI20" s="2"/>
      <c r="AJ20" s="2" t="s">
        <v>15</v>
      </c>
      <c r="AK20" s="14" t="s">
        <v>181</v>
      </c>
      <c r="AL20" s="2"/>
      <c r="AM20" s="2" t="s">
        <v>184</v>
      </c>
      <c r="AN20" s="14" t="s">
        <v>181</v>
      </c>
      <c r="AO20" s="2"/>
      <c r="AP20" s="2" t="s">
        <v>185</v>
      </c>
      <c r="AQ20" s="14" t="s">
        <v>181</v>
      </c>
      <c r="AR20" s="2"/>
      <c r="AS20" s="2" t="s">
        <v>186</v>
      </c>
      <c r="AT20" s="14" t="s">
        <v>181</v>
      </c>
      <c r="AU20" s="2"/>
      <c r="AV20" s="2" t="s">
        <v>262</v>
      </c>
      <c r="AW20" s="2"/>
      <c r="AX20" s="2"/>
      <c r="AY20" s="2" t="s">
        <v>263</v>
      </c>
      <c r="AZ20" s="2"/>
    </row>
    <row r="21" spans="2:52" s="3" customFormat="1" ht="16.5" thickBot="1">
      <c r="B21" s="5"/>
      <c r="C21" s="24"/>
      <c r="D21" s="24"/>
      <c r="E21" s="24"/>
      <c r="F21" s="24"/>
      <c r="G21" s="24"/>
      <c r="H21" s="24"/>
      <c r="I21" s="24" t="s">
        <v>0</v>
      </c>
      <c r="J21" s="24" t="s">
        <v>1</v>
      </c>
      <c r="K21" s="24" t="s">
        <v>4</v>
      </c>
      <c r="L21" s="24"/>
      <c r="M21" s="24" t="s">
        <v>2</v>
      </c>
      <c r="N21" s="24" t="s">
        <v>5</v>
      </c>
      <c r="O21" s="24" t="s">
        <v>3</v>
      </c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" t="s">
        <v>14</v>
      </c>
      <c r="AB21" s="14" t="s">
        <v>17</v>
      </c>
      <c r="AC21" s="2"/>
      <c r="AD21" s="2" t="s">
        <v>18</v>
      </c>
      <c r="AE21" s="14" t="s">
        <v>19</v>
      </c>
      <c r="AF21" s="2"/>
      <c r="AG21" s="69" t="s">
        <v>20</v>
      </c>
      <c r="AH21" s="70" t="s">
        <v>21</v>
      </c>
      <c r="AI21" s="2"/>
      <c r="AJ21" s="2" t="s">
        <v>15</v>
      </c>
      <c r="AK21" s="14" t="s">
        <v>22</v>
      </c>
      <c r="AL21" s="2"/>
      <c r="AM21" s="2" t="s">
        <v>23</v>
      </c>
      <c r="AN21" s="14" t="s">
        <v>187</v>
      </c>
      <c r="AO21" s="2"/>
      <c r="AP21" s="2" t="s">
        <v>24</v>
      </c>
      <c r="AQ21" s="14" t="s">
        <v>25</v>
      </c>
      <c r="AR21" s="2"/>
      <c r="AS21" s="2" t="s">
        <v>26</v>
      </c>
      <c r="AT21" s="14" t="s">
        <v>25</v>
      </c>
      <c r="AU21" s="2"/>
      <c r="AV21" s="2" t="s">
        <v>264</v>
      </c>
      <c r="AW21" s="2"/>
      <c r="AX21" s="2"/>
      <c r="AY21" s="2" t="s">
        <v>265</v>
      </c>
      <c r="AZ21" s="2"/>
    </row>
    <row r="22" spans="2:52" s="3" customFormat="1" ht="16.5" thickBot="1" thickTop="1">
      <c r="B22" s="6">
        <v>1</v>
      </c>
      <c r="C22" s="95" t="s">
        <v>504</v>
      </c>
      <c r="D22" s="97" t="s">
        <v>14</v>
      </c>
      <c r="E22" s="98" t="s">
        <v>505</v>
      </c>
      <c r="F22" s="99" t="s">
        <v>506</v>
      </c>
      <c r="G22" s="14"/>
      <c r="I22" s="100">
        <v>264080</v>
      </c>
      <c r="J22" s="100">
        <v>2261678461.0666666</v>
      </c>
      <c r="K22" s="75"/>
      <c r="M22" s="101">
        <v>8.52</v>
      </c>
      <c r="N22" s="102">
        <v>0.0207</v>
      </c>
      <c r="O22" s="77"/>
      <c r="P22" s="78"/>
      <c r="AA22" s="2" t="s">
        <v>27</v>
      </c>
      <c r="AB22" s="14" t="s">
        <v>17</v>
      </c>
      <c r="AC22" s="2"/>
      <c r="AD22" s="2" t="s">
        <v>28</v>
      </c>
      <c r="AE22" s="14" t="s">
        <v>19</v>
      </c>
      <c r="AF22" s="2"/>
      <c r="AG22" s="69" t="s">
        <v>29</v>
      </c>
      <c r="AH22" s="70" t="s">
        <v>30</v>
      </c>
      <c r="AI22" s="2"/>
      <c r="AJ22" s="2" t="s">
        <v>31</v>
      </c>
      <c r="AK22" s="14" t="s">
        <v>22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 t="s">
        <v>266</v>
      </c>
      <c r="AW22" s="2"/>
      <c r="AX22" s="2"/>
      <c r="AY22" s="2" t="s">
        <v>267</v>
      </c>
      <c r="AZ22" s="2"/>
    </row>
    <row r="23" spans="2:52" s="3" customFormat="1" ht="16.5" thickBot="1" thickTop="1">
      <c r="B23" s="6">
        <v>2</v>
      </c>
      <c r="C23" s="95" t="s">
        <v>507</v>
      </c>
      <c r="D23" s="97" t="s">
        <v>18</v>
      </c>
      <c r="E23" s="98" t="s">
        <v>505</v>
      </c>
      <c r="F23" s="99" t="s">
        <v>506</v>
      </c>
      <c r="G23" s="14"/>
      <c r="I23" s="100">
        <v>23051</v>
      </c>
      <c r="J23" s="100">
        <v>774937986.1312553</v>
      </c>
      <c r="K23" s="75"/>
      <c r="M23" s="101">
        <v>14.73</v>
      </c>
      <c r="N23" s="102">
        <v>0.0185</v>
      </c>
      <c r="O23" s="77"/>
      <c r="P23" s="78"/>
      <c r="AA23" s="2" t="s">
        <v>32</v>
      </c>
      <c r="AB23" s="14" t="s">
        <v>17</v>
      </c>
      <c r="AC23" s="2"/>
      <c r="AD23" s="2" t="s">
        <v>33</v>
      </c>
      <c r="AE23" s="14" t="s">
        <v>19</v>
      </c>
      <c r="AF23" s="2"/>
      <c r="AG23" s="69" t="s">
        <v>34</v>
      </c>
      <c r="AH23" s="70" t="s">
        <v>35</v>
      </c>
      <c r="AI23" s="2"/>
      <c r="AJ23" s="2" t="s">
        <v>36</v>
      </c>
      <c r="AK23" s="14" t="s">
        <v>22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 t="s">
        <v>268</v>
      </c>
      <c r="AZ23" s="2"/>
    </row>
    <row r="24" spans="2:52" s="3" customFormat="1" ht="16.5" thickBot="1" thickTop="1">
      <c r="B24" s="6">
        <v>3</v>
      </c>
      <c r="C24" s="95" t="s">
        <v>508</v>
      </c>
      <c r="D24" s="97" t="s">
        <v>45</v>
      </c>
      <c r="E24" s="98" t="s">
        <v>505</v>
      </c>
      <c r="F24" s="99" t="s">
        <v>509</v>
      </c>
      <c r="G24" s="14"/>
      <c r="I24" s="100">
        <v>3296</v>
      </c>
      <c r="J24" s="100">
        <v>3120930871.2703676</v>
      </c>
      <c r="K24" s="100">
        <v>7373411.289297726</v>
      </c>
      <c r="M24" s="101">
        <v>250.76</v>
      </c>
      <c r="N24" s="77"/>
      <c r="O24" s="102">
        <v>3.0325</v>
      </c>
      <c r="P24" s="78"/>
      <c r="AA24" s="2" t="s">
        <v>37</v>
      </c>
      <c r="AB24" s="14" t="s">
        <v>17</v>
      </c>
      <c r="AC24" s="2"/>
      <c r="AD24" s="2" t="s">
        <v>38</v>
      </c>
      <c r="AE24" s="14" t="s">
        <v>19</v>
      </c>
      <c r="AF24" s="2"/>
      <c r="AG24" s="69" t="s">
        <v>39</v>
      </c>
      <c r="AH24" s="70" t="s">
        <v>35</v>
      </c>
      <c r="AI24" s="2"/>
      <c r="AJ24" s="2" t="s">
        <v>269</v>
      </c>
      <c r="AK24" s="14" t="s">
        <v>22</v>
      </c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 t="s">
        <v>270</v>
      </c>
      <c r="AZ24" s="2"/>
    </row>
    <row r="25" spans="2:52" s="3" customFormat="1" ht="16.5" thickBot="1" thickTop="1">
      <c r="B25" s="6">
        <v>4</v>
      </c>
      <c r="C25" s="95" t="s">
        <v>508</v>
      </c>
      <c r="D25" s="97" t="s">
        <v>82</v>
      </c>
      <c r="E25" s="98" t="s">
        <v>505</v>
      </c>
      <c r="F25" s="99" t="s">
        <v>509</v>
      </c>
      <c r="G25" s="14"/>
      <c r="I25" s="100">
        <v>81</v>
      </c>
      <c r="J25" s="100">
        <v>837604030.8454968</v>
      </c>
      <c r="K25" s="100">
        <v>1757833.0007844018</v>
      </c>
      <c r="M25" s="101">
        <v>4032.07</v>
      </c>
      <c r="N25" s="77"/>
      <c r="O25" s="102">
        <v>2.8962</v>
      </c>
      <c r="P25" s="78"/>
      <c r="AA25" s="2" t="s">
        <v>40</v>
      </c>
      <c r="AB25" s="14" t="s">
        <v>17</v>
      </c>
      <c r="AC25" s="2"/>
      <c r="AD25" s="2" t="s">
        <v>41</v>
      </c>
      <c r="AE25" s="14" t="s">
        <v>19</v>
      </c>
      <c r="AF25" s="2"/>
      <c r="AG25" s="69" t="s">
        <v>42</v>
      </c>
      <c r="AH25" s="70" t="s">
        <v>35</v>
      </c>
      <c r="AI25" s="2"/>
      <c r="AJ25" s="2" t="s">
        <v>271</v>
      </c>
      <c r="AK25" s="14" t="s">
        <v>22</v>
      </c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 t="s">
        <v>272</v>
      </c>
      <c r="AZ25" s="2"/>
    </row>
    <row r="26" spans="2:52" s="3" customFormat="1" ht="16.5" thickBot="1" thickTop="1">
      <c r="B26" s="6">
        <v>5</v>
      </c>
      <c r="C26" s="95" t="s">
        <v>510</v>
      </c>
      <c r="D26" s="97" t="s">
        <v>15</v>
      </c>
      <c r="E26" s="98" t="s">
        <v>505</v>
      </c>
      <c r="F26" s="99" t="s">
        <v>509</v>
      </c>
      <c r="G26" s="14"/>
      <c r="I26" s="100">
        <v>11</v>
      </c>
      <c r="J26" s="100">
        <v>649903952.4195468</v>
      </c>
      <c r="K26" s="100">
        <v>1167396.0299565047</v>
      </c>
      <c r="M26" s="101">
        <v>14643.46</v>
      </c>
      <c r="N26" s="77"/>
      <c r="O26" s="102">
        <v>2.7725</v>
      </c>
      <c r="P26" s="78"/>
      <c r="AA26" s="2" t="s">
        <v>43</v>
      </c>
      <c r="AB26" s="14" t="s">
        <v>17</v>
      </c>
      <c r="AC26" s="2"/>
      <c r="AD26" s="2" t="s">
        <v>44</v>
      </c>
      <c r="AE26" s="14" t="s">
        <v>19</v>
      </c>
      <c r="AF26" s="2"/>
      <c r="AG26" s="69" t="s">
        <v>45</v>
      </c>
      <c r="AH26" s="70" t="s">
        <v>46</v>
      </c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 t="s">
        <v>273</v>
      </c>
      <c r="AZ26" s="2"/>
    </row>
    <row r="27" spans="2:52" s="3" customFormat="1" ht="16.5" thickBot="1" thickTop="1">
      <c r="B27" s="6">
        <v>6</v>
      </c>
      <c r="C27" s="95" t="s">
        <v>184</v>
      </c>
      <c r="D27" s="97" t="s">
        <v>23</v>
      </c>
      <c r="E27" s="103" t="s">
        <v>511</v>
      </c>
      <c r="F27" s="99" t="s">
        <v>506</v>
      </c>
      <c r="G27" s="14"/>
      <c r="I27" s="100">
        <v>3115</v>
      </c>
      <c r="J27" s="100">
        <v>20244150</v>
      </c>
      <c r="K27" s="75"/>
      <c r="M27" s="101">
        <v>4.03</v>
      </c>
      <c r="N27" s="102">
        <v>0.02</v>
      </c>
      <c r="O27" s="77"/>
      <c r="P27" s="78"/>
      <c r="AA27" s="2" t="s">
        <v>47</v>
      </c>
      <c r="AB27" s="14" t="s">
        <v>17</v>
      </c>
      <c r="AC27" s="2"/>
      <c r="AD27" s="2" t="s">
        <v>274</v>
      </c>
      <c r="AE27" s="14" t="s">
        <v>19</v>
      </c>
      <c r="AF27" s="2"/>
      <c r="AG27" s="69" t="s">
        <v>48</v>
      </c>
      <c r="AH27" s="70" t="s">
        <v>49</v>
      </c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 t="s">
        <v>275</v>
      </c>
      <c r="AZ27" s="2"/>
    </row>
    <row r="28" spans="2:52" s="3" customFormat="1" ht="16.5" thickBot="1" thickTop="1">
      <c r="B28" s="6">
        <v>7</v>
      </c>
      <c r="C28" s="95" t="s">
        <v>263</v>
      </c>
      <c r="D28" s="97" t="s">
        <v>273</v>
      </c>
      <c r="E28" s="98" t="s">
        <v>511</v>
      </c>
      <c r="F28" s="99" t="s">
        <v>509</v>
      </c>
      <c r="G28" s="14"/>
      <c r="I28" s="100">
        <v>3</v>
      </c>
      <c r="J28" s="100"/>
      <c r="K28" s="100">
        <v>15000</v>
      </c>
      <c r="M28" s="101">
        <v>107.83</v>
      </c>
      <c r="N28" s="77"/>
      <c r="O28" s="102">
        <v>1.439</v>
      </c>
      <c r="P28" s="78"/>
      <c r="AA28" s="2" t="s">
        <v>50</v>
      </c>
      <c r="AB28" s="14" t="s">
        <v>17</v>
      </c>
      <c r="AC28" s="2"/>
      <c r="AD28" s="2" t="s">
        <v>51</v>
      </c>
      <c r="AE28" s="14" t="s">
        <v>19</v>
      </c>
      <c r="AF28" s="2"/>
      <c r="AG28" s="69" t="s">
        <v>52</v>
      </c>
      <c r="AH28" s="70" t="s">
        <v>53</v>
      </c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 t="s">
        <v>276</v>
      </c>
      <c r="AZ28" s="2"/>
    </row>
    <row r="29" spans="2:52" s="3" customFormat="1" ht="16.5" thickBot="1" thickTop="1">
      <c r="B29" s="6">
        <v>8</v>
      </c>
      <c r="C29" s="95" t="s">
        <v>263</v>
      </c>
      <c r="D29" s="97" t="s">
        <v>276</v>
      </c>
      <c r="E29" s="98" t="s">
        <v>511</v>
      </c>
      <c r="F29" s="99" t="s">
        <v>509</v>
      </c>
      <c r="G29" s="14"/>
      <c r="I29" s="100">
        <v>5</v>
      </c>
      <c r="J29" s="100"/>
      <c r="K29" s="100">
        <v>144960</v>
      </c>
      <c r="M29" s="101">
        <v>107.83</v>
      </c>
      <c r="N29" s="77"/>
      <c r="O29" s="102">
        <v>1.32</v>
      </c>
      <c r="P29" s="78"/>
      <c r="AA29" s="2" t="s">
        <v>54</v>
      </c>
      <c r="AB29" s="14" t="s">
        <v>17</v>
      </c>
      <c r="AC29" s="2"/>
      <c r="AD29" s="2" t="s">
        <v>55</v>
      </c>
      <c r="AE29" s="14" t="s">
        <v>19</v>
      </c>
      <c r="AF29" s="2"/>
      <c r="AG29" s="69" t="s">
        <v>56</v>
      </c>
      <c r="AH29" s="70" t="s">
        <v>53</v>
      </c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 t="s">
        <v>277</v>
      </c>
      <c r="AZ29" s="2"/>
    </row>
    <row r="30" spans="2:52" s="3" customFormat="1" ht="16.5" thickBot="1" thickTop="1">
      <c r="B30" s="6">
        <v>9</v>
      </c>
      <c r="C30" s="95" t="s">
        <v>263</v>
      </c>
      <c r="D30" s="97" t="s">
        <v>277</v>
      </c>
      <c r="E30" s="98" t="s">
        <v>511</v>
      </c>
      <c r="F30" s="99" t="s">
        <v>509</v>
      </c>
      <c r="G30" s="14"/>
      <c r="I30" s="100">
        <v>1</v>
      </c>
      <c r="J30" s="100"/>
      <c r="K30" s="100">
        <v>4800</v>
      </c>
      <c r="M30" s="101">
        <v>107.83</v>
      </c>
      <c r="N30" s="77"/>
      <c r="O30" s="102">
        <v>1.4668</v>
      </c>
      <c r="P30" s="78"/>
      <c r="AA30" s="2" t="s">
        <v>57</v>
      </c>
      <c r="AB30" s="14" t="s">
        <v>17</v>
      </c>
      <c r="AC30" s="2"/>
      <c r="AD30" s="2"/>
      <c r="AE30" s="2"/>
      <c r="AF30" s="2"/>
      <c r="AG30" s="69" t="s">
        <v>58</v>
      </c>
      <c r="AH30" s="70" t="s">
        <v>59</v>
      </c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 t="s">
        <v>278</v>
      </c>
      <c r="AZ30" s="2"/>
    </row>
    <row r="31" spans="2:52" s="3" customFormat="1" ht="16.5" thickBot="1" thickTop="1">
      <c r="B31" s="6">
        <v>10</v>
      </c>
      <c r="C31" s="95" t="s">
        <v>512</v>
      </c>
      <c r="D31" s="97" t="s">
        <v>24</v>
      </c>
      <c r="E31" s="98" t="s">
        <v>511</v>
      </c>
      <c r="F31" s="99" t="s">
        <v>509</v>
      </c>
      <c r="G31" s="14"/>
      <c r="I31" s="100">
        <v>95</v>
      </c>
      <c r="J31" s="100">
        <v>92512</v>
      </c>
      <c r="K31" s="100">
        <v>257</v>
      </c>
      <c r="M31" s="101">
        <v>1.89</v>
      </c>
      <c r="N31" s="77"/>
      <c r="O31" s="102">
        <v>7.2304</v>
      </c>
      <c r="P31" s="78"/>
      <c r="AA31" s="2" t="s">
        <v>60</v>
      </c>
      <c r="AB31" s="14" t="s">
        <v>17</v>
      </c>
      <c r="AC31" s="2"/>
      <c r="AD31" s="2"/>
      <c r="AE31" s="2"/>
      <c r="AF31" s="2"/>
      <c r="AG31" s="69" t="s">
        <v>61</v>
      </c>
      <c r="AH31" s="70" t="s">
        <v>59</v>
      </c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 t="s">
        <v>279</v>
      </c>
      <c r="AZ31" s="2"/>
    </row>
    <row r="32" spans="2:52" s="3" customFormat="1" ht="16.5" thickBot="1" thickTop="1">
      <c r="B32" s="6">
        <v>11</v>
      </c>
      <c r="C32" s="95" t="s">
        <v>513</v>
      </c>
      <c r="D32" s="97" t="s">
        <v>26</v>
      </c>
      <c r="E32" s="98" t="s">
        <v>511</v>
      </c>
      <c r="F32" s="99" t="s">
        <v>509</v>
      </c>
      <c r="G32" s="14"/>
      <c r="I32" s="100">
        <v>47219</v>
      </c>
      <c r="J32" s="100">
        <v>40114500.00000001</v>
      </c>
      <c r="K32" s="100">
        <v>107223.01662803371</v>
      </c>
      <c r="M32" s="101">
        <v>0.49</v>
      </c>
      <c r="N32" s="77"/>
      <c r="O32" s="102">
        <v>3.4501</v>
      </c>
      <c r="P32" s="78"/>
      <c r="AA32" s="2" t="s">
        <v>63</v>
      </c>
      <c r="AB32" s="14" t="s">
        <v>17</v>
      </c>
      <c r="AC32" s="2"/>
      <c r="AD32" s="2"/>
      <c r="AE32" s="2"/>
      <c r="AF32" s="2"/>
      <c r="AG32" s="69" t="s">
        <v>64</v>
      </c>
      <c r="AH32" s="70" t="s">
        <v>59</v>
      </c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2:52" s="3" customFormat="1" ht="16.5" thickBot="1" thickTop="1">
      <c r="B33" s="6">
        <v>12</v>
      </c>
      <c r="C33" s="73" t="s">
        <v>16</v>
      </c>
      <c r="D33" s="72" t="s">
        <v>62</v>
      </c>
      <c r="E33" s="73" t="s">
        <v>16</v>
      </c>
      <c r="F33" s="74" t="s">
        <v>16</v>
      </c>
      <c r="G33" s="14"/>
      <c r="I33" s="75"/>
      <c r="J33" s="75"/>
      <c r="K33" s="75"/>
      <c r="M33" s="76"/>
      <c r="N33" s="77"/>
      <c r="O33" s="77"/>
      <c r="P33" s="78"/>
      <c r="AA33" s="2" t="s">
        <v>66</v>
      </c>
      <c r="AB33" s="14" t="s">
        <v>17</v>
      </c>
      <c r="AC33" s="2"/>
      <c r="AD33" s="2"/>
      <c r="AE33" s="2"/>
      <c r="AF33" s="2"/>
      <c r="AG33" s="69" t="s">
        <v>67</v>
      </c>
      <c r="AH33" s="70" t="s">
        <v>59</v>
      </c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2:52" s="3" customFormat="1" ht="16.5" thickBot="1" thickTop="1">
      <c r="B34" s="6">
        <v>13</v>
      </c>
      <c r="C34" s="73" t="s">
        <v>16</v>
      </c>
      <c r="D34" s="72" t="s">
        <v>65</v>
      </c>
      <c r="E34" s="73" t="s">
        <v>16</v>
      </c>
      <c r="F34" s="74" t="s">
        <v>16</v>
      </c>
      <c r="G34" s="14"/>
      <c r="I34" s="75"/>
      <c r="J34" s="75"/>
      <c r="K34" s="75"/>
      <c r="M34" s="76"/>
      <c r="N34" s="77"/>
      <c r="O34" s="77"/>
      <c r="P34" s="78"/>
      <c r="AA34" s="2" t="s">
        <v>69</v>
      </c>
      <c r="AB34" s="14" t="s">
        <v>17</v>
      </c>
      <c r="AC34" s="2"/>
      <c r="AD34" s="2"/>
      <c r="AE34" s="2"/>
      <c r="AF34" s="2"/>
      <c r="AG34" s="69" t="s">
        <v>280</v>
      </c>
      <c r="AH34" s="70" t="s">
        <v>59</v>
      </c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2:52" s="3" customFormat="1" ht="16.5" thickBot="1" thickTop="1">
      <c r="B35" s="6">
        <v>14</v>
      </c>
      <c r="C35" s="73" t="s">
        <v>16</v>
      </c>
      <c r="D35" s="72" t="s">
        <v>68</v>
      </c>
      <c r="E35" s="73" t="s">
        <v>16</v>
      </c>
      <c r="F35" s="74" t="s">
        <v>16</v>
      </c>
      <c r="G35" s="14"/>
      <c r="I35" s="75"/>
      <c r="J35" s="75"/>
      <c r="K35" s="75"/>
      <c r="M35" s="76"/>
      <c r="N35" s="77"/>
      <c r="O35" s="77"/>
      <c r="P35" s="78"/>
      <c r="AA35" s="2"/>
      <c r="AB35" s="2"/>
      <c r="AC35" s="2"/>
      <c r="AD35" s="2"/>
      <c r="AE35" s="2"/>
      <c r="AF35" s="2"/>
      <c r="AG35" s="69" t="s">
        <v>281</v>
      </c>
      <c r="AH35" s="70" t="s">
        <v>59</v>
      </c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2:52" s="3" customFormat="1" ht="16.5" thickBot="1" thickTop="1">
      <c r="B36" s="6">
        <v>15</v>
      </c>
      <c r="C36" s="73" t="s">
        <v>16</v>
      </c>
      <c r="D36" s="72" t="s">
        <v>72</v>
      </c>
      <c r="E36" s="73" t="s">
        <v>16</v>
      </c>
      <c r="F36" s="74" t="s">
        <v>16</v>
      </c>
      <c r="G36" s="14"/>
      <c r="I36" s="75"/>
      <c r="J36" s="75"/>
      <c r="K36" s="75"/>
      <c r="M36" s="76"/>
      <c r="N36" s="77"/>
      <c r="O36" s="77"/>
      <c r="P36" s="78"/>
      <c r="AA36" s="2"/>
      <c r="AB36" s="2"/>
      <c r="AC36" s="2"/>
      <c r="AD36" s="2"/>
      <c r="AE36" s="2"/>
      <c r="AF36" s="2"/>
      <c r="AG36" s="69" t="s">
        <v>70</v>
      </c>
      <c r="AH36" s="70" t="s">
        <v>71</v>
      </c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2:52" s="3" customFormat="1" ht="16.5" thickBot="1" thickTop="1">
      <c r="B37" s="6">
        <v>16</v>
      </c>
      <c r="C37" s="73" t="s">
        <v>16</v>
      </c>
      <c r="D37" s="72" t="s">
        <v>75</v>
      </c>
      <c r="E37" s="73" t="s">
        <v>16</v>
      </c>
      <c r="F37" s="74" t="s">
        <v>16</v>
      </c>
      <c r="G37" s="14"/>
      <c r="I37" s="75"/>
      <c r="J37" s="75"/>
      <c r="K37" s="75"/>
      <c r="M37" s="76"/>
      <c r="N37" s="77"/>
      <c r="O37" s="77"/>
      <c r="P37" s="78"/>
      <c r="AA37" s="2"/>
      <c r="AB37" s="2"/>
      <c r="AC37" s="2"/>
      <c r="AD37" s="2"/>
      <c r="AE37" s="2"/>
      <c r="AF37" s="2"/>
      <c r="AG37" s="69" t="s">
        <v>73</v>
      </c>
      <c r="AH37" s="70" t="s">
        <v>74</v>
      </c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2:52" s="3" customFormat="1" ht="16.5" thickBot="1" thickTop="1">
      <c r="B38" s="6">
        <v>17</v>
      </c>
      <c r="C38" s="73" t="s">
        <v>16</v>
      </c>
      <c r="D38" s="72" t="s">
        <v>78</v>
      </c>
      <c r="E38" s="73" t="s">
        <v>16</v>
      </c>
      <c r="F38" s="74" t="s">
        <v>16</v>
      </c>
      <c r="G38" s="14"/>
      <c r="I38" s="75"/>
      <c r="J38" s="75"/>
      <c r="K38" s="75"/>
      <c r="M38" s="76"/>
      <c r="N38" s="77"/>
      <c r="O38" s="77"/>
      <c r="P38" s="78"/>
      <c r="AA38" s="2"/>
      <c r="AB38" s="2"/>
      <c r="AC38" s="2"/>
      <c r="AD38" s="2"/>
      <c r="AE38" s="2"/>
      <c r="AF38" s="2"/>
      <c r="AG38" s="69" t="s">
        <v>76</v>
      </c>
      <c r="AH38" s="70" t="s">
        <v>77</v>
      </c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2:52" s="3" customFormat="1" ht="16.5" thickBot="1" thickTop="1">
      <c r="B39" s="6">
        <v>18</v>
      </c>
      <c r="C39" s="73" t="s">
        <v>16</v>
      </c>
      <c r="D39" s="72" t="s">
        <v>81</v>
      </c>
      <c r="E39" s="73" t="s">
        <v>16</v>
      </c>
      <c r="F39" s="74" t="s">
        <v>16</v>
      </c>
      <c r="G39" s="14"/>
      <c r="I39" s="75"/>
      <c r="J39" s="75"/>
      <c r="K39" s="75"/>
      <c r="M39" s="76"/>
      <c r="N39" s="77"/>
      <c r="O39" s="77"/>
      <c r="P39" s="78"/>
      <c r="AA39" s="2"/>
      <c r="AB39" s="2"/>
      <c r="AC39" s="2"/>
      <c r="AD39" s="2"/>
      <c r="AE39" s="2"/>
      <c r="AF39" s="2"/>
      <c r="AG39" s="69" t="s">
        <v>79</v>
      </c>
      <c r="AH39" s="70" t="s">
        <v>80</v>
      </c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2:52" s="3" customFormat="1" ht="16.5" thickBot="1" thickTop="1">
      <c r="B40" s="6">
        <v>19</v>
      </c>
      <c r="C40" s="73" t="s">
        <v>16</v>
      </c>
      <c r="D40" s="72" t="s">
        <v>84</v>
      </c>
      <c r="E40" s="73" t="s">
        <v>16</v>
      </c>
      <c r="F40" s="74" t="s">
        <v>16</v>
      </c>
      <c r="G40" s="14"/>
      <c r="I40" s="75"/>
      <c r="J40" s="75"/>
      <c r="K40" s="75"/>
      <c r="M40" s="76"/>
      <c r="N40" s="77"/>
      <c r="O40" s="77"/>
      <c r="P40" s="78"/>
      <c r="AA40" s="2"/>
      <c r="AB40" s="2"/>
      <c r="AC40" s="2"/>
      <c r="AD40" s="2"/>
      <c r="AE40" s="2"/>
      <c r="AF40" s="2"/>
      <c r="AG40" s="69" t="s">
        <v>82</v>
      </c>
      <c r="AH40" s="70" t="s">
        <v>83</v>
      </c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2:52" s="3" customFormat="1" ht="16.5" thickBot="1" thickTop="1">
      <c r="B41" s="6">
        <v>20</v>
      </c>
      <c r="C41" s="73" t="s">
        <v>16</v>
      </c>
      <c r="D41" s="72" t="s">
        <v>87</v>
      </c>
      <c r="E41" s="73" t="s">
        <v>16</v>
      </c>
      <c r="F41" s="74" t="s">
        <v>16</v>
      </c>
      <c r="G41" s="14"/>
      <c r="I41" s="75"/>
      <c r="J41" s="75"/>
      <c r="K41" s="75"/>
      <c r="M41" s="76"/>
      <c r="N41" s="77"/>
      <c r="O41" s="77"/>
      <c r="P41" s="78"/>
      <c r="AA41" s="2"/>
      <c r="AB41" s="2"/>
      <c r="AC41" s="2"/>
      <c r="AD41" s="2"/>
      <c r="AE41" s="2"/>
      <c r="AF41" s="2"/>
      <c r="AG41" s="69" t="s">
        <v>85</v>
      </c>
      <c r="AH41" s="70" t="s">
        <v>86</v>
      </c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2:52" s="3" customFormat="1" ht="16.5" thickBot="1" thickTop="1">
      <c r="B42" s="6">
        <v>21</v>
      </c>
      <c r="C42" s="73" t="s">
        <v>16</v>
      </c>
      <c r="D42" s="72" t="s">
        <v>90</v>
      </c>
      <c r="E42" s="73" t="s">
        <v>16</v>
      </c>
      <c r="F42" s="74" t="s">
        <v>16</v>
      </c>
      <c r="G42" s="14"/>
      <c r="I42" s="75"/>
      <c r="J42" s="75"/>
      <c r="K42" s="75"/>
      <c r="M42" s="76"/>
      <c r="N42" s="77"/>
      <c r="O42" s="77"/>
      <c r="P42" s="78"/>
      <c r="AA42" s="2"/>
      <c r="AB42" s="2"/>
      <c r="AC42" s="2"/>
      <c r="AD42" s="2"/>
      <c r="AE42" s="2"/>
      <c r="AF42" s="2"/>
      <c r="AG42" s="69" t="s">
        <v>88</v>
      </c>
      <c r="AH42" s="70" t="s">
        <v>89</v>
      </c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2:52" s="3" customFormat="1" ht="16.5" thickBot="1" thickTop="1">
      <c r="B43" s="6">
        <v>22</v>
      </c>
      <c r="C43" s="73" t="s">
        <v>16</v>
      </c>
      <c r="D43" s="72" t="s">
        <v>92</v>
      </c>
      <c r="E43" s="73" t="s">
        <v>16</v>
      </c>
      <c r="F43" s="74" t="s">
        <v>16</v>
      </c>
      <c r="G43" s="14"/>
      <c r="I43" s="75"/>
      <c r="J43" s="75"/>
      <c r="K43" s="75"/>
      <c r="M43" s="76"/>
      <c r="N43" s="77"/>
      <c r="O43" s="77"/>
      <c r="P43" s="78"/>
      <c r="AA43" s="2"/>
      <c r="AB43" s="2"/>
      <c r="AC43" s="2"/>
      <c r="AD43" s="2"/>
      <c r="AE43" s="2"/>
      <c r="AF43" s="2"/>
      <c r="AG43" s="69" t="s">
        <v>91</v>
      </c>
      <c r="AH43" s="70" t="s">
        <v>89</v>
      </c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2:52" s="3" customFormat="1" ht="16.5" thickBot="1" thickTop="1">
      <c r="B44" s="6">
        <v>23</v>
      </c>
      <c r="C44" s="73" t="s">
        <v>16</v>
      </c>
      <c r="D44" s="72" t="s">
        <v>94</v>
      </c>
      <c r="E44" s="73" t="s">
        <v>16</v>
      </c>
      <c r="F44" s="74" t="s">
        <v>16</v>
      </c>
      <c r="G44" s="14"/>
      <c r="I44" s="75"/>
      <c r="J44" s="75"/>
      <c r="K44" s="75"/>
      <c r="M44" s="76"/>
      <c r="N44" s="77"/>
      <c r="O44" s="77"/>
      <c r="P44" s="78"/>
      <c r="AA44" s="2"/>
      <c r="AB44" s="2"/>
      <c r="AC44" s="2"/>
      <c r="AD44" s="2"/>
      <c r="AE44" s="2"/>
      <c r="AF44" s="2"/>
      <c r="AG44" s="69" t="s">
        <v>93</v>
      </c>
      <c r="AH44" s="70" t="s">
        <v>59</v>
      </c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2:52" s="3" customFormat="1" ht="16.5" thickBot="1" thickTop="1">
      <c r="B45" s="6">
        <v>24</v>
      </c>
      <c r="C45" s="73" t="s">
        <v>16</v>
      </c>
      <c r="D45" s="72" t="s">
        <v>96</v>
      </c>
      <c r="E45" s="73" t="s">
        <v>16</v>
      </c>
      <c r="F45" s="74" t="s">
        <v>16</v>
      </c>
      <c r="G45" s="14"/>
      <c r="I45" s="75"/>
      <c r="J45" s="75"/>
      <c r="K45" s="75"/>
      <c r="M45" s="76"/>
      <c r="N45" s="77"/>
      <c r="O45" s="77"/>
      <c r="P45" s="78"/>
      <c r="AA45" s="2"/>
      <c r="AB45" s="2"/>
      <c r="AC45" s="2"/>
      <c r="AD45" s="2"/>
      <c r="AE45" s="2"/>
      <c r="AF45" s="2"/>
      <c r="AG45" s="69" t="s">
        <v>95</v>
      </c>
      <c r="AH45" s="70" t="s">
        <v>59</v>
      </c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2:52" s="3" customFormat="1" ht="16.5" thickBot="1" thickTop="1">
      <c r="B46" s="6">
        <v>25</v>
      </c>
      <c r="C46" s="73" t="s">
        <v>16</v>
      </c>
      <c r="D46" s="72" t="s">
        <v>98</v>
      </c>
      <c r="E46" s="73" t="s">
        <v>16</v>
      </c>
      <c r="F46" s="74" t="s">
        <v>16</v>
      </c>
      <c r="G46" s="14"/>
      <c r="I46" s="75"/>
      <c r="J46" s="75"/>
      <c r="K46" s="75"/>
      <c r="M46" s="76"/>
      <c r="N46" s="77"/>
      <c r="O46" s="77"/>
      <c r="P46" s="78"/>
      <c r="AA46" s="2"/>
      <c r="AB46" s="2"/>
      <c r="AC46" s="2"/>
      <c r="AD46" s="2"/>
      <c r="AE46" s="2"/>
      <c r="AF46" s="2"/>
      <c r="AG46" s="69" t="s">
        <v>97</v>
      </c>
      <c r="AH46" s="70" t="s">
        <v>59</v>
      </c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3:52" s="3" customFormat="1" ht="15.75" thickTop="1">
      <c r="C47" s="5"/>
      <c r="E47" s="5"/>
      <c r="F47" s="5"/>
      <c r="G47" s="14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3:52" s="3" customFormat="1" ht="15">
      <c r="C48" s="5"/>
      <c r="E48" s="5"/>
      <c r="F48" s="5"/>
      <c r="G48" s="14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3:52" s="3" customFormat="1" ht="15">
      <c r="C49" s="5"/>
      <c r="E49" s="5"/>
      <c r="F49" s="5"/>
      <c r="G49" s="14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3:52" s="3" customFormat="1" ht="15">
      <c r="C50" s="5"/>
      <c r="E50" s="5"/>
      <c r="F50" s="5"/>
      <c r="G50" s="14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3:52" s="3" customFormat="1" ht="15">
      <c r="C51" s="5"/>
      <c r="E51" s="5"/>
      <c r="F51" s="5"/>
      <c r="G51" s="14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3:52" s="3" customFormat="1" ht="15">
      <c r="C52" s="5"/>
      <c r="E52" s="5"/>
      <c r="F52" s="5"/>
      <c r="G52" s="14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3:52" s="3" customFormat="1" ht="15">
      <c r="C53" s="5"/>
      <c r="E53" s="5"/>
      <c r="F53" s="5"/>
      <c r="G53" s="14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3:52" s="3" customFormat="1" ht="15">
      <c r="C54" s="5"/>
      <c r="E54" s="5"/>
      <c r="F54" s="5"/>
      <c r="G54" s="14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3:52" s="3" customFormat="1" ht="15">
      <c r="C55" s="5"/>
      <c r="E55" s="5"/>
      <c r="F55" s="5"/>
      <c r="G55" s="14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3:52" s="3" customFormat="1" ht="15">
      <c r="C56" s="5"/>
      <c r="E56" s="5"/>
      <c r="F56" s="5"/>
      <c r="G56" s="14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3:52" s="3" customFormat="1" ht="15">
      <c r="C57" s="5"/>
      <c r="E57" s="5"/>
      <c r="F57" s="5"/>
      <c r="G57" s="14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3:52" s="3" customFormat="1" ht="15">
      <c r="C58" s="5"/>
      <c r="E58" s="5"/>
      <c r="F58" s="5"/>
      <c r="G58" s="14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3:52" s="3" customFormat="1" ht="15">
      <c r="C59" s="5"/>
      <c r="E59" s="5"/>
      <c r="F59" s="5"/>
      <c r="G59" s="14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3:52" s="3" customFormat="1" ht="15">
      <c r="C60" s="5"/>
      <c r="E60" s="5"/>
      <c r="F60" s="5"/>
      <c r="G60" s="14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3:52" s="3" customFormat="1" ht="15">
      <c r="C61" s="5"/>
      <c r="E61" s="5"/>
      <c r="F61" s="5"/>
      <c r="G61" s="14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3:52" s="3" customFormat="1" ht="15">
      <c r="C62" s="5"/>
      <c r="E62" s="5"/>
      <c r="F62" s="5"/>
      <c r="G62" s="14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3:52" s="3" customFormat="1" ht="15">
      <c r="C63" s="5"/>
      <c r="E63" s="5"/>
      <c r="F63" s="5"/>
      <c r="G63" s="14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3:52" s="3" customFormat="1" ht="15">
      <c r="C64" s="5"/>
      <c r="E64" s="5"/>
      <c r="F64" s="5"/>
      <c r="G64" s="14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3:52" s="3" customFormat="1" ht="15">
      <c r="C65" s="5"/>
      <c r="E65" s="5"/>
      <c r="F65" s="5"/>
      <c r="G65" s="14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27:52" ht="15" hidden="1"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</row>
    <row r="67" spans="27:52" ht="15" hidden="1"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</row>
    <row r="68" spans="27:52" ht="15" hidden="1"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</row>
    <row r="69" spans="27:52" ht="15" hidden="1"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</row>
    <row r="70" spans="27:52" ht="15" hidden="1"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</row>
    <row r="71" spans="27:52" ht="15" hidden="1"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</row>
    <row r="72" spans="27:52" ht="15" hidden="1"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spans="27:52" ht="15" hidden="1"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</row>
    <row r="74" spans="27:52" ht="15" hidden="1"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</row>
    <row r="75" spans="27:52" ht="15" hidden="1"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</row>
    <row r="76" spans="27:52" ht="15" hidden="1"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</row>
    <row r="77" spans="27:52" ht="15" hidden="1"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</row>
    <row r="78" spans="27:52" ht="15" hidden="1"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</row>
    <row r="79" spans="27:52" ht="15" hidden="1"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</row>
    <row r="80" spans="27:52" ht="15" hidden="1"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</row>
    <row r="81" spans="27:52" ht="15" hidden="1"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27:52" ht="15" hidden="1"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</row>
    <row r="83" spans="27:52" ht="15" hidden="1"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</row>
    <row r="84" spans="27:52" ht="15" hidden="1"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</row>
    <row r="85" spans="27:52" ht="15" hidden="1"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</row>
    <row r="86" spans="27:52" ht="15" hidden="1"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</row>
    <row r="87" spans="27:52" ht="15" hidden="1"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</row>
    <row r="88" spans="27:52" ht="15" hidden="1"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</row>
    <row r="89" spans="27:52" ht="15" hidden="1"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</row>
    <row r="90" spans="27:52" ht="15" hidden="1"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</row>
    <row r="91" spans="27:52" ht="15" hidden="1"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</row>
    <row r="92" spans="27:52" ht="15" hidden="1"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</row>
    <row r="93" spans="27:52" ht="15" hidden="1"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</row>
    <row r="94" spans="27:52" ht="15" hidden="1"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</row>
    <row r="95" spans="27:52" ht="15" hidden="1"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27:52" ht="15" hidden="1"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</row>
    <row r="97" spans="27:52" ht="15" hidden="1"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</row>
    <row r="98" spans="27:52" ht="15" hidden="1"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</row>
    <row r="99" spans="27:52" ht="15" hidden="1"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</row>
    <row r="100" spans="27:52" ht="15" hidden="1"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</row>
    <row r="101" spans="27:52" ht="15" hidden="1"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</row>
    <row r="102" spans="27:52" ht="15" hidden="1"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</row>
    <row r="103" spans="27:52" ht="15" hidden="1"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</row>
    <row r="104" spans="27:52" ht="15" hidden="1"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  <row r="105" spans="27:52" ht="15" hidden="1"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</row>
    <row r="106" spans="27:52" ht="15" hidden="1"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</row>
    <row r="107" spans="27:52" ht="15" hidden="1"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</row>
    <row r="108" spans="27:52" ht="15" hidden="1"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</row>
    <row r="109" spans="27:52" ht="15" hidden="1"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</row>
    <row r="110" spans="27:52" ht="15" hidden="1"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</row>
    <row r="111" spans="27:52" ht="15" hidden="1"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</row>
    <row r="112" spans="27:52" ht="15" hidden="1"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</row>
    <row r="113" spans="27:52" ht="15" hidden="1"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</row>
    <row r="114" spans="27:52" ht="15" hidden="1"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</row>
    <row r="115" spans="27:52" ht="15" hidden="1"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</row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>
      <c r="C238" s="71"/>
    </row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>
      <c r="C328" s="71"/>
    </row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>
      <c r="C643" s="71"/>
    </row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>
      <c r="C733" s="71"/>
    </row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>
      <c r="C823" s="71"/>
    </row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>
      <c r="C1138" s="71"/>
    </row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>
      <c r="C1228" s="71"/>
    </row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>
      <c r="C1543" s="71"/>
    </row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>
      <c r="C1633" s="71"/>
    </row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>
      <c r="C1723" s="71"/>
    </row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>
      <c r="C2038" s="71"/>
    </row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>
      <c r="C2128" s="71"/>
    </row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>
      <c r="C2443" s="71"/>
    </row>
  </sheetData>
  <sheetProtection password="927E" sheet="1" objects="1" scenarios="1"/>
  <dataValidations count="13">
    <dataValidation type="list" allowBlank="1" showInputMessage="1" showErrorMessage="1" sqref="C2128 C328 C238 C2443 C2038 C1723 C1633 C1543 C1228 C1138 C823 C733 C643">
      <formula1>"RES,GSLT50,UGSLT50,GSGT50,LU,ULU,USL,Sen,SL,EMB,SB,NA"</formula1>
    </dataValidation>
    <dataValidation type="list" allowBlank="1" showInputMessage="1" showErrorMessage="1" sqref="D33:D46 C32 C23 C24 C25 C26 C27 C22 C29 C30 C31 C33:C46 C28">
      <formula1>"RES,GSLT50,GSGT50,LU,USL,Sen,SL,EMB,SB,NA"</formula1>
    </dataValidation>
    <dataValidation type="list" allowBlank="1" showInputMessage="1" showErrorMessage="1" sqref="D24">
      <formula1>AG21:AG46</formula1>
    </dataValidation>
    <dataValidation type="list" allowBlank="1" showInputMessage="1" showErrorMessage="1" sqref="D22">
      <formula1>AA21:AA34</formula1>
    </dataValidation>
    <dataValidation type="list" allowBlank="1" showInputMessage="1" showErrorMessage="1" sqref="D23">
      <formula1>AD21:AD29</formula1>
    </dataValidation>
    <dataValidation type="list" allowBlank="1" showInputMessage="1" showErrorMessage="1" sqref="D25">
      <formula1>AG21:AG46</formula1>
    </dataValidation>
    <dataValidation type="list" allowBlank="1" showInputMessage="1" showErrorMessage="1" sqref="D29">
      <formula1>AY21:AY31</formula1>
    </dataValidation>
    <dataValidation type="list" allowBlank="1" showInputMessage="1" showErrorMessage="1" sqref="D30">
      <formula1>AY21:AY31</formula1>
    </dataValidation>
    <dataValidation type="list" allowBlank="1" showInputMessage="1" showErrorMessage="1" sqref="D31">
      <formula1>AP21:AP21</formula1>
    </dataValidation>
    <dataValidation type="list" allowBlank="1" showInputMessage="1" showErrorMessage="1" sqref="D32">
      <formula1>AS21:AS21</formula1>
    </dataValidation>
    <dataValidation type="list" allowBlank="1" showInputMessage="1" showErrorMessage="1" sqref="D26">
      <formula1>AJ21:AJ34</formula1>
    </dataValidation>
    <dataValidation type="list" allowBlank="1" showInputMessage="1" showErrorMessage="1" sqref="D27">
      <formula1>AM21:AM21</formula1>
    </dataValidation>
    <dataValidation type="list" allowBlank="1" showInputMessage="1" showErrorMessage="1" sqref="D28">
      <formula1>AY21:AY31</formula1>
    </dataValidation>
  </dataValidations>
  <printOptions/>
  <pageMargins left="0.1968503937007874" right="0.2362204724409449" top="0.5905511811023623" bottom="0.6692913385826772" header="0.62" footer="0.5118110236220472"/>
  <pageSetup fitToHeight="1" fitToWidth="1" horizontalDpi="600" verticalDpi="600" orientation="landscape" scale="54" r:id="rId4"/>
  <headerFooter alignWithMargins="0">
    <oddHeader>&amp;RHydro Ottawa Limited
EB-2010-0326
Attachment C
Filed: 2010-11-30
Page &amp;P of &amp;N</oddHeader>
    <oddFooter>&amp;C&amp;A</oddFooter>
  </headerFooter>
  <drawing r:id="rId3"/>
  <legacyDrawing r:id="rId2"/>
  <oleObjects>
    <oleObject progId="Unknown" shapeId="535748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41"/>
    <pageSetUpPr fitToPage="1"/>
  </sheetPr>
  <dimension ref="A1:U67"/>
  <sheetViews>
    <sheetView showGridLines="0" tabSelected="1" zoomScale="75" zoomScaleNormal="75" zoomScalePageLayoutView="0" workbookViewId="0" topLeftCell="A1">
      <selection activeCell="D20" sqref="D20"/>
    </sheetView>
  </sheetViews>
  <sheetFormatPr defaultColWidth="0" defaultRowHeight="15.75" customHeight="1" zeroHeight="1"/>
  <cols>
    <col min="1" max="1" width="15.77734375" style="4" customWidth="1"/>
    <col min="2" max="2" width="2.77734375" style="4" hidden="1" customWidth="1"/>
    <col min="3" max="3" width="30.77734375" style="4" customWidth="1"/>
    <col min="4" max="4" width="2.77734375" style="4" customWidth="1"/>
    <col min="5" max="7" width="13.99609375" style="4" bestFit="1" customWidth="1"/>
    <col min="8" max="8" width="2.77734375" style="4" customWidth="1"/>
    <col min="9" max="9" width="12.10546875" style="4" bestFit="1" customWidth="1"/>
    <col min="10" max="11" width="14.88671875" style="4" bestFit="1" customWidth="1"/>
    <col min="12" max="12" width="2.77734375" style="4" customWidth="1"/>
    <col min="13" max="13" width="13.88671875" style="4" bestFit="1" customWidth="1"/>
    <col min="14" max="15" width="12.5546875" style="4" bestFit="1" customWidth="1"/>
    <col min="16" max="16" width="11.77734375" style="4" bestFit="1" customWidth="1"/>
    <col min="17" max="17" width="2.77734375" style="4" customWidth="1"/>
    <col min="18" max="18" width="13.88671875" style="45" bestFit="1" customWidth="1"/>
    <col min="19" max="20" width="14.3359375" style="45" bestFit="1" customWidth="1"/>
    <col min="21" max="21" width="8.5546875" style="17" bestFit="1" customWidth="1"/>
    <col min="22" max="22" width="2.77734375" style="4" customWidth="1"/>
    <col min="23" max="16384" width="11.21484375" style="4" hidden="1" customWidth="1"/>
  </cols>
  <sheetData>
    <row r="1" spans="1:21" s="8" customFormat="1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4"/>
      <c r="S1" s="14"/>
      <c r="T1" s="14"/>
      <c r="U1" s="14"/>
    </row>
    <row r="2" spans="3:21" s="3" customFormat="1" ht="15.75" customHeight="1">
      <c r="C2" s="47" t="str">
        <f>'A1.1 LDC Information'!C2</f>
        <v>Name of LDC:       Hydro Ottawa Limited</v>
      </c>
      <c r="D2" s="2"/>
      <c r="E2" s="2"/>
      <c r="F2" s="2"/>
      <c r="G2" s="2"/>
      <c r="H2" s="2"/>
      <c r="I2" s="2"/>
      <c r="R2" s="5"/>
      <c r="S2" s="5"/>
      <c r="T2" s="5"/>
      <c r="U2" s="14"/>
    </row>
    <row r="3" spans="3:21" s="3" customFormat="1" ht="15.75" customHeight="1">
      <c r="C3" s="47" t="str">
        <f>'A1.1 LDC Information'!C3</f>
        <v>File Number:          IRM3</v>
      </c>
      <c r="R3" s="5"/>
      <c r="S3" s="5"/>
      <c r="T3" s="5"/>
      <c r="U3" s="14"/>
    </row>
    <row r="4" spans="3:21" s="3" customFormat="1" ht="15.75" customHeight="1">
      <c r="C4" s="67" t="str">
        <f>'A1.1 LDC Information'!C4</f>
        <v>Effective Date:       December 30, 1899</v>
      </c>
      <c r="R4" s="5"/>
      <c r="S4" s="5"/>
      <c r="T4" s="5"/>
      <c r="U4" s="14"/>
    </row>
    <row r="5" spans="3:21" s="3" customFormat="1" ht="15.75" customHeight="1">
      <c r="C5" s="67" t="str">
        <f>'A1.1 LDC Information'!C5</f>
        <v>Version : 1.0</v>
      </c>
      <c r="R5" s="5"/>
      <c r="S5" s="5"/>
      <c r="T5" s="5"/>
      <c r="U5" s="14"/>
    </row>
    <row r="6" spans="18:21" s="3" customFormat="1" ht="15.75" customHeight="1">
      <c r="R6" s="5"/>
      <c r="S6" s="5"/>
      <c r="T6" s="5"/>
      <c r="U6" s="14"/>
    </row>
    <row r="7" spans="18:21" s="3" customFormat="1" ht="15.75" customHeight="1">
      <c r="R7" s="5"/>
      <c r="S7" s="5"/>
      <c r="T7" s="5"/>
      <c r="U7" s="14"/>
    </row>
    <row r="8" spans="18:21" s="3" customFormat="1" ht="15.75" customHeight="1">
      <c r="R8" s="5"/>
      <c r="S8" s="5"/>
      <c r="T8" s="5"/>
      <c r="U8" s="14"/>
    </row>
    <row r="9" spans="18:21" s="3" customFormat="1" ht="15.75" customHeight="1">
      <c r="R9" s="5"/>
      <c r="S9" s="5"/>
      <c r="T9" s="5"/>
      <c r="U9" s="14"/>
    </row>
    <row r="10" spans="3:21" s="3" customFormat="1" ht="26.25">
      <c r="C10" s="68" t="str">
        <f>'Z1.0 OEB Control Sheet'!C5</f>
        <v>Calculated Re-Based Revenue From Rates</v>
      </c>
      <c r="R10" s="5"/>
      <c r="S10" s="5"/>
      <c r="T10" s="5"/>
      <c r="U10" s="14"/>
    </row>
    <row r="11" spans="18:21" s="3" customFormat="1" ht="15.75" customHeight="1">
      <c r="R11" s="5"/>
      <c r="S11" s="5"/>
      <c r="T11" s="5"/>
      <c r="U11" s="14"/>
    </row>
    <row r="12" spans="18:21" s="3" customFormat="1" ht="15.75" customHeight="1">
      <c r="R12" s="5"/>
      <c r="S12" s="5"/>
      <c r="T12" s="5"/>
      <c r="U12" s="14"/>
    </row>
    <row r="13" spans="3:21" s="3" customFormat="1" ht="15.75" customHeight="1">
      <c r="C13" s="91" t="s">
        <v>479</v>
      </c>
      <c r="F13" s="92">
        <f>'A1.1 LDC Information'!D32</f>
        <v>2008</v>
      </c>
      <c r="R13" s="5"/>
      <c r="S13" s="5"/>
      <c r="T13" s="5"/>
      <c r="U13" s="14"/>
    </row>
    <row r="14" spans="6:21" s="3" customFormat="1" ht="15.75" customHeight="1">
      <c r="F14" s="5"/>
      <c r="R14" s="5"/>
      <c r="S14" s="5"/>
      <c r="T14" s="5"/>
      <c r="U14" s="14"/>
    </row>
    <row r="15" spans="3:21" s="3" customFormat="1" ht="15.75" customHeight="1">
      <c r="C15" s="91" t="s">
        <v>480</v>
      </c>
      <c r="F15" s="92" t="str">
        <f>'A1.1 LDC Information'!D34</f>
        <v>EB-2007-0713</v>
      </c>
      <c r="R15" s="5"/>
      <c r="S15" s="5"/>
      <c r="T15" s="5"/>
      <c r="U15" s="14"/>
    </row>
    <row r="16" spans="18:21" s="3" customFormat="1" ht="15.75" customHeight="1">
      <c r="R16" s="5"/>
      <c r="S16" s="5"/>
      <c r="T16" s="5"/>
      <c r="U16" s="14"/>
    </row>
    <row r="17" spans="18:21" s="3" customFormat="1" ht="15.75" customHeight="1">
      <c r="R17" s="5"/>
      <c r="S17" s="5"/>
      <c r="T17" s="5"/>
      <c r="U17" s="14"/>
    </row>
    <row r="18" spans="18:21" s="3" customFormat="1" ht="15.75" customHeight="1">
      <c r="R18" s="5"/>
      <c r="S18" s="5"/>
      <c r="T18" s="5"/>
      <c r="U18" s="14"/>
    </row>
    <row r="19" spans="18:21" s="3" customFormat="1" ht="15.75" customHeight="1">
      <c r="R19" s="5"/>
      <c r="S19" s="5"/>
      <c r="T19" s="5"/>
      <c r="U19" s="14"/>
    </row>
    <row r="20" spans="3:21" s="3" customFormat="1" ht="78.75">
      <c r="C20" s="42" t="s">
        <v>11</v>
      </c>
      <c r="D20" s="24"/>
      <c r="E20" s="24" t="s">
        <v>239</v>
      </c>
      <c r="F20" s="24" t="s">
        <v>237</v>
      </c>
      <c r="G20" s="24" t="s">
        <v>238</v>
      </c>
      <c r="H20" s="24"/>
      <c r="I20" s="24" t="s">
        <v>483</v>
      </c>
      <c r="J20" s="24" t="s">
        <v>484</v>
      </c>
      <c r="K20" s="24" t="s">
        <v>485</v>
      </c>
      <c r="L20" s="24"/>
      <c r="M20" s="24" t="s">
        <v>102</v>
      </c>
      <c r="N20" s="24" t="s">
        <v>103</v>
      </c>
      <c r="O20" s="24" t="s">
        <v>104</v>
      </c>
      <c r="P20" s="24" t="s">
        <v>243</v>
      </c>
      <c r="Q20" s="24"/>
      <c r="R20" s="24" t="s">
        <v>189</v>
      </c>
      <c r="S20" s="24" t="s">
        <v>190</v>
      </c>
      <c r="T20" s="24" t="s">
        <v>191</v>
      </c>
      <c r="U20" s="24" t="s">
        <v>192</v>
      </c>
    </row>
    <row r="21" spans="3:21" s="3" customFormat="1" ht="15.75" customHeight="1">
      <c r="C21" s="43"/>
      <c r="D21" s="24"/>
      <c r="E21" s="24" t="s">
        <v>0</v>
      </c>
      <c r="F21" s="24" t="s">
        <v>1</v>
      </c>
      <c r="G21" s="24" t="s">
        <v>4</v>
      </c>
      <c r="H21" s="24"/>
      <c r="I21" s="24" t="s">
        <v>2</v>
      </c>
      <c r="J21" s="24" t="s">
        <v>5</v>
      </c>
      <c r="K21" s="24" t="s">
        <v>3</v>
      </c>
      <c r="L21" s="24"/>
      <c r="M21" s="24" t="s">
        <v>188</v>
      </c>
      <c r="N21" s="24" t="s">
        <v>177</v>
      </c>
      <c r="O21" s="24" t="s">
        <v>178</v>
      </c>
      <c r="P21" s="24" t="s">
        <v>179</v>
      </c>
      <c r="Q21" s="24"/>
      <c r="R21" s="24" t="s">
        <v>234</v>
      </c>
      <c r="S21" s="24" t="s">
        <v>235</v>
      </c>
      <c r="T21" s="24" t="s">
        <v>236</v>
      </c>
      <c r="U21" s="24" t="s">
        <v>242</v>
      </c>
    </row>
    <row r="22" spans="3:21" s="3" customFormat="1" ht="15.75" customHeight="1">
      <c r="C22" s="25" t="str">
        <f>'B1.1 Re-Based Bill Det &amp; Rates'!D22</f>
        <v>Residential</v>
      </c>
      <c r="D22" s="2"/>
      <c r="E22" s="81">
        <f>'B1.1 Re-Based Bill Det &amp; Rates'!I22</f>
        <v>264080</v>
      </c>
      <c r="F22" s="81">
        <f>'B1.1 Re-Based Bill Det &amp; Rates'!J22</f>
        <v>2261678461.0666666</v>
      </c>
      <c r="G22" s="81">
        <f>'B1.1 Re-Based Bill Det &amp; Rates'!K22</f>
        <v>0</v>
      </c>
      <c r="I22" s="79">
        <f>'B1.1 Re-Based Bill Det &amp; Rates'!M22</f>
        <v>8.52</v>
      </c>
      <c r="J22" s="80">
        <f>'B1.1 Re-Based Bill Det &amp; Rates'!N22</f>
        <v>0.0207</v>
      </c>
      <c r="K22" s="80">
        <f>'B1.1 Re-Based Bill Det &amp; Rates'!O22</f>
        <v>0</v>
      </c>
      <c r="M22" s="81">
        <f>IF(ISERROR(E22*I22*12),0,E22*I22*12)</f>
        <v>26999539.200000003</v>
      </c>
      <c r="N22" s="81">
        <f>IF(ISERROR(F22*J22),0,F22*J22)</f>
        <v>46816744.14408</v>
      </c>
      <c r="O22" s="81">
        <f>IF(ISERROR(G22*K22),0,G22*K22)</f>
        <v>0</v>
      </c>
      <c r="P22" s="81">
        <f>SUM(M22:O22)</f>
        <v>73816283.34408</v>
      </c>
      <c r="R22" s="83">
        <f>IF(ISERROR(M22/P22),"",M22/P22)</f>
        <v>0.365766711311473</v>
      </c>
      <c r="S22" s="83">
        <f>IF(ISERROR(N22/P22),"",N22/P22)</f>
        <v>0.634233288688527</v>
      </c>
      <c r="T22" s="83">
        <f>IF(ISERROR(O22/P22),"",O22/P22)</f>
        <v>0</v>
      </c>
      <c r="U22" s="83">
        <f>IF(ISERROR(P22/P$47),"",P22/P$47)</f>
        <v>0.5267942939778919</v>
      </c>
    </row>
    <row r="23" spans="3:21" s="3" customFormat="1" ht="15.75" customHeight="1">
      <c r="C23" s="25" t="str">
        <f>'B1.1 Re-Based Bill Det &amp; Rates'!D23</f>
        <v>General Service Less Than 50 kW</v>
      </c>
      <c r="E23" s="81">
        <f>'B1.1 Re-Based Bill Det &amp; Rates'!I23</f>
        <v>23051</v>
      </c>
      <c r="F23" s="81">
        <f>'B1.1 Re-Based Bill Det &amp; Rates'!J23</f>
        <v>774937986.1312553</v>
      </c>
      <c r="G23" s="81">
        <f>'B1.1 Re-Based Bill Det &amp; Rates'!K23</f>
        <v>0</v>
      </c>
      <c r="I23" s="79">
        <f>'B1.1 Re-Based Bill Det &amp; Rates'!M23</f>
        <v>14.73</v>
      </c>
      <c r="J23" s="80">
        <f>'B1.1 Re-Based Bill Det &amp; Rates'!N23</f>
        <v>0.0185</v>
      </c>
      <c r="K23" s="80">
        <f>'B1.1 Re-Based Bill Det &amp; Rates'!O23</f>
        <v>0</v>
      </c>
      <c r="M23" s="81">
        <f aca="true" t="shared" si="0" ref="M23:M46">IF(ISERROR(E23*I23*12),0,E23*I23*12)</f>
        <v>4074494.76</v>
      </c>
      <c r="N23" s="81">
        <f aca="true" t="shared" si="1" ref="N23:N46">IF(ISERROR(F23*J23),0,F23*J23)</f>
        <v>14336352.743428221</v>
      </c>
      <c r="O23" s="81">
        <f aca="true" t="shared" si="2" ref="O23:O46">IF(ISERROR(G23*K23),0,G23*K23)</f>
        <v>0</v>
      </c>
      <c r="P23" s="81">
        <f aca="true" t="shared" si="3" ref="P23:P46">SUM(M23:O23)</f>
        <v>18410847.50342822</v>
      </c>
      <c r="R23" s="83">
        <f aca="true" t="shared" si="4" ref="R23:R46">IF(ISERROR(M23/P23),"",M23/P23)</f>
        <v>0.22130946222010162</v>
      </c>
      <c r="S23" s="83">
        <f aca="true" t="shared" si="5" ref="S23:S46">IF(ISERROR(N23/P23),"",N23/P23)</f>
        <v>0.7786905377798984</v>
      </c>
      <c r="T23" s="83">
        <f aca="true" t="shared" si="6" ref="T23:T46">IF(ISERROR(O23/P23),"",O23/P23)</f>
        <v>0</v>
      </c>
      <c r="U23" s="83">
        <f aca="true" t="shared" si="7" ref="U23:U46">IF(ISERROR(P23/P$47),"",P23/P$47)</f>
        <v>0.13139010761208872</v>
      </c>
    </row>
    <row r="24" spans="3:21" s="3" customFormat="1" ht="15.75" customHeight="1">
      <c r="C24" s="25" t="str">
        <f>'B1.1 Re-Based Bill Det &amp; Rates'!D24</f>
        <v>General Service 50 to 1,499 kW</v>
      </c>
      <c r="E24" s="81">
        <f>'B1.1 Re-Based Bill Det &amp; Rates'!I24</f>
        <v>3296</v>
      </c>
      <c r="F24" s="81">
        <f>'B1.1 Re-Based Bill Det &amp; Rates'!J24</f>
        <v>3120930871.2703676</v>
      </c>
      <c r="G24" s="81">
        <f>'B1.1 Re-Based Bill Det &amp; Rates'!K24</f>
        <v>7373411.289297726</v>
      </c>
      <c r="I24" s="79">
        <f>'B1.1 Re-Based Bill Det &amp; Rates'!M24</f>
        <v>250.76</v>
      </c>
      <c r="J24" s="80">
        <f>'B1.1 Re-Based Bill Det &amp; Rates'!N24</f>
        <v>0</v>
      </c>
      <c r="K24" s="80">
        <f>'B1.1 Re-Based Bill Det &amp; Rates'!O24</f>
        <v>3.0325</v>
      </c>
      <c r="M24" s="81">
        <f t="shared" si="0"/>
        <v>9918059.52</v>
      </c>
      <c r="N24" s="81">
        <f t="shared" si="1"/>
        <v>0</v>
      </c>
      <c r="O24" s="81">
        <f t="shared" si="2"/>
        <v>22359869.734795354</v>
      </c>
      <c r="P24" s="81">
        <f t="shared" si="3"/>
        <v>32277929.254795354</v>
      </c>
      <c r="R24" s="83">
        <f t="shared" si="4"/>
        <v>0.30727062574890945</v>
      </c>
      <c r="S24" s="83">
        <f t="shared" si="5"/>
        <v>0</v>
      </c>
      <c r="T24" s="83">
        <f t="shared" si="6"/>
        <v>0.6927293742510905</v>
      </c>
      <c r="U24" s="83">
        <f t="shared" si="7"/>
        <v>0.23035336083758481</v>
      </c>
    </row>
    <row r="25" spans="3:21" s="3" customFormat="1" ht="15.75" customHeight="1">
      <c r="C25" s="25" t="str">
        <f>'B1.1 Re-Based Bill Det &amp; Rates'!D25</f>
        <v>General Service 1,500 to 4,999 kW</v>
      </c>
      <c r="E25" s="81">
        <f>'B1.1 Re-Based Bill Det &amp; Rates'!I25</f>
        <v>81</v>
      </c>
      <c r="F25" s="81">
        <f>'B1.1 Re-Based Bill Det &amp; Rates'!J25</f>
        <v>837604030.8454968</v>
      </c>
      <c r="G25" s="81">
        <f>'B1.1 Re-Based Bill Det &amp; Rates'!K25</f>
        <v>1757833.0007844018</v>
      </c>
      <c r="I25" s="79">
        <f>'B1.1 Re-Based Bill Det &amp; Rates'!M25</f>
        <v>4032.07</v>
      </c>
      <c r="J25" s="80">
        <f>'B1.1 Re-Based Bill Det &amp; Rates'!N25</f>
        <v>0</v>
      </c>
      <c r="K25" s="80">
        <f>'B1.1 Re-Based Bill Det &amp; Rates'!O25</f>
        <v>2.8962</v>
      </c>
      <c r="M25" s="81">
        <f t="shared" si="0"/>
        <v>3919172.0400000005</v>
      </c>
      <c r="N25" s="81">
        <f t="shared" si="1"/>
        <v>0</v>
      </c>
      <c r="O25" s="81">
        <f t="shared" si="2"/>
        <v>5091035.936871784</v>
      </c>
      <c r="P25" s="81">
        <f t="shared" si="3"/>
        <v>9010207.976871785</v>
      </c>
      <c r="R25" s="83">
        <f t="shared" si="4"/>
        <v>0.434970208241595</v>
      </c>
      <c r="S25" s="83">
        <f t="shared" si="5"/>
        <v>0</v>
      </c>
      <c r="T25" s="83">
        <f t="shared" si="6"/>
        <v>0.565029791758405</v>
      </c>
      <c r="U25" s="83">
        <f t="shared" si="7"/>
        <v>0.0643018848245874</v>
      </c>
    </row>
    <row r="26" spans="3:21" s="3" customFormat="1" ht="15.75" customHeight="1">
      <c r="C26" s="25" t="str">
        <f>'B1.1 Re-Based Bill Det &amp; Rates'!D26</f>
        <v>Large Use</v>
      </c>
      <c r="E26" s="81">
        <f>'B1.1 Re-Based Bill Det &amp; Rates'!I26</f>
        <v>11</v>
      </c>
      <c r="F26" s="81">
        <f>'B1.1 Re-Based Bill Det &amp; Rates'!J26</f>
        <v>649903952.4195468</v>
      </c>
      <c r="G26" s="81">
        <f>'B1.1 Re-Based Bill Det &amp; Rates'!K26</f>
        <v>1167396.0299565047</v>
      </c>
      <c r="I26" s="79">
        <f>'B1.1 Re-Based Bill Det &amp; Rates'!M26</f>
        <v>14643.46</v>
      </c>
      <c r="J26" s="80">
        <f>'B1.1 Re-Based Bill Det &amp; Rates'!N26</f>
        <v>0</v>
      </c>
      <c r="K26" s="80">
        <f>'B1.1 Re-Based Bill Det &amp; Rates'!O26</f>
        <v>2.7725</v>
      </c>
      <c r="M26" s="81">
        <f t="shared" si="0"/>
        <v>1932936.72</v>
      </c>
      <c r="N26" s="81">
        <f t="shared" si="1"/>
        <v>0</v>
      </c>
      <c r="O26" s="81">
        <f t="shared" si="2"/>
        <v>3236605.493054409</v>
      </c>
      <c r="P26" s="81">
        <f t="shared" si="3"/>
        <v>5169542.213054409</v>
      </c>
      <c r="R26" s="83">
        <f t="shared" si="4"/>
        <v>0.3739086828846939</v>
      </c>
      <c r="S26" s="83">
        <f t="shared" si="5"/>
        <v>0</v>
      </c>
      <c r="T26" s="83">
        <f t="shared" si="6"/>
        <v>0.6260913171153061</v>
      </c>
      <c r="U26" s="83">
        <f t="shared" si="7"/>
        <v>0.03689274529876898</v>
      </c>
    </row>
    <row r="27" spans="3:21" s="3" customFormat="1" ht="15.75" customHeight="1">
      <c r="C27" s="25" t="str">
        <f>'B1.1 Re-Based Bill Det &amp; Rates'!D27</f>
        <v>Unmetered Scattered Load</v>
      </c>
      <c r="E27" s="81">
        <f>'B1.1 Re-Based Bill Det &amp; Rates'!I27</f>
        <v>3115</v>
      </c>
      <c r="F27" s="81">
        <f>'B1.1 Re-Based Bill Det &amp; Rates'!J27</f>
        <v>20244150</v>
      </c>
      <c r="G27" s="81">
        <f>'B1.1 Re-Based Bill Det &amp; Rates'!K27</f>
        <v>0</v>
      </c>
      <c r="I27" s="79">
        <f>'B1.1 Re-Based Bill Det &amp; Rates'!M27</f>
        <v>4.03</v>
      </c>
      <c r="J27" s="80">
        <f>'B1.1 Re-Based Bill Det &amp; Rates'!N27</f>
        <v>0.02</v>
      </c>
      <c r="K27" s="80">
        <f>'B1.1 Re-Based Bill Det &amp; Rates'!O27</f>
        <v>0</v>
      </c>
      <c r="M27" s="81">
        <f t="shared" si="0"/>
        <v>150641.40000000002</v>
      </c>
      <c r="N27" s="81">
        <f t="shared" si="1"/>
        <v>404883</v>
      </c>
      <c r="O27" s="81">
        <f t="shared" si="2"/>
        <v>0</v>
      </c>
      <c r="P27" s="81">
        <f t="shared" si="3"/>
        <v>555524.4</v>
      </c>
      <c r="R27" s="83">
        <f t="shared" si="4"/>
        <v>0.2711697271983013</v>
      </c>
      <c r="S27" s="83">
        <f t="shared" si="5"/>
        <v>0.7288302728016987</v>
      </c>
      <c r="T27" s="83">
        <f t="shared" si="6"/>
        <v>0</v>
      </c>
      <c r="U27" s="83">
        <f t="shared" si="7"/>
        <v>0.003964532902874228</v>
      </c>
    </row>
    <row r="28" spans="3:21" s="3" customFormat="1" ht="15.75" customHeight="1">
      <c r="C28" s="25" t="str">
        <f>'B1.1 Re-Based Bill Det &amp; Rates'!D28</f>
        <v>Standby Power General Service 50 to 1,499 kW</v>
      </c>
      <c r="E28" s="81">
        <f>'B1.1 Re-Based Bill Det &amp; Rates'!I28</f>
        <v>3</v>
      </c>
      <c r="F28" s="81">
        <f>'B1.1 Re-Based Bill Det &amp; Rates'!J28</f>
        <v>0</v>
      </c>
      <c r="G28" s="81">
        <f>'B1.1 Re-Based Bill Det &amp; Rates'!K28</f>
        <v>15000</v>
      </c>
      <c r="I28" s="79">
        <f>'B1.1 Re-Based Bill Det &amp; Rates'!M28</f>
        <v>107.83</v>
      </c>
      <c r="J28" s="80">
        <f>'B1.1 Re-Based Bill Det &amp; Rates'!N28</f>
        <v>0</v>
      </c>
      <c r="K28" s="80">
        <f>'B1.1 Re-Based Bill Det &amp; Rates'!O28</f>
        <v>1.439</v>
      </c>
      <c r="M28" s="81">
        <f t="shared" si="0"/>
        <v>3881.88</v>
      </c>
      <c r="N28" s="81">
        <f t="shared" si="1"/>
        <v>0</v>
      </c>
      <c r="O28" s="81">
        <f t="shared" si="2"/>
        <v>21585</v>
      </c>
      <c r="P28" s="81">
        <f t="shared" si="3"/>
        <v>25466.88</v>
      </c>
      <c r="R28" s="83">
        <f t="shared" si="4"/>
        <v>0.1524285660434258</v>
      </c>
      <c r="S28" s="83">
        <f t="shared" si="5"/>
        <v>0</v>
      </c>
      <c r="T28" s="83">
        <f t="shared" si="6"/>
        <v>0.8475714339565742</v>
      </c>
      <c r="U28" s="83">
        <f t="shared" si="7"/>
        <v>0.00018174590295862725</v>
      </c>
    </row>
    <row r="29" spans="3:21" s="3" customFormat="1" ht="15.75" customHeight="1">
      <c r="C29" s="25" t="str">
        <f>'B1.1 Re-Based Bill Det &amp; Rates'!D29</f>
        <v>Standby Power General Service 1,500 to 4,999 kW</v>
      </c>
      <c r="E29" s="81">
        <f>'B1.1 Re-Based Bill Det &amp; Rates'!I29</f>
        <v>5</v>
      </c>
      <c r="F29" s="81">
        <f>'B1.1 Re-Based Bill Det &amp; Rates'!J29</f>
        <v>0</v>
      </c>
      <c r="G29" s="81">
        <f>'B1.1 Re-Based Bill Det &amp; Rates'!K29</f>
        <v>144960</v>
      </c>
      <c r="I29" s="79">
        <f>'B1.1 Re-Based Bill Det &amp; Rates'!M29</f>
        <v>107.83</v>
      </c>
      <c r="J29" s="80">
        <f>'B1.1 Re-Based Bill Det &amp; Rates'!N29</f>
        <v>0</v>
      </c>
      <c r="K29" s="80">
        <f>'B1.1 Re-Based Bill Det &amp; Rates'!O29</f>
        <v>1.32</v>
      </c>
      <c r="M29" s="81">
        <f t="shared" si="0"/>
        <v>6469.799999999999</v>
      </c>
      <c r="N29" s="81">
        <f t="shared" si="1"/>
        <v>0</v>
      </c>
      <c r="O29" s="81">
        <f t="shared" si="2"/>
        <v>191347.2</v>
      </c>
      <c r="P29" s="81">
        <f t="shared" si="3"/>
        <v>197817</v>
      </c>
      <c r="R29" s="83">
        <f t="shared" si="4"/>
        <v>0.03270598583539332</v>
      </c>
      <c r="S29" s="83">
        <f t="shared" si="5"/>
        <v>0</v>
      </c>
      <c r="T29" s="83">
        <f t="shared" si="6"/>
        <v>0.9672940141646067</v>
      </c>
      <c r="U29" s="83">
        <f t="shared" si="7"/>
        <v>0.001411732779420438</v>
      </c>
    </row>
    <row r="30" spans="3:21" s="3" customFormat="1" ht="15.75" customHeight="1">
      <c r="C30" s="25" t="str">
        <f>'B1.1 Re-Based Bill Det &amp; Rates'!D30</f>
        <v>Standby - Large Use</v>
      </c>
      <c r="E30" s="81">
        <f>'B1.1 Re-Based Bill Det &amp; Rates'!I30</f>
        <v>1</v>
      </c>
      <c r="F30" s="81">
        <f>'B1.1 Re-Based Bill Det &amp; Rates'!J30</f>
        <v>0</v>
      </c>
      <c r="G30" s="81">
        <f>'B1.1 Re-Based Bill Det &amp; Rates'!K30</f>
        <v>4800</v>
      </c>
      <c r="I30" s="79">
        <f>'B1.1 Re-Based Bill Det &amp; Rates'!M30</f>
        <v>107.83</v>
      </c>
      <c r="J30" s="80">
        <f>'B1.1 Re-Based Bill Det &amp; Rates'!N30</f>
        <v>0</v>
      </c>
      <c r="K30" s="80">
        <f>'B1.1 Re-Based Bill Det &amp; Rates'!O30</f>
        <v>1.4668</v>
      </c>
      <c r="M30" s="81">
        <f t="shared" si="0"/>
        <v>1293.96</v>
      </c>
      <c r="N30" s="81">
        <f t="shared" si="1"/>
        <v>0</v>
      </c>
      <c r="O30" s="81">
        <f t="shared" si="2"/>
        <v>7040.64</v>
      </c>
      <c r="P30" s="81">
        <f t="shared" si="3"/>
        <v>8334.6</v>
      </c>
      <c r="R30" s="83">
        <f t="shared" si="4"/>
        <v>0.155251601756533</v>
      </c>
      <c r="S30" s="83">
        <f t="shared" si="5"/>
        <v>0</v>
      </c>
      <c r="T30" s="83">
        <f t="shared" si="6"/>
        <v>0.844748398243467</v>
      </c>
      <c r="U30" s="83">
        <f t="shared" si="7"/>
        <v>5.948036833718833E-05</v>
      </c>
    </row>
    <row r="31" spans="3:21" s="3" customFormat="1" ht="15.75" customHeight="1">
      <c r="C31" s="25" t="str">
        <f>'B1.1 Re-Based Bill Det &amp; Rates'!D31</f>
        <v>Sentinel Lighting</v>
      </c>
      <c r="E31" s="81">
        <f>'B1.1 Re-Based Bill Det &amp; Rates'!I31</f>
        <v>95</v>
      </c>
      <c r="F31" s="81">
        <f>'B1.1 Re-Based Bill Det &amp; Rates'!J31</f>
        <v>92512</v>
      </c>
      <c r="G31" s="81">
        <f>'B1.1 Re-Based Bill Det &amp; Rates'!K31</f>
        <v>257</v>
      </c>
      <c r="I31" s="79">
        <f>'B1.1 Re-Based Bill Det &amp; Rates'!M31</f>
        <v>1.89</v>
      </c>
      <c r="J31" s="80">
        <f>'B1.1 Re-Based Bill Det &amp; Rates'!N31</f>
        <v>0</v>
      </c>
      <c r="K31" s="80">
        <f>'B1.1 Re-Based Bill Det &amp; Rates'!O31</f>
        <v>7.2304</v>
      </c>
      <c r="M31" s="81">
        <f t="shared" si="0"/>
        <v>2154.6</v>
      </c>
      <c r="N31" s="81">
        <f t="shared" si="1"/>
        <v>0</v>
      </c>
      <c r="O31" s="81">
        <f t="shared" si="2"/>
        <v>1858.2128</v>
      </c>
      <c r="P31" s="81">
        <f t="shared" si="3"/>
        <v>4012.8127999999997</v>
      </c>
      <c r="R31" s="83">
        <f t="shared" si="4"/>
        <v>0.5369301054861069</v>
      </c>
      <c r="S31" s="83">
        <f t="shared" si="5"/>
        <v>0</v>
      </c>
      <c r="T31" s="83">
        <f t="shared" si="6"/>
        <v>0.46306989451389313</v>
      </c>
      <c r="U31" s="83">
        <f t="shared" si="7"/>
        <v>2.8637677082545535E-05</v>
      </c>
    </row>
    <row r="32" spans="3:21" s="3" customFormat="1" ht="15.75" customHeight="1">
      <c r="C32" s="25" t="str">
        <f>'B1.1 Re-Based Bill Det &amp; Rates'!D32</f>
        <v>Street Lighting</v>
      </c>
      <c r="E32" s="81">
        <f>'B1.1 Re-Based Bill Det &amp; Rates'!I32</f>
        <v>47219</v>
      </c>
      <c r="F32" s="81">
        <f>'B1.1 Re-Based Bill Det &amp; Rates'!J32</f>
        <v>40114500.00000001</v>
      </c>
      <c r="G32" s="81">
        <f>'B1.1 Re-Based Bill Det &amp; Rates'!K32</f>
        <v>107223.01662803371</v>
      </c>
      <c r="I32" s="79">
        <f>'B1.1 Re-Based Bill Det &amp; Rates'!M32</f>
        <v>0.49</v>
      </c>
      <c r="J32" s="80">
        <f>'B1.1 Re-Based Bill Det &amp; Rates'!N32</f>
        <v>0</v>
      </c>
      <c r="K32" s="80">
        <f>'B1.1 Re-Based Bill Det &amp; Rates'!O32</f>
        <v>3.4501</v>
      </c>
      <c r="M32" s="81">
        <f t="shared" si="0"/>
        <v>277647.72000000003</v>
      </c>
      <c r="N32" s="81">
        <f t="shared" si="1"/>
        <v>0</v>
      </c>
      <c r="O32" s="81">
        <f t="shared" si="2"/>
        <v>369930.1296683791</v>
      </c>
      <c r="P32" s="81">
        <f t="shared" si="3"/>
        <v>647577.8496683792</v>
      </c>
      <c r="R32" s="83">
        <f t="shared" si="4"/>
        <v>0.4287480187010439</v>
      </c>
      <c r="S32" s="83">
        <f t="shared" si="5"/>
        <v>0</v>
      </c>
      <c r="T32" s="83">
        <f t="shared" si="6"/>
        <v>0.571251981298956</v>
      </c>
      <c r="U32" s="83">
        <f t="shared" si="7"/>
        <v>0.00462147781840515</v>
      </c>
    </row>
    <row r="33" spans="3:21" s="3" customFormat="1" ht="15.75" customHeight="1" hidden="1">
      <c r="C33" s="25" t="str">
        <f>'B1.1 Re-Based Bill Det &amp; Rates'!D33</f>
        <v>Rate Class 12</v>
      </c>
      <c r="E33" s="81"/>
      <c r="F33" s="81"/>
      <c r="G33" s="81"/>
      <c r="I33" s="79"/>
      <c r="J33" s="80"/>
      <c r="K33" s="80"/>
      <c r="M33" s="81">
        <f t="shared" si="0"/>
        <v>0</v>
      </c>
      <c r="N33" s="81">
        <f t="shared" si="1"/>
        <v>0</v>
      </c>
      <c r="O33" s="81">
        <f t="shared" si="2"/>
        <v>0</v>
      </c>
      <c r="P33" s="81">
        <f t="shared" si="3"/>
        <v>0</v>
      </c>
      <c r="R33" s="83">
        <f t="shared" si="4"/>
      </c>
      <c r="S33" s="83">
        <f t="shared" si="5"/>
      </c>
      <c r="T33" s="83">
        <f t="shared" si="6"/>
      </c>
      <c r="U33" s="83">
        <f t="shared" si="7"/>
        <v>0</v>
      </c>
    </row>
    <row r="34" spans="3:21" s="3" customFormat="1" ht="15.75" customHeight="1" hidden="1">
      <c r="C34" s="25" t="str">
        <f>'B1.1 Re-Based Bill Det &amp; Rates'!D34</f>
        <v>Rate Class 13</v>
      </c>
      <c r="E34" s="81"/>
      <c r="F34" s="81"/>
      <c r="G34" s="81"/>
      <c r="I34" s="79"/>
      <c r="J34" s="80"/>
      <c r="K34" s="80"/>
      <c r="M34" s="81">
        <f t="shared" si="0"/>
        <v>0</v>
      </c>
      <c r="N34" s="81">
        <f t="shared" si="1"/>
        <v>0</v>
      </c>
      <c r="O34" s="81">
        <f t="shared" si="2"/>
        <v>0</v>
      </c>
      <c r="P34" s="81">
        <f t="shared" si="3"/>
        <v>0</v>
      </c>
      <c r="R34" s="83">
        <f t="shared" si="4"/>
      </c>
      <c r="S34" s="83">
        <f t="shared" si="5"/>
      </c>
      <c r="T34" s="83">
        <f t="shared" si="6"/>
      </c>
      <c r="U34" s="83">
        <f t="shared" si="7"/>
        <v>0</v>
      </c>
    </row>
    <row r="35" spans="3:21" s="3" customFormat="1" ht="15.75" customHeight="1" hidden="1">
      <c r="C35" s="25" t="str">
        <f>'B1.1 Re-Based Bill Det &amp; Rates'!D35</f>
        <v>Rate Class 14</v>
      </c>
      <c r="E35" s="81"/>
      <c r="F35" s="81"/>
      <c r="G35" s="81"/>
      <c r="I35" s="79"/>
      <c r="J35" s="80"/>
      <c r="K35" s="80"/>
      <c r="M35" s="81">
        <f t="shared" si="0"/>
        <v>0</v>
      </c>
      <c r="N35" s="81">
        <f t="shared" si="1"/>
        <v>0</v>
      </c>
      <c r="O35" s="81">
        <f t="shared" si="2"/>
        <v>0</v>
      </c>
      <c r="P35" s="81">
        <f t="shared" si="3"/>
        <v>0</v>
      </c>
      <c r="R35" s="83">
        <f t="shared" si="4"/>
      </c>
      <c r="S35" s="83">
        <f t="shared" si="5"/>
      </c>
      <c r="T35" s="83">
        <f t="shared" si="6"/>
      </c>
      <c r="U35" s="83">
        <f t="shared" si="7"/>
        <v>0</v>
      </c>
    </row>
    <row r="36" spans="3:21" s="3" customFormat="1" ht="15.75" customHeight="1" hidden="1">
      <c r="C36" s="25" t="str">
        <f>'B1.1 Re-Based Bill Det &amp; Rates'!D36</f>
        <v>Rate Class 15</v>
      </c>
      <c r="E36" s="81"/>
      <c r="F36" s="81"/>
      <c r="G36" s="81"/>
      <c r="I36" s="79"/>
      <c r="J36" s="80"/>
      <c r="K36" s="80"/>
      <c r="M36" s="81">
        <f t="shared" si="0"/>
        <v>0</v>
      </c>
      <c r="N36" s="81">
        <f t="shared" si="1"/>
        <v>0</v>
      </c>
      <c r="O36" s="81">
        <f t="shared" si="2"/>
        <v>0</v>
      </c>
      <c r="P36" s="81">
        <f t="shared" si="3"/>
        <v>0</v>
      </c>
      <c r="R36" s="83">
        <f t="shared" si="4"/>
      </c>
      <c r="S36" s="83">
        <f t="shared" si="5"/>
      </c>
      <c r="T36" s="83">
        <f t="shared" si="6"/>
      </c>
      <c r="U36" s="83">
        <f t="shared" si="7"/>
        <v>0</v>
      </c>
    </row>
    <row r="37" spans="3:21" s="3" customFormat="1" ht="15.75" customHeight="1" hidden="1">
      <c r="C37" s="25" t="str">
        <f>'B1.1 Re-Based Bill Det &amp; Rates'!D37</f>
        <v>Rate Class 16</v>
      </c>
      <c r="E37" s="81"/>
      <c r="F37" s="81"/>
      <c r="G37" s="81"/>
      <c r="I37" s="79"/>
      <c r="J37" s="80"/>
      <c r="K37" s="80"/>
      <c r="M37" s="81">
        <f t="shared" si="0"/>
        <v>0</v>
      </c>
      <c r="N37" s="81">
        <f t="shared" si="1"/>
        <v>0</v>
      </c>
      <c r="O37" s="81">
        <f t="shared" si="2"/>
        <v>0</v>
      </c>
      <c r="P37" s="81">
        <f t="shared" si="3"/>
        <v>0</v>
      </c>
      <c r="R37" s="83">
        <f t="shared" si="4"/>
      </c>
      <c r="S37" s="83">
        <f t="shared" si="5"/>
      </c>
      <c r="T37" s="83">
        <f t="shared" si="6"/>
      </c>
      <c r="U37" s="83">
        <f t="shared" si="7"/>
        <v>0</v>
      </c>
    </row>
    <row r="38" spans="3:21" s="3" customFormat="1" ht="15.75" customHeight="1" hidden="1">
      <c r="C38" s="25" t="str">
        <f>'B1.1 Re-Based Bill Det &amp; Rates'!D38</f>
        <v>Rate Class 17</v>
      </c>
      <c r="E38" s="81"/>
      <c r="F38" s="81"/>
      <c r="G38" s="81"/>
      <c r="I38" s="79"/>
      <c r="J38" s="80"/>
      <c r="K38" s="80"/>
      <c r="M38" s="81">
        <f t="shared" si="0"/>
        <v>0</v>
      </c>
      <c r="N38" s="81">
        <f t="shared" si="1"/>
        <v>0</v>
      </c>
      <c r="O38" s="81">
        <f t="shared" si="2"/>
        <v>0</v>
      </c>
      <c r="P38" s="81">
        <f t="shared" si="3"/>
        <v>0</v>
      </c>
      <c r="R38" s="83">
        <f t="shared" si="4"/>
      </c>
      <c r="S38" s="83">
        <f t="shared" si="5"/>
      </c>
      <c r="T38" s="83">
        <f t="shared" si="6"/>
      </c>
      <c r="U38" s="83">
        <f t="shared" si="7"/>
        <v>0</v>
      </c>
    </row>
    <row r="39" spans="3:21" s="3" customFormat="1" ht="15.75" customHeight="1" hidden="1">
      <c r="C39" s="25" t="str">
        <f>'B1.1 Re-Based Bill Det &amp; Rates'!D39</f>
        <v>Rate Class 18</v>
      </c>
      <c r="E39" s="81"/>
      <c r="F39" s="81"/>
      <c r="G39" s="81"/>
      <c r="I39" s="79"/>
      <c r="J39" s="80"/>
      <c r="K39" s="80"/>
      <c r="M39" s="81">
        <f t="shared" si="0"/>
        <v>0</v>
      </c>
      <c r="N39" s="81">
        <f t="shared" si="1"/>
        <v>0</v>
      </c>
      <c r="O39" s="81">
        <f t="shared" si="2"/>
        <v>0</v>
      </c>
      <c r="P39" s="81">
        <f t="shared" si="3"/>
        <v>0</v>
      </c>
      <c r="R39" s="83">
        <f t="shared" si="4"/>
      </c>
      <c r="S39" s="83">
        <f t="shared" si="5"/>
      </c>
      <c r="T39" s="83">
        <f t="shared" si="6"/>
      </c>
      <c r="U39" s="83">
        <f t="shared" si="7"/>
        <v>0</v>
      </c>
    </row>
    <row r="40" spans="3:21" s="3" customFormat="1" ht="15.75" customHeight="1" hidden="1">
      <c r="C40" s="25" t="str">
        <f>'B1.1 Re-Based Bill Det &amp; Rates'!D40</f>
        <v>Rate Class 19</v>
      </c>
      <c r="E40" s="81"/>
      <c r="F40" s="81"/>
      <c r="G40" s="81"/>
      <c r="I40" s="79"/>
      <c r="J40" s="80"/>
      <c r="K40" s="80"/>
      <c r="M40" s="81">
        <f t="shared" si="0"/>
        <v>0</v>
      </c>
      <c r="N40" s="81">
        <f t="shared" si="1"/>
        <v>0</v>
      </c>
      <c r="O40" s="81">
        <f t="shared" si="2"/>
        <v>0</v>
      </c>
      <c r="P40" s="81">
        <f t="shared" si="3"/>
        <v>0</v>
      </c>
      <c r="R40" s="83">
        <f t="shared" si="4"/>
      </c>
      <c r="S40" s="83">
        <f t="shared" si="5"/>
      </c>
      <c r="T40" s="83">
        <f t="shared" si="6"/>
      </c>
      <c r="U40" s="83">
        <f t="shared" si="7"/>
        <v>0</v>
      </c>
    </row>
    <row r="41" spans="3:21" s="3" customFormat="1" ht="15.75" customHeight="1" hidden="1">
      <c r="C41" s="25" t="str">
        <f>'B1.1 Re-Based Bill Det &amp; Rates'!D41</f>
        <v>Rate Class 20</v>
      </c>
      <c r="E41" s="81"/>
      <c r="F41" s="81"/>
      <c r="G41" s="81"/>
      <c r="I41" s="79"/>
      <c r="J41" s="80"/>
      <c r="K41" s="80"/>
      <c r="M41" s="81">
        <f t="shared" si="0"/>
        <v>0</v>
      </c>
      <c r="N41" s="81">
        <f t="shared" si="1"/>
        <v>0</v>
      </c>
      <c r="O41" s="81">
        <f t="shared" si="2"/>
        <v>0</v>
      </c>
      <c r="P41" s="81">
        <f t="shared" si="3"/>
        <v>0</v>
      </c>
      <c r="R41" s="83">
        <f t="shared" si="4"/>
      </c>
      <c r="S41" s="83">
        <f t="shared" si="5"/>
      </c>
      <c r="T41" s="83">
        <f t="shared" si="6"/>
      </c>
      <c r="U41" s="83">
        <f t="shared" si="7"/>
        <v>0</v>
      </c>
    </row>
    <row r="42" spans="3:21" s="3" customFormat="1" ht="15.75" customHeight="1" hidden="1">
      <c r="C42" s="25" t="str">
        <f>'B1.1 Re-Based Bill Det &amp; Rates'!D42</f>
        <v>Rate Class 21</v>
      </c>
      <c r="E42" s="81"/>
      <c r="F42" s="81"/>
      <c r="G42" s="81"/>
      <c r="I42" s="79"/>
      <c r="J42" s="80"/>
      <c r="K42" s="80"/>
      <c r="M42" s="81">
        <f t="shared" si="0"/>
        <v>0</v>
      </c>
      <c r="N42" s="81">
        <f t="shared" si="1"/>
        <v>0</v>
      </c>
      <c r="O42" s="81">
        <f t="shared" si="2"/>
        <v>0</v>
      </c>
      <c r="P42" s="81">
        <f t="shared" si="3"/>
        <v>0</v>
      </c>
      <c r="R42" s="83">
        <f t="shared" si="4"/>
      </c>
      <c r="S42" s="83">
        <f t="shared" si="5"/>
      </c>
      <c r="T42" s="83">
        <f t="shared" si="6"/>
      </c>
      <c r="U42" s="83">
        <f t="shared" si="7"/>
        <v>0</v>
      </c>
    </row>
    <row r="43" spans="3:21" s="3" customFormat="1" ht="15.75" customHeight="1" hidden="1">
      <c r="C43" s="25" t="str">
        <f>'B1.1 Re-Based Bill Det &amp; Rates'!D43</f>
        <v>Rate Class 22</v>
      </c>
      <c r="E43" s="81"/>
      <c r="F43" s="81"/>
      <c r="G43" s="81"/>
      <c r="I43" s="79"/>
      <c r="J43" s="80"/>
      <c r="K43" s="80"/>
      <c r="M43" s="81">
        <f t="shared" si="0"/>
        <v>0</v>
      </c>
      <c r="N43" s="81">
        <f t="shared" si="1"/>
        <v>0</v>
      </c>
      <c r="O43" s="81">
        <f t="shared" si="2"/>
        <v>0</v>
      </c>
      <c r="P43" s="81">
        <f t="shared" si="3"/>
        <v>0</v>
      </c>
      <c r="R43" s="83">
        <f t="shared" si="4"/>
      </c>
      <c r="S43" s="83">
        <f t="shared" si="5"/>
      </c>
      <c r="T43" s="83">
        <f t="shared" si="6"/>
      </c>
      <c r="U43" s="83">
        <f t="shared" si="7"/>
        <v>0</v>
      </c>
    </row>
    <row r="44" spans="3:21" s="3" customFormat="1" ht="15.75" customHeight="1" hidden="1">
      <c r="C44" s="25" t="str">
        <f>'B1.1 Re-Based Bill Det &amp; Rates'!D44</f>
        <v>Rate Class 23</v>
      </c>
      <c r="E44" s="81"/>
      <c r="F44" s="81"/>
      <c r="G44" s="81"/>
      <c r="I44" s="79"/>
      <c r="J44" s="80"/>
      <c r="K44" s="80"/>
      <c r="M44" s="81">
        <f t="shared" si="0"/>
        <v>0</v>
      </c>
      <c r="N44" s="81">
        <f t="shared" si="1"/>
        <v>0</v>
      </c>
      <c r="O44" s="81">
        <f t="shared" si="2"/>
        <v>0</v>
      </c>
      <c r="P44" s="81">
        <f t="shared" si="3"/>
        <v>0</v>
      </c>
      <c r="R44" s="83">
        <f t="shared" si="4"/>
      </c>
      <c r="S44" s="83">
        <f t="shared" si="5"/>
      </c>
      <c r="T44" s="83">
        <f t="shared" si="6"/>
      </c>
      <c r="U44" s="83">
        <f t="shared" si="7"/>
        <v>0</v>
      </c>
    </row>
    <row r="45" spans="3:21" s="3" customFormat="1" ht="15.75" customHeight="1" hidden="1">
      <c r="C45" s="25" t="str">
        <f>'B1.1 Re-Based Bill Det &amp; Rates'!D45</f>
        <v>Rate Class 24</v>
      </c>
      <c r="E45" s="81"/>
      <c r="F45" s="81"/>
      <c r="G45" s="81"/>
      <c r="I45" s="79"/>
      <c r="J45" s="80"/>
      <c r="K45" s="80"/>
      <c r="M45" s="81">
        <f t="shared" si="0"/>
        <v>0</v>
      </c>
      <c r="N45" s="81">
        <f t="shared" si="1"/>
        <v>0</v>
      </c>
      <c r="O45" s="81">
        <f t="shared" si="2"/>
        <v>0</v>
      </c>
      <c r="P45" s="81">
        <f t="shared" si="3"/>
        <v>0</v>
      </c>
      <c r="R45" s="83">
        <f t="shared" si="4"/>
      </c>
      <c r="S45" s="83">
        <f t="shared" si="5"/>
      </c>
      <c r="T45" s="83">
        <f t="shared" si="6"/>
      </c>
      <c r="U45" s="83">
        <f t="shared" si="7"/>
        <v>0</v>
      </c>
    </row>
    <row r="46" spans="3:21" s="3" customFormat="1" ht="15.75" customHeight="1" hidden="1">
      <c r="C46" s="25" t="str">
        <f>'B1.1 Re-Based Bill Det &amp; Rates'!D46</f>
        <v>Rate Class 25</v>
      </c>
      <c r="E46" s="81"/>
      <c r="F46" s="81"/>
      <c r="G46" s="81"/>
      <c r="I46" s="79"/>
      <c r="J46" s="80"/>
      <c r="K46" s="80"/>
      <c r="M46" s="81">
        <f t="shared" si="0"/>
        <v>0</v>
      </c>
      <c r="N46" s="81">
        <f t="shared" si="1"/>
        <v>0</v>
      </c>
      <c r="O46" s="81">
        <f t="shared" si="2"/>
        <v>0</v>
      </c>
      <c r="P46" s="81">
        <f t="shared" si="3"/>
        <v>0</v>
      </c>
      <c r="R46" s="83">
        <f t="shared" si="4"/>
      </c>
      <c r="S46" s="83">
        <f t="shared" si="5"/>
      </c>
      <c r="T46" s="83">
        <f t="shared" si="6"/>
      </c>
      <c r="U46" s="83">
        <f t="shared" si="7"/>
        <v>0</v>
      </c>
    </row>
    <row r="47" spans="13:21" s="3" customFormat="1" ht="15.75" customHeight="1" thickBot="1">
      <c r="M47" s="82">
        <f>SUM(M22:M46)</f>
        <v>47286291.6</v>
      </c>
      <c r="N47" s="82">
        <f>SUM(N22:N46)</f>
        <v>61557979.88750822</v>
      </c>
      <c r="O47" s="82">
        <f>SUM(O22:O46)</f>
        <v>31279272.347189922</v>
      </c>
      <c r="P47" s="82">
        <f>SUM(P22:P46)</f>
        <v>140123543.83469814</v>
      </c>
      <c r="R47" s="84"/>
      <c r="S47" s="84"/>
      <c r="T47" s="84"/>
      <c r="U47" s="85">
        <f>SUM(U22:U46)</f>
        <v>0.9999999999999999</v>
      </c>
    </row>
    <row r="48" spans="13:21" s="3" customFormat="1" ht="15.75" customHeight="1">
      <c r="M48" s="24" t="s">
        <v>111</v>
      </c>
      <c r="N48" s="24" t="s">
        <v>109</v>
      </c>
      <c r="O48" s="24" t="s">
        <v>110</v>
      </c>
      <c r="P48" s="24" t="s">
        <v>112</v>
      </c>
      <c r="R48" s="5"/>
      <c r="S48" s="5"/>
      <c r="T48" s="5"/>
      <c r="U48" s="14"/>
    </row>
    <row r="49" spans="18:21" s="3" customFormat="1" ht="15.75" customHeight="1">
      <c r="R49" s="5"/>
      <c r="S49" s="5"/>
      <c r="T49" s="5"/>
      <c r="U49" s="14"/>
    </row>
    <row r="50" spans="18:21" s="3" customFormat="1" ht="15.75" customHeight="1">
      <c r="R50" s="5"/>
      <c r="S50" s="5"/>
      <c r="T50" s="5"/>
      <c r="U50" s="14"/>
    </row>
    <row r="51" spans="18:21" s="3" customFormat="1" ht="15.75" customHeight="1">
      <c r="R51" s="5"/>
      <c r="S51" s="5"/>
      <c r="T51" s="5"/>
      <c r="U51" s="14"/>
    </row>
    <row r="52" spans="18:21" s="3" customFormat="1" ht="15.75" customHeight="1">
      <c r="R52" s="5"/>
      <c r="S52" s="5"/>
      <c r="T52" s="5"/>
      <c r="U52" s="14"/>
    </row>
    <row r="53" spans="18:21" s="3" customFormat="1" ht="15.75" customHeight="1">
      <c r="R53" s="5"/>
      <c r="S53" s="5"/>
      <c r="T53" s="5"/>
      <c r="U53" s="14"/>
    </row>
    <row r="54" spans="18:21" s="3" customFormat="1" ht="15.75" customHeight="1">
      <c r="R54" s="5"/>
      <c r="S54" s="5"/>
      <c r="T54" s="5"/>
      <c r="U54" s="14"/>
    </row>
    <row r="55" spans="18:21" s="3" customFormat="1" ht="15.75" customHeight="1">
      <c r="R55" s="5"/>
      <c r="S55" s="5"/>
      <c r="T55" s="5"/>
      <c r="U55" s="14"/>
    </row>
    <row r="56" spans="18:21" s="3" customFormat="1" ht="15.75" customHeight="1">
      <c r="R56" s="5"/>
      <c r="S56" s="5"/>
      <c r="T56" s="5"/>
      <c r="U56" s="14"/>
    </row>
    <row r="57" spans="18:21" s="3" customFormat="1" ht="15.75" customHeight="1">
      <c r="R57" s="5"/>
      <c r="S57" s="5"/>
      <c r="T57" s="5"/>
      <c r="U57" s="14"/>
    </row>
    <row r="58" spans="18:21" s="3" customFormat="1" ht="15.75" customHeight="1">
      <c r="R58" s="5"/>
      <c r="S58" s="5"/>
      <c r="T58" s="5"/>
      <c r="U58" s="14"/>
    </row>
    <row r="59" spans="18:21" s="3" customFormat="1" ht="15.75" customHeight="1">
      <c r="R59" s="5"/>
      <c r="S59" s="5"/>
      <c r="T59" s="5"/>
      <c r="U59" s="14"/>
    </row>
    <row r="60" spans="18:21" s="3" customFormat="1" ht="15.75" customHeight="1">
      <c r="R60" s="5"/>
      <c r="S60" s="5"/>
      <c r="T60" s="5"/>
      <c r="U60" s="14"/>
    </row>
    <row r="61" spans="18:21" s="3" customFormat="1" ht="15.75" customHeight="1">
      <c r="R61" s="5"/>
      <c r="S61" s="5"/>
      <c r="T61" s="5"/>
      <c r="U61" s="14"/>
    </row>
    <row r="62" spans="18:21" s="3" customFormat="1" ht="15.75" customHeight="1">
      <c r="R62" s="5"/>
      <c r="S62" s="5"/>
      <c r="T62" s="5"/>
      <c r="U62" s="14"/>
    </row>
    <row r="63" spans="18:21" s="3" customFormat="1" ht="15.75" customHeight="1">
      <c r="R63" s="5"/>
      <c r="S63" s="5"/>
      <c r="T63" s="5"/>
      <c r="U63" s="14"/>
    </row>
    <row r="64" spans="18:21" s="3" customFormat="1" ht="15.75" customHeight="1">
      <c r="R64" s="5"/>
      <c r="S64" s="5"/>
      <c r="T64" s="5"/>
      <c r="U64" s="14"/>
    </row>
    <row r="65" spans="18:21" s="3" customFormat="1" ht="15.75" customHeight="1">
      <c r="R65" s="5"/>
      <c r="S65" s="5"/>
      <c r="T65" s="5"/>
      <c r="U65" s="14"/>
    </row>
    <row r="66" spans="18:21" s="3" customFormat="1" ht="15.75" customHeight="1">
      <c r="R66" s="5"/>
      <c r="S66" s="5"/>
      <c r="T66" s="5"/>
      <c r="U66" s="14"/>
    </row>
    <row r="67" spans="18:21" s="3" customFormat="1" ht="15.75" customHeight="1">
      <c r="R67" s="5"/>
      <c r="S67" s="5"/>
      <c r="T67" s="5"/>
      <c r="U67" s="14"/>
    </row>
  </sheetData>
  <sheetProtection password="927E" sheet="1" objects="1" scenarios="1"/>
  <printOptions/>
  <pageMargins left="0.31496062992125984" right="0.31496062992125984" top="0.5905511811023623" bottom="0.6692913385826772" header="0.62" footer="0.5118110236220472"/>
  <pageSetup fitToHeight="1" fitToWidth="1" horizontalDpi="600" verticalDpi="600" orientation="landscape" scale="58" r:id="rId3"/>
  <headerFooter alignWithMargins="0">
    <oddHeader>&amp;RHydro Ottawa Limited
EB-2010-0326
Attachment C
Filed: 2010-11-30
Page &amp;P of &amp;N</oddHeader>
    <oddFooter>&amp;C&amp;A</oddFooter>
  </headerFooter>
  <legacyDrawing r:id="rId2"/>
  <oleObjects>
    <oleObject progId="Unknown" shapeId="66327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>
    <tabColor indexed="42"/>
    <pageSetUpPr fitToPage="1"/>
  </sheetPr>
  <dimension ref="A1:Q55"/>
  <sheetViews>
    <sheetView showGridLines="0" tabSelected="1" zoomScale="90" zoomScaleNormal="90" zoomScalePageLayoutView="0" workbookViewId="0" topLeftCell="D20">
      <selection activeCell="D20" sqref="D20"/>
    </sheetView>
  </sheetViews>
  <sheetFormatPr defaultColWidth="0" defaultRowHeight="15" zeroHeight="1"/>
  <cols>
    <col min="1" max="1" width="15.77734375" style="8" customWidth="1"/>
    <col min="2" max="2" width="10.88671875" style="8" hidden="1" customWidth="1"/>
    <col min="3" max="3" width="100.77734375" style="8" customWidth="1"/>
    <col min="4" max="4" width="2.77734375" style="8" customWidth="1"/>
    <col min="5" max="5" width="13.10546875" style="8" bestFit="1" customWidth="1"/>
    <col min="6" max="6" width="2.77734375" style="8" customWidth="1"/>
    <col min="7" max="7" width="13.10546875" style="8" bestFit="1" customWidth="1"/>
    <col min="8" max="8" width="2.77734375" style="8" customWidth="1"/>
    <col min="9" max="9" width="13.10546875" style="8" bestFit="1" customWidth="1"/>
    <col min="10" max="10" width="2.77734375" style="8" customWidth="1"/>
    <col min="11" max="11" width="13.10546875" style="8" bestFit="1" customWidth="1"/>
    <col min="12" max="12" width="2.77734375" style="8" customWidth="1"/>
    <col min="13" max="13" width="13.10546875" style="8" bestFit="1" customWidth="1"/>
    <col min="14" max="14" width="2.77734375" style="8" customWidth="1"/>
    <col min="15" max="15" width="13.10546875" style="8" bestFit="1" customWidth="1"/>
    <col min="16" max="16" width="2.77734375" style="8" customWidth="1"/>
    <col min="17" max="17" width="13.10546875" style="8" bestFit="1" customWidth="1"/>
    <col min="18" max="18" width="2.77734375" style="8" customWidth="1"/>
    <col min="19" max="16384" width="0" style="8" hidden="1" customWidth="1"/>
  </cols>
  <sheetData>
    <row r="1" spans="1:17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2" customFormat="1" ht="18">
      <c r="C2" s="22" t="str">
        <f>'A1.1 LDC Information'!C2</f>
        <v>Name of LDC:       Hydro Ottawa Limited</v>
      </c>
    </row>
    <row r="3" s="2" customFormat="1" ht="18">
      <c r="C3" s="22" t="str">
        <f>'A1.1 LDC Information'!C3</f>
        <v>File Number:          IRM3</v>
      </c>
    </row>
    <row r="4" s="2" customFormat="1" ht="18">
      <c r="C4" s="58" t="str">
        <f>'A1.1 LDC Information'!C4</f>
        <v>Effective Date:       December 30, 1899</v>
      </c>
    </row>
    <row r="5" s="2" customFormat="1" ht="18">
      <c r="C5" s="58" t="str">
        <f>'A1.1 LDC Information'!C5</f>
        <v>Version : 1.0</v>
      </c>
    </row>
    <row r="6" s="2" customFormat="1" ht="15"/>
    <row r="7" s="2" customFormat="1" ht="15"/>
    <row r="8" s="2" customFormat="1" ht="15"/>
    <row r="9" s="2" customFormat="1" ht="15"/>
    <row r="10" s="2" customFormat="1" ht="26.25">
      <c r="C10" s="63" t="str">
        <f>'Z1.0 OEB Control Sheet'!C6</f>
        <v>Z-Factor Tax Changes</v>
      </c>
    </row>
    <row r="11" s="2" customFormat="1" ht="15"/>
    <row r="12" s="2" customFormat="1" ht="15"/>
    <row r="13" s="2" customFormat="1" ht="15"/>
    <row r="14" s="2" customFormat="1" ht="15"/>
    <row r="15" s="2" customFormat="1" ht="15"/>
    <row r="16" s="2" customFormat="1" ht="15"/>
    <row r="17" s="2" customFormat="1" ht="15"/>
    <row r="18" s="2" customFormat="1" ht="15"/>
    <row r="19" s="2" customFormat="1" ht="15"/>
    <row r="20" spans="3:14" s="2" customFormat="1" ht="18">
      <c r="C20" s="27" t="s">
        <v>193</v>
      </c>
      <c r="E20" s="14"/>
      <c r="G20" s="14"/>
      <c r="I20" s="14"/>
      <c r="K20" s="14"/>
      <c r="M20" s="14"/>
      <c r="N20" s="14"/>
    </row>
    <row r="21" spans="5:14" s="2" customFormat="1" ht="15">
      <c r="E21" s="14"/>
      <c r="G21" s="14"/>
      <c r="I21" s="14" t="s">
        <v>194</v>
      </c>
      <c r="K21" s="14"/>
      <c r="M21" s="14"/>
      <c r="N21" s="14"/>
    </row>
    <row r="22" spans="5:9" s="2" customFormat="1" ht="15">
      <c r="E22" s="14"/>
      <c r="F22" s="14"/>
      <c r="G22" s="14"/>
      <c r="I22" s="14"/>
    </row>
    <row r="23" spans="3:17" s="2" customFormat="1" ht="18">
      <c r="C23" s="41" t="s">
        <v>244</v>
      </c>
      <c r="E23" s="28">
        <v>2008</v>
      </c>
      <c r="G23" s="28">
        <v>2009</v>
      </c>
      <c r="I23" s="28">
        <v>2010</v>
      </c>
      <c r="K23" s="28">
        <v>2011</v>
      </c>
      <c r="M23" s="28">
        <v>2012</v>
      </c>
      <c r="O23" s="28">
        <v>2013</v>
      </c>
      <c r="Q23" s="28">
        <v>2014</v>
      </c>
    </row>
    <row r="24" spans="5:13" s="2" customFormat="1" ht="15">
      <c r="E24" s="14"/>
      <c r="G24" s="14"/>
      <c r="I24" s="14"/>
      <c r="K24" s="14"/>
      <c r="M24" s="14"/>
    </row>
    <row r="25" spans="3:17" s="2" customFormat="1" ht="15">
      <c r="C25" s="2" t="s">
        <v>200</v>
      </c>
      <c r="E25" s="104">
        <v>565504431</v>
      </c>
      <c r="G25" s="26">
        <f>E25</f>
        <v>565504431</v>
      </c>
      <c r="I25" s="26">
        <f>G25</f>
        <v>565504431</v>
      </c>
      <c r="K25" s="26">
        <f>I25</f>
        <v>565504431</v>
      </c>
      <c r="M25" s="26">
        <f>K25</f>
        <v>565504431</v>
      </c>
      <c r="O25" s="26">
        <f>M25</f>
        <v>565504431</v>
      </c>
      <c r="Q25" s="26">
        <f>O25</f>
        <v>565504431</v>
      </c>
    </row>
    <row r="26" s="2" customFormat="1" ht="15"/>
    <row r="27" spans="3:17" s="2" customFormat="1" ht="15">
      <c r="C27" s="18" t="s">
        <v>201</v>
      </c>
      <c r="E27" s="104">
        <v>15000000</v>
      </c>
      <c r="G27" s="26">
        <f>E27</f>
        <v>15000000</v>
      </c>
      <c r="I27" s="26">
        <f>G27</f>
        <v>15000000</v>
      </c>
      <c r="K27" s="26">
        <f>I27</f>
        <v>15000000</v>
      </c>
      <c r="M27" s="26">
        <f>K27</f>
        <v>15000000</v>
      </c>
      <c r="O27" s="26">
        <f>M27</f>
        <v>15000000</v>
      </c>
      <c r="Q27" s="26">
        <f>O27</f>
        <v>15000000</v>
      </c>
    </row>
    <row r="28" s="2" customFormat="1" ht="15"/>
    <row r="29" spans="3:17" s="2" customFormat="1" ht="15">
      <c r="C29" s="2" t="s">
        <v>202</v>
      </c>
      <c r="E29" s="19">
        <f>E25-E27</f>
        <v>550504431</v>
      </c>
      <c r="G29" s="19">
        <f>G25-G27</f>
        <v>550504431</v>
      </c>
      <c r="I29" s="19">
        <f>I25-I27</f>
        <v>550504431</v>
      </c>
      <c r="K29" s="19">
        <f>K25-K27</f>
        <v>550504431</v>
      </c>
      <c r="M29" s="19">
        <f>M25-M27</f>
        <v>550504431</v>
      </c>
      <c r="O29" s="19">
        <f>O25-O27</f>
        <v>550504431</v>
      </c>
      <c r="Q29" s="19">
        <f>Q25-Q27</f>
        <v>550504431</v>
      </c>
    </row>
    <row r="30" s="2" customFormat="1" ht="15"/>
    <row r="31" spans="3:17" s="2" customFormat="1" ht="15">
      <c r="C31" s="2" t="s">
        <v>203</v>
      </c>
      <c r="E31" s="29">
        <v>0.00225</v>
      </c>
      <c r="G31" s="29">
        <v>0.00225</v>
      </c>
      <c r="I31" s="29">
        <v>0.0015</v>
      </c>
      <c r="K31" s="29">
        <v>0</v>
      </c>
      <c r="M31" s="29">
        <v>0</v>
      </c>
      <c r="O31" s="29">
        <v>0</v>
      </c>
      <c r="Q31" s="29">
        <v>0</v>
      </c>
    </row>
    <row r="32" s="2" customFormat="1" ht="15"/>
    <row r="33" spans="3:17" s="2" customFormat="1" ht="15.75">
      <c r="C33" s="2" t="s">
        <v>204</v>
      </c>
      <c r="E33" s="39">
        <f>IF(E29&gt;0,E29*E31,0)</f>
        <v>1238634.96975</v>
      </c>
      <c r="F33" s="16"/>
      <c r="G33" s="39">
        <f>IF(G29&gt;0,G29*G31,0)</f>
        <v>1238634.96975</v>
      </c>
      <c r="H33" s="16"/>
      <c r="I33" s="39">
        <f>(IF(I29&gt;0,I29*I31,0))*181/365</f>
        <v>409484.8027849315</v>
      </c>
      <c r="J33" s="16"/>
      <c r="K33" s="39">
        <f>IF(K29&gt;0,K29*K31,0)</f>
        <v>0</v>
      </c>
      <c r="L33" s="16"/>
      <c r="M33" s="39">
        <f>IF(M29&gt;0,M29*M31,0)</f>
        <v>0</v>
      </c>
      <c r="O33" s="39">
        <f>IF(O29&gt;0,O29*O31,0)</f>
        <v>0</v>
      </c>
      <c r="Q33" s="39">
        <f>IF(Q29&gt;0,Q29*Q31,0)</f>
        <v>0</v>
      </c>
    </row>
    <row r="34" s="2" customFormat="1" ht="15"/>
    <row r="35" spans="3:17" s="2" customFormat="1" ht="18">
      <c r="C35" s="41" t="s">
        <v>245</v>
      </c>
      <c r="E35" s="28">
        <v>2008</v>
      </c>
      <c r="G35" s="28">
        <v>2009</v>
      </c>
      <c r="I35" s="28">
        <v>2010</v>
      </c>
      <c r="K35" s="28">
        <v>2011</v>
      </c>
      <c r="M35" s="28">
        <v>2012</v>
      </c>
      <c r="O35" s="28">
        <v>2013</v>
      </c>
      <c r="Q35" s="28">
        <v>2014</v>
      </c>
    </row>
    <row r="36" spans="3:17" s="2" customFormat="1" ht="15">
      <c r="C36" s="18" t="s">
        <v>107</v>
      </c>
      <c r="E36" s="40">
        <v>19727043</v>
      </c>
      <c r="G36" s="26">
        <f>E36</f>
        <v>19727043</v>
      </c>
      <c r="I36" s="26">
        <f>G36</f>
        <v>19727043</v>
      </c>
      <c r="K36" s="26">
        <f>I36</f>
        <v>19727043</v>
      </c>
      <c r="M36" s="26">
        <f>K36</f>
        <v>19727043</v>
      </c>
      <c r="O36" s="26">
        <f>M36</f>
        <v>19727043</v>
      </c>
      <c r="Q36" s="26">
        <f>O36</f>
        <v>19727043</v>
      </c>
    </row>
    <row r="37" s="2" customFormat="1" ht="15">
      <c r="C37" s="18"/>
    </row>
    <row r="38" spans="3:17" s="2" customFormat="1" ht="15">
      <c r="C38" s="18" t="s">
        <v>206</v>
      </c>
      <c r="E38" s="93">
        <f>fedinctax2008(E36)+OntIncTax2008(E36)</f>
        <v>0.335</v>
      </c>
      <c r="F38" s="94"/>
      <c r="G38" s="93">
        <f>fedinctax2009(G36)+OntIncTax2009(G36)</f>
        <v>0.33</v>
      </c>
      <c r="H38" s="94"/>
      <c r="I38" s="93">
        <f>fedinctax2010(I36)+OntIncTax2010(I36)</f>
        <v>0.30992</v>
      </c>
      <c r="J38" s="94"/>
      <c r="K38" s="93">
        <f>fedinctax2011(K36)+OntIncTax2011(K36)</f>
        <v>0.28248</v>
      </c>
      <c r="L38" s="94"/>
      <c r="M38" s="93">
        <f>fedinctax2012(M36)+OntIncTax2012(M36)</f>
        <v>0.26249</v>
      </c>
      <c r="N38" s="94"/>
      <c r="O38" s="93">
        <f>fedinctax2013(O36)+OntIncTax2013(O36)</f>
        <v>0.25495999999999996</v>
      </c>
      <c r="P38" s="94"/>
      <c r="Q38" s="93">
        <f>fedinctax2014(Q36)+OntIncTax2014(Q36)</f>
        <v>0.25</v>
      </c>
    </row>
    <row r="39" s="2" customFormat="1" ht="15">
      <c r="C39" s="18"/>
    </row>
    <row r="40" spans="3:17" s="2" customFormat="1" ht="15">
      <c r="C40" s="18" t="s">
        <v>195</v>
      </c>
      <c r="E40" s="19">
        <f>E36*E38</f>
        <v>6608559.405</v>
      </c>
      <c r="G40" s="19">
        <f>G36*G38</f>
        <v>6509924.19</v>
      </c>
      <c r="I40" s="19">
        <f>I36*I38</f>
        <v>6113805.16656</v>
      </c>
      <c r="K40" s="19">
        <f>K36*K38</f>
        <v>5572495.10664</v>
      </c>
      <c r="M40" s="19">
        <f>M36*M38</f>
        <v>5178151.51707</v>
      </c>
      <c r="O40" s="19">
        <f>O36*O38</f>
        <v>5029606.88328</v>
      </c>
      <c r="Q40" s="19">
        <f>Q36*Q38</f>
        <v>4931760.75</v>
      </c>
    </row>
    <row r="41" s="2" customFormat="1" ht="15"/>
    <row r="42" spans="3:17" s="2" customFormat="1" ht="15.75">
      <c r="C42" s="16" t="s">
        <v>198</v>
      </c>
      <c r="E42" s="39">
        <f>E40/(1-E38)</f>
        <v>9937683.315789474</v>
      </c>
      <c r="F42" s="16"/>
      <c r="G42" s="39">
        <f>G40/(1-G38)</f>
        <v>9716304.761194032</v>
      </c>
      <c r="H42" s="16"/>
      <c r="I42" s="39">
        <f>I40/(1-I38)</f>
        <v>8859560.002550429</v>
      </c>
      <c r="J42" s="16"/>
      <c r="K42" s="39">
        <f>K40/(1-K38)</f>
        <v>7766327.219645446</v>
      </c>
      <c r="L42" s="16"/>
      <c r="M42" s="39">
        <f>M40/(1-M38)</f>
        <v>7021127.19430245</v>
      </c>
      <c r="O42" s="39">
        <f>O40/(1-O38)</f>
        <v>6750787.7204982275</v>
      </c>
      <c r="Q42" s="39">
        <f>Q40/(1-Q38)</f>
        <v>6575681</v>
      </c>
    </row>
    <row r="43" s="2" customFormat="1" ht="15"/>
    <row r="44" s="2" customFormat="1" ht="15"/>
    <row r="45" spans="3:17" s="2" customFormat="1" ht="15">
      <c r="C45" s="2" t="s">
        <v>199</v>
      </c>
      <c r="E45" s="26">
        <f>E33</f>
        <v>1238634.96975</v>
      </c>
      <c r="G45" s="26">
        <f>G33</f>
        <v>1238634.96975</v>
      </c>
      <c r="I45" s="26">
        <f>I33</f>
        <v>409484.8027849315</v>
      </c>
      <c r="K45" s="26">
        <f>K33</f>
        <v>0</v>
      </c>
      <c r="M45" s="26">
        <f>M33</f>
        <v>0</v>
      </c>
      <c r="O45" s="26">
        <f>O33</f>
        <v>0</v>
      </c>
      <c r="Q45" s="26">
        <f>Q33</f>
        <v>0</v>
      </c>
    </row>
    <row r="46" spans="5:17" s="2" customFormat="1" ht="15">
      <c r="E46" s="23"/>
      <c r="G46" s="23"/>
      <c r="I46" s="23"/>
      <c r="K46" s="23"/>
      <c r="M46" s="23"/>
      <c r="O46" s="23"/>
      <c r="Q46" s="23"/>
    </row>
    <row r="47" spans="3:17" s="2" customFormat="1" ht="15">
      <c r="C47" s="2" t="s">
        <v>205</v>
      </c>
      <c r="E47" s="26">
        <f>E42</f>
        <v>9937683.315789474</v>
      </c>
      <c r="G47" s="26">
        <f>G42</f>
        <v>9716304.761194032</v>
      </c>
      <c r="I47" s="26">
        <f>I42</f>
        <v>8859560.002550429</v>
      </c>
      <c r="K47" s="26">
        <f>K42</f>
        <v>7766327.219645446</v>
      </c>
      <c r="M47" s="26">
        <f>M42</f>
        <v>7021127.19430245</v>
      </c>
      <c r="O47" s="26">
        <f>O42</f>
        <v>6750787.7204982275</v>
      </c>
      <c r="Q47" s="26">
        <f>Q42</f>
        <v>6575681</v>
      </c>
    </row>
    <row r="48" spans="5:17" s="2" customFormat="1" ht="15">
      <c r="E48" s="23"/>
      <c r="G48" s="23"/>
      <c r="I48" s="23"/>
      <c r="K48" s="23"/>
      <c r="M48" s="23"/>
      <c r="O48" s="23"/>
      <c r="Q48" s="23"/>
    </row>
    <row r="49" spans="3:17" s="2" customFormat="1" ht="15.75">
      <c r="C49" s="2" t="s">
        <v>207</v>
      </c>
      <c r="E49" s="20">
        <f>SUM(E45:E47)</f>
        <v>11176318.285539474</v>
      </c>
      <c r="F49" s="16"/>
      <c r="G49" s="20">
        <f>SUM(G45:G47)</f>
        <v>10954939.730944032</v>
      </c>
      <c r="H49" s="16"/>
      <c r="I49" s="20">
        <f>SUM(I45:I47)</f>
        <v>9269044.80533536</v>
      </c>
      <c r="J49" s="16"/>
      <c r="K49" s="20">
        <f>SUM(K45:K47)</f>
        <v>7766327.219645446</v>
      </c>
      <c r="L49" s="16"/>
      <c r="M49" s="20">
        <f>SUM(M45:M47)</f>
        <v>7021127.19430245</v>
      </c>
      <c r="O49" s="20">
        <f>SUM(O45:O47)</f>
        <v>6750787.7204982275</v>
      </c>
      <c r="Q49" s="20">
        <f>SUM(Q45:Q47)</f>
        <v>6575681</v>
      </c>
    </row>
    <row r="50" s="2" customFormat="1" ht="15"/>
    <row r="51" spans="3:17" s="2" customFormat="1" ht="15.75">
      <c r="C51" s="2" t="s">
        <v>208</v>
      </c>
      <c r="G51" s="21">
        <f>G49-$E$49</f>
        <v>-221378.5545954425</v>
      </c>
      <c r="H51" s="16"/>
      <c r="I51" s="21">
        <f>I49-$E$49</f>
        <v>-1907273.4802041147</v>
      </c>
      <c r="J51" s="16"/>
      <c r="K51" s="21">
        <f>K49-$E$49</f>
        <v>-3409991.065894028</v>
      </c>
      <c r="L51" s="16"/>
      <c r="M51" s="21">
        <f>M49-$E$49</f>
        <v>-4155191.0912370244</v>
      </c>
      <c r="O51" s="21">
        <f>O49-$E$49</f>
        <v>-4425530.565041247</v>
      </c>
      <c r="Q51" s="21">
        <f>Q49-$E$49</f>
        <v>-4600637.285539474</v>
      </c>
    </row>
    <row r="52" s="2" customFormat="1" ht="15"/>
    <row r="53" spans="3:17" s="2" customFormat="1" ht="15.75">
      <c r="C53" s="2" t="s">
        <v>209</v>
      </c>
      <c r="G53" s="21">
        <f>G51/2</f>
        <v>-110689.27729772124</v>
      </c>
      <c r="H53" s="16"/>
      <c r="I53" s="21">
        <f>I51/2</f>
        <v>-953636.7401020573</v>
      </c>
      <c r="J53" s="16"/>
      <c r="K53" s="21">
        <f>K51/2</f>
        <v>-1704995.532947014</v>
      </c>
      <c r="L53" s="16"/>
      <c r="M53" s="21">
        <f>M51/2</f>
        <v>-2077595.5456185122</v>
      </c>
      <c r="O53" s="21">
        <f>O51/2</f>
        <v>-2212765.2825206234</v>
      </c>
      <c r="Q53" s="21">
        <f>Q51/2</f>
        <v>-2300318.642769737</v>
      </c>
    </row>
    <row r="54" s="2" customFormat="1" ht="15"/>
    <row r="55" spans="7:9" s="2" customFormat="1" ht="15">
      <c r="G55" s="46"/>
      <c r="I55" s="46"/>
    </row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  <row r="70" s="2" customFormat="1" ht="15"/>
    <row r="71" s="2" customFormat="1" ht="15"/>
    <row r="72" s="2" customFormat="1" ht="15"/>
  </sheetData>
  <sheetProtection password="927E" sheet="1" objects="1" scenarios="1"/>
  <conditionalFormatting sqref="E27 G27">
    <cfRule type="cellIs" priority="3" dxfId="5" operator="lessThan" stopIfTrue="1">
      <formula>-0.01</formula>
    </cfRule>
    <cfRule type="cellIs" priority="4" dxfId="5" operator="greaterThan" stopIfTrue="1">
      <formula>15000000.01</formula>
    </cfRule>
  </conditionalFormatting>
  <printOptions/>
  <pageMargins left="0.3937007874015748" right="0.3937007874015748" top="0.5511811023622047" bottom="0.5511811023622047" header="0.5118110236220472" footer="0.31496062992125984"/>
  <pageSetup fitToHeight="1" fitToWidth="1" horizontalDpi="600" verticalDpi="600" orientation="landscape" scale="55" r:id="rId3"/>
  <headerFooter alignWithMargins="0">
    <oddHeader>&amp;RHydro Ottawa Limited
EB-2010-0326
Attachment C
Filed: 2010-11-30
Page &amp;P of &amp;N</oddHeader>
    <oddFooter>&amp;C&amp;A</oddFooter>
  </headerFooter>
  <rowBreaks count="1" manualBreakCount="1">
    <brk id="22" max="12" man="1"/>
  </rowBreaks>
  <legacyDrawing r:id="rId2"/>
  <oleObjects>
    <oleObject progId="Unknown" shapeId="536714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>
    <tabColor indexed="52"/>
    <pageSetUpPr fitToPage="1"/>
  </sheetPr>
  <dimension ref="A1:V50"/>
  <sheetViews>
    <sheetView showGridLines="0" zoomScalePageLayoutView="0" workbookViewId="0" topLeftCell="A1">
      <selection activeCell="I22" sqref="I22"/>
    </sheetView>
  </sheetViews>
  <sheetFormatPr defaultColWidth="0" defaultRowHeight="15"/>
  <cols>
    <col min="1" max="1" width="15.77734375" style="8" customWidth="1"/>
    <col min="2" max="2" width="0" style="8" hidden="1" customWidth="1"/>
    <col min="3" max="3" width="30.77734375" style="8" customWidth="1"/>
    <col min="4" max="4" width="9.77734375" style="8" customWidth="1"/>
    <col min="5" max="5" width="9.3359375" style="8" customWidth="1"/>
    <col min="6" max="6" width="2.77734375" style="8" customWidth="1"/>
    <col min="7" max="7" width="9.4453125" style="8" bestFit="1" customWidth="1"/>
    <col min="8" max="9" width="10.88671875" style="8" bestFit="1" customWidth="1"/>
    <col min="10" max="10" width="2.77734375" style="8" customWidth="1"/>
    <col min="11" max="11" width="9.3359375" style="8" bestFit="1" customWidth="1"/>
    <col min="12" max="13" width="12.88671875" style="8" bestFit="1" customWidth="1"/>
    <col min="14" max="14" width="11.6640625" style="8" bestFit="1" customWidth="1"/>
    <col min="15" max="15" width="2.77734375" style="8" customWidth="1"/>
    <col min="16" max="16" width="11.88671875" style="8" bestFit="1" customWidth="1"/>
    <col min="17" max="17" width="9.99609375" style="8" bestFit="1" customWidth="1"/>
    <col min="18" max="18" width="8.88671875" style="8" bestFit="1" customWidth="1"/>
    <col min="19" max="19" width="2.77734375" style="8" customWidth="1"/>
    <col min="20" max="20" width="11.5546875" style="8" bestFit="1" customWidth="1"/>
    <col min="21" max="22" width="10.88671875" style="8" bestFit="1" customWidth="1"/>
    <col min="23" max="23" width="0" style="8" hidden="1" customWidth="1"/>
    <col min="24" max="24" width="9.4453125" style="8" customWidth="1"/>
    <col min="25" max="25" width="10.4453125" style="8" customWidth="1"/>
    <col min="26" max="26" width="0" style="8" hidden="1" customWidth="1"/>
    <col min="27" max="27" width="10.4453125" style="8" customWidth="1"/>
    <col min="28" max="16384" width="0" style="8" hidden="1" customWidth="1"/>
  </cols>
  <sheetData>
    <row r="1" spans="1:22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="2" customFormat="1" ht="18">
      <c r="C2" s="22" t="str">
        <f>'A1.1 LDC Information'!C2</f>
        <v>Name of LDC:       Hydro Ottawa Limited</v>
      </c>
    </row>
    <row r="3" s="2" customFormat="1" ht="18">
      <c r="C3" s="22" t="str">
        <f>'A1.1 LDC Information'!C3</f>
        <v>File Number:          IRM3</v>
      </c>
    </row>
    <row r="4" s="2" customFormat="1" ht="18">
      <c r="C4" s="58" t="str">
        <f>'A1.1 LDC Information'!C4</f>
        <v>Effective Date:       December 30, 1899</v>
      </c>
    </row>
    <row r="5" s="2" customFormat="1" ht="15"/>
    <row r="6" s="2" customFormat="1" ht="15"/>
    <row r="7" s="2" customFormat="1" ht="15"/>
    <row r="8" s="2" customFormat="1" ht="15"/>
    <row r="9" s="2" customFormat="1" ht="15"/>
    <row r="10" s="2" customFormat="1" ht="26.25">
      <c r="C10" s="63" t="str">
        <f>'Z1.0 OEB Control Sheet'!C7</f>
        <v>Calculate Tax Change Rate Rider Option A Fixed and Volumetric</v>
      </c>
    </row>
    <row r="11" s="2" customFormat="1" ht="15"/>
    <row r="12" s="2" customFormat="1" ht="15"/>
    <row r="13" s="2" customFormat="1" ht="15"/>
    <row r="14" s="2" customFormat="1" ht="15"/>
    <row r="15" s="2" customFormat="1" ht="15"/>
    <row r="16" s="2" customFormat="1" ht="15"/>
    <row r="17" s="2" customFormat="1" ht="15"/>
    <row r="18" s="2" customFormat="1" ht="15"/>
    <row r="19" s="2" customFormat="1" ht="15"/>
    <row r="20" spans="2:22" s="2" customFormat="1" ht="78.75">
      <c r="B20" s="5" t="s">
        <v>9</v>
      </c>
      <c r="C20" s="24" t="s">
        <v>11</v>
      </c>
      <c r="D20" s="24" t="s">
        <v>12</v>
      </c>
      <c r="E20" s="24" t="s">
        <v>13</v>
      </c>
      <c r="F20" s="24"/>
      <c r="G20" s="24" t="s">
        <v>189</v>
      </c>
      <c r="H20" s="24" t="s">
        <v>190</v>
      </c>
      <c r="I20" s="24" t="s">
        <v>191</v>
      </c>
      <c r="J20" s="24"/>
      <c r="K20" s="24" t="s">
        <v>102</v>
      </c>
      <c r="L20" s="24" t="s">
        <v>103</v>
      </c>
      <c r="M20" s="24" t="s">
        <v>104</v>
      </c>
      <c r="N20" s="24" t="s">
        <v>105</v>
      </c>
      <c r="P20" s="24" t="s">
        <v>99</v>
      </c>
      <c r="Q20" s="24" t="s">
        <v>100</v>
      </c>
      <c r="R20" s="24" t="s">
        <v>101</v>
      </c>
      <c r="T20" s="24" t="s">
        <v>219</v>
      </c>
      <c r="U20" s="24" t="s">
        <v>210</v>
      </c>
      <c r="V20" s="24" t="s">
        <v>211</v>
      </c>
    </row>
    <row r="21" spans="2:22" s="2" customFormat="1" ht="15.75">
      <c r="B21" s="5"/>
      <c r="C21" s="24"/>
      <c r="D21" s="24"/>
      <c r="E21" s="24"/>
      <c r="F21" s="24"/>
      <c r="G21" s="24" t="s">
        <v>0</v>
      </c>
      <c r="H21" s="24" t="s">
        <v>1</v>
      </c>
      <c r="I21" s="24" t="s">
        <v>4</v>
      </c>
      <c r="J21" s="24"/>
      <c r="K21" s="24" t="s">
        <v>220</v>
      </c>
      <c r="L21" s="24" t="s">
        <v>221</v>
      </c>
      <c r="M21" s="24" t="s">
        <v>222</v>
      </c>
      <c r="N21" s="24" t="s">
        <v>223</v>
      </c>
      <c r="P21" s="24" t="s">
        <v>106</v>
      </c>
      <c r="Q21" s="24" t="s">
        <v>212</v>
      </c>
      <c r="R21" s="24" t="s">
        <v>224</v>
      </c>
      <c r="T21" s="13" t="s">
        <v>225</v>
      </c>
      <c r="U21" s="13" t="s">
        <v>226</v>
      </c>
      <c r="V21" s="13" t="s">
        <v>227</v>
      </c>
    </row>
    <row r="22" spans="2:22" s="2" customFormat="1" ht="15">
      <c r="B22" s="6">
        <v>1</v>
      </c>
      <c r="C22" s="25" t="str">
        <f>'B1.1 Re-Based Bill Det &amp; Rates'!D22</f>
        <v>Residential</v>
      </c>
      <c r="D22" s="25" t="str">
        <f>'B1.1 Re-Based Bill Det &amp; Rates'!E22</f>
        <v>Customer</v>
      </c>
      <c r="E22" s="25" t="str">
        <f>'B1.1 Re-Based Bill Det &amp; Rates'!F22</f>
        <v>kWh</v>
      </c>
      <c r="G22" s="11">
        <f>IF(ISERROR(#REF!*(#REF!/#REF!)),0,#REF!*(#REF!/#REF!))</f>
        <v>0</v>
      </c>
      <c r="H22" s="11">
        <f>IF(ISERROR(#REF!*(#REF!/#REF!)),0,#REF!*(#REF!/#REF!))</f>
        <v>0</v>
      </c>
      <c r="I22" s="11">
        <f>IF(ISERROR(#REF!*(#REF!/#REF!)),0,#REF!*(#REF!/#REF!))</f>
        <v>0</v>
      </c>
      <c r="K22" s="44">
        <f aca="true" t="shared" si="0" ref="K22:K46">IF(ISERROR($N$47*G22),"",$N$47*G22)</f>
        <v>0</v>
      </c>
      <c r="L22" s="44">
        <f aca="true" t="shared" si="1" ref="L22:L46">IF(ISERROR($N$47*H22),"",$N$47*H22)</f>
        <v>0</v>
      </c>
      <c r="M22" s="44">
        <f aca="true" t="shared" si="2" ref="M22:M46">IF(ISERROR($N$47*I22),"",$N$47*I22)</f>
        <v>0</v>
      </c>
      <c r="N22" s="44">
        <f aca="true" t="shared" si="3" ref="N22:N46">SUM(K22:M22)</f>
        <v>0</v>
      </c>
      <c r="P22" s="10">
        <f>'B1.1 Re-Based Bill Det &amp; Rates'!I22</f>
        <v>264080</v>
      </c>
      <c r="Q22" s="10">
        <f>'B1.1 Re-Based Bill Det &amp; Rates'!J22</f>
        <v>2261678461.0666666</v>
      </c>
      <c r="R22" s="10">
        <f>'B1.1 Re-Based Bill Det &amp; Rates'!K22</f>
        <v>0</v>
      </c>
      <c r="T22" s="35">
        <f>IF(ISERROR(K22/P22/12),"",ROUND(K22/P22/12,6))</f>
        <v>0</v>
      </c>
      <c r="U22" s="35">
        <f>IF(ISERROR(L22/Q22),"",ROUND(L22/Q22,6))</f>
        <v>0</v>
      </c>
      <c r="V22" s="35">
        <f>IF(ISERROR(M22/R22),"",ROUND(M22/R22,6))</f>
      </c>
    </row>
    <row r="23" spans="2:22" s="2" customFormat="1" ht="15">
      <c r="B23" s="6">
        <v>2</v>
      </c>
      <c r="C23" s="25" t="str">
        <f>'B1.1 Re-Based Bill Det &amp; Rates'!D23</f>
        <v>General Service Less Than 50 kW</v>
      </c>
      <c r="D23" s="25" t="str">
        <f>'B1.1 Re-Based Bill Det &amp; Rates'!E23</f>
        <v>Customer</v>
      </c>
      <c r="E23" s="25" t="str">
        <f>'B1.1 Re-Based Bill Det &amp; Rates'!F23</f>
        <v>kWh</v>
      </c>
      <c r="G23" s="11">
        <f>IF(ISERROR(#REF!*(#REF!/#REF!)),0,#REF!*(#REF!/#REF!))</f>
        <v>0</v>
      </c>
      <c r="H23" s="11">
        <f>IF(ISERROR(#REF!*(#REF!/#REF!)),0,#REF!*(#REF!/#REF!))</f>
        <v>0</v>
      </c>
      <c r="I23" s="11">
        <f>IF(ISERROR(#REF!*(#REF!/#REF!)),0,#REF!*(#REF!/#REF!))</f>
        <v>0</v>
      </c>
      <c r="K23" s="44">
        <f t="shared" si="0"/>
        <v>0</v>
      </c>
      <c r="L23" s="44">
        <f t="shared" si="1"/>
        <v>0</v>
      </c>
      <c r="M23" s="44">
        <f t="shared" si="2"/>
        <v>0</v>
      </c>
      <c r="N23" s="44">
        <f t="shared" si="3"/>
        <v>0</v>
      </c>
      <c r="P23" s="10">
        <f>'B1.1 Re-Based Bill Det &amp; Rates'!I23</f>
        <v>23051</v>
      </c>
      <c r="Q23" s="10">
        <f>'B1.1 Re-Based Bill Det &amp; Rates'!J23</f>
        <v>774937986.1312553</v>
      </c>
      <c r="R23" s="10">
        <f>'B1.1 Re-Based Bill Det &amp; Rates'!K23</f>
        <v>0</v>
      </c>
      <c r="T23" s="35">
        <f aca="true" t="shared" si="4" ref="T23:T46">IF(ISERROR(K23/P23/12),"",ROUND(K23/P23/12,6))</f>
        <v>0</v>
      </c>
      <c r="U23" s="35">
        <f aca="true" t="shared" si="5" ref="U23:U46">IF(ISERROR(L23/Q23),"",ROUND(L23/Q23,6))</f>
        <v>0</v>
      </c>
      <c r="V23" s="35">
        <f aca="true" t="shared" si="6" ref="V23:V46">IF(ISERROR(M23/R23),"",ROUND(M23/R23,6))</f>
      </c>
    </row>
    <row r="24" spans="2:22" s="2" customFormat="1" ht="15">
      <c r="B24" s="6">
        <v>3</v>
      </c>
      <c r="C24" s="25" t="str">
        <f>'B1.1 Re-Based Bill Det &amp; Rates'!D24</f>
        <v>General Service 50 to 1,499 kW</v>
      </c>
      <c r="D24" s="25" t="str">
        <f>'B1.1 Re-Based Bill Det &amp; Rates'!E24</f>
        <v>Customer</v>
      </c>
      <c r="E24" s="25" t="str">
        <f>'B1.1 Re-Based Bill Det &amp; Rates'!F24</f>
        <v>kW</v>
      </c>
      <c r="G24" s="11">
        <f>IF(ISERROR(#REF!*(#REF!/#REF!)),0,#REF!*(#REF!/#REF!))</f>
        <v>0</v>
      </c>
      <c r="H24" s="11">
        <f>IF(ISERROR(#REF!*(#REF!/#REF!)),0,#REF!*(#REF!/#REF!))</f>
        <v>0</v>
      </c>
      <c r="I24" s="11">
        <f>IF(ISERROR(#REF!*(#REF!/#REF!)),0,#REF!*(#REF!/#REF!))</f>
        <v>0</v>
      </c>
      <c r="K24" s="44">
        <f t="shared" si="0"/>
        <v>0</v>
      </c>
      <c r="L24" s="44">
        <f t="shared" si="1"/>
        <v>0</v>
      </c>
      <c r="M24" s="44">
        <f t="shared" si="2"/>
        <v>0</v>
      </c>
      <c r="N24" s="44">
        <f t="shared" si="3"/>
        <v>0</v>
      </c>
      <c r="P24" s="10">
        <f>'B1.1 Re-Based Bill Det &amp; Rates'!I24</f>
        <v>3296</v>
      </c>
      <c r="Q24" s="10">
        <f>'B1.1 Re-Based Bill Det &amp; Rates'!J24</f>
        <v>3120930871.2703676</v>
      </c>
      <c r="R24" s="10">
        <f>'B1.1 Re-Based Bill Det &amp; Rates'!K24</f>
        <v>7373411.289297726</v>
      </c>
      <c r="T24" s="35">
        <f t="shared" si="4"/>
        <v>0</v>
      </c>
      <c r="U24" s="35">
        <f t="shared" si="5"/>
        <v>0</v>
      </c>
      <c r="V24" s="35">
        <f t="shared" si="6"/>
        <v>0</v>
      </c>
    </row>
    <row r="25" spans="2:22" s="2" customFormat="1" ht="15">
      <c r="B25" s="6">
        <v>4</v>
      </c>
      <c r="C25" s="25" t="str">
        <f>'B1.1 Re-Based Bill Det &amp; Rates'!D25</f>
        <v>General Service 1,500 to 4,999 kW</v>
      </c>
      <c r="D25" s="25" t="str">
        <f>'B1.1 Re-Based Bill Det &amp; Rates'!E25</f>
        <v>Customer</v>
      </c>
      <c r="E25" s="25" t="str">
        <f>'B1.1 Re-Based Bill Det &amp; Rates'!F25</f>
        <v>kW</v>
      </c>
      <c r="G25" s="11">
        <f>IF(ISERROR(#REF!*(#REF!/#REF!)),0,#REF!*(#REF!/#REF!))</f>
        <v>0</v>
      </c>
      <c r="H25" s="11">
        <f>IF(ISERROR(#REF!*(#REF!/#REF!)),0,#REF!*(#REF!/#REF!))</f>
        <v>0</v>
      </c>
      <c r="I25" s="11">
        <f>IF(ISERROR(#REF!*(#REF!/#REF!)),0,#REF!*(#REF!/#REF!))</f>
        <v>0</v>
      </c>
      <c r="K25" s="44">
        <f t="shared" si="0"/>
        <v>0</v>
      </c>
      <c r="L25" s="44">
        <f t="shared" si="1"/>
        <v>0</v>
      </c>
      <c r="M25" s="44">
        <f t="shared" si="2"/>
        <v>0</v>
      </c>
      <c r="N25" s="44">
        <f t="shared" si="3"/>
        <v>0</v>
      </c>
      <c r="P25" s="10">
        <f>'B1.1 Re-Based Bill Det &amp; Rates'!I25</f>
        <v>81</v>
      </c>
      <c r="Q25" s="10">
        <f>'B1.1 Re-Based Bill Det &amp; Rates'!J25</f>
        <v>837604030.8454968</v>
      </c>
      <c r="R25" s="10">
        <f>'B1.1 Re-Based Bill Det &amp; Rates'!K25</f>
        <v>1757833.0007844018</v>
      </c>
      <c r="T25" s="35">
        <f t="shared" si="4"/>
        <v>0</v>
      </c>
      <c r="U25" s="35">
        <f t="shared" si="5"/>
        <v>0</v>
      </c>
      <c r="V25" s="35">
        <f t="shared" si="6"/>
        <v>0</v>
      </c>
    </row>
    <row r="26" spans="2:22" s="2" customFormat="1" ht="15">
      <c r="B26" s="6">
        <v>5</v>
      </c>
      <c r="C26" s="25" t="str">
        <f>'B1.1 Re-Based Bill Det &amp; Rates'!D26</f>
        <v>Large Use</v>
      </c>
      <c r="D26" s="25" t="str">
        <f>'B1.1 Re-Based Bill Det &amp; Rates'!E26</f>
        <v>Customer</v>
      </c>
      <c r="E26" s="25" t="str">
        <f>'B1.1 Re-Based Bill Det &amp; Rates'!F26</f>
        <v>kW</v>
      </c>
      <c r="G26" s="11">
        <f>IF(ISERROR(#REF!*(#REF!/#REF!)),0,#REF!*(#REF!/#REF!))</f>
        <v>0</v>
      </c>
      <c r="H26" s="11">
        <f>IF(ISERROR(#REF!*(#REF!/#REF!)),0,#REF!*(#REF!/#REF!))</f>
        <v>0</v>
      </c>
      <c r="I26" s="11">
        <f>IF(ISERROR(#REF!*(#REF!/#REF!)),0,#REF!*(#REF!/#REF!))</f>
        <v>0</v>
      </c>
      <c r="K26" s="44">
        <f t="shared" si="0"/>
        <v>0</v>
      </c>
      <c r="L26" s="44">
        <f t="shared" si="1"/>
        <v>0</v>
      </c>
      <c r="M26" s="44">
        <f t="shared" si="2"/>
        <v>0</v>
      </c>
      <c r="N26" s="44">
        <f t="shared" si="3"/>
        <v>0</v>
      </c>
      <c r="P26" s="10">
        <f>'B1.1 Re-Based Bill Det &amp; Rates'!I26</f>
        <v>11</v>
      </c>
      <c r="Q26" s="10">
        <f>'B1.1 Re-Based Bill Det &amp; Rates'!J26</f>
        <v>649903952.4195468</v>
      </c>
      <c r="R26" s="10">
        <f>'B1.1 Re-Based Bill Det &amp; Rates'!K26</f>
        <v>1167396.0299565047</v>
      </c>
      <c r="T26" s="35">
        <f t="shared" si="4"/>
        <v>0</v>
      </c>
      <c r="U26" s="35">
        <f t="shared" si="5"/>
        <v>0</v>
      </c>
      <c r="V26" s="35">
        <f t="shared" si="6"/>
        <v>0</v>
      </c>
    </row>
    <row r="27" spans="2:22" s="2" customFormat="1" ht="15">
      <c r="B27" s="6">
        <v>6</v>
      </c>
      <c r="C27" s="25" t="str">
        <f>'B1.1 Re-Based Bill Det &amp; Rates'!D27</f>
        <v>Unmetered Scattered Load</v>
      </c>
      <c r="D27" s="25" t="str">
        <f>'B1.1 Re-Based Bill Det &amp; Rates'!E27</f>
        <v>Connection</v>
      </c>
      <c r="E27" s="25" t="str">
        <f>'B1.1 Re-Based Bill Det &amp; Rates'!F27</f>
        <v>kWh</v>
      </c>
      <c r="G27" s="11">
        <f>IF(ISERROR(#REF!*(#REF!/#REF!)),0,#REF!*(#REF!/#REF!))</f>
        <v>0</v>
      </c>
      <c r="H27" s="11">
        <f>IF(ISERROR(#REF!*(#REF!/#REF!)),0,#REF!*(#REF!/#REF!))</f>
        <v>0</v>
      </c>
      <c r="I27" s="11">
        <f>IF(ISERROR(#REF!*(#REF!/#REF!)),0,#REF!*(#REF!/#REF!))</f>
        <v>0</v>
      </c>
      <c r="K27" s="44">
        <f t="shared" si="0"/>
        <v>0</v>
      </c>
      <c r="L27" s="44">
        <f t="shared" si="1"/>
        <v>0</v>
      </c>
      <c r="M27" s="44">
        <f t="shared" si="2"/>
        <v>0</v>
      </c>
      <c r="N27" s="44">
        <f t="shared" si="3"/>
        <v>0</v>
      </c>
      <c r="P27" s="10">
        <f>'B1.1 Re-Based Bill Det &amp; Rates'!I27</f>
        <v>3115</v>
      </c>
      <c r="Q27" s="10">
        <f>'B1.1 Re-Based Bill Det &amp; Rates'!J27</f>
        <v>20244150</v>
      </c>
      <c r="R27" s="10">
        <f>'B1.1 Re-Based Bill Det &amp; Rates'!K27</f>
        <v>0</v>
      </c>
      <c r="T27" s="35">
        <f t="shared" si="4"/>
        <v>0</v>
      </c>
      <c r="U27" s="35">
        <f t="shared" si="5"/>
        <v>0</v>
      </c>
      <c r="V27" s="35">
        <f t="shared" si="6"/>
      </c>
    </row>
    <row r="28" spans="2:22" s="2" customFormat="1" ht="15">
      <c r="B28" s="6">
        <v>7</v>
      </c>
      <c r="C28" s="25" t="str">
        <f>'B1.1 Re-Based Bill Det &amp; Rates'!D28</f>
        <v>Standby Power General Service 50 to 1,499 kW</v>
      </c>
      <c r="D28" s="25" t="str">
        <f>'B1.1 Re-Based Bill Det &amp; Rates'!E28</f>
        <v>Connection</v>
      </c>
      <c r="E28" s="25" t="str">
        <f>'B1.1 Re-Based Bill Det &amp; Rates'!F28</f>
        <v>kW</v>
      </c>
      <c r="G28" s="11">
        <f>IF(ISERROR(#REF!*(#REF!/#REF!)),0,#REF!*(#REF!/#REF!))</f>
        <v>0</v>
      </c>
      <c r="H28" s="11">
        <f>IF(ISERROR(#REF!*(#REF!/#REF!)),0,#REF!*(#REF!/#REF!))</f>
        <v>0</v>
      </c>
      <c r="I28" s="11">
        <f>IF(ISERROR(#REF!*(#REF!/#REF!)),0,#REF!*(#REF!/#REF!))</f>
        <v>0</v>
      </c>
      <c r="K28" s="44">
        <f t="shared" si="0"/>
        <v>0</v>
      </c>
      <c r="L28" s="44">
        <f t="shared" si="1"/>
        <v>0</v>
      </c>
      <c r="M28" s="44">
        <f t="shared" si="2"/>
        <v>0</v>
      </c>
      <c r="N28" s="44">
        <f t="shared" si="3"/>
        <v>0</v>
      </c>
      <c r="P28" s="10">
        <f>'B1.1 Re-Based Bill Det &amp; Rates'!I28</f>
        <v>3</v>
      </c>
      <c r="Q28" s="10">
        <f>'B1.1 Re-Based Bill Det &amp; Rates'!J28</f>
        <v>0</v>
      </c>
      <c r="R28" s="10">
        <f>'B1.1 Re-Based Bill Det &amp; Rates'!K28</f>
        <v>15000</v>
      </c>
      <c r="T28" s="36">
        <f t="shared" si="4"/>
        <v>0</v>
      </c>
      <c r="U28" s="36">
        <f t="shared" si="5"/>
      </c>
      <c r="V28" s="36">
        <f t="shared" si="6"/>
        <v>0</v>
      </c>
    </row>
    <row r="29" spans="2:22" s="2" customFormat="1" ht="15">
      <c r="B29" s="6">
        <v>8</v>
      </c>
      <c r="C29" s="25" t="str">
        <f>'B1.1 Re-Based Bill Det &amp; Rates'!D29</f>
        <v>Standby Power General Service 1,500 to 4,999 kW</v>
      </c>
      <c r="D29" s="25" t="str">
        <f>'B1.1 Re-Based Bill Det &amp; Rates'!E29</f>
        <v>Connection</v>
      </c>
      <c r="E29" s="25" t="str">
        <f>'B1.1 Re-Based Bill Det &amp; Rates'!F29</f>
        <v>kW</v>
      </c>
      <c r="G29" s="11">
        <f>IF(ISERROR(#REF!*(#REF!/#REF!)),0,#REF!*(#REF!/#REF!))</f>
        <v>0</v>
      </c>
      <c r="H29" s="11">
        <f>IF(ISERROR(#REF!*(#REF!/#REF!)),0,#REF!*(#REF!/#REF!))</f>
        <v>0</v>
      </c>
      <c r="I29" s="11">
        <f>IF(ISERROR(#REF!*(#REF!/#REF!)),0,#REF!*(#REF!/#REF!))</f>
        <v>0</v>
      </c>
      <c r="K29" s="44">
        <f t="shared" si="0"/>
        <v>0</v>
      </c>
      <c r="L29" s="44">
        <f t="shared" si="1"/>
        <v>0</v>
      </c>
      <c r="M29" s="44">
        <f t="shared" si="2"/>
        <v>0</v>
      </c>
      <c r="N29" s="44">
        <f t="shared" si="3"/>
        <v>0</v>
      </c>
      <c r="P29" s="10">
        <f>'B1.1 Re-Based Bill Det &amp; Rates'!I29</f>
        <v>5</v>
      </c>
      <c r="Q29" s="10">
        <f>'B1.1 Re-Based Bill Det &amp; Rates'!J29</f>
        <v>0</v>
      </c>
      <c r="R29" s="10">
        <f>'B1.1 Re-Based Bill Det &amp; Rates'!K29</f>
        <v>144960</v>
      </c>
      <c r="T29" s="36">
        <f t="shared" si="4"/>
        <v>0</v>
      </c>
      <c r="U29" s="36">
        <f t="shared" si="5"/>
      </c>
      <c r="V29" s="36">
        <f t="shared" si="6"/>
        <v>0</v>
      </c>
    </row>
    <row r="30" spans="2:22" s="2" customFormat="1" ht="15">
      <c r="B30" s="6">
        <v>9</v>
      </c>
      <c r="C30" s="25" t="str">
        <f>'B1.1 Re-Based Bill Det &amp; Rates'!D30</f>
        <v>Standby - Large Use</v>
      </c>
      <c r="D30" s="25" t="str">
        <f>'B1.1 Re-Based Bill Det &amp; Rates'!E30</f>
        <v>Connection</v>
      </c>
      <c r="E30" s="25" t="str">
        <f>'B1.1 Re-Based Bill Det &amp; Rates'!F30</f>
        <v>kW</v>
      </c>
      <c r="G30" s="11">
        <f>IF(ISERROR(#REF!*(#REF!/#REF!)),0,#REF!*(#REF!/#REF!))</f>
        <v>0</v>
      </c>
      <c r="H30" s="11">
        <f>IF(ISERROR(#REF!*(#REF!/#REF!)),0,#REF!*(#REF!/#REF!))</f>
        <v>0</v>
      </c>
      <c r="I30" s="11">
        <f>IF(ISERROR(#REF!*(#REF!/#REF!)),0,#REF!*(#REF!/#REF!))</f>
        <v>0</v>
      </c>
      <c r="K30" s="44">
        <f t="shared" si="0"/>
        <v>0</v>
      </c>
      <c r="L30" s="44">
        <f t="shared" si="1"/>
        <v>0</v>
      </c>
      <c r="M30" s="44">
        <f t="shared" si="2"/>
        <v>0</v>
      </c>
      <c r="N30" s="44">
        <f t="shared" si="3"/>
        <v>0</v>
      </c>
      <c r="P30" s="10">
        <f>'B1.1 Re-Based Bill Det &amp; Rates'!I30</f>
        <v>1</v>
      </c>
      <c r="Q30" s="10">
        <f>'B1.1 Re-Based Bill Det &amp; Rates'!J30</f>
        <v>0</v>
      </c>
      <c r="R30" s="10">
        <f>'B1.1 Re-Based Bill Det &amp; Rates'!K30</f>
        <v>4800</v>
      </c>
      <c r="T30" s="36">
        <f t="shared" si="4"/>
        <v>0</v>
      </c>
      <c r="U30" s="36">
        <f t="shared" si="5"/>
      </c>
      <c r="V30" s="36">
        <f t="shared" si="6"/>
        <v>0</v>
      </c>
    </row>
    <row r="31" spans="2:22" s="2" customFormat="1" ht="15">
      <c r="B31" s="6">
        <v>10</v>
      </c>
      <c r="C31" s="25" t="str">
        <f>'B1.1 Re-Based Bill Det &amp; Rates'!D31</f>
        <v>Sentinel Lighting</v>
      </c>
      <c r="D31" s="25" t="str">
        <f>'B1.1 Re-Based Bill Det &amp; Rates'!E31</f>
        <v>Connection</v>
      </c>
      <c r="E31" s="25" t="str">
        <f>'B1.1 Re-Based Bill Det &amp; Rates'!F31</f>
        <v>kW</v>
      </c>
      <c r="G31" s="11">
        <f>IF(ISERROR(#REF!*(#REF!/#REF!)),0,#REF!*(#REF!/#REF!))</f>
        <v>0</v>
      </c>
      <c r="H31" s="11">
        <f>IF(ISERROR(#REF!*(#REF!/#REF!)),0,#REF!*(#REF!/#REF!))</f>
        <v>0</v>
      </c>
      <c r="I31" s="11">
        <f>IF(ISERROR(#REF!*(#REF!/#REF!)),0,#REF!*(#REF!/#REF!))</f>
        <v>0</v>
      </c>
      <c r="K31" s="44">
        <f t="shared" si="0"/>
        <v>0</v>
      </c>
      <c r="L31" s="44">
        <f t="shared" si="1"/>
        <v>0</v>
      </c>
      <c r="M31" s="44">
        <f t="shared" si="2"/>
        <v>0</v>
      </c>
      <c r="N31" s="44">
        <f t="shared" si="3"/>
        <v>0</v>
      </c>
      <c r="P31" s="10">
        <f>'B1.1 Re-Based Bill Det &amp; Rates'!I31</f>
        <v>95</v>
      </c>
      <c r="Q31" s="10">
        <f>'B1.1 Re-Based Bill Det &amp; Rates'!J31</f>
        <v>92512</v>
      </c>
      <c r="R31" s="10">
        <f>'B1.1 Re-Based Bill Det &amp; Rates'!K31</f>
        <v>257</v>
      </c>
      <c r="T31" s="36">
        <f t="shared" si="4"/>
        <v>0</v>
      </c>
      <c r="U31" s="36">
        <f t="shared" si="5"/>
        <v>0</v>
      </c>
      <c r="V31" s="36">
        <f t="shared" si="6"/>
        <v>0</v>
      </c>
    </row>
    <row r="32" spans="2:22" s="2" customFormat="1" ht="15">
      <c r="B32" s="6">
        <v>11</v>
      </c>
      <c r="C32" s="25" t="str">
        <f>'B1.1 Re-Based Bill Det &amp; Rates'!D32</f>
        <v>Street Lighting</v>
      </c>
      <c r="D32" s="25" t="str">
        <f>'B1.1 Re-Based Bill Det &amp; Rates'!E32</f>
        <v>Connection</v>
      </c>
      <c r="E32" s="25" t="str">
        <f>'B1.1 Re-Based Bill Det &amp; Rates'!F32</f>
        <v>kW</v>
      </c>
      <c r="G32" s="11">
        <f>IF(ISERROR(#REF!*(#REF!/#REF!)),0,#REF!*(#REF!/#REF!))</f>
        <v>0</v>
      </c>
      <c r="H32" s="11">
        <f>IF(ISERROR(#REF!*(#REF!/#REF!)),0,#REF!*(#REF!/#REF!))</f>
        <v>0</v>
      </c>
      <c r="I32" s="11">
        <f>IF(ISERROR(#REF!*(#REF!/#REF!)),0,#REF!*(#REF!/#REF!))</f>
        <v>0</v>
      </c>
      <c r="K32" s="44">
        <f t="shared" si="0"/>
        <v>0</v>
      </c>
      <c r="L32" s="44">
        <f t="shared" si="1"/>
        <v>0</v>
      </c>
      <c r="M32" s="44">
        <f t="shared" si="2"/>
        <v>0</v>
      </c>
      <c r="N32" s="44">
        <f t="shared" si="3"/>
        <v>0</v>
      </c>
      <c r="P32" s="10">
        <f>'B1.1 Re-Based Bill Det &amp; Rates'!I32</f>
        <v>47219</v>
      </c>
      <c r="Q32" s="10">
        <f>'B1.1 Re-Based Bill Det &amp; Rates'!J32</f>
        <v>40114500.00000001</v>
      </c>
      <c r="R32" s="10">
        <f>'B1.1 Re-Based Bill Det &amp; Rates'!K32</f>
        <v>107223.01662803371</v>
      </c>
      <c r="T32" s="36">
        <f t="shared" si="4"/>
        <v>0</v>
      </c>
      <c r="U32" s="36">
        <f t="shared" si="5"/>
        <v>0</v>
      </c>
      <c r="V32" s="36">
        <f t="shared" si="6"/>
        <v>0</v>
      </c>
    </row>
    <row r="33" spans="2:22" s="2" customFormat="1" ht="15">
      <c r="B33" s="6">
        <v>12</v>
      </c>
      <c r="C33" s="25" t="str">
        <f>'B1.1 Re-Based Bill Det &amp; Rates'!D33</f>
        <v>Rate Class 12</v>
      </c>
      <c r="D33" s="25" t="str">
        <f>'B1.1 Re-Based Bill Det &amp; Rates'!E33</f>
        <v>NA</v>
      </c>
      <c r="E33" s="25" t="str">
        <f>'B1.1 Re-Based Bill Det &amp; Rates'!F33</f>
        <v>NA</v>
      </c>
      <c r="G33" s="11">
        <f>IF(ISERROR(#REF!*(#REF!/#REF!)),0,#REF!*(#REF!/#REF!))</f>
        <v>0</v>
      </c>
      <c r="H33" s="11">
        <f>IF(ISERROR(#REF!*(#REF!/#REF!)),0,#REF!*(#REF!/#REF!))</f>
        <v>0</v>
      </c>
      <c r="I33" s="11">
        <f>IF(ISERROR(#REF!*(#REF!/#REF!)),0,#REF!*(#REF!/#REF!))</f>
        <v>0</v>
      </c>
      <c r="K33" s="44">
        <f t="shared" si="0"/>
        <v>0</v>
      </c>
      <c r="L33" s="44">
        <f t="shared" si="1"/>
        <v>0</v>
      </c>
      <c r="M33" s="44">
        <f t="shared" si="2"/>
        <v>0</v>
      </c>
      <c r="N33" s="44">
        <f t="shared" si="3"/>
        <v>0</v>
      </c>
      <c r="P33" s="10">
        <f>'B1.1 Re-Based Bill Det &amp; Rates'!I33</f>
        <v>0</v>
      </c>
      <c r="Q33" s="10">
        <f>'B1.1 Re-Based Bill Det &amp; Rates'!J33</f>
        <v>0</v>
      </c>
      <c r="R33" s="10">
        <f>'B1.1 Re-Based Bill Det &amp; Rates'!K33</f>
        <v>0</v>
      </c>
      <c r="T33" s="36">
        <f t="shared" si="4"/>
      </c>
      <c r="U33" s="36">
        <f t="shared" si="5"/>
      </c>
      <c r="V33" s="36">
        <f t="shared" si="6"/>
      </c>
    </row>
    <row r="34" spans="2:22" s="2" customFormat="1" ht="15">
      <c r="B34" s="6">
        <v>13</v>
      </c>
      <c r="C34" s="25" t="str">
        <f>'B1.1 Re-Based Bill Det &amp; Rates'!D34</f>
        <v>Rate Class 13</v>
      </c>
      <c r="D34" s="25" t="str">
        <f>'B1.1 Re-Based Bill Det &amp; Rates'!E34</f>
        <v>NA</v>
      </c>
      <c r="E34" s="25" t="str">
        <f>'B1.1 Re-Based Bill Det &amp; Rates'!F34</f>
        <v>NA</v>
      </c>
      <c r="G34" s="11">
        <f>IF(ISERROR(#REF!*(#REF!/#REF!)),0,#REF!*(#REF!/#REF!))</f>
        <v>0</v>
      </c>
      <c r="H34" s="11">
        <f>IF(ISERROR(#REF!*(#REF!/#REF!)),0,#REF!*(#REF!/#REF!))</f>
        <v>0</v>
      </c>
      <c r="I34" s="11">
        <f>IF(ISERROR(#REF!*(#REF!/#REF!)),0,#REF!*(#REF!/#REF!))</f>
        <v>0</v>
      </c>
      <c r="K34" s="44">
        <f t="shared" si="0"/>
        <v>0</v>
      </c>
      <c r="L34" s="44">
        <f t="shared" si="1"/>
        <v>0</v>
      </c>
      <c r="M34" s="44">
        <f t="shared" si="2"/>
        <v>0</v>
      </c>
      <c r="N34" s="44">
        <f t="shared" si="3"/>
        <v>0</v>
      </c>
      <c r="P34" s="10">
        <f>'B1.1 Re-Based Bill Det &amp; Rates'!I34</f>
        <v>0</v>
      </c>
      <c r="Q34" s="10">
        <f>'B1.1 Re-Based Bill Det &amp; Rates'!J34</f>
        <v>0</v>
      </c>
      <c r="R34" s="10">
        <f>'B1.1 Re-Based Bill Det &amp; Rates'!K34</f>
        <v>0</v>
      </c>
      <c r="T34" s="36">
        <f t="shared" si="4"/>
      </c>
      <c r="U34" s="36">
        <f t="shared" si="5"/>
      </c>
      <c r="V34" s="36">
        <f t="shared" si="6"/>
      </c>
    </row>
    <row r="35" spans="2:22" s="2" customFormat="1" ht="15">
      <c r="B35" s="6">
        <v>14</v>
      </c>
      <c r="C35" s="25" t="str">
        <f>'B1.1 Re-Based Bill Det &amp; Rates'!D35</f>
        <v>Rate Class 14</v>
      </c>
      <c r="D35" s="25" t="str">
        <f>'B1.1 Re-Based Bill Det &amp; Rates'!E35</f>
        <v>NA</v>
      </c>
      <c r="E35" s="25" t="str">
        <f>'B1.1 Re-Based Bill Det &amp; Rates'!F35</f>
        <v>NA</v>
      </c>
      <c r="G35" s="11">
        <f>IF(ISERROR(#REF!*(#REF!/#REF!)),0,#REF!*(#REF!/#REF!))</f>
        <v>0</v>
      </c>
      <c r="H35" s="11">
        <f>IF(ISERROR(#REF!*(#REF!/#REF!)),0,#REF!*(#REF!/#REF!))</f>
        <v>0</v>
      </c>
      <c r="I35" s="11">
        <f>IF(ISERROR(#REF!*(#REF!/#REF!)),0,#REF!*(#REF!/#REF!))</f>
        <v>0</v>
      </c>
      <c r="K35" s="44">
        <f t="shared" si="0"/>
        <v>0</v>
      </c>
      <c r="L35" s="44">
        <f t="shared" si="1"/>
        <v>0</v>
      </c>
      <c r="M35" s="44">
        <f t="shared" si="2"/>
        <v>0</v>
      </c>
      <c r="N35" s="44">
        <f t="shared" si="3"/>
        <v>0</v>
      </c>
      <c r="P35" s="10">
        <f>'B1.1 Re-Based Bill Det &amp; Rates'!I35</f>
        <v>0</v>
      </c>
      <c r="Q35" s="10">
        <f>'B1.1 Re-Based Bill Det &amp; Rates'!J35</f>
        <v>0</v>
      </c>
      <c r="R35" s="10">
        <f>'B1.1 Re-Based Bill Det &amp; Rates'!K35</f>
        <v>0</v>
      </c>
      <c r="T35" s="36">
        <f t="shared" si="4"/>
      </c>
      <c r="U35" s="36">
        <f t="shared" si="5"/>
      </c>
      <c r="V35" s="36">
        <f t="shared" si="6"/>
      </c>
    </row>
    <row r="36" spans="2:22" s="2" customFormat="1" ht="15">
      <c r="B36" s="6">
        <v>15</v>
      </c>
      <c r="C36" s="25" t="str">
        <f>'B1.1 Re-Based Bill Det &amp; Rates'!D36</f>
        <v>Rate Class 15</v>
      </c>
      <c r="D36" s="25" t="str">
        <f>'B1.1 Re-Based Bill Det &amp; Rates'!E36</f>
        <v>NA</v>
      </c>
      <c r="E36" s="25" t="str">
        <f>'B1.1 Re-Based Bill Det &amp; Rates'!F36</f>
        <v>NA</v>
      </c>
      <c r="G36" s="11">
        <f>IF(ISERROR(#REF!*(#REF!/#REF!)),0,#REF!*(#REF!/#REF!))</f>
        <v>0</v>
      </c>
      <c r="H36" s="11">
        <f>IF(ISERROR(#REF!*(#REF!/#REF!)),0,#REF!*(#REF!/#REF!))</f>
        <v>0</v>
      </c>
      <c r="I36" s="11">
        <f>IF(ISERROR(#REF!*(#REF!/#REF!)),0,#REF!*(#REF!/#REF!))</f>
        <v>0</v>
      </c>
      <c r="K36" s="44">
        <f t="shared" si="0"/>
        <v>0</v>
      </c>
      <c r="L36" s="44">
        <f t="shared" si="1"/>
        <v>0</v>
      </c>
      <c r="M36" s="44">
        <f t="shared" si="2"/>
        <v>0</v>
      </c>
      <c r="N36" s="44">
        <f t="shared" si="3"/>
        <v>0</v>
      </c>
      <c r="P36" s="10">
        <f>'B1.1 Re-Based Bill Det &amp; Rates'!I36</f>
        <v>0</v>
      </c>
      <c r="Q36" s="10">
        <f>'B1.1 Re-Based Bill Det &amp; Rates'!J36</f>
        <v>0</v>
      </c>
      <c r="R36" s="10">
        <f>'B1.1 Re-Based Bill Det &amp; Rates'!K36</f>
        <v>0</v>
      </c>
      <c r="T36" s="36">
        <f t="shared" si="4"/>
      </c>
      <c r="U36" s="36">
        <f t="shared" si="5"/>
      </c>
      <c r="V36" s="36">
        <f t="shared" si="6"/>
      </c>
    </row>
    <row r="37" spans="2:22" s="2" customFormat="1" ht="15">
      <c r="B37" s="6">
        <v>16</v>
      </c>
      <c r="C37" s="25" t="str">
        <f>'B1.1 Re-Based Bill Det &amp; Rates'!D37</f>
        <v>Rate Class 16</v>
      </c>
      <c r="D37" s="25" t="str">
        <f>'B1.1 Re-Based Bill Det &amp; Rates'!E37</f>
        <v>NA</v>
      </c>
      <c r="E37" s="25" t="str">
        <f>'B1.1 Re-Based Bill Det &amp; Rates'!F37</f>
        <v>NA</v>
      </c>
      <c r="G37" s="11">
        <f>IF(ISERROR(#REF!*(#REF!/#REF!)),0,#REF!*(#REF!/#REF!))</f>
        <v>0</v>
      </c>
      <c r="H37" s="11">
        <f>IF(ISERROR(#REF!*(#REF!/#REF!)),0,#REF!*(#REF!/#REF!))</f>
        <v>0</v>
      </c>
      <c r="I37" s="11">
        <f>IF(ISERROR(#REF!*(#REF!/#REF!)),0,#REF!*(#REF!/#REF!))</f>
        <v>0</v>
      </c>
      <c r="K37" s="44">
        <f t="shared" si="0"/>
        <v>0</v>
      </c>
      <c r="L37" s="44">
        <f t="shared" si="1"/>
        <v>0</v>
      </c>
      <c r="M37" s="44">
        <f t="shared" si="2"/>
        <v>0</v>
      </c>
      <c r="N37" s="44">
        <f t="shared" si="3"/>
        <v>0</v>
      </c>
      <c r="P37" s="10">
        <f>'B1.1 Re-Based Bill Det &amp; Rates'!I37</f>
        <v>0</v>
      </c>
      <c r="Q37" s="10">
        <f>'B1.1 Re-Based Bill Det &amp; Rates'!J37</f>
        <v>0</v>
      </c>
      <c r="R37" s="10">
        <f>'B1.1 Re-Based Bill Det &amp; Rates'!K37</f>
        <v>0</v>
      </c>
      <c r="T37" s="36">
        <f t="shared" si="4"/>
      </c>
      <c r="U37" s="36">
        <f t="shared" si="5"/>
      </c>
      <c r="V37" s="36">
        <f t="shared" si="6"/>
      </c>
    </row>
    <row r="38" spans="2:22" s="2" customFormat="1" ht="15">
      <c r="B38" s="6">
        <v>17</v>
      </c>
      <c r="C38" s="25" t="str">
        <f>'B1.1 Re-Based Bill Det &amp; Rates'!D38</f>
        <v>Rate Class 17</v>
      </c>
      <c r="D38" s="25" t="str">
        <f>'B1.1 Re-Based Bill Det &amp; Rates'!E38</f>
        <v>NA</v>
      </c>
      <c r="E38" s="25" t="str">
        <f>'B1.1 Re-Based Bill Det &amp; Rates'!F38</f>
        <v>NA</v>
      </c>
      <c r="G38" s="11">
        <f>IF(ISERROR(#REF!*(#REF!/#REF!)),0,#REF!*(#REF!/#REF!))</f>
        <v>0</v>
      </c>
      <c r="H38" s="11">
        <f>IF(ISERROR(#REF!*(#REF!/#REF!)),0,#REF!*(#REF!/#REF!))</f>
        <v>0</v>
      </c>
      <c r="I38" s="11">
        <f>IF(ISERROR(#REF!*(#REF!/#REF!)),0,#REF!*(#REF!/#REF!))</f>
        <v>0</v>
      </c>
      <c r="K38" s="44">
        <f t="shared" si="0"/>
        <v>0</v>
      </c>
      <c r="L38" s="44">
        <f t="shared" si="1"/>
        <v>0</v>
      </c>
      <c r="M38" s="44">
        <f t="shared" si="2"/>
        <v>0</v>
      </c>
      <c r="N38" s="44">
        <f t="shared" si="3"/>
        <v>0</v>
      </c>
      <c r="P38" s="10">
        <f>'B1.1 Re-Based Bill Det &amp; Rates'!I38</f>
        <v>0</v>
      </c>
      <c r="Q38" s="10">
        <f>'B1.1 Re-Based Bill Det &amp; Rates'!J38</f>
        <v>0</v>
      </c>
      <c r="R38" s="10">
        <f>'B1.1 Re-Based Bill Det &amp; Rates'!K38</f>
        <v>0</v>
      </c>
      <c r="T38" s="36">
        <f t="shared" si="4"/>
      </c>
      <c r="U38" s="36">
        <f t="shared" si="5"/>
      </c>
      <c r="V38" s="36">
        <f t="shared" si="6"/>
      </c>
    </row>
    <row r="39" spans="2:22" s="2" customFormat="1" ht="15">
      <c r="B39" s="6">
        <v>18</v>
      </c>
      <c r="C39" s="25" t="str">
        <f>'B1.1 Re-Based Bill Det &amp; Rates'!D39</f>
        <v>Rate Class 18</v>
      </c>
      <c r="D39" s="25" t="str">
        <f>'B1.1 Re-Based Bill Det &amp; Rates'!E39</f>
        <v>NA</v>
      </c>
      <c r="E39" s="25" t="str">
        <f>'B1.1 Re-Based Bill Det &amp; Rates'!F39</f>
        <v>NA</v>
      </c>
      <c r="G39" s="11">
        <f>IF(ISERROR(#REF!*(#REF!/#REF!)),0,#REF!*(#REF!/#REF!))</f>
        <v>0</v>
      </c>
      <c r="H39" s="11">
        <f>IF(ISERROR(#REF!*(#REF!/#REF!)),0,#REF!*(#REF!/#REF!))</f>
        <v>0</v>
      </c>
      <c r="I39" s="11">
        <f>IF(ISERROR(#REF!*(#REF!/#REF!)),0,#REF!*(#REF!/#REF!))</f>
        <v>0</v>
      </c>
      <c r="K39" s="44">
        <f t="shared" si="0"/>
        <v>0</v>
      </c>
      <c r="L39" s="44">
        <f t="shared" si="1"/>
        <v>0</v>
      </c>
      <c r="M39" s="44">
        <f t="shared" si="2"/>
        <v>0</v>
      </c>
      <c r="N39" s="44">
        <f t="shared" si="3"/>
        <v>0</v>
      </c>
      <c r="P39" s="10">
        <f>'B1.1 Re-Based Bill Det &amp; Rates'!I39</f>
        <v>0</v>
      </c>
      <c r="Q39" s="10">
        <f>'B1.1 Re-Based Bill Det &amp; Rates'!J39</f>
        <v>0</v>
      </c>
      <c r="R39" s="10">
        <f>'B1.1 Re-Based Bill Det &amp; Rates'!K39</f>
        <v>0</v>
      </c>
      <c r="T39" s="36">
        <f t="shared" si="4"/>
      </c>
      <c r="U39" s="36">
        <f t="shared" si="5"/>
      </c>
      <c r="V39" s="36">
        <f t="shared" si="6"/>
      </c>
    </row>
    <row r="40" spans="2:22" s="2" customFormat="1" ht="15">
      <c r="B40" s="6">
        <v>19</v>
      </c>
      <c r="C40" s="25" t="str">
        <f>'B1.1 Re-Based Bill Det &amp; Rates'!D40</f>
        <v>Rate Class 19</v>
      </c>
      <c r="D40" s="25" t="str">
        <f>'B1.1 Re-Based Bill Det &amp; Rates'!E40</f>
        <v>NA</v>
      </c>
      <c r="E40" s="25" t="str">
        <f>'B1.1 Re-Based Bill Det &amp; Rates'!F40</f>
        <v>NA</v>
      </c>
      <c r="G40" s="11">
        <f>IF(ISERROR(#REF!*(#REF!/#REF!)),0,#REF!*(#REF!/#REF!))</f>
        <v>0</v>
      </c>
      <c r="H40" s="11">
        <f>IF(ISERROR(#REF!*(#REF!/#REF!)),0,#REF!*(#REF!/#REF!))</f>
        <v>0</v>
      </c>
      <c r="I40" s="11">
        <f>IF(ISERROR(#REF!*(#REF!/#REF!)),0,#REF!*(#REF!/#REF!))</f>
        <v>0</v>
      </c>
      <c r="K40" s="44">
        <f t="shared" si="0"/>
        <v>0</v>
      </c>
      <c r="L40" s="44">
        <f t="shared" si="1"/>
        <v>0</v>
      </c>
      <c r="M40" s="44">
        <f t="shared" si="2"/>
        <v>0</v>
      </c>
      <c r="N40" s="44">
        <f t="shared" si="3"/>
        <v>0</v>
      </c>
      <c r="P40" s="10">
        <f>'B1.1 Re-Based Bill Det &amp; Rates'!I40</f>
        <v>0</v>
      </c>
      <c r="Q40" s="10">
        <f>'B1.1 Re-Based Bill Det &amp; Rates'!J40</f>
        <v>0</v>
      </c>
      <c r="R40" s="10">
        <f>'B1.1 Re-Based Bill Det &amp; Rates'!K40</f>
        <v>0</v>
      </c>
      <c r="T40" s="36">
        <f t="shared" si="4"/>
      </c>
      <c r="U40" s="36">
        <f t="shared" si="5"/>
      </c>
      <c r="V40" s="36">
        <f t="shared" si="6"/>
      </c>
    </row>
    <row r="41" spans="2:22" s="2" customFormat="1" ht="15">
      <c r="B41" s="6">
        <v>20</v>
      </c>
      <c r="C41" s="25" t="str">
        <f>'B1.1 Re-Based Bill Det &amp; Rates'!D41</f>
        <v>Rate Class 20</v>
      </c>
      <c r="D41" s="25" t="str">
        <f>'B1.1 Re-Based Bill Det &amp; Rates'!E41</f>
        <v>NA</v>
      </c>
      <c r="E41" s="25" t="str">
        <f>'B1.1 Re-Based Bill Det &amp; Rates'!F41</f>
        <v>NA</v>
      </c>
      <c r="G41" s="11">
        <f>IF(ISERROR(#REF!*(#REF!/#REF!)),0,#REF!*(#REF!/#REF!))</f>
        <v>0</v>
      </c>
      <c r="H41" s="11">
        <f>IF(ISERROR(#REF!*(#REF!/#REF!)),0,#REF!*(#REF!/#REF!))</f>
        <v>0</v>
      </c>
      <c r="I41" s="11">
        <f>IF(ISERROR(#REF!*(#REF!/#REF!)),0,#REF!*(#REF!/#REF!))</f>
        <v>0</v>
      </c>
      <c r="K41" s="44">
        <f t="shared" si="0"/>
        <v>0</v>
      </c>
      <c r="L41" s="44">
        <f t="shared" si="1"/>
        <v>0</v>
      </c>
      <c r="M41" s="44">
        <f t="shared" si="2"/>
        <v>0</v>
      </c>
      <c r="N41" s="44">
        <f t="shared" si="3"/>
        <v>0</v>
      </c>
      <c r="P41" s="10">
        <f>'B1.1 Re-Based Bill Det &amp; Rates'!I41</f>
        <v>0</v>
      </c>
      <c r="Q41" s="10">
        <f>'B1.1 Re-Based Bill Det &amp; Rates'!J41</f>
        <v>0</v>
      </c>
      <c r="R41" s="10">
        <f>'B1.1 Re-Based Bill Det &amp; Rates'!K41</f>
        <v>0</v>
      </c>
      <c r="T41" s="36">
        <f t="shared" si="4"/>
      </c>
      <c r="U41" s="36">
        <f t="shared" si="5"/>
      </c>
      <c r="V41" s="36">
        <f t="shared" si="6"/>
      </c>
    </row>
    <row r="42" spans="2:22" s="2" customFormat="1" ht="15">
      <c r="B42" s="6">
        <v>21</v>
      </c>
      <c r="C42" s="25" t="str">
        <f>'B1.1 Re-Based Bill Det &amp; Rates'!D42</f>
        <v>Rate Class 21</v>
      </c>
      <c r="D42" s="25" t="str">
        <f>'B1.1 Re-Based Bill Det &amp; Rates'!E42</f>
        <v>NA</v>
      </c>
      <c r="E42" s="25" t="str">
        <f>'B1.1 Re-Based Bill Det &amp; Rates'!F42</f>
        <v>NA</v>
      </c>
      <c r="G42" s="11">
        <f>IF(ISERROR(#REF!*(#REF!/#REF!)),0,#REF!*(#REF!/#REF!))</f>
        <v>0</v>
      </c>
      <c r="H42" s="11">
        <f>IF(ISERROR(#REF!*(#REF!/#REF!)),0,#REF!*(#REF!/#REF!))</f>
        <v>0</v>
      </c>
      <c r="I42" s="11">
        <f>IF(ISERROR(#REF!*(#REF!/#REF!)),0,#REF!*(#REF!/#REF!))</f>
        <v>0</v>
      </c>
      <c r="K42" s="44">
        <f t="shared" si="0"/>
        <v>0</v>
      </c>
      <c r="L42" s="44">
        <f t="shared" si="1"/>
        <v>0</v>
      </c>
      <c r="M42" s="44">
        <f t="shared" si="2"/>
        <v>0</v>
      </c>
      <c r="N42" s="44">
        <f t="shared" si="3"/>
        <v>0</v>
      </c>
      <c r="P42" s="10">
        <f>'B1.1 Re-Based Bill Det &amp; Rates'!I42</f>
        <v>0</v>
      </c>
      <c r="Q42" s="10">
        <f>'B1.1 Re-Based Bill Det &amp; Rates'!J42</f>
        <v>0</v>
      </c>
      <c r="R42" s="10">
        <f>'B1.1 Re-Based Bill Det &amp; Rates'!K42</f>
        <v>0</v>
      </c>
      <c r="T42" s="36">
        <f t="shared" si="4"/>
      </c>
      <c r="U42" s="36">
        <f t="shared" si="5"/>
      </c>
      <c r="V42" s="36">
        <f t="shared" si="6"/>
      </c>
    </row>
    <row r="43" spans="2:22" s="2" customFormat="1" ht="15">
      <c r="B43" s="6">
        <v>22</v>
      </c>
      <c r="C43" s="25" t="str">
        <f>'B1.1 Re-Based Bill Det &amp; Rates'!D43</f>
        <v>Rate Class 22</v>
      </c>
      <c r="D43" s="25" t="str">
        <f>'B1.1 Re-Based Bill Det &amp; Rates'!E43</f>
        <v>NA</v>
      </c>
      <c r="E43" s="25" t="str">
        <f>'B1.1 Re-Based Bill Det &amp; Rates'!F43</f>
        <v>NA</v>
      </c>
      <c r="G43" s="11">
        <f>IF(ISERROR(#REF!*(#REF!/#REF!)),0,#REF!*(#REF!/#REF!))</f>
        <v>0</v>
      </c>
      <c r="H43" s="11">
        <f>IF(ISERROR(#REF!*(#REF!/#REF!)),0,#REF!*(#REF!/#REF!))</f>
        <v>0</v>
      </c>
      <c r="I43" s="11">
        <f>IF(ISERROR(#REF!*(#REF!/#REF!)),0,#REF!*(#REF!/#REF!))</f>
        <v>0</v>
      </c>
      <c r="K43" s="44">
        <f t="shared" si="0"/>
        <v>0</v>
      </c>
      <c r="L43" s="44">
        <f t="shared" si="1"/>
        <v>0</v>
      </c>
      <c r="M43" s="44">
        <f t="shared" si="2"/>
        <v>0</v>
      </c>
      <c r="N43" s="44">
        <f t="shared" si="3"/>
        <v>0</v>
      </c>
      <c r="P43" s="10">
        <f>'B1.1 Re-Based Bill Det &amp; Rates'!I43</f>
        <v>0</v>
      </c>
      <c r="Q43" s="10">
        <f>'B1.1 Re-Based Bill Det &amp; Rates'!J43</f>
        <v>0</v>
      </c>
      <c r="R43" s="10">
        <f>'B1.1 Re-Based Bill Det &amp; Rates'!K43</f>
        <v>0</v>
      </c>
      <c r="T43" s="36">
        <f t="shared" si="4"/>
      </c>
      <c r="U43" s="36">
        <f t="shared" si="5"/>
      </c>
      <c r="V43" s="36">
        <f t="shared" si="6"/>
      </c>
    </row>
    <row r="44" spans="2:22" s="2" customFormat="1" ht="15">
      <c r="B44" s="6">
        <v>23</v>
      </c>
      <c r="C44" s="25" t="str">
        <f>'B1.1 Re-Based Bill Det &amp; Rates'!D44</f>
        <v>Rate Class 23</v>
      </c>
      <c r="D44" s="25" t="str">
        <f>'B1.1 Re-Based Bill Det &amp; Rates'!E44</f>
        <v>NA</v>
      </c>
      <c r="E44" s="25" t="str">
        <f>'B1.1 Re-Based Bill Det &amp; Rates'!F44</f>
        <v>NA</v>
      </c>
      <c r="G44" s="11">
        <f>IF(ISERROR(#REF!*(#REF!/#REF!)),0,#REF!*(#REF!/#REF!))</f>
        <v>0</v>
      </c>
      <c r="H44" s="11">
        <f>IF(ISERROR(#REF!*(#REF!/#REF!)),0,#REF!*(#REF!/#REF!))</f>
        <v>0</v>
      </c>
      <c r="I44" s="11">
        <f>IF(ISERROR(#REF!*(#REF!/#REF!)),0,#REF!*(#REF!/#REF!))</f>
        <v>0</v>
      </c>
      <c r="K44" s="44">
        <f t="shared" si="0"/>
        <v>0</v>
      </c>
      <c r="L44" s="44">
        <f t="shared" si="1"/>
        <v>0</v>
      </c>
      <c r="M44" s="44">
        <f t="shared" si="2"/>
        <v>0</v>
      </c>
      <c r="N44" s="44">
        <f t="shared" si="3"/>
        <v>0</v>
      </c>
      <c r="P44" s="10">
        <f>'B1.1 Re-Based Bill Det &amp; Rates'!I44</f>
        <v>0</v>
      </c>
      <c r="Q44" s="10">
        <f>'B1.1 Re-Based Bill Det &amp; Rates'!J44</f>
        <v>0</v>
      </c>
      <c r="R44" s="10">
        <f>'B1.1 Re-Based Bill Det &amp; Rates'!K44</f>
        <v>0</v>
      </c>
      <c r="T44" s="36">
        <f t="shared" si="4"/>
      </c>
      <c r="U44" s="36">
        <f t="shared" si="5"/>
      </c>
      <c r="V44" s="36">
        <f t="shared" si="6"/>
      </c>
    </row>
    <row r="45" spans="2:22" s="2" customFormat="1" ht="15">
      <c r="B45" s="6">
        <v>24</v>
      </c>
      <c r="C45" s="25" t="str">
        <f>'B1.1 Re-Based Bill Det &amp; Rates'!D45</f>
        <v>Rate Class 24</v>
      </c>
      <c r="D45" s="25" t="str">
        <f>'B1.1 Re-Based Bill Det &amp; Rates'!E45</f>
        <v>NA</v>
      </c>
      <c r="E45" s="25" t="str">
        <f>'B1.1 Re-Based Bill Det &amp; Rates'!F45</f>
        <v>NA</v>
      </c>
      <c r="G45" s="11">
        <f>IF(ISERROR(#REF!*(#REF!/#REF!)),0,#REF!*(#REF!/#REF!))</f>
        <v>0</v>
      </c>
      <c r="H45" s="11">
        <f>IF(ISERROR(#REF!*(#REF!/#REF!)),0,#REF!*(#REF!/#REF!))</f>
        <v>0</v>
      </c>
      <c r="I45" s="11">
        <f>IF(ISERROR(#REF!*(#REF!/#REF!)),0,#REF!*(#REF!/#REF!))</f>
        <v>0</v>
      </c>
      <c r="K45" s="44">
        <f t="shared" si="0"/>
        <v>0</v>
      </c>
      <c r="L45" s="44">
        <f t="shared" si="1"/>
        <v>0</v>
      </c>
      <c r="M45" s="44">
        <f t="shared" si="2"/>
        <v>0</v>
      </c>
      <c r="N45" s="44">
        <f t="shared" si="3"/>
        <v>0</v>
      </c>
      <c r="P45" s="10">
        <f>'B1.1 Re-Based Bill Det &amp; Rates'!I45</f>
        <v>0</v>
      </c>
      <c r="Q45" s="10">
        <f>'B1.1 Re-Based Bill Det &amp; Rates'!J45</f>
        <v>0</v>
      </c>
      <c r="R45" s="10">
        <f>'B1.1 Re-Based Bill Det &amp; Rates'!K45</f>
        <v>0</v>
      </c>
      <c r="T45" s="36">
        <f t="shared" si="4"/>
      </c>
      <c r="U45" s="36">
        <f t="shared" si="5"/>
      </c>
      <c r="V45" s="36">
        <f t="shared" si="6"/>
      </c>
    </row>
    <row r="46" spans="2:22" s="2" customFormat="1" ht="15">
      <c r="B46" s="6">
        <v>25</v>
      </c>
      <c r="C46" s="25" t="str">
        <f>'B1.1 Re-Based Bill Det &amp; Rates'!D46</f>
        <v>Rate Class 25</v>
      </c>
      <c r="D46" s="25" t="str">
        <f>'B1.1 Re-Based Bill Det &amp; Rates'!E46</f>
        <v>NA</v>
      </c>
      <c r="E46" s="25" t="str">
        <f>'B1.1 Re-Based Bill Det &amp; Rates'!F46</f>
        <v>NA</v>
      </c>
      <c r="G46" s="11">
        <f>IF(ISERROR(#REF!*(#REF!/#REF!)),0,#REF!*(#REF!/#REF!))</f>
        <v>0</v>
      </c>
      <c r="H46" s="11">
        <f>IF(ISERROR(#REF!*(#REF!/#REF!)),0,#REF!*(#REF!/#REF!))</f>
        <v>0</v>
      </c>
      <c r="I46" s="11">
        <f>IF(ISERROR(#REF!*(#REF!/#REF!)),0,#REF!*(#REF!/#REF!))</f>
        <v>0</v>
      </c>
      <c r="K46" s="44">
        <f t="shared" si="0"/>
        <v>0</v>
      </c>
      <c r="L46" s="44">
        <f t="shared" si="1"/>
        <v>0</v>
      </c>
      <c r="M46" s="44">
        <f t="shared" si="2"/>
        <v>0</v>
      </c>
      <c r="N46" s="44">
        <f t="shared" si="3"/>
        <v>0</v>
      </c>
      <c r="P46" s="10">
        <f>'B1.1 Re-Based Bill Det &amp; Rates'!I46</f>
        <v>0</v>
      </c>
      <c r="Q46" s="10">
        <f>'B1.1 Re-Based Bill Det &amp; Rates'!J46</f>
        <v>0</v>
      </c>
      <c r="R46" s="10">
        <f>'B1.1 Re-Based Bill Det &amp; Rates'!K46</f>
        <v>0</v>
      </c>
      <c r="T46" s="36">
        <f t="shared" si="4"/>
      </c>
      <c r="U46" s="36">
        <f t="shared" si="5"/>
      </c>
      <c r="V46" s="36">
        <f t="shared" si="6"/>
      </c>
    </row>
    <row r="47" spans="11:22" s="2" customFormat="1" ht="15.75" thickBot="1">
      <c r="K47" s="48">
        <f>SUM(K22:K46)</f>
        <v>0</v>
      </c>
      <c r="L47" s="48">
        <f>SUM(L22:L46)</f>
        <v>0</v>
      </c>
      <c r="M47" s="48">
        <f>SUM(M22:M46)</f>
        <v>0</v>
      </c>
      <c r="N47" s="49">
        <f>'F1.1 Z-Factor Tax Changes'!I53</f>
        <v>-953636.7401020573</v>
      </c>
      <c r="P47" s="3"/>
      <c r="Q47" s="3"/>
      <c r="R47" s="3"/>
      <c r="T47" s="3"/>
      <c r="U47" s="3"/>
      <c r="V47" s="3"/>
    </row>
    <row r="48" s="2" customFormat="1" ht="15">
      <c r="N48" s="31">
        <f>SUM(N22:N46)-N47</f>
        <v>953636.7401020573</v>
      </c>
    </row>
    <row r="49" s="2" customFormat="1" ht="15.75">
      <c r="N49" s="13" t="s">
        <v>108</v>
      </c>
    </row>
    <row r="50" spans="20:22" s="2" customFormat="1" ht="45" customHeight="1">
      <c r="T50" s="107" t="s">
        <v>260</v>
      </c>
      <c r="U50" s="107"/>
      <c r="V50" s="107"/>
    </row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</sheetData>
  <sheetProtection/>
  <mergeCells count="1">
    <mergeCell ref="T50:V50"/>
  </mergeCells>
  <printOptions/>
  <pageMargins left="0.36" right="0.32" top="0.83" bottom="1" header="0.5" footer="0.5"/>
  <pageSetup fitToHeight="1" fitToWidth="1" horizontalDpi="600" verticalDpi="600" orientation="landscape" scale="54" r:id="rId3"/>
  <headerFooter alignWithMargins="0">
    <oddFooter>&amp;C&amp;A</oddFooter>
  </headerFooter>
  <legacyDrawing r:id="rId2"/>
  <oleObjects>
    <oleObject progId="Unknown" shapeId="536802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52"/>
    <pageSetUpPr fitToPage="1"/>
  </sheetPr>
  <dimension ref="A1:U50"/>
  <sheetViews>
    <sheetView showGridLines="0" tabSelected="1" zoomScalePageLayoutView="0" workbookViewId="0" topLeftCell="H7">
      <selection activeCell="D20" sqref="D20"/>
    </sheetView>
  </sheetViews>
  <sheetFormatPr defaultColWidth="0" defaultRowHeight="15" zeroHeight="1"/>
  <cols>
    <col min="1" max="1" width="15.77734375" style="8" customWidth="1"/>
    <col min="2" max="2" width="15.3359375" style="8" hidden="1" customWidth="1"/>
    <col min="3" max="3" width="30.77734375" style="8" customWidth="1"/>
    <col min="4" max="4" width="11.21484375" style="8" hidden="1" customWidth="1"/>
    <col min="5" max="5" width="9.3359375" style="8" hidden="1" customWidth="1"/>
    <col min="6" max="6" width="2.77734375" style="8" customWidth="1"/>
    <col min="7" max="7" width="14.77734375" style="8" bestFit="1" customWidth="1"/>
    <col min="8" max="8" width="2.77734375" style="8" customWidth="1"/>
    <col min="9" max="9" width="14.99609375" style="8" bestFit="1" customWidth="1"/>
    <col min="10" max="10" width="2.77734375" style="8" customWidth="1"/>
    <col min="11" max="11" width="14.88671875" style="8" bestFit="1" customWidth="1"/>
    <col min="12" max="12" width="2.77734375" style="8" customWidth="1"/>
    <col min="13" max="13" width="9.99609375" style="8" bestFit="1" customWidth="1"/>
    <col min="14" max="14" width="2.77734375" style="8" customWidth="1"/>
    <col min="15" max="15" width="8.88671875" style="8" bestFit="1" customWidth="1"/>
    <col min="16" max="16" width="2.77734375" style="8" customWidth="1"/>
    <col min="17" max="17" width="14.5546875" style="8" bestFit="1" customWidth="1"/>
    <col min="18" max="18" width="2.77734375" style="8" customWidth="1"/>
    <col min="19" max="19" width="14.5546875" style="8" bestFit="1" customWidth="1"/>
    <col min="20" max="21" width="15.3359375" style="8" customWidth="1"/>
    <col min="22" max="16384" width="8.88671875" style="8" hidden="1" customWidth="1"/>
  </cols>
  <sheetData>
    <row r="1" spans="1:2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2" customFormat="1" ht="18">
      <c r="C2" s="22" t="str">
        <f>'A1.1 LDC Information'!C2</f>
        <v>Name of LDC:       Hydro Ottawa Limited</v>
      </c>
    </row>
    <row r="3" s="2" customFormat="1" ht="18">
      <c r="C3" s="22" t="str">
        <f>'A1.1 LDC Information'!C3</f>
        <v>File Number:          IRM3</v>
      </c>
    </row>
    <row r="4" s="2" customFormat="1" ht="18">
      <c r="C4" s="58" t="str">
        <f>'A1.1 LDC Information'!C4</f>
        <v>Effective Date:       December 30, 1899</v>
      </c>
    </row>
    <row r="5" s="2" customFormat="1" ht="18">
      <c r="C5" s="58" t="str">
        <f>'A1.1 LDC Information'!C5</f>
        <v>Version : 1.0</v>
      </c>
    </row>
    <row r="6" s="2" customFormat="1" ht="15"/>
    <row r="7" s="2" customFormat="1" ht="15"/>
    <row r="8" s="2" customFormat="1" ht="15"/>
    <row r="9" s="2" customFormat="1" ht="15"/>
    <row r="10" s="2" customFormat="1" ht="26.25">
      <c r="C10" s="63" t="str">
        <f>'Z1.0 OEB Control Sheet'!C8</f>
        <v>Calculate Tax Change Rate Rider Volumetric</v>
      </c>
    </row>
    <row r="11" s="2" customFormat="1" ht="15"/>
    <row r="12" s="2" customFormat="1" ht="15"/>
    <row r="13" s="2" customFormat="1" ht="15"/>
    <row r="14" s="2" customFormat="1" ht="15"/>
    <row r="15" s="2" customFormat="1" ht="15"/>
    <row r="16" s="2" customFormat="1" ht="15"/>
    <row r="17" s="2" customFormat="1" ht="15"/>
    <row r="18" s="2" customFormat="1" ht="15"/>
    <row r="19" s="2" customFormat="1" ht="15"/>
    <row r="20" spans="2:19" s="2" customFormat="1" ht="47.25">
      <c r="B20" s="5" t="s">
        <v>9</v>
      </c>
      <c r="C20" s="24" t="s">
        <v>11</v>
      </c>
      <c r="D20" s="24" t="s">
        <v>12</v>
      </c>
      <c r="E20" s="24" t="s">
        <v>13</v>
      </c>
      <c r="F20" s="24"/>
      <c r="G20" s="24" t="s">
        <v>213</v>
      </c>
      <c r="I20" s="24" t="s">
        <v>214</v>
      </c>
      <c r="K20" s="24" t="s">
        <v>218</v>
      </c>
      <c r="M20" s="24" t="s">
        <v>100</v>
      </c>
      <c r="O20" s="24" t="s">
        <v>101</v>
      </c>
      <c r="Q20" s="24" t="s">
        <v>210</v>
      </c>
      <c r="S20" s="24" t="s">
        <v>211</v>
      </c>
    </row>
    <row r="21" spans="2:19" s="2" customFormat="1" ht="15.75">
      <c r="B21" s="5"/>
      <c r="C21" s="24"/>
      <c r="D21" s="24"/>
      <c r="E21" s="24"/>
      <c r="F21" s="24"/>
      <c r="G21" s="24" t="s">
        <v>0</v>
      </c>
      <c r="I21" s="24" t="s">
        <v>180</v>
      </c>
      <c r="K21" s="24" t="s">
        <v>217</v>
      </c>
      <c r="M21" s="24" t="s">
        <v>2</v>
      </c>
      <c r="O21" s="24" t="s">
        <v>5</v>
      </c>
      <c r="Q21" s="13" t="s">
        <v>215</v>
      </c>
      <c r="S21" s="13" t="s">
        <v>216</v>
      </c>
    </row>
    <row r="22" spans="2:19" s="2" customFormat="1" ht="15">
      <c r="B22" s="6">
        <v>1</v>
      </c>
      <c r="C22" s="51" t="str">
        <f>'B1.1 Re-Based Bill Det &amp; Rates'!D22</f>
        <v>Residential</v>
      </c>
      <c r="D22" s="51" t="str">
        <f>'B1.1 Re-Based Bill Det &amp; Rates'!E22</f>
        <v>Customer</v>
      </c>
      <c r="E22" s="51" t="str">
        <f>'B1.1 Re-Based Bill Det &amp; Rates'!F22</f>
        <v>kWh</v>
      </c>
      <c r="F22" s="52"/>
      <c r="G22" s="96">
        <f>'B1.3 Re-Based Rev From Rates'!P22</f>
        <v>73816283.34408</v>
      </c>
      <c r="H22" s="52"/>
      <c r="I22" s="54">
        <f aca="true" t="shared" si="0" ref="I22:I46">IF(ISERROR(G22/$G$47),0,G22/$G$47)</f>
        <v>0.5267942939778919</v>
      </c>
      <c r="J22" s="52"/>
      <c r="K22" s="53">
        <f aca="true" t="shared" si="1" ref="K22:K46">IF(ISERROR(I22*$K$47),0,I22*$K$47)</f>
        <v>-898181.9180142818</v>
      </c>
      <c r="M22" s="10">
        <f>'B1.1 Re-Based Bill Det &amp; Rates'!J22</f>
        <v>2261678461.0666666</v>
      </c>
      <c r="O22" s="10">
        <f>'B1.1 Re-Based Bill Det &amp; Rates'!K22</f>
        <v>0</v>
      </c>
      <c r="Q22" s="7">
        <f>IF($E22="kWh",IF(ISERROR($K22/$M22),"",ROUND($K22/$M22,4)),"")</f>
        <v>-0.0004</v>
      </c>
      <c r="S22" s="7">
        <f>IF($E22="kW",IF(ISERROR($K22/$O22),"",ROUND($K22/$O22,4)),"")</f>
      </c>
    </row>
    <row r="23" spans="2:19" s="2" customFormat="1" ht="15">
      <c r="B23" s="6">
        <v>2</v>
      </c>
      <c r="C23" s="51" t="str">
        <f>'B1.1 Re-Based Bill Det &amp; Rates'!D23</f>
        <v>General Service Less Than 50 kW</v>
      </c>
      <c r="D23" s="51" t="str">
        <f>'B1.1 Re-Based Bill Det &amp; Rates'!E23</f>
        <v>Customer</v>
      </c>
      <c r="E23" s="51" t="str">
        <f>'B1.1 Re-Based Bill Det &amp; Rates'!F23</f>
        <v>kWh</v>
      </c>
      <c r="F23" s="52"/>
      <c r="G23" s="53">
        <f>'B1.3 Re-Based Rev From Rates'!P23</f>
        <v>18410847.50342822</v>
      </c>
      <c r="H23" s="52"/>
      <c r="I23" s="54">
        <f t="shared" si="0"/>
        <v>0.13139010761208872</v>
      </c>
      <c r="J23" s="52"/>
      <c r="K23" s="53">
        <f t="shared" si="1"/>
        <v>-224019.54655203875</v>
      </c>
      <c r="M23" s="10">
        <f>'B1.1 Re-Based Bill Det &amp; Rates'!J23</f>
        <v>774937986.1312553</v>
      </c>
      <c r="O23" s="10">
        <f>'B1.1 Re-Based Bill Det &amp; Rates'!K23</f>
        <v>0</v>
      </c>
      <c r="Q23" s="7">
        <f aca="true" t="shared" si="2" ref="Q23:Q46">IF($E23="kWh",IF(ISERROR($K23/$M23),"",ROUND($K23/$M23,4)),"")</f>
        <v>-0.0003</v>
      </c>
      <c r="S23" s="7">
        <f aca="true" t="shared" si="3" ref="S23:S46">IF($E23="kW",IF(ISERROR($K23/$O23),"",ROUND($K23/$O23,4)),"")</f>
      </c>
    </row>
    <row r="24" spans="2:19" s="2" customFormat="1" ht="15">
      <c r="B24" s="6">
        <v>3</v>
      </c>
      <c r="C24" s="51" t="str">
        <f>'B1.1 Re-Based Bill Det &amp; Rates'!D24</f>
        <v>General Service 50 to 1,499 kW</v>
      </c>
      <c r="D24" s="51" t="str">
        <f>'B1.1 Re-Based Bill Det &amp; Rates'!E24</f>
        <v>Customer</v>
      </c>
      <c r="E24" s="51" t="str">
        <f>'B1.1 Re-Based Bill Det &amp; Rates'!F24</f>
        <v>kW</v>
      </c>
      <c r="F24" s="52"/>
      <c r="G24" s="53">
        <f>'B1.3 Re-Based Rev From Rates'!P24</f>
        <v>32277929.254795354</v>
      </c>
      <c r="H24" s="52"/>
      <c r="I24" s="54">
        <f t="shared" si="0"/>
        <v>0.23035336083758481</v>
      </c>
      <c r="J24" s="52"/>
      <c r="K24" s="53">
        <f t="shared" si="1"/>
        <v>-392751.4512274138</v>
      </c>
      <c r="M24" s="10">
        <f>'B1.1 Re-Based Bill Det &amp; Rates'!J24</f>
        <v>3120930871.2703676</v>
      </c>
      <c r="O24" s="10">
        <f>'B1.1 Re-Based Bill Det &amp; Rates'!K24</f>
        <v>7373411.289297726</v>
      </c>
      <c r="Q24" s="7">
        <f t="shared" si="2"/>
      </c>
      <c r="S24" s="7">
        <f t="shared" si="3"/>
        <v>-0.0533</v>
      </c>
    </row>
    <row r="25" spans="2:19" s="2" customFormat="1" ht="15">
      <c r="B25" s="6">
        <v>4</v>
      </c>
      <c r="C25" s="51" t="str">
        <f>'B1.1 Re-Based Bill Det &amp; Rates'!D25</f>
        <v>General Service 1,500 to 4,999 kW</v>
      </c>
      <c r="D25" s="51" t="str">
        <f>'B1.1 Re-Based Bill Det &amp; Rates'!E25</f>
        <v>Customer</v>
      </c>
      <c r="E25" s="51" t="str">
        <f>'B1.1 Re-Based Bill Det &amp; Rates'!F25</f>
        <v>kW</v>
      </c>
      <c r="F25" s="52"/>
      <c r="G25" s="53">
        <f>'B1.3 Re-Based Rev From Rates'!P25</f>
        <v>9010207.976871785</v>
      </c>
      <c r="H25" s="52"/>
      <c r="I25" s="54">
        <f t="shared" si="0"/>
        <v>0.0643018848245874</v>
      </c>
      <c r="J25" s="52"/>
      <c r="K25" s="53">
        <f t="shared" si="1"/>
        <v>-109634.42638599491</v>
      </c>
      <c r="M25" s="10">
        <f>'B1.1 Re-Based Bill Det &amp; Rates'!J25</f>
        <v>837604030.8454968</v>
      </c>
      <c r="O25" s="10">
        <f>'B1.1 Re-Based Bill Det &amp; Rates'!K25</f>
        <v>1757833.0007844018</v>
      </c>
      <c r="Q25" s="7">
        <f t="shared" si="2"/>
      </c>
      <c r="S25" s="7">
        <f t="shared" si="3"/>
        <v>-0.0624</v>
      </c>
    </row>
    <row r="26" spans="2:19" s="2" customFormat="1" ht="15">
      <c r="B26" s="6">
        <v>5</v>
      </c>
      <c r="C26" s="51" t="str">
        <f>'B1.1 Re-Based Bill Det &amp; Rates'!D26</f>
        <v>Large Use</v>
      </c>
      <c r="D26" s="51" t="str">
        <f>'B1.1 Re-Based Bill Det &amp; Rates'!E26</f>
        <v>Customer</v>
      </c>
      <c r="E26" s="51" t="str">
        <f>'B1.1 Re-Based Bill Det &amp; Rates'!F26</f>
        <v>kW</v>
      </c>
      <c r="F26" s="52"/>
      <c r="G26" s="53">
        <f>'B1.3 Re-Based Rev From Rates'!P26</f>
        <v>5169542.213054409</v>
      </c>
      <c r="H26" s="52"/>
      <c r="I26" s="54">
        <f t="shared" si="0"/>
        <v>0.03689274529876898</v>
      </c>
      <c r="J26" s="52"/>
      <c r="K26" s="53">
        <f t="shared" si="1"/>
        <v>-62901.96593255307</v>
      </c>
      <c r="M26" s="10">
        <f>'B1.1 Re-Based Bill Det &amp; Rates'!J26</f>
        <v>649903952.4195468</v>
      </c>
      <c r="O26" s="10">
        <f>'B1.1 Re-Based Bill Det &amp; Rates'!K26</f>
        <v>1167396.0299565047</v>
      </c>
      <c r="Q26" s="7">
        <f t="shared" si="2"/>
      </c>
      <c r="S26" s="7">
        <f t="shared" si="3"/>
        <v>-0.0539</v>
      </c>
    </row>
    <row r="27" spans="2:19" s="2" customFormat="1" ht="15">
      <c r="B27" s="6">
        <v>6</v>
      </c>
      <c r="C27" s="51" t="str">
        <f>'B1.1 Re-Based Bill Det &amp; Rates'!D27</f>
        <v>Unmetered Scattered Load</v>
      </c>
      <c r="D27" s="51" t="str">
        <f>'B1.1 Re-Based Bill Det &amp; Rates'!E27</f>
        <v>Connection</v>
      </c>
      <c r="E27" s="51" t="str">
        <f>'B1.1 Re-Based Bill Det &amp; Rates'!F27</f>
        <v>kWh</v>
      </c>
      <c r="F27" s="52"/>
      <c r="G27" s="53">
        <f>'B1.3 Re-Based Rev From Rates'!P27</f>
        <v>555524.4</v>
      </c>
      <c r="H27" s="52"/>
      <c r="I27" s="54">
        <f t="shared" si="0"/>
        <v>0.003964532902874228</v>
      </c>
      <c r="J27" s="52"/>
      <c r="K27" s="53">
        <f t="shared" si="1"/>
        <v>-6759.510889622018</v>
      </c>
      <c r="M27" s="10">
        <f>'B1.1 Re-Based Bill Det &amp; Rates'!J27</f>
        <v>20244150</v>
      </c>
      <c r="O27" s="10">
        <f>'B1.1 Re-Based Bill Det &amp; Rates'!K27</f>
        <v>0</v>
      </c>
      <c r="Q27" s="7">
        <f t="shared" si="2"/>
        <v>-0.0003</v>
      </c>
      <c r="S27" s="7">
        <f t="shared" si="3"/>
      </c>
    </row>
    <row r="28" spans="2:19" s="2" customFormat="1" ht="15">
      <c r="B28" s="6">
        <v>7</v>
      </c>
      <c r="C28" s="51" t="str">
        <f>'B1.1 Re-Based Bill Det &amp; Rates'!D28</f>
        <v>Standby Power General Service 50 to 1,499 kW</v>
      </c>
      <c r="D28" s="51" t="str">
        <f>'B1.1 Re-Based Bill Det &amp; Rates'!E28</f>
        <v>Connection</v>
      </c>
      <c r="E28" s="51" t="str">
        <f>'B1.1 Re-Based Bill Det &amp; Rates'!F28</f>
        <v>kW</v>
      </c>
      <c r="F28" s="52"/>
      <c r="G28" s="53">
        <f>'B1.3 Re-Based Rev From Rates'!P28</f>
        <v>25466.88</v>
      </c>
      <c r="H28" s="52"/>
      <c r="I28" s="54">
        <f t="shared" si="0"/>
        <v>0.00018174590295862725</v>
      </c>
      <c r="J28" s="52"/>
      <c r="K28" s="53">
        <f t="shared" si="1"/>
        <v>-309.87595267588097</v>
      </c>
      <c r="M28" s="10">
        <f>'B1.1 Re-Based Bill Det &amp; Rates'!J28</f>
        <v>0</v>
      </c>
      <c r="O28" s="10">
        <f>'B1.1 Re-Based Bill Det &amp; Rates'!K28</f>
        <v>15000</v>
      </c>
      <c r="Q28" s="7">
        <f t="shared" si="2"/>
      </c>
      <c r="S28" s="7">
        <f t="shared" si="3"/>
        <v>-0.0207</v>
      </c>
    </row>
    <row r="29" spans="2:19" s="2" customFormat="1" ht="15">
      <c r="B29" s="6">
        <v>8</v>
      </c>
      <c r="C29" s="51" t="str">
        <f>'B1.1 Re-Based Bill Det &amp; Rates'!D29</f>
        <v>Standby Power General Service 1,500 to 4,999 kW</v>
      </c>
      <c r="D29" s="51" t="str">
        <f>'B1.1 Re-Based Bill Det &amp; Rates'!E29</f>
        <v>Connection</v>
      </c>
      <c r="E29" s="51" t="str">
        <f>'B1.1 Re-Based Bill Det &amp; Rates'!F29</f>
        <v>kW</v>
      </c>
      <c r="F29" s="52"/>
      <c r="G29" s="53">
        <f>'B1.3 Re-Based Rev From Rates'!P29</f>
        <v>197817</v>
      </c>
      <c r="H29" s="52"/>
      <c r="I29" s="54">
        <f t="shared" si="0"/>
        <v>0.001411732779420438</v>
      </c>
      <c r="J29" s="52"/>
      <c r="K29" s="53">
        <f t="shared" si="1"/>
        <v>-2406.998082626719</v>
      </c>
      <c r="M29" s="10">
        <f>'B1.1 Re-Based Bill Det &amp; Rates'!J29</f>
        <v>0</v>
      </c>
      <c r="O29" s="10">
        <f>'B1.1 Re-Based Bill Det &amp; Rates'!K29</f>
        <v>144960</v>
      </c>
      <c r="Q29" s="7">
        <f t="shared" si="2"/>
      </c>
      <c r="S29" s="7">
        <f t="shared" si="3"/>
        <v>-0.0166</v>
      </c>
    </row>
    <row r="30" spans="2:19" s="2" customFormat="1" ht="15">
      <c r="B30" s="6">
        <v>9</v>
      </c>
      <c r="C30" s="51" t="str">
        <f>'B1.1 Re-Based Bill Det &amp; Rates'!D30</f>
        <v>Standby - Large Use</v>
      </c>
      <c r="D30" s="51" t="str">
        <f>'B1.1 Re-Based Bill Det &amp; Rates'!E30</f>
        <v>Connection</v>
      </c>
      <c r="E30" s="51" t="str">
        <f>'B1.1 Re-Based Bill Det &amp; Rates'!F30</f>
        <v>kW</v>
      </c>
      <c r="F30" s="52"/>
      <c r="G30" s="53">
        <f>'B1.3 Re-Based Rev From Rates'!P30</f>
        <v>8334.6</v>
      </c>
      <c r="H30" s="52"/>
      <c r="I30" s="54">
        <f t="shared" si="0"/>
        <v>5.948036833718833E-05</v>
      </c>
      <c r="J30" s="52"/>
      <c r="K30" s="53">
        <f t="shared" si="1"/>
        <v>-101.41376231294912</v>
      </c>
      <c r="M30" s="10">
        <f>'B1.1 Re-Based Bill Det &amp; Rates'!J30</f>
        <v>0</v>
      </c>
      <c r="O30" s="10">
        <f>'B1.1 Re-Based Bill Det &amp; Rates'!K30</f>
        <v>4800</v>
      </c>
      <c r="Q30" s="7">
        <f t="shared" si="2"/>
      </c>
      <c r="S30" s="7">
        <f t="shared" si="3"/>
        <v>-0.0211</v>
      </c>
    </row>
    <row r="31" spans="2:19" s="2" customFormat="1" ht="15">
      <c r="B31" s="6">
        <v>10</v>
      </c>
      <c r="C31" s="51" t="str">
        <f>'B1.1 Re-Based Bill Det &amp; Rates'!D31</f>
        <v>Sentinel Lighting</v>
      </c>
      <c r="D31" s="51" t="str">
        <f>'B1.1 Re-Based Bill Det &amp; Rates'!E31</f>
        <v>Connection</v>
      </c>
      <c r="E31" s="51" t="str">
        <f>'B1.1 Re-Based Bill Det &amp; Rates'!F31</f>
        <v>kW</v>
      </c>
      <c r="F31" s="52"/>
      <c r="G31" s="53">
        <f>'B1.3 Re-Based Rev From Rates'!P31</f>
        <v>4012.8127999999997</v>
      </c>
      <c r="H31" s="52"/>
      <c r="I31" s="54">
        <f t="shared" si="0"/>
        <v>2.8637677082545535E-05</v>
      </c>
      <c r="J31" s="52"/>
      <c r="K31" s="53">
        <f t="shared" si="1"/>
        <v>-48.827111499719216</v>
      </c>
      <c r="M31" s="10">
        <f>'B1.1 Re-Based Bill Det &amp; Rates'!J31</f>
        <v>92512</v>
      </c>
      <c r="O31" s="10">
        <f>'B1.1 Re-Based Bill Det &amp; Rates'!K31</f>
        <v>257</v>
      </c>
      <c r="Q31" s="7">
        <f t="shared" si="2"/>
      </c>
      <c r="S31" s="7">
        <f t="shared" si="3"/>
        <v>-0.19</v>
      </c>
    </row>
    <row r="32" spans="2:19" s="2" customFormat="1" ht="15">
      <c r="B32" s="6">
        <v>11</v>
      </c>
      <c r="C32" s="51" t="str">
        <f>'B1.1 Re-Based Bill Det &amp; Rates'!D32</f>
        <v>Street Lighting</v>
      </c>
      <c r="D32" s="51" t="str">
        <f>'B1.1 Re-Based Bill Det &amp; Rates'!E32</f>
        <v>Connection</v>
      </c>
      <c r="E32" s="51" t="str">
        <f>'B1.1 Re-Based Bill Det &amp; Rates'!F32</f>
        <v>kW</v>
      </c>
      <c r="F32" s="52"/>
      <c r="G32" s="53">
        <f>'B1.3 Re-Based Rev From Rates'!P32</f>
        <v>647577.8496683792</v>
      </c>
      <c r="H32" s="52"/>
      <c r="I32" s="54">
        <f t="shared" si="0"/>
        <v>0.00462147781840515</v>
      </c>
      <c r="J32" s="52"/>
      <c r="K32" s="53">
        <f t="shared" si="1"/>
        <v>-7879.599035994493</v>
      </c>
      <c r="M32" s="10">
        <f>'B1.1 Re-Based Bill Det &amp; Rates'!J32</f>
        <v>40114500.00000001</v>
      </c>
      <c r="O32" s="10">
        <f>'B1.1 Re-Based Bill Det &amp; Rates'!K32</f>
        <v>107223.01662803371</v>
      </c>
      <c r="Q32" s="7">
        <f t="shared" si="2"/>
      </c>
      <c r="S32" s="7">
        <f t="shared" si="3"/>
        <v>-0.0735</v>
      </c>
    </row>
    <row r="33" spans="2:21" s="2" customFormat="1" ht="15" hidden="1">
      <c r="B33" s="6">
        <v>12</v>
      </c>
      <c r="C33" s="51" t="str">
        <f>'B1.1 Re-Based Bill Det &amp; Rates'!D33</f>
        <v>Rate Class 12</v>
      </c>
      <c r="D33" s="51" t="str">
        <f>'B1.1 Re-Based Bill Det &amp; Rates'!E33</f>
        <v>NA</v>
      </c>
      <c r="E33" s="51" t="str">
        <f>'B1.1 Re-Based Bill Det &amp; Rates'!F33</f>
        <v>NA</v>
      </c>
      <c r="F33" s="52"/>
      <c r="G33" s="53">
        <f>'B1.3 Re-Based Rev From Rates'!P33</f>
        <v>0</v>
      </c>
      <c r="H33" s="52"/>
      <c r="I33" s="54">
        <f t="shared" si="0"/>
        <v>0</v>
      </c>
      <c r="J33" s="52"/>
      <c r="K33" s="53">
        <f t="shared" si="1"/>
        <v>0</v>
      </c>
      <c r="M33" s="10">
        <f>'B1.1 Re-Based Bill Det &amp; Rates'!J33</f>
        <v>0</v>
      </c>
      <c r="O33" s="10">
        <f>'B1.1 Re-Based Bill Det &amp; Rates'!K33</f>
        <v>0</v>
      </c>
      <c r="Q33" s="7">
        <f t="shared" si="2"/>
      </c>
      <c r="S33" s="7">
        <f t="shared" si="3"/>
      </c>
      <c r="U33" s="32" t="s">
        <v>233</v>
      </c>
    </row>
    <row r="34" spans="2:19" s="2" customFormat="1" ht="15" hidden="1">
      <c r="B34" s="6">
        <v>13</v>
      </c>
      <c r="C34" s="51" t="str">
        <f>'B1.1 Re-Based Bill Det &amp; Rates'!D34</f>
        <v>Rate Class 13</v>
      </c>
      <c r="D34" s="51" t="str">
        <f>'B1.1 Re-Based Bill Det &amp; Rates'!E34</f>
        <v>NA</v>
      </c>
      <c r="E34" s="51" t="str">
        <f>'B1.1 Re-Based Bill Det &amp; Rates'!F34</f>
        <v>NA</v>
      </c>
      <c r="F34" s="52"/>
      <c r="G34" s="53">
        <f>'B1.3 Re-Based Rev From Rates'!P34</f>
        <v>0</v>
      </c>
      <c r="H34" s="52"/>
      <c r="I34" s="54">
        <f t="shared" si="0"/>
        <v>0</v>
      </c>
      <c r="J34" s="52"/>
      <c r="K34" s="53">
        <f t="shared" si="1"/>
        <v>0</v>
      </c>
      <c r="M34" s="10">
        <f>'B1.1 Re-Based Bill Det &amp; Rates'!J34</f>
        <v>0</v>
      </c>
      <c r="O34" s="10">
        <f>'B1.1 Re-Based Bill Det &amp; Rates'!K34</f>
        <v>0</v>
      </c>
      <c r="Q34" s="7">
        <f t="shared" si="2"/>
      </c>
      <c r="S34" s="7">
        <f t="shared" si="3"/>
      </c>
    </row>
    <row r="35" spans="2:19" s="2" customFormat="1" ht="15" hidden="1">
      <c r="B35" s="6">
        <v>14</v>
      </c>
      <c r="C35" s="51" t="str">
        <f>'B1.1 Re-Based Bill Det &amp; Rates'!D35</f>
        <v>Rate Class 14</v>
      </c>
      <c r="D35" s="51" t="str">
        <f>'B1.1 Re-Based Bill Det &amp; Rates'!E35</f>
        <v>NA</v>
      </c>
      <c r="E35" s="51" t="str">
        <f>'B1.1 Re-Based Bill Det &amp; Rates'!F35</f>
        <v>NA</v>
      </c>
      <c r="F35" s="52"/>
      <c r="G35" s="53">
        <f>'B1.3 Re-Based Rev From Rates'!P35</f>
        <v>0</v>
      </c>
      <c r="H35" s="52"/>
      <c r="I35" s="54">
        <f t="shared" si="0"/>
        <v>0</v>
      </c>
      <c r="J35" s="52"/>
      <c r="K35" s="53">
        <f t="shared" si="1"/>
        <v>0</v>
      </c>
      <c r="M35" s="10">
        <f>'B1.1 Re-Based Bill Det &amp; Rates'!J35</f>
        <v>0</v>
      </c>
      <c r="O35" s="10">
        <f>'B1.1 Re-Based Bill Det &amp; Rates'!K35</f>
        <v>0</v>
      </c>
      <c r="Q35" s="7">
        <f t="shared" si="2"/>
      </c>
      <c r="S35" s="7">
        <f t="shared" si="3"/>
      </c>
    </row>
    <row r="36" spans="2:19" s="2" customFormat="1" ht="15" hidden="1">
      <c r="B36" s="6">
        <v>15</v>
      </c>
      <c r="C36" s="51" t="str">
        <f>'B1.1 Re-Based Bill Det &amp; Rates'!D36</f>
        <v>Rate Class 15</v>
      </c>
      <c r="D36" s="51" t="str">
        <f>'B1.1 Re-Based Bill Det &amp; Rates'!E36</f>
        <v>NA</v>
      </c>
      <c r="E36" s="51" t="str">
        <f>'B1.1 Re-Based Bill Det &amp; Rates'!F36</f>
        <v>NA</v>
      </c>
      <c r="F36" s="52"/>
      <c r="G36" s="53">
        <f>'B1.3 Re-Based Rev From Rates'!P36</f>
        <v>0</v>
      </c>
      <c r="H36" s="52"/>
      <c r="I36" s="54">
        <f t="shared" si="0"/>
        <v>0</v>
      </c>
      <c r="J36" s="52"/>
      <c r="K36" s="53">
        <f t="shared" si="1"/>
        <v>0</v>
      </c>
      <c r="M36" s="10">
        <f>'B1.1 Re-Based Bill Det &amp; Rates'!J36</f>
        <v>0</v>
      </c>
      <c r="O36" s="10">
        <f>'B1.1 Re-Based Bill Det &amp; Rates'!K36</f>
        <v>0</v>
      </c>
      <c r="Q36" s="7">
        <f t="shared" si="2"/>
      </c>
      <c r="S36" s="7">
        <f t="shared" si="3"/>
      </c>
    </row>
    <row r="37" spans="2:19" s="2" customFormat="1" ht="15" hidden="1">
      <c r="B37" s="6">
        <v>16</v>
      </c>
      <c r="C37" s="51" t="str">
        <f>'B1.1 Re-Based Bill Det &amp; Rates'!D37</f>
        <v>Rate Class 16</v>
      </c>
      <c r="D37" s="51" t="str">
        <f>'B1.1 Re-Based Bill Det &amp; Rates'!E37</f>
        <v>NA</v>
      </c>
      <c r="E37" s="51" t="str">
        <f>'B1.1 Re-Based Bill Det &amp; Rates'!F37</f>
        <v>NA</v>
      </c>
      <c r="F37" s="52"/>
      <c r="G37" s="53">
        <f>'B1.3 Re-Based Rev From Rates'!P37</f>
        <v>0</v>
      </c>
      <c r="H37" s="52"/>
      <c r="I37" s="54">
        <f t="shared" si="0"/>
        <v>0</v>
      </c>
      <c r="J37" s="52"/>
      <c r="K37" s="53">
        <f t="shared" si="1"/>
        <v>0</v>
      </c>
      <c r="M37" s="10">
        <f>'B1.1 Re-Based Bill Det &amp; Rates'!J37</f>
        <v>0</v>
      </c>
      <c r="O37" s="10">
        <f>'B1.1 Re-Based Bill Det &amp; Rates'!K37</f>
        <v>0</v>
      </c>
      <c r="Q37" s="7">
        <f t="shared" si="2"/>
      </c>
      <c r="S37" s="7">
        <f t="shared" si="3"/>
      </c>
    </row>
    <row r="38" spans="2:19" s="2" customFormat="1" ht="15" hidden="1">
      <c r="B38" s="6">
        <v>17</v>
      </c>
      <c r="C38" s="51" t="str">
        <f>'B1.1 Re-Based Bill Det &amp; Rates'!D38</f>
        <v>Rate Class 17</v>
      </c>
      <c r="D38" s="51" t="str">
        <f>'B1.1 Re-Based Bill Det &amp; Rates'!E38</f>
        <v>NA</v>
      </c>
      <c r="E38" s="51" t="str">
        <f>'B1.1 Re-Based Bill Det &amp; Rates'!F38</f>
        <v>NA</v>
      </c>
      <c r="F38" s="52"/>
      <c r="G38" s="53">
        <f>'B1.3 Re-Based Rev From Rates'!P38</f>
        <v>0</v>
      </c>
      <c r="H38" s="52"/>
      <c r="I38" s="54">
        <f t="shared" si="0"/>
        <v>0</v>
      </c>
      <c r="J38" s="52"/>
      <c r="K38" s="53">
        <f t="shared" si="1"/>
        <v>0</v>
      </c>
      <c r="M38" s="10">
        <f>'B1.1 Re-Based Bill Det &amp; Rates'!J38</f>
        <v>0</v>
      </c>
      <c r="O38" s="10">
        <f>'B1.1 Re-Based Bill Det &amp; Rates'!K38</f>
        <v>0</v>
      </c>
      <c r="Q38" s="7">
        <f t="shared" si="2"/>
      </c>
      <c r="S38" s="7">
        <f t="shared" si="3"/>
      </c>
    </row>
    <row r="39" spans="2:19" s="2" customFormat="1" ht="15" hidden="1">
      <c r="B39" s="6">
        <v>18</v>
      </c>
      <c r="C39" s="51" t="str">
        <f>'B1.1 Re-Based Bill Det &amp; Rates'!D39</f>
        <v>Rate Class 18</v>
      </c>
      <c r="D39" s="51" t="str">
        <f>'B1.1 Re-Based Bill Det &amp; Rates'!E39</f>
        <v>NA</v>
      </c>
      <c r="E39" s="51" t="str">
        <f>'B1.1 Re-Based Bill Det &amp; Rates'!F39</f>
        <v>NA</v>
      </c>
      <c r="F39" s="52"/>
      <c r="G39" s="53">
        <f>'B1.3 Re-Based Rev From Rates'!P39</f>
        <v>0</v>
      </c>
      <c r="H39" s="52"/>
      <c r="I39" s="54">
        <f t="shared" si="0"/>
        <v>0</v>
      </c>
      <c r="J39" s="52"/>
      <c r="K39" s="53">
        <f t="shared" si="1"/>
        <v>0</v>
      </c>
      <c r="M39" s="10">
        <f>'B1.1 Re-Based Bill Det &amp; Rates'!J39</f>
        <v>0</v>
      </c>
      <c r="O39" s="10">
        <f>'B1.1 Re-Based Bill Det &amp; Rates'!K39</f>
        <v>0</v>
      </c>
      <c r="Q39" s="7">
        <f t="shared" si="2"/>
      </c>
      <c r="S39" s="7">
        <f t="shared" si="3"/>
      </c>
    </row>
    <row r="40" spans="2:19" s="2" customFormat="1" ht="15" hidden="1">
      <c r="B40" s="6">
        <v>19</v>
      </c>
      <c r="C40" s="51" t="str">
        <f>'B1.1 Re-Based Bill Det &amp; Rates'!D40</f>
        <v>Rate Class 19</v>
      </c>
      <c r="D40" s="51" t="str">
        <f>'B1.1 Re-Based Bill Det &amp; Rates'!E40</f>
        <v>NA</v>
      </c>
      <c r="E40" s="51" t="str">
        <f>'B1.1 Re-Based Bill Det &amp; Rates'!F40</f>
        <v>NA</v>
      </c>
      <c r="F40" s="52"/>
      <c r="G40" s="53">
        <f>'B1.3 Re-Based Rev From Rates'!P40</f>
        <v>0</v>
      </c>
      <c r="H40" s="52"/>
      <c r="I40" s="54">
        <f t="shared" si="0"/>
        <v>0</v>
      </c>
      <c r="J40" s="52"/>
      <c r="K40" s="53">
        <f t="shared" si="1"/>
        <v>0</v>
      </c>
      <c r="M40" s="10">
        <f>'B1.1 Re-Based Bill Det &amp; Rates'!J40</f>
        <v>0</v>
      </c>
      <c r="O40" s="10">
        <f>'B1.1 Re-Based Bill Det &amp; Rates'!K40</f>
        <v>0</v>
      </c>
      <c r="Q40" s="7">
        <f t="shared" si="2"/>
      </c>
      <c r="S40" s="7">
        <f t="shared" si="3"/>
      </c>
    </row>
    <row r="41" spans="2:19" s="2" customFormat="1" ht="15" hidden="1">
      <c r="B41" s="6">
        <v>20</v>
      </c>
      <c r="C41" s="51" t="str">
        <f>'B1.1 Re-Based Bill Det &amp; Rates'!D41</f>
        <v>Rate Class 20</v>
      </c>
      <c r="D41" s="51" t="str">
        <f>'B1.1 Re-Based Bill Det &amp; Rates'!E41</f>
        <v>NA</v>
      </c>
      <c r="E41" s="51" t="str">
        <f>'B1.1 Re-Based Bill Det &amp; Rates'!F41</f>
        <v>NA</v>
      </c>
      <c r="F41" s="52"/>
      <c r="G41" s="53">
        <f>'B1.3 Re-Based Rev From Rates'!P41</f>
        <v>0</v>
      </c>
      <c r="H41" s="52"/>
      <c r="I41" s="54">
        <f t="shared" si="0"/>
        <v>0</v>
      </c>
      <c r="J41" s="52"/>
      <c r="K41" s="53">
        <f t="shared" si="1"/>
        <v>0</v>
      </c>
      <c r="M41" s="10">
        <f>'B1.1 Re-Based Bill Det &amp; Rates'!J41</f>
        <v>0</v>
      </c>
      <c r="O41" s="10">
        <f>'B1.1 Re-Based Bill Det &amp; Rates'!K41</f>
        <v>0</v>
      </c>
      <c r="Q41" s="7">
        <f t="shared" si="2"/>
      </c>
      <c r="S41" s="7">
        <f t="shared" si="3"/>
      </c>
    </row>
    <row r="42" spans="2:19" s="2" customFormat="1" ht="15" hidden="1">
      <c r="B42" s="6">
        <v>21</v>
      </c>
      <c r="C42" s="51" t="str">
        <f>'B1.1 Re-Based Bill Det &amp; Rates'!D42</f>
        <v>Rate Class 21</v>
      </c>
      <c r="D42" s="51" t="str">
        <f>'B1.1 Re-Based Bill Det &amp; Rates'!E42</f>
        <v>NA</v>
      </c>
      <c r="E42" s="51" t="str">
        <f>'B1.1 Re-Based Bill Det &amp; Rates'!F42</f>
        <v>NA</v>
      </c>
      <c r="F42" s="52"/>
      <c r="G42" s="53">
        <f>'B1.3 Re-Based Rev From Rates'!P42</f>
        <v>0</v>
      </c>
      <c r="H42" s="52"/>
      <c r="I42" s="54">
        <f t="shared" si="0"/>
        <v>0</v>
      </c>
      <c r="J42" s="52"/>
      <c r="K42" s="53">
        <f t="shared" si="1"/>
        <v>0</v>
      </c>
      <c r="M42" s="10">
        <f>'B1.1 Re-Based Bill Det &amp; Rates'!J42</f>
        <v>0</v>
      </c>
      <c r="O42" s="10">
        <f>'B1.1 Re-Based Bill Det &amp; Rates'!K42</f>
        <v>0</v>
      </c>
      <c r="Q42" s="7">
        <f t="shared" si="2"/>
      </c>
      <c r="S42" s="7">
        <f t="shared" si="3"/>
      </c>
    </row>
    <row r="43" spans="2:19" s="2" customFormat="1" ht="15" hidden="1">
      <c r="B43" s="6">
        <v>22</v>
      </c>
      <c r="C43" s="51" t="str">
        <f>'B1.1 Re-Based Bill Det &amp; Rates'!D43</f>
        <v>Rate Class 22</v>
      </c>
      <c r="D43" s="51" t="str">
        <f>'B1.1 Re-Based Bill Det &amp; Rates'!E43</f>
        <v>NA</v>
      </c>
      <c r="E43" s="51" t="str">
        <f>'B1.1 Re-Based Bill Det &amp; Rates'!F43</f>
        <v>NA</v>
      </c>
      <c r="F43" s="52"/>
      <c r="G43" s="53">
        <f>'B1.3 Re-Based Rev From Rates'!P43</f>
        <v>0</v>
      </c>
      <c r="H43" s="52"/>
      <c r="I43" s="54">
        <f t="shared" si="0"/>
        <v>0</v>
      </c>
      <c r="J43" s="52"/>
      <c r="K43" s="53">
        <f t="shared" si="1"/>
        <v>0</v>
      </c>
      <c r="M43" s="10">
        <f>'B1.1 Re-Based Bill Det &amp; Rates'!J43</f>
        <v>0</v>
      </c>
      <c r="O43" s="10">
        <f>'B1.1 Re-Based Bill Det &amp; Rates'!K43</f>
        <v>0</v>
      </c>
      <c r="Q43" s="7">
        <f t="shared" si="2"/>
      </c>
      <c r="S43" s="7">
        <f t="shared" si="3"/>
      </c>
    </row>
    <row r="44" spans="2:19" s="2" customFormat="1" ht="15" hidden="1">
      <c r="B44" s="6">
        <v>23</v>
      </c>
      <c r="C44" s="51" t="str">
        <f>'B1.1 Re-Based Bill Det &amp; Rates'!D44</f>
        <v>Rate Class 23</v>
      </c>
      <c r="D44" s="51" t="str">
        <f>'B1.1 Re-Based Bill Det &amp; Rates'!E44</f>
        <v>NA</v>
      </c>
      <c r="E44" s="51" t="str">
        <f>'B1.1 Re-Based Bill Det &amp; Rates'!F44</f>
        <v>NA</v>
      </c>
      <c r="F44" s="52"/>
      <c r="G44" s="53">
        <f>'B1.3 Re-Based Rev From Rates'!P44</f>
        <v>0</v>
      </c>
      <c r="H44" s="52"/>
      <c r="I44" s="54">
        <f t="shared" si="0"/>
        <v>0</v>
      </c>
      <c r="J44" s="52"/>
      <c r="K44" s="53">
        <f t="shared" si="1"/>
        <v>0</v>
      </c>
      <c r="M44" s="10">
        <f>'B1.1 Re-Based Bill Det &amp; Rates'!J44</f>
        <v>0</v>
      </c>
      <c r="O44" s="10">
        <f>'B1.1 Re-Based Bill Det &amp; Rates'!K44</f>
        <v>0</v>
      </c>
      <c r="Q44" s="7">
        <f t="shared" si="2"/>
      </c>
      <c r="S44" s="7">
        <f t="shared" si="3"/>
      </c>
    </row>
    <row r="45" spans="2:19" s="2" customFormat="1" ht="15" hidden="1">
      <c r="B45" s="6">
        <v>24</v>
      </c>
      <c r="C45" s="51" t="str">
        <f>'B1.1 Re-Based Bill Det &amp; Rates'!D45</f>
        <v>Rate Class 24</v>
      </c>
      <c r="D45" s="51" t="str">
        <f>'B1.1 Re-Based Bill Det &amp; Rates'!E45</f>
        <v>NA</v>
      </c>
      <c r="E45" s="51" t="str">
        <f>'B1.1 Re-Based Bill Det &amp; Rates'!F45</f>
        <v>NA</v>
      </c>
      <c r="F45" s="52"/>
      <c r="G45" s="53">
        <f>'B1.3 Re-Based Rev From Rates'!P45</f>
        <v>0</v>
      </c>
      <c r="H45" s="52"/>
      <c r="I45" s="54">
        <f t="shared" si="0"/>
        <v>0</v>
      </c>
      <c r="J45" s="52"/>
      <c r="K45" s="53">
        <f t="shared" si="1"/>
        <v>0</v>
      </c>
      <c r="M45" s="10">
        <f>'B1.1 Re-Based Bill Det &amp; Rates'!J45</f>
        <v>0</v>
      </c>
      <c r="O45" s="10">
        <f>'B1.1 Re-Based Bill Det &amp; Rates'!K45</f>
        <v>0</v>
      </c>
      <c r="Q45" s="7">
        <f t="shared" si="2"/>
      </c>
      <c r="S45" s="7">
        <f t="shared" si="3"/>
      </c>
    </row>
    <row r="46" spans="2:19" s="2" customFormat="1" ht="15" hidden="1">
      <c r="B46" s="6">
        <v>25</v>
      </c>
      <c r="C46" s="51" t="str">
        <f>'B1.1 Re-Based Bill Det &amp; Rates'!D46</f>
        <v>Rate Class 25</v>
      </c>
      <c r="D46" s="51" t="str">
        <f>'B1.1 Re-Based Bill Det &amp; Rates'!E46</f>
        <v>NA</v>
      </c>
      <c r="E46" s="51" t="str">
        <f>'B1.1 Re-Based Bill Det &amp; Rates'!F46</f>
        <v>NA</v>
      </c>
      <c r="F46" s="52"/>
      <c r="G46" s="53">
        <f>'B1.3 Re-Based Rev From Rates'!P46</f>
        <v>0</v>
      </c>
      <c r="H46" s="52"/>
      <c r="I46" s="54">
        <f t="shared" si="0"/>
        <v>0</v>
      </c>
      <c r="J46" s="52"/>
      <c r="K46" s="53">
        <f t="shared" si="1"/>
        <v>0</v>
      </c>
      <c r="M46" s="10">
        <f>'B1.1 Re-Based Bill Det &amp; Rates'!J46</f>
        <v>0</v>
      </c>
      <c r="O46" s="10">
        <f>'B1.1 Re-Based Bill Det &amp; Rates'!K46</f>
        <v>0</v>
      </c>
      <c r="Q46" s="7">
        <f t="shared" si="2"/>
      </c>
      <c r="S46" s="7">
        <f t="shared" si="3"/>
      </c>
    </row>
    <row r="47" spans="3:19" s="2" customFormat="1" ht="15.75" thickBot="1">
      <c r="C47" s="52"/>
      <c r="D47" s="52"/>
      <c r="E47" s="52"/>
      <c r="F47" s="52"/>
      <c r="G47" s="55">
        <f>SUM(G22:G46)</f>
        <v>140123543.83469814</v>
      </c>
      <c r="H47" s="52"/>
      <c r="I47" s="56">
        <f>SUM(I22:I46)</f>
        <v>0.9999999999999999</v>
      </c>
      <c r="J47" s="52"/>
      <c r="K47" s="57">
        <f>'F1.1 Z-Factor Tax Changes'!K53</f>
        <v>-1704995.532947014</v>
      </c>
      <c r="M47" s="3"/>
      <c r="O47" s="3"/>
      <c r="Q47" s="3"/>
      <c r="S47" s="3"/>
    </row>
    <row r="48" spans="7:11" s="2" customFormat="1" ht="15.75">
      <c r="G48" s="24" t="s">
        <v>106</v>
      </c>
      <c r="K48" s="50">
        <f>SUM(K22:K46)-K47</f>
        <v>0</v>
      </c>
    </row>
    <row r="49" s="2" customFormat="1" ht="15.75">
      <c r="K49" s="24" t="s">
        <v>212</v>
      </c>
    </row>
    <row r="50" spans="17:19" s="2" customFormat="1" ht="45" customHeight="1">
      <c r="Q50" s="107" t="s">
        <v>487</v>
      </c>
      <c r="R50" s="107"/>
      <c r="S50" s="107"/>
    </row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  <row r="69" s="2" customFormat="1" ht="15"/>
  </sheetData>
  <sheetProtection password="927E" sheet="1" objects="1" scenarios="1"/>
  <mergeCells count="1">
    <mergeCell ref="Q50:S50"/>
  </mergeCells>
  <conditionalFormatting sqref="Q22:Q46">
    <cfRule type="cellIs" priority="1" dxfId="1" operator="between" stopIfTrue="1">
      <formula>-0.0001</formula>
      <formula>0.0001</formula>
    </cfRule>
  </conditionalFormatting>
  <conditionalFormatting sqref="S22:S46">
    <cfRule type="cellIs" priority="2" dxfId="1" operator="between" stopIfTrue="1">
      <formula>-0.01</formula>
      <formula>0.01</formula>
    </cfRule>
  </conditionalFormatting>
  <printOptions/>
  <pageMargins left="0.1968503937007874" right="0.2362204724409449" top="0.984251968503937" bottom="0.984251968503937" header="0.5118110236220472" footer="0.5118110236220472"/>
  <pageSetup fitToHeight="1" fitToWidth="1" horizontalDpi="600" verticalDpi="600" orientation="landscape" scale="71" r:id="rId3"/>
  <headerFooter alignWithMargins="0">
    <oddHeader>&amp;RHydro Ottawa Limited
EB-2010-0326
Attachment C
Filed: 2010-11-30
Page &amp;P of &amp;N</oddHeader>
    <oddFooter>&amp;C&amp;A</oddFooter>
  </headerFooter>
  <legacyDrawing r:id="rId2"/>
  <oleObjects>
    <oleObject progId="Unknown" shapeId="536873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7">
    <tabColor indexed="52"/>
    <pageSetUpPr fitToPage="1"/>
  </sheetPr>
  <dimension ref="A1:V49"/>
  <sheetViews>
    <sheetView showGridLines="0" zoomScalePageLayoutView="0" workbookViewId="0" topLeftCell="A9">
      <selection activeCell="C52" sqref="C52"/>
    </sheetView>
  </sheetViews>
  <sheetFormatPr defaultColWidth="0" defaultRowHeight="15" zeroHeight="1"/>
  <cols>
    <col min="1" max="1" width="15.77734375" style="8" customWidth="1"/>
    <col min="2" max="2" width="0" style="8" hidden="1" customWidth="1"/>
    <col min="3" max="3" width="30.77734375" style="8" customWidth="1"/>
    <col min="4" max="4" width="9.77734375" style="8" hidden="1" customWidth="1"/>
    <col min="5" max="5" width="9.3359375" style="8" hidden="1" customWidth="1"/>
    <col min="6" max="6" width="2.77734375" style="8" customWidth="1"/>
    <col min="7" max="7" width="9.4453125" style="8" bestFit="1" customWidth="1"/>
    <col min="8" max="9" width="10.88671875" style="8" bestFit="1" customWidth="1"/>
    <col min="10" max="10" width="2.77734375" style="8" customWidth="1"/>
    <col min="11" max="11" width="9.5546875" style="8" bestFit="1" customWidth="1"/>
    <col min="12" max="12" width="12.88671875" style="8" bestFit="1" customWidth="1"/>
    <col min="13" max="13" width="15.21484375" style="8" bestFit="1" customWidth="1"/>
    <col min="14" max="14" width="18.10546875" style="8" bestFit="1" customWidth="1"/>
    <col min="15" max="15" width="2.77734375" style="8" customWidth="1"/>
    <col min="16" max="16" width="11.88671875" style="8" bestFit="1" customWidth="1"/>
    <col min="17" max="17" width="9.99609375" style="8" bestFit="1" customWidth="1"/>
    <col min="18" max="18" width="8.88671875" style="8" bestFit="1" customWidth="1"/>
    <col min="19" max="19" width="2.77734375" style="8" customWidth="1"/>
    <col min="20" max="20" width="11.5546875" style="8" bestFit="1" customWidth="1"/>
    <col min="21" max="21" width="10.88671875" style="8" bestFit="1" customWidth="1"/>
    <col min="22" max="22" width="13.10546875" style="8" bestFit="1" customWidth="1"/>
    <col min="23" max="16384" width="0" style="8" hidden="1" customWidth="1"/>
  </cols>
  <sheetData>
    <row r="1" spans="1:22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="2" customFormat="1" ht="18">
      <c r="C2" s="22" t="str">
        <f>'A1.1 LDC Information'!C2</f>
        <v>Name of LDC:       Hydro Ottawa Limited</v>
      </c>
    </row>
    <row r="3" s="2" customFormat="1" ht="18">
      <c r="C3" s="22" t="str">
        <f>'A1.1 LDC Information'!C3</f>
        <v>File Number:          IRM3</v>
      </c>
    </row>
    <row r="4" s="2" customFormat="1" ht="18">
      <c r="C4" s="58" t="str">
        <f>'A1.1 LDC Information'!C4</f>
        <v>Effective Date:       December 30, 1899</v>
      </c>
    </row>
    <row r="5" s="2" customFormat="1" ht="15"/>
    <row r="6" s="2" customFormat="1" ht="15"/>
    <row r="7" s="2" customFormat="1" ht="15"/>
    <row r="8" s="2" customFormat="1" ht="15"/>
    <row r="9" s="2" customFormat="1" ht="15"/>
    <row r="10" s="2" customFormat="1" ht="26.25">
      <c r="C10" s="63" t="e">
        <f>'Z1.0 OEB Control Sheet'!#REF!</f>
        <v>#REF!</v>
      </c>
    </row>
    <row r="11" s="2" customFormat="1" ht="15"/>
    <row r="12" s="2" customFormat="1" ht="15"/>
    <row r="13" s="2" customFormat="1" ht="15"/>
    <row r="14" s="2" customFormat="1" ht="15"/>
    <row r="15" s="2" customFormat="1" ht="15"/>
    <row r="16" s="2" customFormat="1" ht="15"/>
    <row r="17" s="2" customFormat="1" ht="15"/>
    <row r="18" s="2" customFormat="1" ht="15"/>
    <row r="19" s="2" customFormat="1" ht="15"/>
    <row r="20" spans="2:22" s="2" customFormat="1" ht="78.75">
      <c r="B20" s="5" t="s">
        <v>9</v>
      </c>
      <c r="C20" s="24" t="s">
        <v>11</v>
      </c>
      <c r="D20" s="24" t="s">
        <v>12</v>
      </c>
      <c r="E20" s="24" t="s">
        <v>13</v>
      </c>
      <c r="F20" s="24"/>
      <c r="G20" s="24" t="s">
        <v>189</v>
      </c>
      <c r="H20" s="24" t="s">
        <v>190</v>
      </c>
      <c r="I20" s="24" t="s">
        <v>191</v>
      </c>
      <c r="J20" s="24"/>
      <c r="K20" s="24" t="s">
        <v>102</v>
      </c>
      <c r="L20" s="24" t="s">
        <v>103</v>
      </c>
      <c r="M20" s="24" t="s">
        <v>104</v>
      </c>
      <c r="N20" s="24" t="s">
        <v>105</v>
      </c>
      <c r="P20" s="24" t="s">
        <v>99</v>
      </c>
      <c r="Q20" s="24" t="s">
        <v>100</v>
      </c>
      <c r="R20" s="24" t="s">
        <v>101</v>
      </c>
      <c r="T20" s="24" t="s">
        <v>219</v>
      </c>
      <c r="U20" s="24" t="s">
        <v>210</v>
      </c>
      <c r="V20" s="24" t="s">
        <v>211</v>
      </c>
    </row>
    <row r="21" spans="2:22" s="2" customFormat="1" ht="15.75">
      <c r="B21" s="5"/>
      <c r="C21" s="24"/>
      <c r="D21" s="24"/>
      <c r="E21" s="24"/>
      <c r="F21" s="24"/>
      <c r="G21" s="24" t="s">
        <v>0</v>
      </c>
      <c r="H21" s="24" t="s">
        <v>1</v>
      </c>
      <c r="I21" s="24" t="s">
        <v>4</v>
      </c>
      <c r="J21" s="24"/>
      <c r="K21" s="24" t="s">
        <v>220</v>
      </c>
      <c r="L21" s="24" t="s">
        <v>221</v>
      </c>
      <c r="M21" s="24" t="s">
        <v>222</v>
      </c>
      <c r="N21" s="24" t="s">
        <v>223</v>
      </c>
      <c r="P21" s="24" t="s">
        <v>106</v>
      </c>
      <c r="Q21" s="24" t="s">
        <v>212</v>
      </c>
      <c r="R21" s="24" t="s">
        <v>224</v>
      </c>
      <c r="T21" s="13" t="s">
        <v>225</v>
      </c>
      <c r="U21" s="13" t="s">
        <v>226</v>
      </c>
      <c r="V21" s="13" t="s">
        <v>227</v>
      </c>
    </row>
    <row r="22" spans="2:22" s="2" customFormat="1" ht="15">
      <c r="B22" s="6">
        <v>1</v>
      </c>
      <c r="C22" s="25" t="str">
        <f>'B1.1 Re-Based Bill Det &amp; Rates'!D22</f>
        <v>Residential</v>
      </c>
      <c r="D22" s="25" t="str">
        <f>'B1.1 Re-Based Bill Det &amp; Rates'!E22</f>
        <v>Customer</v>
      </c>
      <c r="E22" s="25" t="str">
        <f>'B1.1 Re-Based Bill Det &amp; Rates'!F22</f>
        <v>kWh</v>
      </c>
      <c r="G22" s="11">
        <f>IF(ISERROR(#REF!*(#REF!/#REF!)),0,#REF!*(#REF!/#REF!))</f>
        <v>0</v>
      </c>
      <c r="H22" s="11">
        <f>IF(ISERROR(#REF!*(#REF!/#REF!)),0,#REF!*(#REF!/#REF!))</f>
        <v>0</v>
      </c>
      <c r="I22" s="11">
        <f>IF(ISERROR(#REF!*(#REF!/#REF!)),0,#REF!*(#REF!/#REF!))</f>
        <v>0</v>
      </c>
      <c r="K22" s="30">
        <f aca="true" t="shared" si="0" ref="K22:K46">IF(ISERROR($N$47*G22),"",$N$47*G22)</f>
      </c>
      <c r="L22" s="30">
        <f aca="true" t="shared" si="1" ref="L22:L46">IF(ISERROR($N$47*H22),"",$N$47*H22)</f>
      </c>
      <c r="M22" s="30">
        <f aca="true" t="shared" si="2" ref="M22:M46">IF(ISERROR($N$47*I22),"",$N$47*I22)</f>
      </c>
      <c r="N22" s="30">
        <f aca="true" t="shared" si="3" ref="N22:N46">SUM(K22:M22)</f>
        <v>0</v>
      </c>
      <c r="P22" s="10">
        <f>'B1.1 Re-Based Bill Det &amp; Rates'!I22</f>
        <v>264080</v>
      </c>
      <c r="Q22" s="10">
        <f>'B1.1 Re-Based Bill Det &amp; Rates'!J22</f>
        <v>2261678461.0666666</v>
      </c>
      <c r="R22" s="10">
        <f>'B1.1 Re-Based Bill Det &amp; Rates'!K22</f>
        <v>0</v>
      </c>
      <c r="T22" s="35">
        <f>IF(ISERROR(K22/P22/12),"",ROUND(K22/P22/12,6))</f>
      </c>
      <c r="U22" s="35">
        <f>IF(ISERROR(L22/Q22),"",ROUND(L22/Q22,6))</f>
      </c>
      <c r="V22" s="35">
        <f>IF(ISERROR(M22/R22),"",ROUND(M22/R22,6))</f>
      </c>
    </row>
    <row r="23" spans="2:22" s="2" customFormat="1" ht="15">
      <c r="B23" s="6">
        <v>2</v>
      </c>
      <c r="C23" s="25" t="str">
        <f>'B1.1 Re-Based Bill Det &amp; Rates'!D23</f>
        <v>General Service Less Than 50 kW</v>
      </c>
      <c r="D23" s="25" t="str">
        <f>'B1.1 Re-Based Bill Det &amp; Rates'!E23</f>
        <v>Customer</v>
      </c>
      <c r="E23" s="25" t="str">
        <f>'B1.1 Re-Based Bill Det &amp; Rates'!F23</f>
        <v>kWh</v>
      </c>
      <c r="G23" s="11">
        <f>IF(ISERROR(#REF!*(#REF!/#REF!)),0,#REF!*(#REF!/#REF!))</f>
        <v>0</v>
      </c>
      <c r="H23" s="11">
        <f>IF(ISERROR(#REF!*(#REF!/#REF!)),0,#REF!*(#REF!/#REF!))</f>
        <v>0</v>
      </c>
      <c r="I23" s="11">
        <f>IF(ISERROR(#REF!*(#REF!/#REF!)),0,#REF!*(#REF!/#REF!))</f>
        <v>0</v>
      </c>
      <c r="K23" s="30">
        <f t="shared" si="0"/>
      </c>
      <c r="L23" s="30">
        <f t="shared" si="1"/>
      </c>
      <c r="M23" s="30">
        <f t="shared" si="2"/>
      </c>
      <c r="N23" s="30">
        <f t="shared" si="3"/>
        <v>0</v>
      </c>
      <c r="P23" s="10">
        <f>'B1.1 Re-Based Bill Det &amp; Rates'!I23</f>
        <v>23051</v>
      </c>
      <c r="Q23" s="10">
        <f>'B1.1 Re-Based Bill Det &amp; Rates'!J23</f>
        <v>774937986.1312553</v>
      </c>
      <c r="R23" s="10">
        <f>'B1.1 Re-Based Bill Det &amp; Rates'!K23</f>
        <v>0</v>
      </c>
      <c r="T23" s="35">
        <f aca="true" t="shared" si="4" ref="T23:T46">IF(ISERROR(K23/P23/12),"",ROUND(K23/P23/12,6))</f>
      </c>
      <c r="U23" s="35">
        <f aca="true" t="shared" si="5" ref="U23:U46">IF(ISERROR(L23/Q23),"",ROUND(L23/Q23,6))</f>
      </c>
      <c r="V23" s="35">
        <f aca="true" t="shared" si="6" ref="V23:V46">IF(ISERROR(M23/R23),"",ROUND(M23/R23,6))</f>
      </c>
    </row>
    <row r="24" spans="2:22" s="2" customFormat="1" ht="15">
      <c r="B24" s="6">
        <v>3</v>
      </c>
      <c r="C24" s="25" t="str">
        <f>'B1.1 Re-Based Bill Det &amp; Rates'!D24</f>
        <v>General Service 50 to 1,499 kW</v>
      </c>
      <c r="D24" s="25" t="str">
        <f>'B1.1 Re-Based Bill Det &amp; Rates'!E24</f>
        <v>Customer</v>
      </c>
      <c r="E24" s="25" t="str">
        <f>'B1.1 Re-Based Bill Det &amp; Rates'!F24</f>
        <v>kW</v>
      </c>
      <c r="G24" s="11">
        <f>IF(ISERROR(#REF!*(#REF!/#REF!)),0,#REF!*(#REF!/#REF!))</f>
        <v>0</v>
      </c>
      <c r="H24" s="11">
        <f>IF(ISERROR(#REF!*(#REF!/#REF!)),0,#REF!*(#REF!/#REF!))</f>
        <v>0</v>
      </c>
      <c r="I24" s="11">
        <f>IF(ISERROR(#REF!*(#REF!/#REF!)),0,#REF!*(#REF!/#REF!))</f>
        <v>0</v>
      </c>
      <c r="K24" s="30">
        <f t="shared" si="0"/>
      </c>
      <c r="L24" s="30">
        <f t="shared" si="1"/>
      </c>
      <c r="M24" s="30">
        <f t="shared" si="2"/>
      </c>
      <c r="N24" s="30">
        <f t="shared" si="3"/>
        <v>0</v>
      </c>
      <c r="P24" s="10">
        <f>'B1.1 Re-Based Bill Det &amp; Rates'!I24</f>
        <v>3296</v>
      </c>
      <c r="Q24" s="10">
        <f>'B1.1 Re-Based Bill Det &amp; Rates'!J24</f>
        <v>3120930871.2703676</v>
      </c>
      <c r="R24" s="10">
        <f>'B1.1 Re-Based Bill Det &amp; Rates'!K24</f>
        <v>7373411.289297726</v>
      </c>
      <c r="T24" s="35">
        <f t="shared" si="4"/>
      </c>
      <c r="U24" s="35">
        <f t="shared" si="5"/>
      </c>
      <c r="V24" s="35">
        <f t="shared" si="6"/>
      </c>
    </row>
    <row r="25" spans="2:22" s="2" customFormat="1" ht="15">
      <c r="B25" s="6">
        <v>4</v>
      </c>
      <c r="C25" s="25" t="str">
        <f>'B1.1 Re-Based Bill Det &amp; Rates'!D25</f>
        <v>General Service 1,500 to 4,999 kW</v>
      </c>
      <c r="D25" s="25" t="str">
        <f>'B1.1 Re-Based Bill Det &amp; Rates'!E25</f>
        <v>Customer</v>
      </c>
      <c r="E25" s="25" t="str">
        <f>'B1.1 Re-Based Bill Det &amp; Rates'!F25</f>
        <v>kW</v>
      </c>
      <c r="G25" s="11">
        <f>IF(ISERROR(#REF!*(#REF!/#REF!)),0,#REF!*(#REF!/#REF!))</f>
        <v>0</v>
      </c>
      <c r="H25" s="11">
        <f>IF(ISERROR(#REF!*(#REF!/#REF!)),0,#REF!*(#REF!/#REF!))</f>
        <v>0</v>
      </c>
      <c r="I25" s="11">
        <f>IF(ISERROR(#REF!*(#REF!/#REF!)),0,#REF!*(#REF!/#REF!))</f>
        <v>0</v>
      </c>
      <c r="K25" s="30">
        <f t="shared" si="0"/>
      </c>
      <c r="L25" s="30">
        <f t="shared" si="1"/>
      </c>
      <c r="M25" s="30">
        <f t="shared" si="2"/>
      </c>
      <c r="N25" s="30">
        <f t="shared" si="3"/>
        <v>0</v>
      </c>
      <c r="P25" s="10">
        <f>'B1.1 Re-Based Bill Det &amp; Rates'!I25</f>
        <v>81</v>
      </c>
      <c r="Q25" s="10">
        <f>'B1.1 Re-Based Bill Det &amp; Rates'!J25</f>
        <v>837604030.8454968</v>
      </c>
      <c r="R25" s="10">
        <f>'B1.1 Re-Based Bill Det &amp; Rates'!K25</f>
        <v>1757833.0007844018</v>
      </c>
      <c r="T25" s="35">
        <f t="shared" si="4"/>
      </c>
      <c r="U25" s="35">
        <f t="shared" si="5"/>
      </c>
      <c r="V25" s="35">
        <f t="shared" si="6"/>
      </c>
    </row>
    <row r="26" spans="2:22" s="2" customFormat="1" ht="15">
      <c r="B26" s="6">
        <v>5</v>
      </c>
      <c r="C26" s="25" t="str">
        <f>'B1.1 Re-Based Bill Det &amp; Rates'!D26</f>
        <v>Large Use</v>
      </c>
      <c r="D26" s="25" t="str">
        <f>'B1.1 Re-Based Bill Det &amp; Rates'!E26</f>
        <v>Customer</v>
      </c>
      <c r="E26" s="25" t="str">
        <f>'B1.1 Re-Based Bill Det &amp; Rates'!F26</f>
        <v>kW</v>
      </c>
      <c r="G26" s="11">
        <f>IF(ISERROR(#REF!*(#REF!/#REF!)),0,#REF!*(#REF!/#REF!))</f>
        <v>0</v>
      </c>
      <c r="H26" s="11">
        <f>IF(ISERROR(#REF!*(#REF!/#REF!)),0,#REF!*(#REF!/#REF!))</f>
        <v>0</v>
      </c>
      <c r="I26" s="11">
        <f>IF(ISERROR(#REF!*(#REF!/#REF!)),0,#REF!*(#REF!/#REF!))</f>
        <v>0</v>
      </c>
      <c r="K26" s="30">
        <f t="shared" si="0"/>
      </c>
      <c r="L26" s="30">
        <f t="shared" si="1"/>
      </c>
      <c r="M26" s="30">
        <f t="shared" si="2"/>
      </c>
      <c r="N26" s="30">
        <f t="shared" si="3"/>
        <v>0</v>
      </c>
      <c r="P26" s="10">
        <f>'B1.1 Re-Based Bill Det &amp; Rates'!I26</f>
        <v>11</v>
      </c>
      <c r="Q26" s="10">
        <f>'B1.1 Re-Based Bill Det &amp; Rates'!J26</f>
        <v>649903952.4195468</v>
      </c>
      <c r="R26" s="10">
        <f>'B1.1 Re-Based Bill Det &amp; Rates'!K26</f>
        <v>1167396.0299565047</v>
      </c>
      <c r="T26" s="35">
        <f t="shared" si="4"/>
      </c>
      <c r="U26" s="35">
        <f t="shared" si="5"/>
      </c>
      <c r="V26" s="35">
        <f t="shared" si="6"/>
      </c>
    </row>
    <row r="27" spans="2:22" s="2" customFormat="1" ht="15">
      <c r="B27" s="6">
        <v>6</v>
      </c>
      <c r="C27" s="25" t="str">
        <f>'B1.1 Re-Based Bill Det &amp; Rates'!D27</f>
        <v>Unmetered Scattered Load</v>
      </c>
      <c r="D27" s="25" t="str">
        <f>'B1.1 Re-Based Bill Det &amp; Rates'!E27</f>
        <v>Connection</v>
      </c>
      <c r="E27" s="25" t="str">
        <f>'B1.1 Re-Based Bill Det &amp; Rates'!F27</f>
        <v>kWh</v>
      </c>
      <c r="G27" s="11">
        <f>IF(ISERROR(#REF!*(#REF!/#REF!)),0,#REF!*(#REF!/#REF!))</f>
        <v>0</v>
      </c>
      <c r="H27" s="11">
        <f>IF(ISERROR(#REF!*(#REF!/#REF!)),0,#REF!*(#REF!/#REF!))</f>
        <v>0</v>
      </c>
      <c r="I27" s="11">
        <f>IF(ISERROR(#REF!*(#REF!/#REF!)),0,#REF!*(#REF!/#REF!))</f>
        <v>0</v>
      </c>
      <c r="K27" s="30">
        <f t="shared" si="0"/>
      </c>
      <c r="L27" s="30">
        <f t="shared" si="1"/>
      </c>
      <c r="M27" s="30">
        <f t="shared" si="2"/>
      </c>
      <c r="N27" s="30">
        <f t="shared" si="3"/>
        <v>0</v>
      </c>
      <c r="P27" s="10">
        <f>'B1.1 Re-Based Bill Det &amp; Rates'!I27</f>
        <v>3115</v>
      </c>
      <c r="Q27" s="10">
        <f>'B1.1 Re-Based Bill Det &amp; Rates'!J27</f>
        <v>20244150</v>
      </c>
      <c r="R27" s="10">
        <f>'B1.1 Re-Based Bill Det &amp; Rates'!K27</f>
        <v>0</v>
      </c>
      <c r="T27" s="35">
        <f t="shared" si="4"/>
      </c>
      <c r="U27" s="35">
        <f t="shared" si="5"/>
      </c>
      <c r="V27" s="35">
        <f t="shared" si="6"/>
      </c>
    </row>
    <row r="28" spans="2:22" s="2" customFormat="1" ht="15">
      <c r="B28" s="6">
        <v>7</v>
      </c>
      <c r="C28" s="25" t="str">
        <f>'B1.1 Re-Based Bill Det &amp; Rates'!D28</f>
        <v>Standby Power General Service 50 to 1,499 kW</v>
      </c>
      <c r="D28" s="25" t="str">
        <f>'B1.1 Re-Based Bill Det &amp; Rates'!E28</f>
        <v>Connection</v>
      </c>
      <c r="E28" s="25" t="str">
        <f>'B1.1 Re-Based Bill Det &amp; Rates'!F28</f>
        <v>kW</v>
      </c>
      <c r="G28" s="11">
        <f>IF(ISERROR(#REF!*(#REF!/#REF!)),0,#REF!*(#REF!/#REF!))</f>
        <v>0</v>
      </c>
      <c r="H28" s="11">
        <f>IF(ISERROR(#REF!*(#REF!/#REF!)),0,#REF!*(#REF!/#REF!))</f>
        <v>0</v>
      </c>
      <c r="I28" s="11">
        <f>IF(ISERROR(#REF!*(#REF!/#REF!)),0,#REF!*(#REF!/#REF!))</f>
        <v>0</v>
      </c>
      <c r="K28" s="30">
        <f t="shared" si="0"/>
      </c>
      <c r="L28" s="30">
        <f t="shared" si="1"/>
      </c>
      <c r="M28" s="30">
        <f t="shared" si="2"/>
      </c>
      <c r="N28" s="30">
        <f t="shared" si="3"/>
        <v>0</v>
      </c>
      <c r="P28" s="10">
        <f>'B1.1 Re-Based Bill Det &amp; Rates'!I28</f>
        <v>3</v>
      </c>
      <c r="Q28" s="10">
        <f>'B1.1 Re-Based Bill Det &amp; Rates'!J28</f>
        <v>0</v>
      </c>
      <c r="R28" s="10">
        <f>'B1.1 Re-Based Bill Det &amp; Rates'!K28</f>
        <v>15000</v>
      </c>
      <c r="T28" s="35">
        <f t="shared" si="4"/>
      </c>
      <c r="U28" s="35">
        <f t="shared" si="5"/>
      </c>
      <c r="V28" s="35">
        <f t="shared" si="6"/>
      </c>
    </row>
    <row r="29" spans="2:22" s="2" customFormat="1" ht="15" hidden="1">
      <c r="B29" s="6">
        <v>8</v>
      </c>
      <c r="C29" s="25" t="str">
        <f>'B1.1 Re-Based Bill Det &amp; Rates'!D29</f>
        <v>Standby Power General Service 1,500 to 4,999 kW</v>
      </c>
      <c r="D29" s="25" t="str">
        <f>'B1.1 Re-Based Bill Det &amp; Rates'!E29</f>
        <v>Connection</v>
      </c>
      <c r="E29" s="25" t="str">
        <f>'B1.1 Re-Based Bill Det &amp; Rates'!F29</f>
        <v>kW</v>
      </c>
      <c r="G29" s="11">
        <f>IF(ISERROR(#REF!*(#REF!/#REF!)),0,#REF!*(#REF!/#REF!))</f>
        <v>0</v>
      </c>
      <c r="H29" s="11">
        <f>IF(ISERROR(#REF!*(#REF!/#REF!)),0,#REF!*(#REF!/#REF!))</f>
        <v>0</v>
      </c>
      <c r="I29" s="11">
        <f>IF(ISERROR(#REF!*(#REF!/#REF!)),0,#REF!*(#REF!/#REF!))</f>
        <v>0</v>
      </c>
      <c r="K29" s="30">
        <f t="shared" si="0"/>
      </c>
      <c r="L29" s="30">
        <f t="shared" si="1"/>
      </c>
      <c r="M29" s="30">
        <f t="shared" si="2"/>
      </c>
      <c r="N29" s="30">
        <f t="shared" si="3"/>
        <v>0</v>
      </c>
      <c r="P29" s="10">
        <f>'B1.1 Re-Based Bill Det &amp; Rates'!I29</f>
        <v>5</v>
      </c>
      <c r="Q29" s="10">
        <f>'B1.1 Re-Based Bill Det &amp; Rates'!J29</f>
        <v>0</v>
      </c>
      <c r="R29" s="10">
        <f>'B1.1 Re-Based Bill Det &amp; Rates'!K29</f>
        <v>144960</v>
      </c>
      <c r="T29" s="35">
        <f t="shared" si="4"/>
      </c>
      <c r="U29" s="35">
        <f t="shared" si="5"/>
      </c>
      <c r="V29" s="35">
        <f t="shared" si="6"/>
      </c>
    </row>
    <row r="30" spans="2:22" s="2" customFormat="1" ht="15" hidden="1">
      <c r="B30" s="6">
        <v>9</v>
      </c>
      <c r="C30" s="25" t="str">
        <f>'B1.1 Re-Based Bill Det &amp; Rates'!D30</f>
        <v>Standby - Large Use</v>
      </c>
      <c r="D30" s="25" t="str">
        <f>'B1.1 Re-Based Bill Det &amp; Rates'!E30</f>
        <v>Connection</v>
      </c>
      <c r="E30" s="25" t="str">
        <f>'B1.1 Re-Based Bill Det &amp; Rates'!F30</f>
        <v>kW</v>
      </c>
      <c r="G30" s="11">
        <f>IF(ISERROR(#REF!*(#REF!/#REF!)),0,#REF!*(#REF!/#REF!))</f>
        <v>0</v>
      </c>
      <c r="H30" s="11">
        <f>IF(ISERROR(#REF!*(#REF!/#REF!)),0,#REF!*(#REF!/#REF!))</f>
        <v>0</v>
      </c>
      <c r="I30" s="11">
        <f>IF(ISERROR(#REF!*(#REF!/#REF!)),0,#REF!*(#REF!/#REF!))</f>
        <v>0</v>
      </c>
      <c r="K30" s="30">
        <f t="shared" si="0"/>
      </c>
      <c r="L30" s="30">
        <f t="shared" si="1"/>
      </c>
      <c r="M30" s="30">
        <f t="shared" si="2"/>
      </c>
      <c r="N30" s="30">
        <f t="shared" si="3"/>
        <v>0</v>
      </c>
      <c r="P30" s="10">
        <f>'B1.1 Re-Based Bill Det &amp; Rates'!I30</f>
        <v>1</v>
      </c>
      <c r="Q30" s="10">
        <f>'B1.1 Re-Based Bill Det &amp; Rates'!J30</f>
        <v>0</v>
      </c>
      <c r="R30" s="10">
        <f>'B1.1 Re-Based Bill Det &amp; Rates'!K30</f>
        <v>4800</v>
      </c>
      <c r="T30" s="35">
        <f t="shared" si="4"/>
      </c>
      <c r="U30" s="35">
        <f t="shared" si="5"/>
      </c>
      <c r="V30" s="35">
        <f t="shared" si="6"/>
      </c>
    </row>
    <row r="31" spans="2:22" s="2" customFormat="1" ht="15" hidden="1">
      <c r="B31" s="6">
        <v>10</v>
      </c>
      <c r="C31" s="25" t="str">
        <f>'B1.1 Re-Based Bill Det &amp; Rates'!D31</f>
        <v>Sentinel Lighting</v>
      </c>
      <c r="D31" s="25" t="str">
        <f>'B1.1 Re-Based Bill Det &amp; Rates'!E31</f>
        <v>Connection</v>
      </c>
      <c r="E31" s="25" t="str">
        <f>'B1.1 Re-Based Bill Det &amp; Rates'!F31</f>
        <v>kW</v>
      </c>
      <c r="G31" s="11">
        <f>IF(ISERROR(#REF!*(#REF!/#REF!)),0,#REF!*(#REF!/#REF!))</f>
        <v>0</v>
      </c>
      <c r="H31" s="11">
        <f>IF(ISERROR(#REF!*(#REF!/#REF!)),0,#REF!*(#REF!/#REF!))</f>
        <v>0</v>
      </c>
      <c r="I31" s="11">
        <f>IF(ISERROR(#REF!*(#REF!/#REF!)),0,#REF!*(#REF!/#REF!))</f>
        <v>0</v>
      </c>
      <c r="K31" s="30">
        <f t="shared" si="0"/>
      </c>
      <c r="L31" s="30">
        <f t="shared" si="1"/>
      </c>
      <c r="M31" s="30">
        <f t="shared" si="2"/>
      </c>
      <c r="N31" s="30">
        <f t="shared" si="3"/>
        <v>0</v>
      </c>
      <c r="P31" s="10">
        <f>'B1.1 Re-Based Bill Det &amp; Rates'!I31</f>
        <v>95</v>
      </c>
      <c r="Q31" s="10">
        <f>'B1.1 Re-Based Bill Det &amp; Rates'!J31</f>
        <v>92512</v>
      </c>
      <c r="R31" s="10">
        <f>'B1.1 Re-Based Bill Det &amp; Rates'!K31</f>
        <v>257</v>
      </c>
      <c r="T31" s="35">
        <f t="shared" si="4"/>
      </c>
      <c r="U31" s="35">
        <f t="shared" si="5"/>
      </c>
      <c r="V31" s="35">
        <f t="shared" si="6"/>
      </c>
    </row>
    <row r="32" spans="2:22" s="2" customFormat="1" ht="15" hidden="1">
      <c r="B32" s="6">
        <v>11</v>
      </c>
      <c r="C32" s="25" t="str">
        <f>'B1.1 Re-Based Bill Det &amp; Rates'!D32</f>
        <v>Street Lighting</v>
      </c>
      <c r="D32" s="25" t="str">
        <f>'B1.1 Re-Based Bill Det &amp; Rates'!E32</f>
        <v>Connection</v>
      </c>
      <c r="E32" s="25" t="str">
        <f>'B1.1 Re-Based Bill Det &amp; Rates'!F32</f>
        <v>kW</v>
      </c>
      <c r="G32" s="11">
        <f>IF(ISERROR(#REF!*(#REF!/#REF!)),0,#REF!*(#REF!/#REF!))</f>
        <v>0</v>
      </c>
      <c r="H32" s="11">
        <f>IF(ISERROR(#REF!*(#REF!/#REF!)),0,#REF!*(#REF!/#REF!))</f>
        <v>0</v>
      </c>
      <c r="I32" s="11">
        <f>IF(ISERROR(#REF!*(#REF!/#REF!)),0,#REF!*(#REF!/#REF!))</f>
        <v>0</v>
      </c>
      <c r="K32" s="30">
        <f t="shared" si="0"/>
      </c>
      <c r="L32" s="30">
        <f t="shared" si="1"/>
      </c>
      <c r="M32" s="30">
        <f t="shared" si="2"/>
      </c>
      <c r="N32" s="30">
        <f t="shared" si="3"/>
        <v>0</v>
      </c>
      <c r="P32" s="10">
        <f>'B1.1 Re-Based Bill Det &amp; Rates'!I32</f>
        <v>47219</v>
      </c>
      <c r="Q32" s="10">
        <f>'B1.1 Re-Based Bill Det &amp; Rates'!J32</f>
        <v>40114500.00000001</v>
      </c>
      <c r="R32" s="10">
        <f>'B1.1 Re-Based Bill Det &amp; Rates'!K32</f>
        <v>107223.01662803371</v>
      </c>
      <c r="T32" s="35">
        <f t="shared" si="4"/>
      </c>
      <c r="U32" s="35">
        <f t="shared" si="5"/>
      </c>
      <c r="V32" s="35">
        <f t="shared" si="6"/>
      </c>
    </row>
    <row r="33" spans="2:22" s="2" customFormat="1" ht="15" hidden="1">
      <c r="B33" s="6">
        <v>12</v>
      </c>
      <c r="C33" s="25" t="str">
        <f>'B1.1 Re-Based Bill Det &amp; Rates'!D33</f>
        <v>Rate Class 12</v>
      </c>
      <c r="D33" s="25" t="str">
        <f>'B1.1 Re-Based Bill Det &amp; Rates'!E33</f>
        <v>NA</v>
      </c>
      <c r="E33" s="25" t="str">
        <f>'B1.1 Re-Based Bill Det &amp; Rates'!F33</f>
        <v>NA</v>
      </c>
      <c r="G33" s="11">
        <f>IF(ISERROR(#REF!*(#REF!/#REF!)),0,#REF!*(#REF!/#REF!))</f>
        <v>0</v>
      </c>
      <c r="H33" s="11">
        <f>IF(ISERROR(#REF!*(#REF!/#REF!)),0,#REF!*(#REF!/#REF!))</f>
        <v>0</v>
      </c>
      <c r="I33" s="11">
        <f>IF(ISERROR(#REF!*(#REF!/#REF!)),0,#REF!*(#REF!/#REF!))</f>
        <v>0</v>
      </c>
      <c r="K33" s="30">
        <f t="shared" si="0"/>
      </c>
      <c r="L33" s="30">
        <f t="shared" si="1"/>
      </c>
      <c r="M33" s="30">
        <f t="shared" si="2"/>
      </c>
      <c r="N33" s="30">
        <f t="shared" si="3"/>
        <v>0</v>
      </c>
      <c r="P33" s="10">
        <f>'B1.1 Re-Based Bill Det &amp; Rates'!I33</f>
        <v>0</v>
      </c>
      <c r="Q33" s="10">
        <f>'B1.1 Re-Based Bill Det &amp; Rates'!J33</f>
        <v>0</v>
      </c>
      <c r="R33" s="10">
        <f>'B1.1 Re-Based Bill Det &amp; Rates'!K33</f>
        <v>0</v>
      </c>
      <c r="T33" s="35">
        <f t="shared" si="4"/>
      </c>
      <c r="U33" s="35">
        <f t="shared" si="5"/>
      </c>
      <c r="V33" s="35">
        <f t="shared" si="6"/>
      </c>
    </row>
    <row r="34" spans="2:22" s="2" customFormat="1" ht="15" hidden="1">
      <c r="B34" s="6">
        <v>13</v>
      </c>
      <c r="C34" s="25" t="str">
        <f>'B1.1 Re-Based Bill Det &amp; Rates'!D34</f>
        <v>Rate Class 13</v>
      </c>
      <c r="D34" s="25" t="str">
        <f>'B1.1 Re-Based Bill Det &amp; Rates'!E34</f>
        <v>NA</v>
      </c>
      <c r="E34" s="25" t="str">
        <f>'B1.1 Re-Based Bill Det &amp; Rates'!F34</f>
        <v>NA</v>
      </c>
      <c r="G34" s="11">
        <f>IF(ISERROR(#REF!*(#REF!/#REF!)),0,#REF!*(#REF!/#REF!))</f>
        <v>0</v>
      </c>
      <c r="H34" s="11">
        <f>IF(ISERROR(#REF!*(#REF!/#REF!)),0,#REF!*(#REF!/#REF!))</f>
        <v>0</v>
      </c>
      <c r="I34" s="11">
        <f>IF(ISERROR(#REF!*(#REF!/#REF!)),0,#REF!*(#REF!/#REF!))</f>
        <v>0</v>
      </c>
      <c r="K34" s="30">
        <f t="shared" si="0"/>
      </c>
      <c r="L34" s="30">
        <f t="shared" si="1"/>
      </c>
      <c r="M34" s="30">
        <f t="shared" si="2"/>
      </c>
      <c r="N34" s="30">
        <f t="shared" si="3"/>
        <v>0</v>
      </c>
      <c r="P34" s="10">
        <f>'B1.1 Re-Based Bill Det &amp; Rates'!I34</f>
        <v>0</v>
      </c>
      <c r="Q34" s="10">
        <f>'B1.1 Re-Based Bill Det &amp; Rates'!J34</f>
        <v>0</v>
      </c>
      <c r="R34" s="10">
        <f>'B1.1 Re-Based Bill Det &amp; Rates'!K34</f>
        <v>0</v>
      </c>
      <c r="T34" s="35">
        <f t="shared" si="4"/>
      </c>
      <c r="U34" s="35">
        <f t="shared" si="5"/>
      </c>
      <c r="V34" s="35">
        <f t="shared" si="6"/>
      </c>
    </row>
    <row r="35" spans="2:22" s="2" customFormat="1" ht="15" hidden="1">
      <c r="B35" s="6">
        <v>14</v>
      </c>
      <c r="C35" s="25" t="str">
        <f>'B1.1 Re-Based Bill Det &amp; Rates'!D35</f>
        <v>Rate Class 14</v>
      </c>
      <c r="D35" s="25" t="str">
        <f>'B1.1 Re-Based Bill Det &amp; Rates'!E35</f>
        <v>NA</v>
      </c>
      <c r="E35" s="25" t="str">
        <f>'B1.1 Re-Based Bill Det &amp; Rates'!F35</f>
        <v>NA</v>
      </c>
      <c r="G35" s="11">
        <f>IF(ISERROR(#REF!*(#REF!/#REF!)),0,#REF!*(#REF!/#REF!))</f>
        <v>0</v>
      </c>
      <c r="H35" s="11">
        <f>IF(ISERROR(#REF!*(#REF!/#REF!)),0,#REF!*(#REF!/#REF!))</f>
        <v>0</v>
      </c>
      <c r="I35" s="11">
        <f>IF(ISERROR(#REF!*(#REF!/#REF!)),0,#REF!*(#REF!/#REF!))</f>
        <v>0</v>
      </c>
      <c r="K35" s="30">
        <f t="shared" si="0"/>
      </c>
      <c r="L35" s="30">
        <f t="shared" si="1"/>
      </c>
      <c r="M35" s="30">
        <f t="shared" si="2"/>
      </c>
      <c r="N35" s="30">
        <f t="shared" si="3"/>
        <v>0</v>
      </c>
      <c r="P35" s="10">
        <f>'B1.1 Re-Based Bill Det &amp; Rates'!I35</f>
        <v>0</v>
      </c>
      <c r="Q35" s="10">
        <f>'B1.1 Re-Based Bill Det &amp; Rates'!J35</f>
        <v>0</v>
      </c>
      <c r="R35" s="10">
        <f>'B1.1 Re-Based Bill Det &amp; Rates'!K35</f>
        <v>0</v>
      </c>
      <c r="T35" s="35">
        <f t="shared" si="4"/>
      </c>
      <c r="U35" s="35">
        <f t="shared" si="5"/>
      </c>
      <c r="V35" s="35">
        <f t="shared" si="6"/>
      </c>
    </row>
    <row r="36" spans="2:22" s="2" customFormat="1" ht="15" hidden="1">
      <c r="B36" s="6">
        <v>15</v>
      </c>
      <c r="C36" s="25" t="str">
        <f>'B1.1 Re-Based Bill Det &amp; Rates'!D36</f>
        <v>Rate Class 15</v>
      </c>
      <c r="D36" s="25" t="str">
        <f>'B1.1 Re-Based Bill Det &amp; Rates'!E36</f>
        <v>NA</v>
      </c>
      <c r="E36" s="25" t="str">
        <f>'B1.1 Re-Based Bill Det &amp; Rates'!F36</f>
        <v>NA</v>
      </c>
      <c r="G36" s="11">
        <f>IF(ISERROR(#REF!*(#REF!/#REF!)),0,#REF!*(#REF!/#REF!))</f>
        <v>0</v>
      </c>
      <c r="H36" s="11">
        <f>IF(ISERROR(#REF!*(#REF!/#REF!)),0,#REF!*(#REF!/#REF!))</f>
        <v>0</v>
      </c>
      <c r="I36" s="11">
        <f>IF(ISERROR(#REF!*(#REF!/#REF!)),0,#REF!*(#REF!/#REF!))</f>
        <v>0</v>
      </c>
      <c r="K36" s="30">
        <f t="shared" si="0"/>
      </c>
      <c r="L36" s="30">
        <f t="shared" si="1"/>
      </c>
      <c r="M36" s="30">
        <f t="shared" si="2"/>
      </c>
      <c r="N36" s="30">
        <f t="shared" si="3"/>
        <v>0</v>
      </c>
      <c r="P36" s="10">
        <f>'B1.1 Re-Based Bill Det &amp; Rates'!I36</f>
        <v>0</v>
      </c>
      <c r="Q36" s="10">
        <f>'B1.1 Re-Based Bill Det &amp; Rates'!J36</f>
        <v>0</v>
      </c>
      <c r="R36" s="10">
        <f>'B1.1 Re-Based Bill Det &amp; Rates'!K36</f>
        <v>0</v>
      </c>
      <c r="T36" s="35">
        <f t="shared" si="4"/>
      </c>
      <c r="U36" s="35">
        <f t="shared" si="5"/>
      </c>
      <c r="V36" s="35">
        <f t="shared" si="6"/>
      </c>
    </row>
    <row r="37" spans="2:22" s="2" customFormat="1" ht="15" hidden="1">
      <c r="B37" s="6">
        <v>16</v>
      </c>
      <c r="C37" s="25" t="str">
        <f>'B1.1 Re-Based Bill Det &amp; Rates'!D37</f>
        <v>Rate Class 16</v>
      </c>
      <c r="D37" s="25" t="str">
        <f>'B1.1 Re-Based Bill Det &amp; Rates'!E37</f>
        <v>NA</v>
      </c>
      <c r="E37" s="25" t="str">
        <f>'B1.1 Re-Based Bill Det &amp; Rates'!F37</f>
        <v>NA</v>
      </c>
      <c r="G37" s="11">
        <f>IF(ISERROR(#REF!*(#REF!/#REF!)),0,#REF!*(#REF!/#REF!))</f>
        <v>0</v>
      </c>
      <c r="H37" s="11">
        <f>IF(ISERROR(#REF!*(#REF!/#REF!)),0,#REF!*(#REF!/#REF!))</f>
        <v>0</v>
      </c>
      <c r="I37" s="11">
        <f>IF(ISERROR(#REF!*(#REF!/#REF!)),0,#REF!*(#REF!/#REF!))</f>
        <v>0</v>
      </c>
      <c r="K37" s="30">
        <f t="shared" si="0"/>
      </c>
      <c r="L37" s="30">
        <f t="shared" si="1"/>
      </c>
      <c r="M37" s="30">
        <f t="shared" si="2"/>
      </c>
      <c r="N37" s="30">
        <f t="shared" si="3"/>
        <v>0</v>
      </c>
      <c r="P37" s="10">
        <f>'B1.1 Re-Based Bill Det &amp; Rates'!I37</f>
        <v>0</v>
      </c>
      <c r="Q37" s="10">
        <f>'B1.1 Re-Based Bill Det &amp; Rates'!J37</f>
        <v>0</v>
      </c>
      <c r="R37" s="10">
        <f>'B1.1 Re-Based Bill Det &amp; Rates'!K37</f>
        <v>0</v>
      </c>
      <c r="T37" s="35">
        <f t="shared" si="4"/>
      </c>
      <c r="U37" s="35">
        <f t="shared" si="5"/>
      </c>
      <c r="V37" s="35">
        <f t="shared" si="6"/>
      </c>
    </row>
    <row r="38" spans="2:22" s="2" customFormat="1" ht="15" hidden="1">
      <c r="B38" s="6">
        <v>17</v>
      </c>
      <c r="C38" s="25" t="str">
        <f>'B1.1 Re-Based Bill Det &amp; Rates'!D38</f>
        <v>Rate Class 17</v>
      </c>
      <c r="D38" s="25" t="str">
        <f>'B1.1 Re-Based Bill Det &amp; Rates'!E38</f>
        <v>NA</v>
      </c>
      <c r="E38" s="25" t="str">
        <f>'B1.1 Re-Based Bill Det &amp; Rates'!F38</f>
        <v>NA</v>
      </c>
      <c r="G38" s="11">
        <f>IF(ISERROR(#REF!*(#REF!/#REF!)),0,#REF!*(#REF!/#REF!))</f>
        <v>0</v>
      </c>
      <c r="H38" s="11">
        <f>IF(ISERROR(#REF!*(#REF!/#REF!)),0,#REF!*(#REF!/#REF!))</f>
        <v>0</v>
      </c>
      <c r="I38" s="11">
        <f>IF(ISERROR(#REF!*(#REF!/#REF!)),0,#REF!*(#REF!/#REF!))</f>
        <v>0</v>
      </c>
      <c r="K38" s="30">
        <f t="shared" si="0"/>
      </c>
      <c r="L38" s="30">
        <f t="shared" si="1"/>
      </c>
      <c r="M38" s="30">
        <f t="shared" si="2"/>
      </c>
      <c r="N38" s="30">
        <f t="shared" si="3"/>
        <v>0</v>
      </c>
      <c r="P38" s="10">
        <f>'B1.1 Re-Based Bill Det &amp; Rates'!I38</f>
        <v>0</v>
      </c>
      <c r="Q38" s="10">
        <f>'B1.1 Re-Based Bill Det &amp; Rates'!J38</f>
        <v>0</v>
      </c>
      <c r="R38" s="10">
        <f>'B1.1 Re-Based Bill Det &amp; Rates'!K38</f>
        <v>0</v>
      </c>
      <c r="T38" s="35">
        <f t="shared" si="4"/>
      </c>
      <c r="U38" s="35">
        <f t="shared" si="5"/>
      </c>
      <c r="V38" s="35">
        <f t="shared" si="6"/>
      </c>
    </row>
    <row r="39" spans="2:22" s="2" customFormat="1" ht="15" hidden="1">
      <c r="B39" s="6">
        <v>18</v>
      </c>
      <c r="C39" s="25" t="str">
        <f>'B1.1 Re-Based Bill Det &amp; Rates'!D39</f>
        <v>Rate Class 18</v>
      </c>
      <c r="D39" s="25" t="str">
        <f>'B1.1 Re-Based Bill Det &amp; Rates'!E39</f>
        <v>NA</v>
      </c>
      <c r="E39" s="25" t="str">
        <f>'B1.1 Re-Based Bill Det &amp; Rates'!F39</f>
        <v>NA</v>
      </c>
      <c r="G39" s="11">
        <f>IF(ISERROR(#REF!*(#REF!/#REF!)),0,#REF!*(#REF!/#REF!))</f>
        <v>0</v>
      </c>
      <c r="H39" s="11">
        <f>IF(ISERROR(#REF!*(#REF!/#REF!)),0,#REF!*(#REF!/#REF!))</f>
        <v>0</v>
      </c>
      <c r="I39" s="11">
        <f>IF(ISERROR(#REF!*(#REF!/#REF!)),0,#REF!*(#REF!/#REF!))</f>
        <v>0</v>
      </c>
      <c r="K39" s="30">
        <f t="shared" si="0"/>
      </c>
      <c r="L39" s="30">
        <f t="shared" si="1"/>
      </c>
      <c r="M39" s="30">
        <f t="shared" si="2"/>
      </c>
      <c r="N39" s="30">
        <f t="shared" si="3"/>
        <v>0</v>
      </c>
      <c r="P39" s="10">
        <f>'B1.1 Re-Based Bill Det &amp; Rates'!I39</f>
        <v>0</v>
      </c>
      <c r="Q39" s="10">
        <f>'B1.1 Re-Based Bill Det &amp; Rates'!J39</f>
        <v>0</v>
      </c>
      <c r="R39" s="10">
        <f>'B1.1 Re-Based Bill Det &amp; Rates'!K39</f>
        <v>0</v>
      </c>
      <c r="T39" s="35">
        <f t="shared" si="4"/>
      </c>
      <c r="U39" s="35">
        <f t="shared" si="5"/>
      </c>
      <c r="V39" s="35">
        <f t="shared" si="6"/>
      </c>
    </row>
    <row r="40" spans="2:22" s="2" customFormat="1" ht="15" hidden="1">
      <c r="B40" s="6">
        <v>19</v>
      </c>
      <c r="C40" s="25" t="str">
        <f>'B1.1 Re-Based Bill Det &amp; Rates'!D40</f>
        <v>Rate Class 19</v>
      </c>
      <c r="D40" s="25" t="str">
        <f>'B1.1 Re-Based Bill Det &amp; Rates'!E40</f>
        <v>NA</v>
      </c>
      <c r="E40" s="25" t="str">
        <f>'B1.1 Re-Based Bill Det &amp; Rates'!F40</f>
        <v>NA</v>
      </c>
      <c r="G40" s="11">
        <f>IF(ISERROR(#REF!*(#REF!/#REF!)),0,#REF!*(#REF!/#REF!))</f>
        <v>0</v>
      </c>
      <c r="H40" s="11">
        <f>IF(ISERROR(#REF!*(#REF!/#REF!)),0,#REF!*(#REF!/#REF!))</f>
        <v>0</v>
      </c>
      <c r="I40" s="11">
        <f>IF(ISERROR(#REF!*(#REF!/#REF!)),0,#REF!*(#REF!/#REF!))</f>
        <v>0</v>
      </c>
      <c r="K40" s="30">
        <f t="shared" si="0"/>
      </c>
      <c r="L40" s="30">
        <f t="shared" si="1"/>
      </c>
      <c r="M40" s="30">
        <f t="shared" si="2"/>
      </c>
      <c r="N40" s="30">
        <f t="shared" si="3"/>
        <v>0</v>
      </c>
      <c r="P40" s="10">
        <f>'B1.1 Re-Based Bill Det &amp; Rates'!I40</f>
        <v>0</v>
      </c>
      <c r="Q40" s="10">
        <f>'B1.1 Re-Based Bill Det &amp; Rates'!J40</f>
        <v>0</v>
      </c>
      <c r="R40" s="10">
        <f>'B1.1 Re-Based Bill Det &amp; Rates'!K40</f>
        <v>0</v>
      </c>
      <c r="T40" s="35">
        <f t="shared" si="4"/>
      </c>
      <c r="U40" s="35">
        <f t="shared" si="5"/>
      </c>
      <c r="V40" s="35">
        <f t="shared" si="6"/>
      </c>
    </row>
    <row r="41" spans="2:22" s="2" customFormat="1" ht="15" hidden="1">
      <c r="B41" s="6">
        <v>20</v>
      </c>
      <c r="C41" s="25" t="str">
        <f>'B1.1 Re-Based Bill Det &amp; Rates'!D41</f>
        <v>Rate Class 20</v>
      </c>
      <c r="D41" s="25" t="str">
        <f>'B1.1 Re-Based Bill Det &amp; Rates'!E41</f>
        <v>NA</v>
      </c>
      <c r="E41" s="25" t="str">
        <f>'B1.1 Re-Based Bill Det &amp; Rates'!F41</f>
        <v>NA</v>
      </c>
      <c r="G41" s="11">
        <f>IF(ISERROR(#REF!*(#REF!/#REF!)),0,#REF!*(#REF!/#REF!))</f>
        <v>0</v>
      </c>
      <c r="H41" s="11">
        <f>IF(ISERROR(#REF!*(#REF!/#REF!)),0,#REF!*(#REF!/#REF!))</f>
        <v>0</v>
      </c>
      <c r="I41" s="11">
        <f>IF(ISERROR(#REF!*(#REF!/#REF!)),0,#REF!*(#REF!/#REF!))</f>
        <v>0</v>
      </c>
      <c r="K41" s="30">
        <f t="shared" si="0"/>
      </c>
      <c r="L41" s="30">
        <f t="shared" si="1"/>
      </c>
      <c r="M41" s="30">
        <f t="shared" si="2"/>
      </c>
      <c r="N41" s="30">
        <f t="shared" si="3"/>
        <v>0</v>
      </c>
      <c r="P41" s="10">
        <f>'B1.1 Re-Based Bill Det &amp; Rates'!I41</f>
        <v>0</v>
      </c>
      <c r="Q41" s="10">
        <f>'B1.1 Re-Based Bill Det &amp; Rates'!J41</f>
        <v>0</v>
      </c>
      <c r="R41" s="10">
        <f>'B1.1 Re-Based Bill Det &amp; Rates'!K41</f>
        <v>0</v>
      </c>
      <c r="T41" s="35">
        <f t="shared" si="4"/>
      </c>
      <c r="U41" s="35">
        <f t="shared" si="5"/>
      </c>
      <c r="V41" s="35">
        <f t="shared" si="6"/>
      </c>
    </row>
    <row r="42" spans="2:22" s="2" customFormat="1" ht="15" hidden="1">
      <c r="B42" s="6">
        <v>21</v>
      </c>
      <c r="C42" s="25" t="str">
        <f>'B1.1 Re-Based Bill Det &amp; Rates'!D42</f>
        <v>Rate Class 21</v>
      </c>
      <c r="D42" s="25" t="str">
        <f>'B1.1 Re-Based Bill Det &amp; Rates'!E42</f>
        <v>NA</v>
      </c>
      <c r="E42" s="25" t="str">
        <f>'B1.1 Re-Based Bill Det &amp; Rates'!F42</f>
        <v>NA</v>
      </c>
      <c r="G42" s="11">
        <f>IF(ISERROR(#REF!*(#REF!/#REF!)),0,#REF!*(#REF!/#REF!))</f>
        <v>0</v>
      </c>
      <c r="H42" s="11">
        <f>IF(ISERROR(#REF!*(#REF!/#REF!)),0,#REF!*(#REF!/#REF!))</f>
        <v>0</v>
      </c>
      <c r="I42" s="11">
        <f>IF(ISERROR(#REF!*(#REF!/#REF!)),0,#REF!*(#REF!/#REF!))</f>
        <v>0</v>
      </c>
      <c r="K42" s="30">
        <f t="shared" si="0"/>
      </c>
      <c r="L42" s="30">
        <f t="shared" si="1"/>
      </c>
      <c r="M42" s="30">
        <f t="shared" si="2"/>
      </c>
      <c r="N42" s="30">
        <f t="shared" si="3"/>
        <v>0</v>
      </c>
      <c r="P42" s="10">
        <f>'B1.1 Re-Based Bill Det &amp; Rates'!I42</f>
        <v>0</v>
      </c>
      <c r="Q42" s="10">
        <f>'B1.1 Re-Based Bill Det &amp; Rates'!J42</f>
        <v>0</v>
      </c>
      <c r="R42" s="10">
        <f>'B1.1 Re-Based Bill Det &amp; Rates'!K42</f>
        <v>0</v>
      </c>
      <c r="T42" s="35">
        <f t="shared" si="4"/>
      </c>
      <c r="U42" s="35">
        <f t="shared" si="5"/>
      </c>
      <c r="V42" s="35">
        <f t="shared" si="6"/>
      </c>
    </row>
    <row r="43" spans="2:22" s="2" customFormat="1" ht="15" hidden="1">
      <c r="B43" s="6">
        <v>22</v>
      </c>
      <c r="C43" s="25" t="str">
        <f>'B1.1 Re-Based Bill Det &amp; Rates'!D43</f>
        <v>Rate Class 22</v>
      </c>
      <c r="D43" s="25" t="str">
        <f>'B1.1 Re-Based Bill Det &amp; Rates'!E43</f>
        <v>NA</v>
      </c>
      <c r="E43" s="25" t="str">
        <f>'B1.1 Re-Based Bill Det &amp; Rates'!F43</f>
        <v>NA</v>
      </c>
      <c r="G43" s="11">
        <f>IF(ISERROR(#REF!*(#REF!/#REF!)),0,#REF!*(#REF!/#REF!))</f>
        <v>0</v>
      </c>
      <c r="H43" s="11">
        <f>IF(ISERROR(#REF!*(#REF!/#REF!)),0,#REF!*(#REF!/#REF!))</f>
        <v>0</v>
      </c>
      <c r="I43" s="11">
        <f>IF(ISERROR(#REF!*(#REF!/#REF!)),0,#REF!*(#REF!/#REF!))</f>
        <v>0</v>
      </c>
      <c r="K43" s="30">
        <f t="shared" si="0"/>
      </c>
      <c r="L43" s="30">
        <f t="shared" si="1"/>
      </c>
      <c r="M43" s="30">
        <f t="shared" si="2"/>
      </c>
      <c r="N43" s="30">
        <f t="shared" si="3"/>
        <v>0</v>
      </c>
      <c r="P43" s="10">
        <f>'B1.1 Re-Based Bill Det &amp; Rates'!I43</f>
        <v>0</v>
      </c>
      <c r="Q43" s="10">
        <f>'B1.1 Re-Based Bill Det &amp; Rates'!J43</f>
        <v>0</v>
      </c>
      <c r="R43" s="10">
        <f>'B1.1 Re-Based Bill Det &amp; Rates'!K43</f>
        <v>0</v>
      </c>
      <c r="T43" s="35">
        <f t="shared" si="4"/>
      </c>
      <c r="U43" s="35">
        <f t="shared" si="5"/>
      </c>
      <c r="V43" s="35">
        <f t="shared" si="6"/>
      </c>
    </row>
    <row r="44" spans="2:22" s="2" customFormat="1" ht="15" hidden="1">
      <c r="B44" s="6">
        <v>23</v>
      </c>
      <c r="C44" s="25" t="str">
        <f>'B1.1 Re-Based Bill Det &amp; Rates'!D44</f>
        <v>Rate Class 23</v>
      </c>
      <c r="D44" s="25" t="str">
        <f>'B1.1 Re-Based Bill Det &amp; Rates'!E44</f>
        <v>NA</v>
      </c>
      <c r="E44" s="25" t="str">
        <f>'B1.1 Re-Based Bill Det &amp; Rates'!F44</f>
        <v>NA</v>
      </c>
      <c r="G44" s="11">
        <f>IF(ISERROR(#REF!*(#REF!/#REF!)),0,#REF!*(#REF!/#REF!))</f>
        <v>0</v>
      </c>
      <c r="H44" s="11">
        <f>IF(ISERROR(#REF!*(#REF!/#REF!)),0,#REF!*(#REF!/#REF!))</f>
        <v>0</v>
      </c>
      <c r="I44" s="11">
        <f>IF(ISERROR(#REF!*(#REF!/#REF!)),0,#REF!*(#REF!/#REF!))</f>
        <v>0</v>
      </c>
      <c r="K44" s="30">
        <f t="shared" si="0"/>
      </c>
      <c r="L44" s="30">
        <f t="shared" si="1"/>
      </c>
      <c r="M44" s="30">
        <f t="shared" si="2"/>
      </c>
      <c r="N44" s="30">
        <f t="shared" si="3"/>
        <v>0</v>
      </c>
      <c r="P44" s="10">
        <f>'B1.1 Re-Based Bill Det &amp; Rates'!I44</f>
        <v>0</v>
      </c>
      <c r="Q44" s="10">
        <f>'B1.1 Re-Based Bill Det &amp; Rates'!J44</f>
        <v>0</v>
      </c>
      <c r="R44" s="10">
        <f>'B1.1 Re-Based Bill Det &amp; Rates'!K44</f>
        <v>0</v>
      </c>
      <c r="T44" s="35">
        <f t="shared" si="4"/>
      </c>
      <c r="U44" s="35">
        <f t="shared" si="5"/>
      </c>
      <c r="V44" s="35">
        <f t="shared" si="6"/>
      </c>
    </row>
    <row r="45" spans="2:22" s="2" customFormat="1" ht="15" hidden="1">
      <c r="B45" s="6">
        <v>24</v>
      </c>
      <c r="C45" s="25" t="str">
        <f>'B1.1 Re-Based Bill Det &amp; Rates'!D45</f>
        <v>Rate Class 24</v>
      </c>
      <c r="D45" s="25" t="str">
        <f>'B1.1 Re-Based Bill Det &amp; Rates'!E45</f>
        <v>NA</v>
      </c>
      <c r="E45" s="25" t="str">
        <f>'B1.1 Re-Based Bill Det &amp; Rates'!F45</f>
        <v>NA</v>
      </c>
      <c r="G45" s="11">
        <f>IF(ISERROR(#REF!*(#REF!/#REF!)),0,#REF!*(#REF!/#REF!))</f>
        <v>0</v>
      </c>
      <c r="H45" s="11">
        <f>IF(ISERROR(#REF!*(#REF!/#REF!)),0,#REF!*(#REF!/#REF!))</f>
        <v>0</v>
      </c>
      <c r="I45" s="11">
        <f>IF(ISERROR(#REF!*(#REF!/#REF!)),0,#REF!*(#REF!/#REF!))</f>
        <v>0</v>
      </c>
      <c r="K45" s="30">
        <f t="shared" si="0"/>
      </c>
      <c r="L45" s="30">
        <f t="shared" si="1"/>
      </c>
      <c r="M45" s="30">
        <f t="shared" si="2"/>
      </c>
      <c r="N45" s="30">
        <f t="shared" si="3"/>
        <v>0</v>
      </c>
      <c r="P45" s="10">
        <f>'B1.1 Re-Based Bill Det &amp; Rates'!I45</f>
        <v>0</v>
      </c>
      <c r="Q45" s="10">
        <f>'B1.1 Re-Based Bill Det &amp; Rates'!J45</f>
        <v>0</v>
      </c>
      <c r="R45" s="10">
        <f>'B1.1 Re-Based Bill Det &amp; Rates'!K45</f>
        <v>0</v>
      </c>
      <c r="T45" s="35">
        <f t="shared" si="4"/>
      </c>
      <c r="U45" s="35">
        <f t="shared" si="5"/>
      </c>
      <c r="V45" s="35">
        <f t="shared" si="6"/>
      </c>
    </row>
    <row r="46" spans="2:22" s="2" customFormat="1" ht="15" hidden="1">
      <c r="B46" s="6">
        <v>25</v>
      </c>
      <c r="C46" s="25" t="str">
        <f>'B1.1 Re-Based Bill Det &amp; Rates'!D46</f>
        <v>Rate Class 25</v>
      </c>
      <c r="D46" s="25" t="str">
        <f>'B1.1 Re-Based Bill Det &amp; Rates'!E46</f>
        <v>NA</v>
      </c>
      <c r="E46" s="25" t="str">
        <f>'B1.1 Re-Based Bill Det &amp; Rates'!F46</f>
        <v>NA</v>
      </c>
      <c r="G46" s="11">
        <f>IF(ISERROR(#REF!*(#REF!/#REF!)),0,#REF!*(#REF!/#REF!))</f>
        <v>0</v>
      </c>
      <c r="H46" s="11">
        <f>IF(ISERROR(#REF!*(#REF!/#REF!)),0,#REF!*(#REF!/#REF!))</f>
        <v>0</v>
      </c>
      <c r="I46" s="11">
        <f>IF(ISERROR(#REF!*(#REF!/#REF!)),0,#REF!*(#REF!/#REF!))</f>
        <v>0</v>
      </c>
      <c r="K46" s="30">
        <f t="shared" si="0"/>
      </c>
      <c r="L46" s="30">
        <f t="shared" si="1"/>
      </c>
      <c r="M46" s="30">
        <f t="shared" si="2"/>
      </c>
      <c r="N46" s="30">
        <f t="shared" si="3"/>
        <v>0</v>
      </c>
      <c r="P46" s="10">
        <f>'B1.1 Re-Based Bill Det &amp; Rates'!I46</f>
        <v>0</v>
      </c>
      <c r="Q46" s="10">
        <f>'B1.1 Re-Based Bill Det &amp; Rates'!J46</f>
        <v>0</v>
      </c>
      <c r="R46" s="10">
        <f>'B1.1 Re-Based Bill Det &amp; Rates'!K46</f>
        <v>0</v>
      </c>
      <c r="T46" s="35">
        <f t="shared" si="4"/>
      </c>
      <c r="U46" s="35">
        <f t="shared" si="5"/>
      </c>
      <c r="V46" s="35">
        <f t="shared" si="6"/>
      </c>
    </row>
    <row r="47" spans="7:22" s="2" customFormat="1" ht="15.75" thickBot="1">
      <c r="G47" s="12">
        <f>SUM(G22:G46)</f>
        <v>0</v>
      </c>
      <c r="H47" s="12">
        <f>SUM(H22:H46)</f>
        <v>0</v>
      </c>
      <c r="I47" s="12">
        <f>SUM(I22:I46)</f>
        <v>0</v>
      </c>
      <c r="K47" s="37">
        <f>SUM(K22:K46)</f>
        <v>0</v>
      </c>
      <c r="L47" s="37">
        <f>SUM(L22:L46)</f>
        <v>0</v>
      </c>
      <c r="M47" s="37">
        <f>SUM(M22:M46)</f>
        <v>0</v>
      </c>
      <c r="N47" s="38" t="e">
        <f>#REF!</f>
        <v>#REF!</v>
      </c>
      <c r="P47" s="3"/>
      <c r="Q47" s="3"/>
      <c r="R47" s="3"/>
      <c r="T47" s="3"/>
      <c r="U47" s="3"/>
      <c r="V47" s="3"/>
    </row>
    <row r="48" s="2" customFormat="1" ht="15">
      <c r="N48" s="31" t="e">
        <f>SUM(N22:N46)-N47</f>
        <v>#REF!</v>
      </c>
    </row>
    <row r="49" spans="14:22" s="2" customFormat="1" ht="51" customHeight="1">
      <c r="N49" s="13" t="s">
        <v>108</v>
      </c>
      <c r="T49" s="107" t="s">
        <v>261</v>
      </c>
      <c r="U49" s="107"/>
      <c r="V49" s="107"/>
    </row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2" customFormat="1" ht="15"/>
  </sheetData>
  <sheetProtection/>
  <mergeCells count="1">
    <mergeCell ref="T49:V49"/>
  </mergeCells>
  <printOptions/>
  <pageMargins left="0.2" right="0.22" top="0.67" bottom="0.8" header="0.5" footer="0.5"/>
  <pageSetup fitToHeight="1" fitToWidth="1" horizontalDpi="600" verticalDpi="600" orientation="landscape" scale="56" r:id="rId3"/>
  <headerFooter alignWithMargins="0">
    <oddFooter>&amp;C&amp;A</oddFooter>
  </headerFooter>
  <legacyDrawing r:id="rId2"/>
  <oleObjects>
    <oleObject progId="Unknown" shapeId="5372305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G9"/>
  <sheetViews>
    <sheetView zoomScalePageLayoutView="0" workbookViewId="0" topLeftCell="A1">
      <selection activeCell="C8" sqref="C8"/>
    </sheetView>
  </sheetViews>
  <sheetFormatPr defaultColWidth="8.88671875" defaultRowHeight="15"/>
  <cols>
    <col min="1" max="1" width="12.10546875" style="1" bestFit="1" customWidth="1"/>
    <col min="2" max="2" width="10.10546875" style="0" bestFit="1" customWidth="1"/>
    <col min="3" max="3" width="72.88671875" style="0" customWidth="1"/>
    <col min="4" max="4" width="57.77734375" style="0" bestFit="1" customWidth="1"/>
    <col min="5" max="5" width="8.5546875" style="1" customWidth="1"/>
    <col min="6" max="6" width="9.21484375" style="1" bestFit="1" customWidth="1"/>
    <col min="7" max="7" width="73.4453125" style="0" customWidth="1"/>
  </cols>
  <sheetData>
    <row r="1" spans="1:7" ht="15">
      <c r="A1" s="1" t="s">
        <v>114</v>
      </c>
      <c r="B1" t="s">
        <v>115</v>
      </c>
      <c r="C1" t="s">
        <v>116</v>
      </c>
      <c r="D1" t="s">
        <v>117</v>
      </c>
      <c r="E1" s="1" t="s">
        <v>118</v>
      </c>
      <c r="F1" s="1" t="s">
        <v>113</v>
      </c>
      <c r="G1" t="s">
        <v>172</v>
      </c>
    </row>
    <row r="2" spans="1:7" ht="15">
      <c r="A2" s="1" t="s">
        <v>119</v>
      </c>
      <c r="B2" t="s">
        <v>120</v>
      </c>
      <c r="C2" t="s">
        <v>121</v>
      </c>
      <c r="D2" t="s">
        <v>168</v>
      </c>
      <c r="E2" s="1">
        <f aca="true" t="shared" si="0" ref="E2:E9">LEN(D2)</f>
        <v>20</v>
      </c>
      <c r="F2" s="1" t="s">
        <v>122</v>
      </c>
      <c r="G2" t="s">
        <v>176</v>
      </c>
    </row>
    <row r="3" spans="1:7" ht="15">
      <c r="A3" s="1" t="s">
        <v>123</v>
      </c>
      <c r="B3" t="s">
        <v>126</v>
      </c>
      <c r="C3" t="s">
        <v>127</v>
      </c>
      <c r="D3" t="s">
        <v>169</v>
      </c>
      <c r="E3" s="1">
        <f t="shared" si="0"/>
        <v>22</v>
      </c>
      <c r="F3" s="1" t="s">
        <v>122</v>
      </c>
      <c r="G3" t="s">
        <v>127</v>
      </c>
    </row>
    <row r="4" spans="1:7" ht="15">
      <c r="A4" s="1" t="s">
        <v>124</v>
      </c>
      <c r="B4" t="s">
        <v>128</v>
      </c>
      <c r="C4" t="s">
        <v>254</v>
      </c>
      <c r="D4" t="s">
        <v>240</v>
      </c>
      <c r="E4" s="1">
        <f t="shared" si="0"/>
        <v>30</v>
      </c>
      <c r="F4" s="1" t="s">
        <v>122</v>
      </c>
      <c r="G4" t="s">
        <v>253</v>
      </c>
    </row>
    <row r="5" spans="1:7" ht="15">
      <c r="A5" s="1" t="s">
        <v>125</v>
      </c>
      <c r="B5" t="s">
        <v>255</v>
      </c>
      <c r="C5" t="s">
        <v>256</v>
      </c>
      <c r="D5" t="s">
        <v>241</v>
      </c>
      <c r="E5" s="1">
        <f t="shared" si="0"/>
        <v>28</v>
      </c>
      <c r="F5" s="1" t="s">
        <v>122</v>
      </c>
      <c r="G5" t="s">
        <v>256</v>
      </c>
    </row>
    <row r="6" spans="1:7" ht="15">
      <c r="A6" s="1" t="s">
        <v>164</v>
      </c>
      <c r="B6" t="s">
        <v>129</v>
      </c>
      <c r="C6" t="s">
        <v>165</v>
      </c>
      <c r="D6" t="s">
        <v>170</v>
      </c>
      <c r="E6" s="1">
        <f t="shared" si="0"/>
        <v>25</v>
      </c>
      <c r="F6" s="1" t="s">
        <v>122</v>
      </c>
      <c r="G6" t="s">
        <v>197</v>
      </c>
    </row>
    <row r="7" spans="1:7" ht="15">
      <c r="A7" s="1" t="s">
        <v>166</v>
      </c>
      <c r="B7" t="s">
        <v>258</v>
      </c>
      <c r="C7" t="s">
        <v>282</v>
      </c>
      <c r="D7" t="s">
        <v>230</v>
      </c>
      <c r="E7" s="1">
        <f t="shared" si="0"/>
        <v>30</v>
      </c>
      <c r="F7" s="1" t="s">
        <v>122</v>
      </c>
      <c r="G7" t="s">
        <v>231</v>
      </c>
    </row>
    <row r="8" spans="1:7" ht="15">
      <c r="A8" s="1" t="s">
        <v>167</v>
      </c>
      <c r="B8" t="s">
        <v>259</v>
      </c>
      <c r="C8" t="s">
        <v>486</v>
      </c>
      <c r="D8" t="s">
        <v>283</v>
      </c>
      <c r="E8" s="1">
        <f t="shared" si="0"/>
        <v>28</v>
      </c>
      <c r="F8" s="1" t="s">
        <v>122</v>
      </c>
      <c r="G8" t="s">
        <v>232</v>
      </c>
    </row>
    <row r="9" spans="1:7" ht="15">
      <c r="A9" s="1" t="s">
        <v>257</v>
      </c>
      <c r="B9" t="s">
        <v>174</v>
      </c>
      <c r="C9" t="s">
        <v>173</v>
      </c>
      <c r="D9" t="s">
        <v>175</v>
      </c>
      <c r="E9" s="1">
        <f t="shared" si="0"/>
        <v>22</v>
      </c>
      <c r="F9" s="1" t="s">
        <v>130</v>
      </c>
      <c r="G9" t="s">
        <v>196</v>
      </c>
    </row>
  </sheetData>
  <sheetProtection/>
  <conditionalFormatting sqref="E2:E9">
    <cfRule type="cellIs" priority="1" dxfId="0" operator="greaterThan" stopIfTrue="1">
      <formula>31</formula>
    </cfRule>
  </conditionalFormatting>
  <dataValidations count="1">
    <dataValidation type="list" allowBlank="1" showInputMessage="1" showErrorMessage="1" sqref="F2:F9">
      <formula1>"Yes,No,N/A"</formula1>
    </dataValidation>
  </dataValidations>
  <printOptions/>
  <pageMargins left="0.75" right="0.75" top="1" bottom="1" header="0.5" footer="0.5"/>
  <pageSetup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OEB 3GIRM Supplementary Filing Module</dc:title>
  <dc:subject>2009 OEB 3GIRM</dc:subject>
  <dc:creator>Martin Benum</dc:creator>
  <cp:keywords/>
  <dc:description/>
  <cp:lastModifiedBy>Janes</cp:lastModifiedBy>
  <cp:lastPrinted>2010-11-25T19:24:41Z</cp:lastPrinted>
  <dcterms:created xsi:type="dcterms:W3CDTF">2008-08-19T18:39:57Z</dcterms:created>
  <dcterms:modified xsi:type="dcterms:W3CDTF">2010-11-25T19:25:04Z</dcterms:modified>
  <cp:category>Version 2.0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</Properties>
</file>