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" windowWidth="12855" windowHeight="12270" tabRatio="757" firstSheet="1" activeTab="1"/>
  </bookViews>
  <sheets>
    <sheet name="OPA Load Impacts" sheetId="1" state="hidden" r:id="rId1"/>
    <sheet name="Attachment A - Load Impacts" sheetId="2" r:id="rId2"/>
    <sheet name="Attachment B - LRAM Amounts" sheetId="3" r:id="rId3"/>
    <sheet name="Attachment C - SSM Amounts" sheetId="4" r:id="rId4"/>
    <sheet name="Attachment D -LRAM SSM TOTALS" sheetId="5" r:id="rId5"/>
    <sheet name="Attachment E -Input Assumptions" sheetId="6" r:id="rId6"/>
    <sheet name="OPA Measures" sheetId="7" r:id="rId7"/>
    <sheet name="Variance from Old Tables" sheetId="8" state="hidden" r:id="rId8"/>
    <sheet name="Sheet2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Local_Distribution_Company_List">'[16]Local Distribution Companies'!$B$2:$B$92</definedName>
    <definedName name="_xlnm.Print_Area" localSheetId="1">'Attachment A - Load Impacts'!$A$1:$Y$53</definedName>
    <definedName name="_xlnm.Print_Area" localSheetId="2">'Attachment B - LRAM Amounts'!$A$1:$S$44</definedName>
    <definedName name="_xlnm.Print_Area" localSheetId="0">'OPA Load Impacts'!$A$1:$N$56</definedName>
    <definedName name="_xlnm.Print_Area" localSheetId="6">'OPA Measures'!$A$1:$U$266</definedName>
    <definedName name="_xlnm.Print_Titles" localSheetId="6">'OPA Measures'!$5:$7</definedName>
  </definedNames>
  <calcPr fullCalcOnLoad="1"/>
</workbook>
</file>

<file path=xl/sharedStrings.xml><?xml version="1.0" encoding="utf-8"?>
<sst xmlns="http://schemas.openxmlformats.org/spreadsheetml/2006/main" count="2491" uniqueCount="426">
  <si>
    <t>Seasonal Lighting</t>
  </si>
  <si>
    <t>Seniors Care Package</t>
  </si>
  <si>
    <t>Community Events</t>
  </si>
  <si>
    <t>Class</t>
  </si>
  <si>
    <t>Program</t>
  </si>
  <si>
    <t>Third Tranche</t>
  </si>
  <si>
    <t>RESIDENTIAL</t>
  </si>
  <si>
    <t>GENERAL SERVICE &lt;50KW</t>
  </si>
  <si>
    <t>GENERAL SERVICE &gt;50KW</t>
  </si>
  <si>
    <t>Foregone Revenue by Class and Program</t>
  </si>
  <si>
    <t>Year Implemented</t>
  </si>
  <si>
    <t>kWh or kW</t>
  </si>
  <si>
    <t>Rate per Unit</t>
  </si>
  <si>
    <t>Revenue</t>
  </si>
  <si>
    <t>Load Unit</t>
  </si>
  <si>
    <t>Total Revenue</t>
  </si>
  <si>
    <t>kWh</t>
  </si>
  <si>
    <t>kW</t>
  </si>
  <si>
    <t>Rate Class</t>
  </si>
  <si>
    <t>LRAM $</t>
  </si>
  <si>
    <t>Education &amp; Training</t>
  </si>
  <si>
    <t>Durham Non Profit Housing</t>
  </si>
  <si>
    <t>OPA Programs</t>
  </si>
  <si>
    <t>Great Refrigerator Roundup</t>
  </si>
  <si>
    <t>Summer Savings</t>
  </si>
  <si>
    <t>Electricity Retrofit Incentive Program</t>
  </si>
  <si>
    <t>2007, 2008</t>
  </si>
  <si>
    <t>2006, 2007, 2008</t>
  </si>
  <si>
    <t>Every Kilowatt Counts (spring)</t>
  </si>
  <si>
    <t>Cool Savings Rebate Program</t>
  </si>
  <si>
    <t>Secondary Fridge Retirement Pilot</t>
  </si>
  <si>
    <t>Every Kilowatt Counts (fall)</t>
  </si>
  <si>
    <t>Aboriginal – Pilot</t>
  </si>
  <si>
    <t>Every Kilowatt Counts</t>
  </si>
  <si>
    <t>peaksaver®</t>
  </si>
  <si>
    <t>Affordable Housing – Pilot</t>
  </si>
  <si>
    <t>Social Housing – Pilot</t>
  </si>
  <si>
    <t>Energy Efficiency Assistance for Houses – Pilot</t>
  </si>
  <si>
    <t>Aboriginal</t>
  </si>
  <si>
    <t>Summer Sweepstakes</t>
  </si>
  <si>
    <t>Every Kilowatt Counts Power Savings Event</t>
  </si>
  <si>
    <t>Toronto Comprehensive</t>
  </si>
  <si>
    <t>High Performance New Construction</t>
  </si>
  <si>
    <t>Power Savings Blitz</t>
  </si>
  <si>
    <t>Chiller Plant Re-Commissioning</t>
  </si>
  <si>
    <t>Demand Response 1</t>
  </si>
  <si>
    <t>Demand Response 3</t>
  </si>
  <si>
    <t>Other Demand Response</t>
  </si>
  <si>
    <t>CDM Load Impacts by Class and Program</t>
  </si>
  <si>
    <t>Total kWh</t>
  </si>
  <si>
    <t>Total kW</t>
  </si>
  <si>
    <t xml:space="preserve">Load Unit </t>
  </si>
  <si>
    <t>Seniors Program</t>
  </si>
  <si>
    <t>Low Income</t>
  </si>
  <si>
    <t>Community Initiatives</t>
  </si>
  <si>
    <t>2006, 2007</t>
  </si>
  <si>
    <t>ATTACHMENT A</t>
  </si>
  <si>
    <t>ATTACHMENT B</t>
  </si>
  <si>
    <t>ATTACHMENT C</t>
  </si>
  <si>
    <t>Whitby  Hydro Funded Programs</t>
  </si>
  <si>
    <t xml:space="preserve">2006, 2007 </t>
  </si>
  <si>
    <t>Whitby Hydro Funded Programs</t>
  </si>
  <si>
    <t>NET</t>
  </si>
  <si>
    <t>GROSS</t>
  </si>
  <si>
    <t>ATTACHMENT D</t>
  </si>
  <si>
    <t>2009 OPA Tables</t>
  </si>
  <si>
    <t>2008 OEB Tables</t>
  </si>
  <si>
    <t>Variance</t>
  </si>
  <si>
    <t>Residential</t>
  </si>
  <si>
    <t>OPA Conservation Programs</t>
  </si>
  <si>
    <t>General Service&lt;50kW</t>
  </si>
  <si>
    <t>General Service&gt;50kW to 4,999kW</t>
  </si>
  <si>
    <t xml:space="preserve">RESIDENTIAL </t>
  </si>
  <si>
    <t>Energy Conservation Kits</t>
  </si>
  <si>
    <t>GENERAL SERVICE (&lt; 50 kW Demand)</t>
  </si>
  <si>
    <t>Municipal Building Lighting</t>
  </si>
  <si>
    <t>UNMETERED SCATTERED LOAD</t>
  </si>
  <si>
    <t>SSM $</t>
  </si>
  <si>
    <t>TOTAL $</t>
  </si>
  <si>
    <t>LRAM &amp; SSM Totals</t>
  </si>
  <si>
    <t>SSM Amounts by Class and Program</t>
  </si>
  <si>
    <t xml:space="preserve">Total Costs $ </t>
  </si>
  <si>
    <t xml:space="preserve">Total Benefits $ </t>
  </si>
  <si>
    <t>Net Benefits $ NPV</t>
  </si>
  <si>
    <t>Benefits/Cost Ratio</t>
  </si>
  <si>
    <t>SSM Amount $</t>
  </si>
  <si>
    <t>TOTALS</t>
  </si>
  <si>
    <t xml:space="preserve">2005 Program and Admin Costs </t>
  </si>
  <si>
    <t>Fall Discount Coupon</t>
  </si>
  <si>
    <t>SHSC Energy Pilot</t>
  </si>
  <si>
    <t>TRC VALUE</t>
  </si>
  <si>
    <t>% OF Admin costs allocated</t>
  </si>
  <si>
    <t>Conservation Website</t>
  </si>
  <si>
    <t>Education &amp; Promotion</t>
  </si>
  <si>
    <t>Lighten Your Electricity Bill</t>
  </si>
  <si>
    <t>Lighten Your Electricty Bill</t>
  </si>
  <si>
    <t>Customer Survey</t>
  </si>
  <si>
    <t>Lightbulb Giveaway - Project Prochlight</t>
  </si>
  <si>
    <t>Lightbulb Giveaway - Project Porchlight</t>
  </si>
  <si>
    <t>LED Traffic Lights</t>
  </si>
  <si>
    <t>Low Carbon Diet Education and Action Plan</t>
  </si>
  <si>
    <t>Phanton Power Bars</t>
  </si>
  <si>
    <t>Phantom Power Bars</t>
  </si>
  <si>
    <t>Food Bank Fridge/Freezer Replacement</t>
  </si>
  <si>
    <t>15W CFL</t>
  </si>
  <si>
    <t>Ceiling Fan</t>
  </si>
  <si>
    <t>Pstat Space Cooling</t>
  </si>
  <si>
    <t>Pstat Space Heating</t>
  </si>
  <si>
    <t>SLED 5W</t>
  </si>
  <si>
    <t>SLED Mini Lights</t>
  </si>
  <si>
    <t>Timer - Outdoor</t>
  </si>
  <si>
    <t>Timer - AC</t>
  </si>
  <si>
    <t>Timer - Indoor</t>
  </si>
  <si>
    <t>OPA Conservation &amp; Demand Management Programs</t>
  </si>
  <si>
    <t>Measure Results</t>
  </si>
  <si>
    <t>For:</t>
  </si>
  <si>
    <t>#</t>
  </si>
  <si>
    <t>Initiative Name</t>
  </si>
  <si>
    <t>Program Name</t>
  </si>
  <si>
    <t>Program Year</t>
  </si>
  <si>
    <t>Results Status</t>
  </si>
  <si>
    <t>Measure Name</t>
  </si>
  <si>
    <t>Unit Savings Assumptions</t>
  </si>
  <si>
    <t>Net-to-Gross Adjustments (%)</t>
  </si>
  <si>
    <t>LDC Total (# Units)</t>
  </si>
  <si>
    <t>Summer Peak Demand Savings  per Unit (kW)</t>
  </si>
  <si>
    <t>Annual Energy Savings per Unit (kWh)</t>
  </si>
  <si>
    <t>Effective Useful Life (EUL)</t>
  </si>
  <si>
    <r>
      <t>Free Rider</t>
    </r>
    <r>
      <rPr>
        <sz val="12"/>
        <rFont val="Arial"/>
        <family val="2"/>
      </rPr>
      <t xml:space="preserve"> (#1)</t>
    </r>
  </si>
  <si>
    <r>
      <t>Spill Over</t>
    </r>
    <r>
      <rPr>
        <sz val="12"/>
        <rFont val="Arial"/>
        <family val="2"/>
      </rPr>
      <t xml:space="preserve"> (#2)</t>
    </r>
  </si>
  <si>
    <r>
      <t>Exclusions</t>
    </r>
    <r>
      <rPr>
        <sz val="12"/>
        <rFont val="Arial"/>
        <family val="2"/>
      </rPr>
      <t xml:space="preserve"> (#3)</t>
    </r>
  </si>
  <si>
    <r>
      <t>Part Use</t>
    </r>
    <r>
      <rPr>
        <sz val="12"/>
        <rFont val="Arial"/>
        <family val="2"/>
      </rPr>
      <t xml:space="preserve"> (#4)</t>
    </r>
  </si>
  <si>
    <r>
      <t>Other</t>
    </r>
    <r>
      <rPr>
        <sz val="12"/>
        <rFont val="Arial"/>
        <family val="2"/>
      </rPr>
      <t xml:space="preserve"> (#5)</t>
    </r>
  </si>
  <si>
    <r>
      <t>Aggregate</t>
    </r>
    <r>
      <rPr>
        <sz val="12"/>
        <rFont val="Arial"/>
        <family val="2"/>
      </rPr>
      <t xml:space="preserve"> (#6)</t>
    </r>
  </si>
  <si>
    <t>2006 Every Kilowatt Counts (spring)</t>
  </si>
  <si>
    <t>Consumer</t>
  </si>
  <si>
    <t>Final</t>
  </si>
  <si>
    <t>Energy Star® Compact Fluorescent Light Bulb</t>
  </si>
  <si>
    <t>Electric Timers</t>
  </si>
  <si>
    <t>Programmable Thermostats</t>
  </si>
  <si>
    <t>Energy Star® Ceiling Fans</t>
  </si>
  <si>
    <t>2006 Cool Savings Rebate Program</t>
  </si>
  <si>
    <t>Energy Star® Air Conditioner</t>
  </si>
  <si>
    <t>Air Conditioner Tune-Up</t>
  </si>
  <si>
    <t>2006 Secondary Fridge Retirement Pilot</t>
  </si>
  <si>
    <t>Refrigerator Retirement</t>
  </si>
  <si>
    <t>Freezer Retirement</t>
  </si>
  <si>
    <t>2006 Every Kilowatt Counts (fall)</t>
  </si>
  <si>
    <t>Seasonal Light Emitting Diode Light String</t>
  </si>
  <si>
    <t>Dimmers</t>
  </si>
  <si>
    <t>Indoor Motion Sensors</t>
  </si>
  <si>
    <t>Programmable Basebaord Thermostats</t>
  </si>
  <si>
    <t>2006 Demand Response 1</t>
  </si>
  <si>
    <t>Industrial, Business</t>
  </si>
  <si>
    <t>Voluntary Load Shedding Project</t>
  </si>
  <si>
    <t>Custom</t>
  </si>
  <si>
    <t>n/a</t>
  </si>
  <si>
    <t>2007 Great Refrigerator Roundup</t>
  </si>
  <si>
    <t>Refrigerator</t>
  </si>
  <si>
    <t>Freezer</t>
  </si>
  <si>
    <t>Small Refrigerator</t>
  </si>
  <si>
    <t>Small Freezer</t>
  </si>
  <si>
    <t>Window Air Conditioner</t>
  </si>
  <si>
    <t>2007 Cool Savings Rebate</t>
  </si>
  <si>
    <t>ENERGY STAR® Central Air Conditioner</t>
  </si>
  <si>
    <t>Programmable Thermostat</t>
  </si>
  <si>
    <t>Furnace with Electronically Commutated Motor</t>
  </si>
  <si>
    <t>Central Air Conditioning Tune Up</t>
  </si>
  <si>
    <t>2007 Aboriginal – Pilot</t>
  </si>
  <si>
    <t>Consumer Retrofit Kit</t>
  </si>
  <si>
    <t>2007 Every Kilowatt Counts</t>
  </si>
  <si>
    <t>15 W CFL</t>
  </si>
  <si>
    <t>20 W+ CFLs</t>
  </si>
  <si>
    <t>Project Porchlight CFLs</t>
  </si>
  <si>
    <t>Energy Star Ceiling Fan</t>
  </si>
  <si>
    <t>Furnace Filter</t>
  </si>
  <si>
    <t>Solar Lights</t>
  </si>
  <si>
    <t>Outdoor Motion Sensor</t>
  </si>
  <si>
    <t>Dimmer Switch</t>
  </si>
  <si>
    <t>Energy Star Light Fixtures</t>
  </si>
  <si>
    <t>SLEDs</t>
  </si>
  <si>
    <t>T8</t>
  </si>
  <si>
    <t>Power Bar with Timer</t>
  </si>
  <si>
    <t>Lighting Control Devices</t>
  </si>
  <si>
    <t>2007 peaksaver®</t>
  </si>
  <si>
    <t>Consumer, Business</t>
  </si>
  <si>
    <t>Residential Programmable Thermostat</t>
  </si>
  <si>
    <t>Residential Air Conditioner Switch</t>
  </si>
  <si>
    <t>Residential Water Heater Switch</t>
  </si>
  <si>
    <t>Commercial Programmable Thermostat</t>
  </si>
  <si>
    <t>Commercial Air Conditioner Switch</t>
  </si>
  <si>
    <t>Commercial Water Heater Switch</t>
  </si>
  <si>
    <t>2007 Summer Savings</t>
  </si>
  <si>
    <t>Household</t>
  </si>
  <si>
    <t>2007 Affordable Housing – Pilot</t>
  </si>
  <si>
    <t>1 - T8 32W w/EL ballast</t>
  </si>
  <si>
    <t>2 - T8 32W w/EL ballast</t>
  </si>
  <si>
    <t>Air-source Heat Pump - Split</t>
  </si>
  <si>
    <t>Automated Controls for HVAC</t>
  </si>
  <si>
    <t>Boiler</t>
  </si>
  <si>
    <t>Ceiling Fan (common area)</t>
  </si>
  <si>
    <t>Ceiling Fan (in-suite)</t>
  </si>
  <si>
    <t>Central Air Conditioning System - Single</t>
  </si>
  <si>
    <t>Central Air Conditioning System - Split</t>
  </si>
  <si>
    <t>CFL Screw-In 15W - in suite</t>
  </si>
  <si>
    <t>CFL Screw-In 25W - in suite</t>
  </si>
  <si>
    <t>Energy Star Clotheswasher</t>
  </si>
  <si>
    <t>Energy Star Dishwasher</t>
  </si>
  <si>
    <t>Energy Star Refrigerator</t>
  </si>
  <si>
    <t>Flood Light, 26W Fluorescent Fixture</t>
  </si>
  <si>
    <t>Front Loading Washing Machine</t>
  </si>
  <si>
    <t>Furnace</t>
  </si>
  <si>
    <t>Furnace with DC Motor</t>
  </si>
  <si>
    <t>Ground-source Heat Pump</t>
  </si>
  <si>
    <t>High Pressure Sodium</t>
  </si>
  <si>
    <t>Motion Detector</t>
  </si>
  <si>
    <t>Occupancy Sensors</t>
  </si>
  <si>
    <t>Other CFL Screw-in Light (please specify)</t>
  </si>
  <si>
    <t>Other Exterior Lighting (please specify)</t>
  </si>
  <si>
    <t>Other Parking Garage Lighting (please specify)</t>
  </si>
  <si>
    <t>Photo Sensors</t>
  </si>
  <si>
    <t>Timer - Outdoor Light</t>
  </si>
  <si>
    <t>Ventilating Fan (in-suite)</t>
  </si>
  <si>
    <t>2007 Social Housing – Pilot</t>
  </si>
  <si>
    <t>Custom Retrofit Projects</t>
  </si>
  <si>
    <t>2007 Energy Efficiency Assistance for Houses – Pilot</t>
  </si>
  <si>
    <t>2007 Toronto Comprehensive</t>
  </si>
  <si>
    <t>Business</t>
  </si>
  <si>
    <t>City of Toronto - Better Building Partnership Project</t>
  </si>
  <si>
    <t>Toronto Hydro - Business Incentive Program Project</t>
  </si>
  <si>
    <t>Building Owners &amp; Managers Association - Toronto Project</t>
  </si>
  <si>
    <t>2007 Electricity Retrofit Incentive Program</t>
  </si>
  <si>
    <t>2007 Demand Response 1</t>
  </si>
  <si>
    <t>2007 Other Demand Response</t>
  </si>
  <si>
    <t>Loblaw Contract</t>
  </si>
  <si>
    <t>Rodan Contract</t>
  </si>
  <si>
    <t>2007 Renewable Energy Standard Offer</t>
  </si>
  <si>
    <t>Consumer, Business, Industrial, Low-Income</t>
  </si>
  <si>
    <t>Hydro</t>
  </si>
  <si>
    <t>Wind</t>
  </si>
  <si>
    <t>Solar Photo-Voltaic</t>
  </si>
  <si>
    <t>Bio-Energy</t>
  </si>
  <si>
    <t>2008 Great Refrigerator Roundup</t>
  </si>
  <si>
    <t>Room Air Conditioner</t>
  </si>
  <si>
    <t>2008 Cool Savings Rebate</t>
  </si>
  <si>
    <t>2007 Efficient Furnance with Electronically Commutable Motor</t>
  </si>
  <si>
    <t>2007 ENERGYSTAR® Central Air Conditioner</t>
  </si>
  <si>
    <t>2007 Programable Thermostat</t>
  </si>
  <si>
    <t>2007 Central Air Conditioner Tune-ups</t>
  </si>
  <si>
    <t>2008 Efficient Furnance with Electronically Commutable Motor</t>
  </si>
  <si>
    <t>2008 ENERGYSTAR® Central Air Conditioner</t>
  </si>
  <si>
    <t>2008 Programable Thermostat</t>
  </si>
  <si>
    <t>2008 Aboriginal</t>
  </si>
  <si>
    <t>Building Retrofits</t>
  </si>
  <si>
    <t>2008 Summer Sweepstakes</t>
  </si>
  <si>
    <t>Households</t>
  </si>
  <si>
    <t>2008 Every Kilowatt Counts Power Savings Event</t>
  </si>
  <si>
    <t>Air Conditioner/Furnace Filters</t>
  </si>
  <si>
    <t>Energy Star® Qualified Compact Fluorescent Floods (Indoor &amp; Outdoor)</t>
  </si>
  <si>
    <t>Energy Star® Qualified Light Fixtures</t>
  </si>
  <si>
    <t>Heavy Duty Timers</t>
  </si>
  <si>
    <t>T8 Fluorescent Fixtures</t>
  </si>
  <si>
    <t>ENERGY STAR Decorative CFLs</t>
  </si>
  <si>
    <t>ENERGY STAR Dimmable CFLs</t>
  </si>
  <si>
    <t>Power Bars with Timers</t>
  </si>
  <si>
    <t>Programmable Thermostats - Baseboard</t>
  </si>
  <si>
    <t>Car block heater timer</t>
  </si>
  <si>
    <t>Energy Star® Qualified Compact Fluorescent Light Bulbs</t>
  </si>
  <si>
    <t>Awnings</t>
  </si>
  <si>
    <t>Window Films</t>
  </si>
  <si>
    <t>Electric Water Heater Blankets</t>
  </si>
  <si>
    <t>Pipe Wrap</t>
  </si>
  <si>
    <t>Low-Flow Toilets</t>
  </si>
  <si>
    <t>Keep Cool – Dehumidifier</t>
  </si>
  <si>
    <t>Keep Cool – Room Air Conditioner</t>
  </si>
  <si>
    <t>Rewards for Recycling – Dehumidifier</t>
  </si>
  <si>
    <t>Rewards for Recycling – Room Air Conditioner</t>
  </si>
  <si>
    <t>Rewards for Recycling - Halogen Lamp</t>
  </si>
  <si>
    <t>2008 peaksaver®</t>
  </si>
  <si>
    <t>2008 Electricity Retrofit Incentive</t>
  </si>
  <si>
    <t>Agribusiness ENERGY STAR® Rated Exit Signs, All sizes</t>
  </si>
  <si>
    <t>Agribusiness ENERGY STAR® Rated CFLs, Screw in.  All sizes &lt; 40 W</t>
  </si>
  <si>
    <t>Agribusiness ENERGY STAR® Rated CFLs, Hard wired.  All sizes &lt; 40 W</t>
  </si>
  <si>
    <t>Agribusiness Standard Performance T8, Single lamp standard T8 fixture</t>
  </si>
  <si>
    <t>Agribusiness Standard Performance T8, Double lamp standard T8 fixture</t>
  </si>
  <si>
    <t>Agribusiness Standard Performance T8, Triple lamp standard T8 fixture</t>
  </si>
  <si>
    <t>Agribusiness Standard Performance T8, Quadruple lamp standard T8 fixture</t>
  </si>
  <si>
    <t>Agribusiness High Performance T8 (Consortium for Energy Efficiency qualifying list compliance), Single lamp high performance T8 fixture</t>
  </si>
  <si>
    <t>Agribusiness High Performance T8 (Consortium for Energy Efficiency qualifying list compliance), Double lamp high performance T8 fixture</t>
  </si>
  <si>
    <t>Agribusiness High Performance T8 (Consortium for Energy Efficiency qualifying list compliance), Triple lamp high performance T8 fixture</t>
  </si>
  <si>
    <t>Agribusiness High Performance T8 (Consortium for Energy Efficiency qualifying list compliance), Quadruple lamp high performance T8 fixture</t>
  </si>
  <si>
    <t>Agribusiness T5 Fixtures, T5 fixture with 1, 2, or 3 lamps and 1 electronic ballast</t>
  </si>
  <si>
    <t>Agribusiness T5 Fixtures, High Bay T5.  Maximum 6 lamps/fixture.</t>
  </si>
  <si>
    <t>Agribusiness Metal Halide, 320 W Ceramic pulse start</t>
  </si>
  <si>
    <t>Agribusiness Occupancy Sensors, Switch plate mounted occupancy sensor</t>
  </si>
  <si>
    <t>Agribusiness Occupancy Sensors, Ceiling mounted occupancy sensor</t>
  </si>
  <si>
    <t>Agribusiness Creep Heat Pads, up to 100W maximum</t>
  </si>
  <si>
    <t>Agribusiness Creep Heat Pads, up to 200W maximum</t>
  </si>
  <si>
    <t>Agribusiness High Temperature Cutout Thermostat</t>
  </si>
  <si>
    <t>Agribusiness Creep Heat Controller</t>
  </si>
  <si>
    <t>Agribusiness Energy Efficient Ventilation Exhaust Fans</t>
  </si>
  <si>
    <t>Agribusiness Low Energy Livestock Waterers</t>
  </si>
  <si>
    <t>Agribusiness Photocell and Timer for Lighting Control</t>
  </si>
  <si>
    <t>Lighting System Exit Signs, 5 W or less</t>
  </si>
  <si>
    <t>Lighting System ENERGY STAR® Rated CFLs, Screw in.  All sizes &lt; 40 W</t>
  </si>
  <si>
    <t>Lighting System ENERGY STAR® Rated CFLs, Hard wired.  All sizes &lt; 40 W</t>
  </si>
  <si>
    <t>Lighting System Standard Performance T8, Single lamp standard T8 fixture</t>
  </si>
  <si>
    <t>Lighting System Standard Performance T8, Double lamp standard T8 fixture</t>
  </si>
  <si>
    <t>Lighting System Standard Performance T8, Triple lamp standard T8 fixture</t>
  </si>
  <si>
    <t>Lighting System Standard Performance T8, Quadruple lamp standard T8 fixture</t>
  </si>
  <si>
    <t>Lighting System High Performance T8 (Consortium for Energy Efficiency qualifying list compliance), Single lamp high performance T8 fixture</t>
  </si>
  <si>
    <t>Lighting System High Performance T8 (Consortium for Energy Efficiency qualifying list compliance), Double lamp high performance T8 fixture</t>
  </si>
  <si>
    <t>Lighting System High Performance T8 (Consortium for Energy Efficiency qualifying list compliance), Triple lamp high performance T8 fixture</t>
  </si>
  <si>
    <t>Lighting System High Performance T8 (Consortium for Energy Efficiency qualifying list compliance), Quadruple lamp high performance T8 fixture</t>
  </si>
  <si>
    <t>Lighting System T5 Fixtures, T5 fixture with 1, 2, or 3 lamps and 1 electronic ballast</t>
  </si>
  <si>
    <t>Lighting System T5 Fixtures, High Bay T5.  Maximum 6 lamps/fixture.</t>
  </si>
  <si>
    <t>Lighting System Metal Halide, 320 W Ceramic pulse start</t>
  </si>
  <si>
    <t>Lighting System Occupancy Sensors, Switch plate mounted occupancy sensor</t>
  </si>
  <si>
    <t>Lighting System Occupancy Sensors, Ceiling mounted occupancy sensor</t>
  </si>
  <si>
    <t>Motor Open Drip-Proof (ODP), 1 HP</t>
  </si>
  <si>
    <t>Motor Open Drip-Proof (ODP), 1.5 HP</t>
  </si>
  <si>
    <t>Motor Open Drip-Proof (ODP), 2 HP</t>
  </si>
  <si>
    <t>Motor Open Drip-Proof (ODP), 3 HP</t>
  </si>
  <si>
    <t>Motor Open Drip-Proof (ODP), 5 HP</t>
  </si>
  <si>
    <t>Motor Open Drip-Proof (ODP), 7.5 HP</t>
  </si>
  <si>
    <t>Motor Open Drip-Proof (ODP), 10 HP</t>
  </si>
  <si>
    <t>Motor Open Drip-Proof (ODP), 15 HP</t>
  </si>
  <si>
    <t>Motor Open Drip-Proof (ODP), 20 HP</t>
  </si>
  <si>
    <t>Motor Open Drip-Proof (ODP), 25 HP</t>
  </si>
  <si>
    <t>Motor Open Drip-Proof (ODP), 30 HP</t>
  </si>
  <si>
    <t>Motor Open Drip-Proof (ODP), 40 HP</t>
  </si>
  <si>
    <t>Motor Open Drip-Proof (ODP), 50 HP</t>
  </si>
  <si>
    <t>Motor Open Drip-Proof (ODP), 60 HP</t>
  </si>
  <si>
    <t>Motor Open Drip-Proof (ODP), 75 HP</t>
  </si>
  <si>
    <t>Motor Open Drip-Proof (ODP), 100 HP</t>
  </si>
  <si>
    <t>Motor Open Drip-Proof (ODP), 125 HP</t>
  </si>
  <si>
    <t>Motor Open Drip-Proof (ODP), 150 HP</t>
  </si>
  <si>
    <t>Motor Open Drip-Proof (ODP), 200 HP</t>
  </si>
  <si>
    <t>Motor Totally Enclosed Fan-Cooled (TEFC), 1 HP</t>
  </si>
  <si>
    <t>Motor Totally Enclosed Fan-Cooled (TEFC), 1.5 HP</t>
  </si>
  <si>
    <t>Motor Totally Enclosed Fan-Cooled (TEFC), 2 HP</t>
  </si>
  <si>
    <t>Motor Totally Enclosed Fan-Cooled (TEFC), 3 HP</t>
  </si>
  <si>
    <t>Motor Totally Enclosed Fan-Cooled (TEFC), 5 HP</t>
  </si>
  <si>
    <t>Motor Totally Enclosed Fan-Cooled (TEFC), 7.5 HP</t>
  </si>
  <si>
    <t>Motor Totally Enclosed Fan-Cooled (TEFC), 10 HP</t>
  </si>
  <si>
    <t>Motor Totally Enclosed Fan-Cooled (TEFC), 15 HP</t>
  </si>
  <si>
    <t>Motor Totally Enclosed Fan-Cooled (TEFC), 20 HP</t>
  </si>
  <si>
    <t>Motor Totally Enclosed Fan-Cooled (TEFC), 25 HP</t>
  </si>
  <si>
    <t>Motor Totally Enclosed Fan-Cooled (TEFC), 30 HP</t>
  </si>
  <si>
    <t>Motor Totally Enclosed Fan-Cooled (TEFC), 40 HP</t>
  </si>
  <si>
    <t>Motor Totally Enclosed Fan-Cooled (TEFC), 50 HP</t>
  </si>
  <si>
    <t>Motor Totally Enclosed Fan-Cooled (TEFC), 60 HP</t>
  </si>
  <si>
    <t>Motor Totally Enclosed Fan-Cooled (TEFC), 75 HP</t>
  </si>
  <si>
    <t>Motor Totally Enclosed Fan-Cooled (TEFC), 100 HP</t>
  </si>
  <si>
    <t>Motor Totally Enclosed Fan-Cooled (TEFC), 125 HP</t>
  </si>
  <si>
    <t>Motor Totally Enclosed Fan-Cooled (TEFC), 150 HP</t>
  </si>
  <si>
    <t>Motor Totally Enclosed Fan-Cooled (TEFC), 200 HP</t>
  </si>
  <si>
    <t>Transformer Size 15</t>
  </si>
  <si>
    <t>Transformer Size 30</t>
  </si>
  <si>
    <t>Transformer Size 45</t>
  </si>
  <si>
    <t>Transformer Size 75</t>
  </si>
  <si>
    <t>Transformer Size 112.5</t>
  </si>
  <si>
    <t>Transformer Size 150</t>
  </si>
  <si>
    <t>Transformer Size 225</t>
  </si>
  <si>
    <t>Transformer Size 300</t>
  </si>
  <si>
    <t>Transformer Size 500</t>
  </si>
  <si>
    <t>Transformer Size 750</t>
  </si>
  <si>
    <t>Transformer Size 1000</t>
  </si>
  <si>
    <t>Unitary AC Single Phase &lt;= 5.4 Tons</t>
  </si>
  <si>
    <t>Unitary AC 3 Phase &lt;= 5.4 Tons</t>
  </si>
  <si>
    <t>Unitary AC &gt;5.4 &amp; &lt;= 11.25 tons</t>
  </si>
  <si>
    <t>Unitary AC &gt;11.25 &amp; &lt;= 20 tons</t>
  </si>
  <si>
    <t>Unitary AC 25 tons</t>
  </si>
  <si>
    <t>2008 Toronto Comprehensive</t>
  </si>
  <si>
    <t>2008 High Performance New Construction</t>
  </si>
  <si>
    <t>Custom New Construction Project</t>
  </si>
  <si>
    <t>2008 Power Savings Blitz</t>
  </si>
  <si>
    <t>T8 Fixture With Electronic Balllast</t>
  </si>
  <si>
    <t>Energy Star® rated LED Exit Sign</t>
  </si>
  <si>
    <t>Energy Star® rated CLF</t>
  </si>
  <si>
    <t>Electric Water Heater Tank Wrap</t>
  </si>
  <si>
    <t>Electric Water Heater Pipe Insulation</t>
  </si>
  <si>
    <t>Aerator</t>
  </si>
  <si>
    <t>Halogen</t>
  </si>
  <si>
    <t>Other</t>
  </si>
  <si>
    <t>2008 Chiller Plant Re-Commissioning</t>
  </si>
  <si>
    <t xml:space="preserve">Mixed Use Facility </t>
  </si>
  <si>
    <t>TBD</t>
  </si>
  <si>
    <t>University Campus</t>
  </si>
  <si>
    <t>Hospital</t>
  </si>
  <si>
    <t>Commercial Office Tower</t>
  </si>
  <si>
    <t>Industrial/Manufacturing Facility</t>
  </si>
  <si>
    <t xml:space="preserve">City Government Central Utilities Plant </t>
  </si>
  <si>
    <t>Hotel</t>
  </si>
  <si>
    <t>2008 Demand Response 1</t>
  </si>
  <si>
    <t>2008 Demand Response 3</t>
  </si>
  <si>
    <t>Contractual Load Shedding Project</t>
  </si>
  <si>
    <t>2008 Other Demand Response</t>
  </si>
  <si>
    <t>2008 LDC Custom</t>
  </si>
  <si>
    <t>Hydro One Networks - Double Return</t>
  </si>
  <si>
    <t>2008 Renewable Energy Standard Offer</t>
  </si>
  <si>
    <t>2008 Other Customer Based Generation</t>
  </si>
  <si>
    <t>Combined Heat &amp; Power / By-Product</t>
  </si>
  <si>
    <t>A Copy of the Program Measures by Year, Unit kWh Savings, Useful life, # of Units can be found on "OPA MEASURES" Tab</t>
  </si>
  <si>
    <t>LDC OM&amp;A</t>
  </si>
  <si>
    <t>ATTACHMENT E</t>
  </si>
  <si>
    <t>LRAM &amp; SSM Input Assumptions</t>
  </si>
  <si>
    <t>Free Rider Rate</t>
  </si>
  <si>
    <t>Number of Units</t>
  </si>
  <si>
    <t>Table Applied</t>
  </si>
  <si>
    <t>Discount Factor</t>
  </si>
  <si>
    <t>Technology Life</t>
  </si>
  <si>
    <t>LRAM</t>
  </si>
  <si>
    <t>SSM</t>
  </si>
  <si>
    <t>OPA</t>
  </si>
  <si>
    <t>OEB</t>
  </si>
  <si>
    <t>Direct Input</t>
  </si>
  <si>
    <t>Cool &amp; Hot Savings Rebate</t>
  </si>
  <si>
    <t>2006-2007</t>
  </si>
  <si>
    <t>2008-2009</t>
  </si>
  <si>
    <t xml:space="preserve">Every Kilowatt Counts </t>
  </si>
  <si>
    <t>Electricity Resources Demand Response</t>
  </si>
  <si>
    <t>Demand Response 2</t>
  </si>
  <si>
    <t>2007-2009</t>
  </si>
  <si>
    <t>2006 -2009</t>
  </si>
  <si>
    <t>2006-2009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</si>
</sst>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_);\(#,##0.0\)"/>
    <numFmt numFmtId="174" formatCode="0.000%"/>
    <numFmt numFmtId="175" formatCode="0.0000%"/>
    <numFmt numFmtId="176" formatCode="0.00000%"/>
    <numFmt numFmtId="177" formatCode="_(* #,##0_);_(* \(#,##0\);_(* &quot;-&quot;??_);_(@_)"/>
    <numFmt numFmtId="178" formatCode="0.000000"/>
    <numFmt numFmtId="179" formatCode="#,##0.000000"/>
    <numFmt numFmtId="180" formatCode="#,##0.0000_);[Red]\(#,##0.0000\)"/>
    <numFmt numFmtId="181" formatCode="&quot;$&quot;#,##0.00"/>
    <numFmt numFmtId="182" formatCode="#,##0.00_ ;[Red]\-#,##0.00\ "/>
    <numFmt numFmtId="183" formatCode="0.0000"/>
    <numFmt numFmtId="184" formatCode="#,##0_ ;[Red]\-#,##0\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8"/>
      <color indexed="62"/>
      <name val="Arial"/>
      <family val="2"/>
    </font>
    <font>
      <b/>
      <sz val="12"/>
      <color indexed="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0"/>
      <color indexed="3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53"/>
      <name val="Arial"/>
      <family val="2"/>
    </font>
    <font>
      <u val="single"/>
      <sz val="11"/>
      <color indexed="8"/>
      <name val="Calibri"/>
      <family val="2"/>
    </font>
    <font>
      <b/>
      <u val="single"/>
      <sz val="11"/>
      <color indexed="53"/>
      <name val="Calibri"/>
      <family val="2"/>
    </font>
    <font>
      <b/>
      <u val="single"/>
      <sz val="11"/>
      <name val="Calibri"/>
      <family val="2"/>
    </font>
    <font>
      <b/>
      <sz val="11"/>
      <color indexed="53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56"/>
      <name val="Arial"/>
      <family val="2"/>
    </font>
    <font>
      <sz val="11"/>
      <color indexed="42"/>
      <name val="Calibri"/>
      <family val="2"/>
    </font>
    <font>
      <sz val="10"/>
      <color indexed="8"/>
      <name val="Arial"/>
      <family val="2"/>
    </font>
    <font>
      <b/>
      <i/>
      <sz val="11"/>
      <color indexed="8"/>
      <name val="Calibri"/>
      <family val="2"/>
    </font>
    <font>
      <b/>
      <sz val="8"/>
      <color indexed="53"/>
      <name val="Calibri"/>
      <family val="2"/>
    </font>
    <font>
      <b/>
      <sz val="10"/>
      <color indexed="53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9" tint="-0.24997000396251678"/>
      <name val="Arial"/>
      <family val="2"/>
    </font>
    <font>
      <u val="single"/>
      <sz val="11"/>
      <color theme="1"/>
      <name val="Calibri"/>
      <family val="2"/>
    </font>
    <font>
      <b/>
      <u val="single"/>
      <sz val="11"/>
      <color theme="9" tint="-0.24997000396251678"/>
      <name val="Calibri"/>
      <family val="2"/>
    </font>
    <font>
      <b/>
      <sz val="11"/>
      <color theme="9" tint="-0.24997000396251678"/>
      <name val="Calibri"/>
      <family val="2"/>
    </font>
    <font>
      <b/>
      <sz val="10"/>
      <color theme="3"/>
      <name val="Arial"/>
      <family val="2"/>
    </font>
    <font>
      <sz val="11"/>
      <color theme="6" tint="0.7999799847602844"/>
      <name val="Calibri"/>
      <family val="2"/>
    </font>
    <font>
      <sz val="10"/>
      <color theme="1"/>
      <name val="Arial"/>
      <family val="2"/>
    </font>
    <font>
      <b/>
      <i/>
      <sz val="11"/>
      <color theme="1"/>
      <name val="Calibri"/>
      <family val="2"/>
    </font>
    <font>
      <b/>
      <sz val="8"/>
      <color theme="9" tint="-0.24997000396251678"/>
      <name val="Calibri"/>
      <family val="2"/>
    </font>
    <font>
      <b/>
      <sz val="10"/>
      <color theme="9" tint="-0.24997000396251678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33" borderId="9" applyNumberFormat="0" applyProtection="0">
      <alignment horizontal="left" vertical="center"/>
    </xf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707">
    <xf numFmtId="0" fontId="0" fillId="0" borderId="0" xfId="0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 horizontal="center" vertical="center"/>
    </xf>
    <xf numFmtId="0" fontId="3" fillId="0" borderId="0" xfId="0" applyFont="1" applyAlignment="1">
      <alignment/>
    </xf>
    <xf numFmtId="0" fontId="0" fillId="4" borderId="11" xfId="0" applyFill="1" applyBorder="1" applyAlignment="1">
      <alignment horizontal="center" vertical="center"/>
    </xf>
    <xf numFmtId="181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183" fontId="0" fillId="4" borderId="12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181" fontId="0" fillId="4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2" fontId="0" fillId="4" borderId="11" xfId="0" applyNumberFormat="1" applyFill="1" applyBorder="1" applyAlignment="1">
      <alignment/>
    </xf>
    <xf numFmtId="2" fontId="66" fillId="4" borderId="13" xfId="0" applyNumberFormat="1" applyFon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13" xfId="0" applyNumberFormat="1" applyFill="1" applyBorder="1" applyAlignment="1">
      <alignment horizontal="center" vertical="center"/>
    </xf>
    <xf numFmtId="2" fontId="0" fillId="0" borderId="11" xfId="0" applyNumberFormat="1" applyBorder="1" applyAlignment="1">
      <alignment/>
    </xf>
    <xf numFmtId="2" fontId="66" fillId="0" borderId="13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3" fontId="0" fillId="4" borderId="12" xfId="0" applyNumberFormat="1" applyFill="1" applyBorder="1" applyAlignment="1">
      <alignment/>
    </xf>
    <xf numFmtId="3" fontId="66" fillId="4" borderId="15" xfId="0" applyNumberFormat="1" applyFont="1" applyFill="1" applyBorder="1" applyAlignment="1">
      <alignment horizontal="center" vertical="center"/>
    </xf>
    <xf numFmtId="3" fontId="0" fillId="4" borderId="12" xfId="0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center" vertical="center"/>
    </xf>
    <xf numFmtId="3" fontId="0" fillId="0" borderId="12" xfId="0" applyNumberFormat="1" applyBorder="1" applyAlignment="1">
      <alignment/>
    </xf>
    <xf numFmtId="3" fontId="66" fillId="0" borderId="15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4" fontId="0" fillId="4" borderId="12" xfId="0" applyNumberFormat="1" applyFill="1" applyBorder="1" applyAlignment="1">
      <alignment horizontal="center" vertical="center"/>
    </xf>
    <xf numFmtId="3" fontId="62" fillId="0" borderId="11" xfId="0" applyNumberFormat="1" applyFont="1" applyBorder="1" applyAlignment="1">
      <alignment/>
    </xf>
    <xf numFmtId="2" fontId="62" fillId="0" borderId="11" xfId="0" applyNumberFormat="1" applyFont="1" applyBorder="1" applyAlignment="1">
      <alignment/>
    </xf>
    <xf numFmtId="3" fontId="62" fillId="0" borderId="13" xfId="0" applyNumberFormat="1" applyFont="1" applyBorder="1" applyAlignment="1">
      <alignment horizontal="center" vertical="center"/>
    </xf>
    <xf numFmtId="2" fontId="62" fillId="0" borderId="13" xfId="0" applyNumberFormat="1" applyFont="1" applyBorder="1" applyAlignment="1">
      <alignment horizontal="center" vertical="center"/>
    </xf>
    <xf numFmtId="3" fontId="62" fillId="0" borderId="11" xfId="0" applyNumberFormat="1" applyFont="1" applyBorder="1" applyAlignment="1">
      <alignment horizontal="center" vertical="center"/>
    </xf>
    <xf numFmtId="2" fontId="62" fillId="0" borderId="11" xfId="0" applyNumberFormat="1" applyFont="1" applyBorder="1" applyAlignment="1">
      <alignment horizontal="center" vertical="center"/>
    </xf>
    <xf numFmtId="181" fontId="0" fillId="4" borderId="11" xfId="0" applyNumberFormat="1" applyFill="1" applyBorder="1" applyAlignment="1">
      <alignment/>
    </xf>
    <xf numFmtId="181" fontId="0" fillId="4" borderId="16" xfId="0" applyNumberFormat="1" applyFill="1" applyBorder="1" applyAlignment="1">
      <alignment horizontal="center" vertical="center"/>
    </xf>
    <xf numFmtId="181" fontId="0" fillId="4" borderId="14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4" borderId="13" xfId="0" applyNumberFormat="1" applyFill="1" applyBorder="1" applyAlignment="1">
      <alignment horizontal="center" vertical="center"/>
    </xf>
    <xf numFmtId="183" fontId="0" fillId="0" borderId="12" xfId="0" applyNumberFormat="1" applyBorder="1" applyAlignment="1">
      <alignment horizontal="center" vertical="center"/>
    </xf>
    <xf numFmtId="3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0" fillId="4" borderId="17" xfId="0" applyNumberFormat="1" applyFill="1" applyBorder="1" applyAlignment="1">
      <alignment/>
    </xf>
    <xf numFmtId="2" fontId="0" fillId="4" borderId="18" xfId="0" applyNumberFormat="1" applyFill="1" applyBorder="1" applyAlignment="1">
      <alignment/>
    </xf>
    <xf numFmtId="3" fontId="62" fillId="0" borderId="18" xfId="0" applyNumberFormat="1" applyFont="1" applyBorder="1" applyAlignment="1">
      <alignment/>
    </xf>
    <xf numFmtId="2" fontId="62" fillId="0" borderId="18" xfId="0" applyNumberFormat="1" applyFont="1" applyBorder="1" applyAlignment="1">
      <alignment/>
    </xf>
    <xf numFmtId="3" fontId="0" fillId="0" borderId="19" xfId="0" applyNumberFormat="1" applyFill="1" applyBorder="1" applyAlignment="1">
      <alignment horizontal="center" vertical="center"/>
    </xf>
    <xf numFmtId="3" fontId="62" fillId="0" borderId="20" xfId="0" applyNumberFormat="1" applyFont="1" applyBorder="1" applyAlignment="1">
      <alignment horizontal="center" vertical="center"/>
    </xf>
    <xf numFmtId="2" fontId="62" fillId="0" borderId="20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/>
    </xf>
    <xf numFmtId="0" fontId="67" fillId="0" borderId="11" xfId="0" applyFont="1" applyFill="1" applyBorder="1" applyAlignment="1">
      <alignment/>
    </xf>
    <xf numFmtId="0" fontId="62" fillId="0" borderId="11" xfId="0" applyFont="1" applyFill="1" applyBorder="1" applyAlignment="1">
      <alignment/>
    </xf>
    <xf numFmtId="0" fontId="34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 horizontal="center" vertical="center"/>
    </xf>
    <xf numFmtId="0" fontId="4" fillId="0" borderId="20" xfId="0" applyFont="1" applyBorder="1" applyAlignment="1">
      <alignment/>
    </xf>
    <xf numFmtId="0" fontId="0" fillId="0" borderId="11" xfId="0" applyFont="1" applyBorder="1" applyAlignment="1">
      <alignment/>
    </xf>
    <xf numFmtId="0" fontId="68" fillId="0" borderId="2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4" fillId="0" borderId="11" xfId="0" applyFont="1" applyFill="1" applyBorder="1" applyAlignment="1">
      <alignment/>
    </xf>
    <xf numFmtId="0" fontId="0" fillId="0" borderId="13" xfId="0" applyFont="1" applyBorder="1" applyAlignment="1">
      <alignment/>
    </xf>
    <xf numFmtId="0" fontId="68" fillId="0" borderId="11" xfId="0" applyFont="1" applyBorder="1" applyAlignment="1">
      <alignment/>
    </xf>
    <xf numFmtId="0" fontId="0" fillId="0" borderId="11" xfId="0" applyFill="1" applyBorder="1" applyAlignment="1">
      <alignment vertical="top"/>
    </xf>
    <xf numFmtId="0" fontId="36" fillId="0" borderId="11" xfId="0" applyFont="1" applyFill="1" applyBorder="1" applyAlignment="1">
      <alignment/>
    </xf>
    <xf numFmtId="0" fontId="36" fillId="0" borderId="11" xfId="0" applyFont="1" applyFill="1" applyBorder="1" applyAlignment="1">
      <alignment vertical="top"/>
    </xf>
    <xf numFmtId="0" fontId="0" fillId="0" borderId="11" xfId="0" applyFont="1" applyFill="1" applyBorder="1" applyAlignment="1">
      <alignment vertical="top"/>
    </xf>
    <xf numFmtId="3" fontId="0" fillId="4" borderId="0" xfId="0" applyNumberFormat="1" applyFill="1" applyBorder="1" applyAlignment="1">
      <alignment/>
    </xf>
    <xf numFmtId="2" fontId="0" fillId="4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62" fillId="0" borderId="0" xfId="0" applyNumberFormat="1" applyFont="1" applyBorder="1" applyAlignment="1">
      <alignment/>
    </xf>
    <xf numFmtId="2" fontId="62" fillId="0" borderId="0" xfId="0" applyNumberFormat="1" applyFont="1" applyBorder="1" applyAlignment="1">
      <alignment/>
    </xf>
    <xf numFmtId="0" fontId="0" fillId="0" borderId="22" xfId="0" applyFont="1" applyFill="1" applyBorder="1" applyAlignment="1">
      <alignment vertical="top"/>
    </xf>
    <xf numFmtId="0" fontId="0" fillId="0" borderId="23" xfId="0" applyFont="1" applyFill="1" applyBorder="1" applyAlignment="1">
      <alignment horizontal="center" vertical="center"/>
    </xf>
    <xf numFmtId="3" fontId="0" fillId="4" borderId="2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1" fontId="0" fillId="0" borderId="0" xfId="0" applyNumberFormat="1" applyFill="1" applyBorder="1" applyAlignment="1">
      <alignment horizontal="center" vertical="center"/>
    </xf>
    <xf numFmtId="18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3" fontId="0" fillId="4" borderId="25" xfId="0" applyNumberFormat="1" applyFill="1" applyBorder="1" applyAlignment="1">
      <alignment/>
    </xf>
    <xf numFmtId="2" fontId="0" fillId="4" borderId="25" xfId="0" applyNumberFormat="1" applyFill="1" applyBorder="1" applyAlignment="1">
      <alignment/>
    </xf>
    <xf numFmtId="3" fontId="0" fillId="0" borderId="25" xfId="0" applyNumberFormat="1" applyBorder="1" applyAlignment="1">
      <alignment/>
    </xf>
    <xf numFmtId="3" fontId="62" fillId="0" borderId="25" xfId="0" applyNumberFormat="1" applyFont="1" applyBorder="1" applyAlignment="1">
      <alignment/>
    </xf>
    <xf numFmtId="2" fontId="62" fillId="0" borderId="25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2" fontId="0" fillId="0" borderId="25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181" fontId="4" fillId="4" borderId="26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183" fontId="0" fillId="0" borderId="25" xfId="0" applyNumberFormat="1" applyFill="1" applyBorder="1" applyAlignment="1">
      <alignment horizontal="center" vertical="center"/>
    </xf>
    <xf numFmtId="181" fontId="0" fillId="0" borderId="25" xfId="0" applyNumberForma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7" fillId="0" borderId="0" xfId="0" applyFont="1" applyBorder="1" applyAlignment="1">
      <alignment/>
    </xf>
    <xf numFmtId="181" fontId="37" fillId="0" borderId="0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3" fontId="0" fillId="0" borderId="24" xfId="0" applyNumberFormat="1" applyFill="1" applyBorder="1" applyAlignment="1">
      <alignment horizontal="center" vertical="center"/>
    </xf>
    <xf numFmtId="2" fontId="0" fillId="0" borderId="20" xfId="0" applyNumberFormat="1" applyFill="1" applyBorder="1" applyAlignment="1">
      <alignment horizontal="center" vertical="center"/>
    </xf>
    <xf numFmtId="3" fontId="62" fillId="0" borderId="20" xfId="0" applyNumberFormat="1" applyFont="1" applyFill="1" applyBorder="1" applyAlignment="1">
      <alignment horizontal="center" vertical="center"/>
    </xf>
    <xf numFmtId="2" fontId="62" fillId="0" borderId="20" xfId="0" applyNumberFormat="1" applyFont="1" applyFill="1" applyBorder="1" applyAlignment="1">
      <alignment horizontal="center" vertical="center"/>
    </xf>
    <xf numFmtId="2" fontId="0" fillId="4" borderId="20" xfId="0" applyNumberFormat="1" applyFill="1" applyBorder="1" applyAlignment="1">
      <alignment horizontal="center" vertical="center"/>
    </xf>
    <xf numFmtId="0" fontId="65" fillId="0" borderId="19" xfId="0" applyFont="1" applyFill="1" applyBorder="1" applyAlignment="1">
      <alignment/>
    </xf>
    <xf numFmtId="0" fontId="67" fillId="0" borderId="11" xfId="0" applyFont="1" applyBorder="1" applyAlignment="1">
      <alignment/>
    </xf>
    <xf numFmtId="0" fontId="62" fillId="0" borderId="11" xfId="0" applyFont="1" applyBorder="1" applyAlignment="1">
      <alignment/>
    </xf>
    <xf numFmtId="3" fontId="62" fillId="4" borderId="20" xfId="0" applyNumberFormat="1" applyFont="1" applyFill="1" applyBorder="1" applyAlignment="1">
      <alignment horizontal="center" vertical="center"/>
    </xf>
    <xf numFmtId="2" fontId="62" fillId="4" borderId="20" xfId="0" applyNumberFormat="1" applyFont="1" applyFill="1" applyBorder="1" applyAlignment="1">
      <alignment horizontal="center" vertical="center"/>
    </xf>
    <xf numFmtId="3" fontId="62" fillId="4" borderId="13" xfId="0" applyNumberFormat="1" applyFont="1" applyFill="1" applyBorder="1" applyAlignment="1">
      <alignment horizontal="center" vertical="center"/>
    </xf>
    <xf numFmtId="2" fontId="62" fillId="4" borderId="13" xfId="0" applyNumberFormat="1" applyFont="1" applyFill="1" applyBorder="1" applyAlignment="1">
      <alignment horizontal="center" vertical="center"/>
    </xf>
    <xf numFmtId="3" fontId="62" fillId="4" borderId="11" xfId="0" applyNumberFormat="1" applyFont="1" applyFill="1" applyBorder="1" applyAlignment="1">
      <alignment horizontal="center" vertical="center"/>
    </xf>
    <xf numFmtId="2" fontId="62" fillId="4" borderId="11" xfId="0" applyNumberFormat="1" applyFont="1" applyFill="1" applyBorder="1" applyAlignment="1">
      <alignment horizontal="center" vertical="center"/>
    </xf>
    <xf numFmtId="3" fontId="62" fillId="4" borderId="26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1" fontId="0" fillId="4" borderId="16" xfId="0" applyNumberFormat="1" applyFill="1" applyBorder="1" applyAlignment="1">
      <alignment/>
    </xf>
    <xf numFmtId="0" fontId="69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167" fontId="0" fillId="4" borderId="11" xfId="0" applyNumberFormat="1" applyFill="1" applyBorder="1" applyAlignment="1">
      <alignment/>
    </xf>
    <xf numFmtId="0" fontId="0" fillId="4" borderId="11" xfId="0" applyFill="1" applyBorder="1" applyAlignment="1">
      <alignment/>
    </xf>
    <xf numFmtId="167" fontId="0" fillId="4" borderId="16" xfId="0" applyNumberForma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3" fontId="0" fillId="4" borderId="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3" fontId="0" fillId="4" borderId="11" xfId="0" applyNumberFormat="1" applyFill="1" applyBorder="1" applyAlignment="1">
      <alignment horizontal="center" vertical="center"/>
    </xf>
    <xf numFmtId="4" fontId="0" fillId="4" borderId="11" xfId="0" applyNumberFormat="1" applyFill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/>
    </xf>
    <xf numFmtId="183" fontId="0" fillId="0" borderId="11" xfId="0" applyNumberFormat="1" applyBorder="1" applyAlignment="1">
      <alignment horizontal="center" vertical="center"/>
    </xf>
    <xf numFmtId="183" fontId="0" fillId="4" borderId="11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83" fontId="0" fillId="34" borderId="11" xfId="0" applyNumberFormat="1" applyFill="1" applyBorder="1" applyAlignment="1">
      <alignment horizontal="center" vertical="center"/>
    </xf>
    <xf numFmtId="181" fontId="0" fillId="34" borderId="11" xfId="0" applyNumberFormat="1" applyFill="1" applyBorder="1" applyAlignment="1">
      <alignment horizontal="center" vertical="center"/>
    </xf>
    <xf numFmtId="181" fontId="4" fillId="34" borderId="11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/>
    </xf>
    <xf numFmtId="0" fontId="4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183" fontId="0" fillId="34" borderId="12" xfId="0" applyNumberFormat="1" applyFill="1" applyBorder="1" applyAlignment="1">
      <alignment horizontal="center" vertical="center"/>
    </xf>
    <xf numFmtId="181" fontId="0" fillId="4" borderId="12" xfId="0" applyNumberFormat="1" applyFill="1" applyBorder="1" applyAlignment="1">
      <alignment horizontal="center" vertical="center"/>
    </xf>
    <xf numFmtId="0" fontId="37" fillId="34" borderId="0" xfId="0" applyFont="1" applyFill="1" applyBorder="1" applyAlignment="1">
      <alignment/>
    </xf>
    <xf numFmtId="181" fontId="0" fillId="4" borderId="26" xfId="0" applyNumberFormat="1" applyFill="1" applyBorder="1" applyAlignment="1">
      <alignment horizontal="center" vertical="center"/>
    </xf>
    <xf numFmtId="181" fontId="0" fillId="0" borderId="26" xfId="0" applyNumberFormat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/>
    </xf>
    <xf numFmtId="183" fontId="0" fillId="4" borderId="13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5" fillId="34" borderId="11" xfId="0" applyFont="1" applyFill="1" applyBorder="1" applyAlignment="1">
      <alignment/>
    </xf>
    <xf numFmtId="181" fontId="2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/>
    </xf>
    <xf numFmtId="4" fontId="0" fillId="0" borderId="11" xfId="0" applyNumberFormat="1" applyFill="1" applyBorder="1" applyAlignment="1">
      <alignment horizontal="center" vertical="center"/>
    </xf>
    <xf numFmtId="181" fontId="0" fillId="0" borderId="0" xfId="0" applyNumberFormat="1" applyBorder="1" applyAlignment="1">
      <alignment/>
    </xf>
    <xf numFmtId="4" fontId="0" fillId="0" borderId="24" xfId="0" applyNumberFormat="1" applyFill="1" applyBorder="1" applyAlignment="1">
      <alignment horizontal="center" vertical="center"/>
    </xf>
    <xf numFmtId="4" fontId="0" fillId="4" borderId="20" xfId="0" applyNumberFormat="1" applyFill="1" applyBorder="1" applyAlignment="1">
      <alignment horizontal="center" vertical="center"/>
    </xf>
    <xf numFmtId="4" fontId="0" fillId="4" borderId="24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3" fontId="62" fillId="0" borderId="26" xfId="0" applyNumberFormat="1" applyFont="1" applyBorder="1" applyAlignment="1">
      <alignment horizontal="center" vertical="center"/>
    </xf>
    <xf numFmtId="2" fontId="62" fillId="0" borderId="26" xfId="0" applyNumberFormat="1" applyFont="1" applyBorder="1" applyAlignment="1">
      <alignment horizontal="center" vertical="center"/>
    </xf>
    <xf numFmtId="2" fontId="62" fillId="4" borderId="26" xfId="0" applyNumberFormat="1" applyFont="1" applyFill="1" applyBorder="1" applyAlignment="1">
      <alignment horizontal="center" vertical="center"/>
    </xf>
    <xf numFmtId="181" fontId="0" fillId="0" borderId="11" xfId="0" applyNumberFormat="1" applyFill="1" applyBorder="1" applyAlignment="1">
      <alignment horizontal="center"/>
    </xf>
    <xf numFmtId="181" fontId="0" fillId="0" borderId="26" xfId="0" applyNumberFormat="1" applyFill="1" applyBorder="1" applyAlignment="1">
      <alignment horizontal="center"/>
    </xf>
    <xf numFmtId="181" fontId="2" fillId="0" borderId="14" xfId="0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82" fontId="0" fillId="0" borderId="11" xfId="0" applyNumberFormat="1" applyFill="1" applyBorder="1" applyAlignment="1">
      <alignment horizontal="center"/>
    </xf>
    <xf numFmtId="181" fontId="0" fillId="0" borderId="0" xfId="0" applyNumberFormat="1" applyAlignment="1">
      <alignment wrapText="1"/>
    </xf>
    <xf numFmtId="10" fontId="0" fillId="0" borderId="0" xfId="0" applyNumberFormat="1" applyAlignment="1">
      <alignment/>
    </xf>
    <xf numFmtId="4" fontId="0" fillId="0" borderId="0" xfId="0" applyNumberFormat="1" applyFill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0" fillId="4" borderId="26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2" fontId="0" fillId="4" borderId="0" xfId="0" applyNumberForma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3" fontId="62" fillId="0" borderId="0" xfId="0" applyNumberFormat="1" applyFont="1" applyBorder="1" applyAlignment="1">
      <alignment horizontal="center" vertical="center"/>
    </xf>
    <xf numFmtId="2" fontId="62" fillId="0" borderId="0" xfId="0" applyNumberFormat="1" applyFont="1" applyBorder="1" applyAlignment="1">
      <alignment horizontal="center" vertical="center"/>
    </xf>
    <xf numFmtId="3" fontId="0" fillId="4" borderId="27" xfId="0" applyNumberForma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3" fontId="0" fillId="4" borderId="26" xfId="0" applyNumberForma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70" fillId="4" borderId="11" xfId="0" applyFont="1" applyFill="1" applyBorder="1" applyAlignment="1">
      <alignment horizontal="center" vertical="center"/>
    </xf>
    <xf numFmtId="181" fontId="70" fillId="4" borderId="11" xfId="0" applyNumberFormat="1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183" fontId="46" fillId="0" borderId="11" xfId="0" applyNumberFormat="1" applyFont="1" applyBorder="1" applyAlignment="1">
      <alignment horizontal="center" vertical="center"/>
    </xf>
    <xf numFmtId="181" fontId="46" fillId="0" borderId="11" xfId="0" applyNumberFormat="1" applyFont="1" applyBorder="1" applyAlignment="1">
      <alignment horizontal="center" vertical="center"/>
    </xf>
    <xf numFmtId="3" fontId="0" fillId="34" borderId="12" xfId="0" applyNumberFormat="1" applyFill="1" applyBorder="1" applyAlignment="1">
      <alignment horizontal="center" vertical="center"/>
    </xf>
    <xf numFmtId="3" fontId="0" fillId="0" borderId="25" xfId="0" applyNumberFormat="1" applyFill="1" applyBorder="1" applyAlignment="1">
      <alignment horizontal="center" vertical="center"/>
    </xf>
    <xf numFmtId="0" fontId="36" fillId="4" borderId="11" xfId="0" applyFont="1" applyFill="1" applyBorder="1" applyAlignment="1">
      <alignment horizontal="center" vertical="center"/>
    </xf>
    <xf numFmtId="181" fontId="36" fillId="4" borderId="11" xfId="0" applyNumberFormat="1" applyFont="1" applyFill="1" applyBorder="1" applyAlignment="1">
      <alignment horizontal="center" vertical="center"/>
    </xf>
    <xf numFmtId="3" fontId="46" fillId="0" borderId="11" xfId="0" applyNumberFormat="1" applyFont="1" applyFill="1" applyBorder="1" applyAlignment="1">
      <alignment horizontal="center" vertical="center"/>
    </xf>
    <xf numFmtId="3" fontId="70" fillId="4" borderId="11" xfId="0" applyNumberFormat="1" applyFont="1" applyFill="1" applyBorder="1" applyAlignment="1">
      <alignment horizontal="center" vertical="center"/>
    </xf>
    <xf numFmtId="0" fontId="70" fillId="4" borderId="12" xfId="0" applyFont="1" applyFill="1" applyBorder="1" applyAlignment="1">
      <alignment horizontal="center" vertical="center"/>
    </xf>
    <xf numFmtId="0" fontId="70" fillId="4" borderId="28" xfId="0" applyFont="1" applyFill="1" applyBorder="1" applyAlignment="1">
      <alignment horizontal="center" vertical="center"/>
    </xf>
    <xf numFmtId="181" fontId="70" fillId="4" borderId="26" xfId="0" applyNumberFormat="1" applyFont="1" applyFill="1" applyBorder="1" applyAlignment="1">
      <alignment horizontal="center" vertical="center"/>
    </xf>
    <xf numFmtId="4" fontId="70" fillId="4" borderId="12" xfId="0" applyNumberFormat="1" applyFont="1" applyFill="1" applyBorder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181" fontId="65" fillId="0" borderId="0" xfId="0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181" fontId="2" fillId="34" borderId="29" xfId="0" applyNumberFormat="1" applyFont="1" applyFill="1" applyBorder="1" applyAlignment="1">
      <alignment horizontal="center"/>
    </xf>
    <xf numFmtId="181" fontId="0" fillId="34" borderId="19" xfId="0" applyNumberFormat="1" applyFill="1" applyBorder="1" applyAlignment="1">
      <alignment horizontal="center"/>
    </xf>
    <xf numFmtId="4" fontId="0" fillId="34" borderId="19" xfId="0" applyNumberFormat="1" applyFill="1" applyBorder="1" applyAlignment="1">
      <alignment horizontal="center"/>
    </xf>
    <xf numFmtId="181" fontId="2" fillId="4" borderId="26" xfId="0" applyNumberFormat="1" applyFont="1" applyFill="1" applyBorder="1" applyAlignment="1">
      <alignment horizontal="center"/>
    </xf>
    <xf numFmtId="181" fontId="0" fillId="4" borderId="11" xfId="0" applyNumberFormat="1" applyFill="1" applyBorder="1" applyAlignment="1">
      <alignment horizontal="center"/>
    </xf>
    <xf numFmtId="181" fontId="0" fillId="4" borderId="26" xfId="0" applyNumberFormat="1" applyFill="1" applyBorder="1" applyAlignment="1">
      <alignment horizontal="center"/>
    </xf>
    <xf numFmtId="181" fontId="4" fillId="4" borderId="30" xfId="0" applyNumberFormat="1" applyFont="1" applyFill="1" applyBorder="1" applyAlignment="1">
      <alignment horizontal="center" vertical="center"/>
    </xf>
    <xf numFmtId="181" fontId="62" fillId="0" borderId="30" xfId="0" applyNumberFormat="1" applyFont="1" applyFill="1" applyBorder="1" applyAlignment="1">
      <alignment horizontal="center" vertical="center"/>
    </xf>
    <xf numFmtId="181" fontId="62" fillId="4" borderId="30" xfId="0" applyNumberFormat="1" applyFont="1" applyFill="1" applyBorder="1" applyAlignment="1">
      <alignment horizontal="center" vertical="center"/>
    </xf>
    <xf numFmtId="3" fontId="0" fillId="34" borderId="0" xfId="0" applyNumberFormat="1" applyFill="1" applyBorder="1" applyAlignment="1">
      <alignment horizontal="center" vertical="center"/>
    </xf>
    <xf numFmtId="2" fontId="0" fillId="34" borderId="11" xfId="0" applyNumberFormat="1" applyFill="1" applyBorder="1" applyAlignment="1">
      <alignment horizontal="center" vertical="center"/>
    </xf>
    <xf numFmtId="4" fontId="0" fillId="34" borderId="12" xfId="0" applyNumberFormat="1" applyFill="1" applyBorder="1" applyAlignment="1">
      <alignment horizontal="center" vertical="center"/>
    </xf>
    <xf numFmtId="4" fontId="0" fillId="34" borderId="11" xfId="0" applyNumberFormat="1" applyFill="1" applyBorder="1" applyAlignment="1">
      <alignment horizontal="center" vertical="center"/>
    </xf>
    <xf numFmtId="3" fontId="62" fillId="34" borderId="11" xfId="0" applyNumberFormat="1" applyFont="1" applyFill="1" applyBorder="1" applyAlignment="1">
      <alignment horizontal="center" vertical="center"/>
    </xf>
    <xf numFmtId="2" fontId="62" fillId="34" borderId="11" xfId="0" applyNumberFormat="1" applyFont="1" applyFill="1" applyBorder="1" applyAlignment="1">
      <alignment horizontal="center" vertical="center"/>
    </xf>
    <xf numFmtId="3" fontId="0" fillId="34" borderId="25" xfId="0" applyNumberFormat="1" applyFill="1" applyBorder="1" applyAlignment="1">
      <alignment horizontal="center" vertical="center"/>
    </xf>
    <xf numFmtId="2" fontId="0" fillId="34" borderId="13" xfId="0" applyNumberFormat="1" applyFill="1" applyBorder="1" applyAlignment="1">
      <alignment horizontal="center" vertical="center"/>
    </xf>
    <xf numFmtId="0" fontId="62" fillId="0" borderId="0" xfId="0" applyFont="1" applyBorder="1" applyAlignment="1">
      <alignment/>
    </xf>
    <xf numFmtId="0" fontId="62" fillId="0" borderId="25" xfId="0" applyFont="1" applyBorder="1" applyAlignment="1">
      <alignment horizontal="center" vertical="center" wrapText="1"/>
    </xf>
    <xf numFmtId="3" fontId="62" fillId="4" borderId="25" xfId="0" applyNumberFormat="1" applyFont="1" applyFill="1" applyBorder="1" applyAlignment="1">
      <alignment horizontal="center" vertical="center"/>
    </xf>
    <xf numFmtId="2" fontId="62" fillId="4" borderId="25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3" fontId="64" fillId="4" borderId="15" xfId="0" applyNumberFormat="1" applyFont="1" applyFill="1" applyBorder="1" applyAlignment="1">
      <alignment horizontal="center" vertical="center"/>
    </xf>
    <xf numFmtId="2" fontId="64" fillId="4" borderId="13" xfId="0" applyNumberFormat="1" applyFont="1" applyFill="1" applyBorder="1" applyAlignment="1">
      <alignment horizontal="center" vertical="center"/>
    </xf>
    <xf numFmtId="3" fontId="64" fillId="0" borderId="15" xfId="0" applyNumberFormat="1" applyFont="1" applyBorder="1" applyAlignment="1">
      <alignment horizontal="center" vertical="center"/>
    </xf>
    <xf numFmtId="2" fontId="64" fillId="0" borderId="13" xfId="0" applyNumberFormat="1" applyFont="1" applyBorder="1" applyAlignment="1">
      <alignment horizontal="center" vertical="center"/>
    </xf>
    <xf numFmtId="4" fontId="64" fillId="0" borderId="13" xfId="0" applyNumberFormat="1" applyFont="1" applyBorder="1" applyAlignment="1">
      <alignment horizontal="center" vertical="center"/>
    </xf>
    <xf numFmtId="4" fontId="64" fillId="4" borderId="13" xfId="0" applyNumberFormat="1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181" fontId="62" fillId="4" borderId="18" xfId="0" applyNumberFormat="1" applyFont="1" applyFill="1" applyBorder="1" applyAlignment="1">
      <alignment horizontal="center" vertical="center" wrapText="1"/>
    </xf>
    <xf numFmtId="181" fontId="62" fillId="4" borderId="18" xfId="0" applyNumberFormat="1" applyFont="1" applyFill="1" applyBorder="1" applyAlignment="1">
      <alignment horizontal="center" vertical="center"/>
    </xf>
    <xf numFmtId="181" fontId="71" fillId="0" borderId="11" xfId="0" applyNumberFormat="1" applyFont="1" applyFill="1" applyBorder="1" applyAlignment="1">
      <alignment horizontal="center"/>
    </xf>
    <xf numFmtId="181" fontId="71" fillId="4" borderId="11" xfId="0" applyNumberFormat="1" applyFont="1" applyFill="1" applyBorder="1" applyAlignment="1">
      <alignment horizontal="center"/>
    </xf>
    <xf numFmtId="182" fontId="71" fillId="0" borderId="11" xfId="0" applyNumberFormat="1" applyFont="1" applyFill="1" applyBorder="1" applyAlignment="1">
      <alignment horizontal="center"/>
    </xf>
    <xf numFmtId="181" fontId="71" fillId="4" borderId="14" xfId="0" applyNumberFormat="1" applyFont="1" applyFill="1" applyBorder="1" applyAlignment="1">
      <alignment horizontal="center"/>
    </xf>
    <xf numFmtId="181" fontId="71" fillId="34" borderId="14" xfId="0" applyNumberFormat="1" applyFont="1" applyFill="1" applyBorder="1" applyAlignment="1">
      <alignment horizontal="center"/>
    </xf>
    <xf numFmtId="181" fontId="71" fillId="34" borderId="11" xfId="0" applyNumberFormat="1" applyFont="1" applyFill="1" applyBorder="1" applyAlignment="1">
      <alignment horizontal="center"/>
    </xf>
    <xf numFmtId="182" fontId="71" fillId="34" borderId="11" xfId="0" applyNumberFormat="1" applyFont="1" applyFill="1" applyBorder="1" applyAlignment="1">
      <alignment horizontal="center"/>
    </xf>
    <xf numFmtId="3" fontId="36" fillId="4" borderId="11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13" xfId="0" applyFill="1" applyBorder="1" applyAlignment="1">
      <alignment horizontal="center" vertical="center"/>
    </xf>
    <xf numFmtId="183" fontId="70" fillId="4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2" xfId="0" applyFill="1" applyBorder="1" applyAlignment="1">
      <alignment horizontal="center" vertical="center"/>
    </xf>
    <xf numFmtId="183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3" fontId="70" fillId="34" borderId="11" xfId="0" applyNumberFormat="1" applyFont="1" applyFill="1" applyBorder="1" applyAlignment="1">
      <alignment horizontal="center" vertical="center"/>
    </xf>
    <xf numFmtId="0" fontId="70" fillId="34" borderId="11" xfId="0" applyFont="1" applyFill="1" applyBorder="1" applyAlignment="1">
      <alignment horizontal="center" vertical="center"/>
    </xf>
    <xf numFmtId="3" fontId="46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183" fontId="46" fillId="34" borderId="11" xfId="0" applyNumberFormat="1" applyFont="1" applyFill="1" applyBorder="1" applyAlignment="1">
      <alignment horizontal="center" vertical="center"/>
    </xf>
    <xf numFmtId="181" fontId="46" fillId="34" borderId="11" xfId="0" applyNumberFormat="1" applyFont="1" applyFill="1" applyBorder="1" applyAlignment="1">
      <alignment horizontal="center" vertical="center"/>
    </xf>
    <xf numFmtId="181" fontId="37" fillId="34" borderId="0" xfId="0" applyNumberFormat="1" applyFont="1" applyFill="1" applyBorder="1" applyAlignment="1">
      <alignment/>
    </xf>
    <xf numFmtId="4" fontId="70" fillId="34" borderId="12" xfId="0" applyNumberFormat="1" applyFont="1" applyFill="1" applyBorder="1" applyAlignment="1">
      <alignment horizontal="center" vertical="center"/>
    </xf>
    <xf numFmtId="0" fontId="70" fillId="34" borderId="12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36" fillId="0" borderId="11" xfId="0" applyFont="1" applyBorder="1" applyAlignment="1">
      <alignment horizontal="center" vertical="center"/>
    </xf>
    <xf numFmtId="183" fontId="36" fillId="0" borderId="11" xfId="0" applyNumberFormat="1" applyFont="1" applyBorder="1" applyAlignment="1">
      <alignment horizontal="center" vertical="center"/>
    </xf>
    <xf numFmtId="181" fontId="36" fillId="0" borderId="11" xfId="0" applyNumberFormat="1" applyFont="1" applyBorder="1" applyAlignment="1">
      <alignment horizontal="center" vertical="center"/>
    </xf>
    <xf numFmtId="3" fontId="70" fillId="4" borderId="12" xfId="0" applyNumberFormat="1" applyFont="1" applyFill="1" applyBorder="1" applyAlignment="1">
      <alignment horizontal="center" vertical="center"/>
    </xf>
    <xf numFmtId="3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183" fontId="46" fillId="0" borderId="12" xfId="0" applyNumberFormat="1" applyFont="1" applyFill="1" applyBorder="1" applyAlignment="1">
      <alignment horizontal="center" vertical="center"/>
    </xf>
    <xf numFmtId="3" fontId="46" fillId="0" borderId="12" xfId="0" applyNumberFormat="1" applyFont="1" applyBorder="1" applyAlignment="1">
      <alignment horizontal="center" vertical="center"/>
    </xf>
    <xf numFmtId="183" fontId="46" fillId="0" borderId="12" xfId="0" applyNumberFormat="1" applyFont="1" applyBorder="1" applyAlignment="1">
      <alignment horizontal="center" vertical="center"/>
    </xf>
    <xf numFmtId="4" fontId="46" fillId="0" borderId="12" xfId="0" applyNumberFormat="1" applyFont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4" fontId="70" fillId="4" borderId="28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4" borderId="28" xfId="0" applyNumberFormat="1" applyFill="1" applyBorder="1" applyAlignment="1">
      <alignment horizontal="center" vertical="center"/>
    </xf>
    <xf numFmtId="181" fontId="72" fillId="4" borderId="11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83" fontId="0" fillId="0" borderId="28" xfId="0" applyNumberFormat="1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183" fontId="0" fillId="4" borderId="28" xfId="0" applyNumberFormat="1" applyFill="1" applyBorder="1" applyAlignment="1">
      <alignment horizontal="center" vertical="center"/>
    </xf>
    <xf numFmtId="183" fontId="0" fillId="4" borderId="14" xfId="0" applyNumberForma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81" fontId="72" fillId="4" borderId="26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23" xfId="0" applyFont="1" applyBorder="1" applyAlignment="1">
      <alignment/>
    </xf>
    <xf numFmtId="0" fontId="62" fillId="0" borderId="14" xfId="0" applyFont="1" applyBorder="1" applyAlignment="1">
      <alignment/>
    </xf>
    <xf numFmtId="0" fontId="68" fillId="0" borderId="2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Border="1" applyAlignment="1">
      <alignment/>
    </xf>
    <xf numFmtId="0" fontId="5" fillId="34" borderId="14" xfId="0" applyFont="1" applyFill="1" applyBorder="1" applyAlignment="1">
      <alignment/>
    </xf>
    <xf numFmtId="0" fontId="2" fillId="0" borderId="14" xfId="0" applyFont="1" applyFill="1" applyBorder="1" applyAlignment="1">
      <alignment horizontal="left" vertical="top"/>
    </xf>
    <xf numFmtId="0" fontId="68" fillId="0" borderId="14" xfId="0" applyFont="1" applyBorder="1" applyAlignment="1">
      <alignment/>
    </xf>
    <xf numFmtId="0" fontId="0" fillId="0" borderId="14" xfId="0" applyFill="1" applyBorder="1" applyAlignment="1">
      <alignment/>
    </xf>
    <xf numFmtId="0" fontId="36" fillId="0" borderId="14" xfId="0" applyFont="1" applyFill="1" applyBorder="1" applyAlignment="1">
      <alignment vertical="top"/>
    </xf>
    <xf numFmtId="0" fontId="4" fillId="0" borderId="14" xfId="0" applyFont="1" applyFill="1" applyBorder="1" applyAlignment="1">
      <alignment/>
    </xf>
    <xf numFmtId="0" fontId="64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62" fillId="0" borderId="12" xfId="0" applyFont="1" applyBorder="1" applyAlignment="1">
      <alignment/>
    </xf>
    <xf numFmtId="0" fontId="68" fillId="0" borderId="24" xfId="0" applyFont="1" applyFill="1" applyBorder="1" applyAlignment="1">
      <alignment/>
    </xf>
    <xf numFmtId="0" fontId="0" fillId="0" borderId="12" xfId="0" applyBorder="1" applyAlignment="1">
      <alignment/>
    </xf>
    <xf numFmtId="0" fontId="5" fillId="34" borderId="12" xfId="0" applyFont="1" applyFill="1" applyBorder="1" applyAlignment="1">
      <alignment/>
    </xf>
    <xf numFmtId="0" fontId="2" fillId="0" borderId="12" xfId="0" applyFont="1" applyFill="1" applyBorder="1" applyAlignment="1">
      <alignment horizontal="left" vertical="top"/>
    </xf>
    <xf numFmtId="0" fontId="6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vertical="top"/>
    </xf>
    <xf numFmtId="0" fontId="36" fillId="0" borderId="12" xfId="0" applyFont="1" applyFill="1" applyBorder="1" applyAlignment="1">
      <alignment vertical="top"/>
    </xf>
    <xf numFmtId="0" fontId="0" fillId="0" borderId="23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62" fillId="0" borderId="11" xfId="0" applyFont="1" applyFill="1" applyBorder="1" applyAlignment="1">
      <alignment horizontal="center" vertical="center" wrapText="1"/>
    </xf>
    <xf numFmtId="3" fontId="62" fillId="4" borderId="0" xfId="0" applyNumberFormat="1" applyFont="1" applyFill="1" applyBorder="1" applyAlignment="1">
      <alignment horizontal="center" vertical="center"/>
    </xf>
    <xf numFmtId="3" fontId="62" fillId="0" borderId="12" xfId="0" applyNumberFormat="1" applyFont="1" applyBorder="1" applyAlignment="1">
      <alignment horizontal="center" vertical="center"/>
    </xf>
    <xf numFmtId="4" fontId="62" fillId="0" borderId="12" xfId="0" applyNumberFormat="1" applyFont="1" applyBorder="1" applyAlignment="1">
      <alignment horizontal="center" vertical="center"/>
    </xf>
    <xf numFmtId="3" fontId="62" fillId="4" borderId="12" xfId="0" applyNumberFormat="1" applyFont="1" applyFill="1" applyBorder="1" applyAlignment="1">
      <alignment horizontal="center" vertical="center"/>
    </xf>
    <xf numFmtId="4" fontId="62" fillId="4" borderId="11" xfId="0" applyNumberFormat="1" applyFont="1" applyFill="1" applyBorder="1" applyAlignment="1">
      <alignment horizontal="center" vertical="center"/>
    </xf>
    <xf numFmtId="4" fontId="62" fillId="4" borderId="12" xfId="0" applyNumberFormat="1" applyFont="1" applyFill="1" applyBorder="1" applyAlignment="1">
      <alignment horizontal="center" vertical="center"/>
    </xf>
    <xf numFmtId="4" fontId="62" fillId="0" borderId="11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3" fontId="0" fillId="4" borderId="11" xfId="0" applyNumberFormat="1" applyFont="1" applyFill="1" applyBorder="1" applyAlignment="1">
      <alignment horizontal="center" vertical="center"/>
    </xf>
    <xf numFmtId="2" fontId="0" fillId="4" borderId="11" xfId="0" applyNumberFormat="1" applyFont="1" applyFill="1" applyBorder="1" applyAlignment="1">
      <alignment horizontal="center" vertical="center"/>
    </xf>
    <xf numFmtId="0" fontId="6" fillId="0" borderId="0" xfId="58" applyFont="1" applyAlignment="1">
      <alignment vertical="top"/>
      <protection/>
    </xf>
    <xf numFmtId="0" fontId="2" fillId="0" borderId="0" xfId="58" applyAlignment="1">
      <alignment vertical="top"/>
      <protection/>
    </xf>
    <xf numFmtId="0" fontId="7" fillId="0" borderId="0" xfId="58" applyFont="1" applyAlignment="1">
      <alignment vertical="top"/>
      <protection/>
    </xf>
    <xf numFmtId="0" fontId="8" fillId="0" borderId="0" xfId="58" applyFont="1" applyAlignment="1">
      <alignment vertical="top"/>
      <protection/>
    </xf>
    <xf numFmtId="0" fontId="10" fillId="0" borderId="0" xfId="58" applyNumberFormat="1" applyFont="1" applyAlignment="1">
      <alignment horizontal="left" vertical="top" indent="1"/>
      <protection/>
    </xf>
    <xf numFmtId="0" fontId="10" fillId="0" borderId="0" xfId="58" applyNumberFormat="1" applyFont="1" applyAlignment="1">
      <alignment vertical="top"/>
      <protection/>
    </xf>
    <xf numFmtId="0" fontId="4" fillId="35" borderId="32" xfId="58" applyFont="1" applyFill="1" applyBorder="1" applyAlignment="1">
      <alignment vertical="top"/>
      <protection/>
    </xf>
    <xf numFmtId="0" fontId="4" fillId="35" borderId="33" xfId="58" applyFont="1" applyFill="1" applyBorder="1" applyAlignment="1">
      <alignment vertical="top"/>
      <protection/>
    </xf>
    <xf numFmtId="0" fontId="4" fillId="35" borderId="34" xfId="58" applyFont="1" applyFill="1" applyBorder="1" applyAlignment="1">
      <alignment vertical="top"/>
      <protection/>
    </xf>
    <xf numFmtId="0" fontId="2" fillId="0" borderId="35" xfId="58" applyFill="1" applyBorder="1" applyAlignment="1">
      <alignment vertical="top"/>
      <protection/>
    </xf>
    <xf numFmtId="0" fontId="2" fillId="0" borderId="36" xfId="58" applyFill="1" applyBorder="1" applyAlignment="1">
      <alignment vertical="top"/>
      <protection/>
    </xf>
    <xf numFmtId="0" fontId="2" fillId="0" borderId="37" xfId="58" applyFont="1" applyFill="1" applyBorder="1" applyAlignment="1">
      <alignment vertical="top"/>
      <protection/>
    </xf>
    <xf numFmtId="0" fontId="2" fillId="0" borderId="37" xfId="58" applyFill="1" applyBorder="1" applyAlignment="1">
      <alignment vertical="top"/>
      <protection/>
    </xf>
    <xf numFmtId="0" fontId="2" fillId="0" borderId="0" xfId="58" applyFill="1" applyAlignment="1">
      <alignment vertical="top"/>
      <protection/>
    </xf>
    <xf numFmtId="4" fontId="2" fillId="0" borderId="35" xfId="58" applyNumberFormat="1" applyFill="1" applyBorder="1" applyAlignment="1">
      <alignment vertical="top"/>
      <protection/>
    </xf>
    <xf numFmtId="3" fontId="2" fillId="0" borderId="36" xfId="58" applyNumberFormat="1" applyFill="1" applyBorder="1" applyAlignment="1">
      <alignment vertical="top"/>
      <protection/>
    </xf>
    <xf numFmtId="9" fontId="2" fillId="0" borderId="35" xfId="58" applyNumberFormat="1" applyFill="1" applyBorder="1" applyAlignment="1">
      <alignment vertical="top"/>
      <protection/>
    </xf>
    <xf numFmtId="9" fontId="2" fillId="0" borderId="36" xfId="58" applyNumberFormat="1" applyFill="1" applyBorder="1" applyAlignment="1">
      <alignment vertical="top"/>
      <protection/>
    </xf>
    <xf numFmtId="9" fontId="2" fillId="0" borderId="37" xfId="58" applyNumberFormat="1" applyFill="1" applyBorder="1" applyAlignment="1">
      <alignment vertical="top"/>
      <protection/>
    </xf>
    <xf numFmtId="3" fontId="2" fillId="0" borderId="37" xfId="58" applyNumberFormat="1" applyFill="1" applyBorder="1" applyAlignment="1">
      <alignment vertical="top"/>
      <protection/>
    </xf>
    <xf numFmtId="0" fontId="2" fillId="36" borderId="38" xfId="58" applyFill="1" applyBorder="1" applyAlignment="1">
      <alignment vertical="top"/>
      <protection/>
    </xf>
    <xf numFmtId="0" fontId="2" fillId="36" borderId="39" xfId="58" applyFill="1" applyBorder="1" applyAlignment="1">
      <alignment vertical="top"/>
      <protection/>
    </xf>
    <xf numFmtId="0" fontId="2" fillId="36" borderId="40" xfId="58" applyFont="1" applyFill="1" applyBorder="1" applyAlignment="1">
      <alignment vertical="top"/>
      <protection/>
    </xf>
    <xf numFmtId="0" fontId="2" fillId="36" borderId="40" xfId="58" applyFill="1" applyBorder="1" applyAlignment="1">
      <alignment vertical="top"/>
      <protection/>
    </xf>
    <xf numFmtId="4" fontId="2" fillId="36" borderId="38" xfId="58" applyNumberFormat="1" applyFill="1" applyBorder="1" applyAlignment="1">
      <alignment vertical="top"/>
      <protection/>
    </xf>
    <xf numFmtId="3" fontId="2" fillId="36" borderId="39" xfId="58" applyNumberFormat="1" applyFill="1" applyBorder="1" applyAlignment="1">
      <alignment vertical="top"/>
      <protection/>
    </xf>
    <xf numFmtId="9" fontId="2" fillId="36" borderId="38" xfId="58" applyNumberFormat="1" applyFill="1" applyBorder="1" applyAlignment="1">
      <alignment vertical="top"/>
      <protection/>
    </xf>
    <xf numFmtId="9" fontId="2" fillId="36" borderId="39" xfId="58" applyNumberFormat="1" applyFill="1" applyBorder="1" applyAlignment="1">
      <alignment vertical="top"/>
      <protection/>
    </xf>
    <xf numFmtId="9" fontId="2" fillId="36" borderId="40" xfId="58" applyNumberFormat="1" applyFill="1" applyBorder="1" applyAlignment="1">
      <alignment vertical="top"/>
      <protection/>
    </xf>
    <xf numFmtId="3" fontId="2" fillId="36" borderId="40" xfId="58" applyNumberFormat="1" applyFill="1" applyBorder="1" applyAlignment="1">
      <alignment vertical="top"/>
      <protection/>
    </xf>
    <xf numFmtId="0" fontId="2" fillId="0" borderId="38" xfId="58" applyFill="1" applyBorder="1" applyAlignment="1">
      <alignment vertical="top"/>
      <protection/>
    </xf>
    <xf numFmtId="0" fontId="2" fillId="0" borderId="39" xfId="58" applyFill="1" applyBorder="1" applyAlignment="1">
      <alignment vertical="top"/>
      <protection/>
    </xf>
    <xf numFmtId="0" fontId="2" fillId="0" borderId="40" xfId="58" applyFont="1" applyFill="1" applyBorder="1" applyAlignment="1">
      <alignment vertical="top"/>
      <protection/>
    </xf>
    <xf numFmtId="0" fontId="2" fillId="0" borderId="40" xfId="58" applyFill="1" applyBorder="1" applyAlignment="1">
      <alignment vertical="top"/>
      <protection/>
    </xf>
    <xf numFmtId="4" fontId="2" fillId="0" borderId="38" xfId="58" applyNumberFormat="1" applyFill="1" applyBorder="1" applyAlignment="1">
      <alignment vertical="top"/>
      <protection/>
    </xf>
    <xf numFmtId="3" fontId="2" fillId="0" borderId="39" xfId="58" applyNumberFormat="1" applyFill="1" applyBorder="1" applyAlignment="1">
      <alignment vertical="top"/>
      <protection/>
    </xf>
    <xf numFmtId="9" fontId="2" fillId="0" borderId="38" xfId="58" applyNumberFormat="1" applyFill="1" applyBorder="1" applyAlignment="1">
      <alignment vertical="top"/>
      <protection/>
    </xf>
    <xf numFmtId="9" fontId="2" fillId="0" borderId="39" xfId="58" applyNumberFormat="1" applyFill="1" applyBorder="1" applyAlignment="1">
      <alignment vertical="top"/>
      <protection/>
    </xf>
    <xf numFmtId="9" fontId="2" fillId="0" borderId="40" xfId="58" applyNumberFormat="1" applyFill="1" applyBorder="1" applyAlignment="1">
      <alignment vertical="top"/>
      <protection/>
    </xf>
    <xf numFmtId="3" fontId="2" fillId="0" borderId="40" xfId="58" applyNumberFormat="1" applyFill="1" applyBorder="1" applyAlignment="1">
      <alignment vertical="top"/>
      <protection/>
    </xf>
    <xf numFmtId="0" fontId="2" fillId="36" borderId="41" xfId="58" applyFill="1" applyBorder="1" applyAlignment="1">
      <alignment vertical="top"/>
      <protection/>
    </xf>
    <xf numFmtId="0" fontId="2" fillId="36" borderId="42" xfId="58" applyFill="1" applyBorder="1" applyAlignment="1">
      <alignment vertical="top"/>
      <protection/>
    </xf>
    <xf numFmtId="0" fontId="2" fillId="36" borderId="43" xfId="58" applyFont="1" applyFill="1" applyBorder="1" applyAlignment="1">
      <alignment vertical="top"/>
      <protection/>
    </xf>
    <xf numFmtId="0" fontId="2" fillId="36" borderId="43" xfId="58" applyFill="1" applyBorder="1" applyAlignment="1">
      <alignment vertical="top"/>
      <protection/>
    </xf>
    <xf numFmtId="0" fontId="2" fillId="0" borderId="25" xfId="58" applyFill="1" applyBorder="1" applyAlignment="1">
      <alignment vertical="top"/>
      <protection/>
    </xf>
    <xf numFmtId="4" fontId="2" fillId="36" borderId="41" xfId="58" applyNumberFormat="1" applyFill="1" applyBorder="1" applyAlignment="1">
      <alignment vertical="top"/>
      <protection/>
    </xf>
    <xf numFmtId="3" fontId="2" fillId="36" borderId="42" xfId="58" applyNumberFormat="1" applyFill="1" applyBorder="1" applyAlignment="1">
      <alignment vertical="top"/>
      <protection/>
    </xf>
    <xf numFmtId="9" fontId="2" fillId="36" borderId="41" xfId="58" applyNumberFormat="1" applyFill="1" applyBorder="1" applyAlignment="1">
      <alignment vertical="top"/>
      <protection/>
    </xf>
    <xf numFmtId="9" fontId="2" fillId="36" borderId="42" xfId="58" applyNumberFormat="1" applyFill="1" applyBorder="1" applyAlignment="1">
      <alignment vertical="top"/>
      <protection/>
    </xf>
    <xf numFmtId="9" fontId="2" fillId="36" borderId="43" xfId="58" applyNumberFormat="1" applyFill="1" applyBorder="1" applyAlignment="1">
      <alignment vertical="top"/>
      <protection/>
    </xf>
    <xf numFmtId="3" fontId="2" fillId="36" borderId="43" xfId="58" applyNumberFormat="1" applyFill="1" applyBorder="1" applyAlignment="1">
      <alignment vertical="top"/>
      <protection/>
    </xf>
    <xf numFmtId="0" fontId="2" fillId="36" borderId="44" xfId="58" applyFill="1" applyBorder="1" applyAlignment="1">
      <alignment vertical="top"/>
      <protection/>
    </xf>
    <xf numFmtId="0" fontId="2" fillId="36" borderId="45" xfId="58" applyFill="1" applyBorder="1" applyAlignment="1">
      <alignment vertical="top"/>
      <protection/>
    </xf>
    <xf numFmtId="0" fontId="2" fillId="36" borderId="46" xfId="58" applyFont="1" applyFill="1" applyBorder="1" applyAlignment="1">
      <alignment vertical="top"/>
      <protection/>
    </xf>
    <xf numFmtId="0" fontId="2" fillId="36" borderId="46" xfId="58" applyFill="1" applyBorder="1" applyAlignment="1">
      <alignment vertical="top"/>
      <protection/>
    </xf>
    <xf numFmtId="4" fontId="2" fillId="36" borderId="44" xfId="58" applyNumberFormat="1" applyFill="1" applyBorder="1" applyAlignment="1">
      <alignment vertical="top"/>
      <protection/>
    </xf>
    <xf numFmtId="3" fontId="2" fillId="36" borderId="45" xfId="58" applyNumberFormat="1" applyFill="1" applyBorder="1" applyAlignment="1">
      <alignment vertical="top"/>
      <protection/>
    </xf>
    <xf numFmtId="9" fontId="2" fillId="36" borderId="44" xfId="58" applyNumberFormat="1" applyFill="1" applyBorder="1" applyAlignment="1">
      <alignment vertical="top"/>
      <protection/>
    </xf>
    <xf numFmtId="9" fontId="2" fillId="36" borderId="45" xfId="58" applyNumberFormat="1" applyFill="1" applyBorder="1" applyAlignment="1">
      <alignment vertical="top"/>
      <protection/>
    </xf>
    <xf numFmtId="9" fontId="2" fillId="36" borderId="46" xfId="58" applyNumberFormat="1" applyFill="1" applyBorder="1" applyAlignment="1">
      <alignment vertical="top"/>
      <protection/>
    </xf>
    <xf numFmtId="3" fontId="2" fillId="36" borderId="46" xfId="58" applyNumberFormat="1" applyFill="1" applyBorder="1" applyAlignment="1">
      <alignment vertical="top"/>
      <protection/>
    </xf>
    <xf numFmtId="0" fontId="2" fillId="0" borderId="47" xfId="58" applyFill="1" applyBorder="1" applyAlignment="1">
      <alignment vertical="top"/>
      <protection/>
    </xf>
    <xf numFmtId="0" fontId="2" fillId="0" borderId="48" xfId="58" applyFill="1" applyBorder="1" applyAlignment="1">
      <alignment vertical="top"/>
      <protection/>
    </xf>
    <xf numFmtId="0" fontId="2" fillId="0" borderId="49" xfId="58" applyFont="1" applyFill="1" applyBorder="1" applyAlignment="1">
      <alignment vertical="top"/>
      <protection/>
    </xf>
    <xf numFmtId="0" fontId="2" fillId="0" borderId="49" xfId="58" applyFill="1" applyBorder="1" applyAlignment="1">
      <alignment vertical="top"/>
      <protection/>
    </xf>
    <xf numFmtId="4" fontId="2" fillId="0" borderId="47" xfId="58" applyNumberFormat="1" applyFill="1" applyBorder="1" applyAlignment="1">
      <alignment vertical="top"/>
      <protection/>
    </xf>
    <xf numFmtId="3" fontId="2" fillId="0" borderId="48" xfId="58" applyNumberFormat="1" applyFill="1" applyBorder="1" applyAlignment="1">
      <alignment vertical="top"/>
      <protection/>
    </xf>
    <xf numFmtId="9" fontId="2" fillId="0" borderId="47" xfId="58" applyNumberFormat="1" applyFill="1" applyBorder="1" applyAlignment="1">
      <alignment vertical="top"/>
      <protection/>
    </xf>
    <xf numFmtId="9" fontId="2" fillId="0" borderId="48" xfId="58" applyNumberFormat="1" applyFill="1" applyBorder="1" applyAlignment="1">
      <alignment vertical="top"/>
      <protection/>
    </xf>
    <xf numFmtId="9" fontId="2" fillId="0" borderId="49" xfId="58" applyNumberFormat="1" applyFill="1" applyBorder="1" applyAlignment="1">
      <alignment vertical="top"/>
      <protection/>
    </xf>
    <xf numFmtId="3" fontId="2" fillId="0" borderId="49" xfId="58" applyNumberFormat="1" applyFill="1" applyBorder="1" applyAlignment="1">
      <alignment vertical="top"/>
      <protection/>
    </xf>
    <xf numFmtId="0" fontId="2" fillId="36" borderId="35" xfId="58" applyFill="1" applyBorder="1" applyAlignment="1">
      <alignment vertical="top"/>
      <protection/>
    </xf>
    <xf numFmtId="0" fontId="2" fillId="36" borderId="36" xfId="58" applyFill="1" applyBorder="1" applyAlignment="1">
      <alignment vertical="top"/>
      <protection/>
    </xf>
    <xf numFmtId="0" fontId="2" fillId="36" borderId="37" xfId="58" applyFont="1" applyFill="1" applyBorder="1" applyAlignment="1">
      <alignment vertical="top"/>
      <protection/>
    </xf>
    <xf numFmtId="0" fontId="2" fillId="36" borderId="37" xfId="58" applyFill="1" applyBorder="1" applyAlignment="1">
      <alignment vertical="top"/>
      <protection/>
    </xf>
    <xf numFmtId="4" fontId="2" fillId="36" borderId="35" xfId="58" applyNumberFormat="1" applyFill="1" applyBorder="1" applyAlignment="1">
      <alignment vertical="top"/>
      <protection/>
    </xf>
    <xf numFmtId="3" fontId="2" fillId="36" borderId="36" xfId="58" applyNumberFormat="1" applyFill="1" applyBorder="1" applyAlignment="1">
      <alignment vertical="top"/>
      <protection/>
    </xf>
    <xf numFmtId="9" fontId="2" fillId="36" borderId="35" xfId="58" applyNumberFormat="1" applyFill="1" applyBorder="1" applyAlignment="1">
      <alignment vertical="top"/>
      <protection/>
    </xf>
    <xf numFmtId="9" fontId="2" fillId="36" borderId="36" xfId="58" applyNumberFormat="1" applyFill="1" applyBorder="1" applyAlignment="1">
      <alignment vertical="top"/>
      <protection/>
    </xf>
    <xf numFmtId="9" fontId="2" fillId="36" borderId="37" xfId="58" applyNumberFormat="1" applyFill="1" applyBorder="1" applyAlignment="1">
      <alignment vertical="top"/>
      <protection/>
    </xf>
    <xf numFmtId="3" fontId="2" fillId="36" borderId="37" xfId="58" applyNumberFormat="1" applyFill="1" applyBorder="1" applyAlignment="1">
      <alignment vertical="top"/>
      <protection/>
    </xf>
    <xf numFmtId="0" fontId="2" fillId="0" borderId="50" xfId="58" applyFill="1" applyBorder="1" applyAlignment="1">
      <alignment vertical="top"/>
      <protection/>
    </xf>
    <xf numFmtId="0" fontId="2" fillId="0" borderId="51" xfId="58" applyFill="1" applyBorder="1" applyAlignment="1">
      <alignment vertical="top"/>
      <protection/>
    </xf>
    <xf numFmtId="0" fontId="2" fillId="0" borderId="52" xfId="58" applyFont="1" applyFill="1" applyBorder="1" applyAlignment="1">
      <alignment vertical="top"/>
      <protection/>
    </xf>
    <xf numFmtId="0" fontId="2" fillId="0" borderId="52" xfId="58" applyFill="1" applyBorder="1" applyAlignment="1">
      <alignment vertical="top"/>
      <protection/>
    </xf>
    <xf numFmtId="4" fontId="2" fillId="0" borderId="50" xfId="58" applyNumberFormat="1" applyFill="1" applyBorder="1" applyAlignment="1">
      <alignment vertical="top"/>
      <protection/>
    </xf>
    <xf numFmtId="3" fontId="2" fillId="0" borderId="51" xfId="58" applyNumberFormat="1" applyFill="1" applyBorder="1" applyAlignment="1">
      <alignment vertical="top"/>
      <protection/>
    </xf>
    <xf numFmtId="9" fontId="2" fillId="0" borderId="50" xfId="58" applyNumberFormat="1" applyFill="1" applyBorder="1" applyAlignment="1">
      <alignment vertical="top"/>
      <protection/>
    </xf>
    <xf numFmtId="9" fontId="2" fillId="0" borderId="51" xfId="58" applyNumberFormat="1" applyFill="1" applyBorder="1" applyAlignment="1">
      <alignment vertical="top"/>
      <protection/>
    </xf>
    <xf numFmtId="9" fontId="2" fillId="0" borderId="52" xfId="58" applyNumberFormat="1" applyFill="1" applyBorder="1" applyAlignment="1">
      <alignment vertical="top"/>
      <protection/>
    </xf>
    <xf numFmtId="3" fontId="2" fillId="0" borderId="52" xfId="58" applyNumberFormat="1" applyFill="1" applyBorder="1" applyAlignment="1">
      <alignment vertical="top"/>
      <protection/>
    </xf>
    <xf numFmtId="0" fontId="2" fillId="0" borderId="44" xfId="58" applyFill="1" applyBorder="1" applyAlignment="1">
      <alignment vertical="top"/>
      <protection/>
    </xf>
    <xf numFmtId="0" fontId="2" fillId="0" borderId="45" xfId="58" applyFill="1" applyBorder="1" applyAlignment="1">
      <alignment vertical="top"/>
      <protection/>
    </xf>
    <xf numFmtId="0" fontId="2" fillId="0" borderId="46" xfId="58" applyFont="1" applyFill="1" applyBorder="1" applyAlignment="1">
      <alignment vertical="top"/>
      <protection/>
    </xf>
    <xf numFmtId="0" fontId="2" fillId="0" borderId="46" xfId="58" applyFill="1" applyBorder="1" applyAlignment="1">
      <alignment vertical="top"/>
      <protection/>
    </xf>
    <xf numFmtId="4" fontId="2" fillId="0" borderId="44" xfId="58" applyNumberFormat="1" applyFill="1" applyBorder="1" applyAlignment="1">
      <alignment vertical="top"/>
      <protection/>
    </xf>
    <xf numFmtId="3" fontId="2" fillId="0" borderId="45" xfId="58" applyNumberFormat="1" applyFill="1" applyBorder="1" applyAlignment="1">
      <alignment vertical="top"/>
      <protection/>
    </xf>
    <xf numFmtId="9" fontId="2" fillId="0" borderId="44" xfId="58" applyNumberFormat="1" applyFill="1" applyBorder="1" applyAlignment="1">
      <alignment vertical="top"/>
      <protection/>
    </xf>
    <xf numFmtId="9" fontId="2" fillId="0" borderId="45" xfId="58" applyNumberFormat="1" applyFill="1" applyBorder="1" applyAlignment="1">
      <alignment vertical="top"/>
      <protection/>
    </xf>
    <xf numFmtId="9" fontId="2" fillId="0" borderId="46" xfId="58" applyNumberFormat="1" applyFill="1" applyBorder="1" applyAlignment="1">
      <alignment vertical="top"/>
      <protection/>
    </xf>
    <xf numFmtId="3" fontId="2" fillId="0" borderId="46" xfId="58" applyNumberFormat="1" applyFill="1" applyBorder="1" applyAlignment="1">
      <alignment vertical="top"/>
      <protection/>
    </xf>
    <xf numFmtId="0" fontId="2" fillId="36" borderId="53" xfId="58" applyFill="1" applyBorder="1" applyAlignment="1">
      <alignment vertical="top"/>
      <protection/>
    </xf>
    <xf numFmtId="0" fontId="2" fillId="36" borderId="54" xfId="58" applyFill="1" applyBorder="1" applyAlignment="1">
      <alignment vertical="top"/>
      <protection/>
    </xf>
    <xf numFmtId="0" fontId="2" fillId="36" borderId="55" xfId="58" applyFont="1" applyFill="1" applyBorder="1" applyAlignment="1">
      <alignment vertical="top"/>
      <protection/>
    </xf>
    <xf numFmtId="4" fontId="2" fillId="36" borderId="41" xfId="58" applyNumberFormat="1" applyFill="1" applyBorder="1" applyAlignment="1">
      <alignment horizontal="center" vertical="top"/>
      <protection/>
    </xf>
    <xf numFmtId="3" fontId="2" fillId="36" borderId="42" xfId="58" applyNumberFormat="1" applyFill="1" applyBorder="1" applyAlignment="1">
      <alignment horizontal="center" vertical="top"/>
      <protection/>
    </xf>
    <xf numFmtId="3" fontId="2" fillId="36" borderId="43" xfId="58" applyNumberFormat="1" applyFill="1" applyBorder="1" applyAlignment="1">
      <alignment horizontal="center" vertical="top"/>
      <protection/>
    </xf>
    <xf numFmtId="0" fontId="2" fillId="0" borderId="0" xfId="58" applyNumberFormat="1" applyFont="1" applyAlignment="1">
      <alignment vertical="top"/>
      <protection/>
    </xf>
    <xf numFmtId="0" fontId="2" fillId="36" borderId="50" xfId="58" applyFill="1" applyBorder="1" applyAlignment="1">
      <alignment vertical="top"/>
      <protection/>
    </xf>
    <xf numFmtId="0" fontId="2" fillId="36" borderId="51" xfId="58" applyFill="1" applyBorder="1" applyAlignment="1">
      <alignment vertical="top"/>
      <protection/>
    </xf>
    <xf numFmtId="0" fontId="2" fillId="36" borderId="52" xfId="58" applyFill="1" applyBorder="1" applyAlignment="1">
      <alignment vertical="top"/>
      <protection/>
    </xf>
    <xf numFmtId="4" fontId="2" fillId="36" borderId="50" xfId="58" applyNumberFormat="1" applyFill="1" applyBorder="1" applyAlignment="1">
      <alignment vertical="top"/>
      <protection/>
    </xf>
    <xf numFmtId="3" fontId="2" fillId="36" borderId="51" xfId="58" applyNumberFormat="1" applyFill="1" applyBorder="1" applyAlignment="1">
      <alignment vertical="top"/>
      <protection/>
    </xf>
    <xf numFmtId="9" fontId="2" fillId="36" borderId="50" xfId="58" applyNumberFormat="1" applyFill="1" applyBorder="1" applyAlignment="1">
      <alignment vertical="top"/>
      <protection/>
    </xf>
    <xf numFmtId="9" fontId="2" fillId="36" borderId="51" xfId="58" applyNumberFormat="1" applyFill="1" applyBorder="1" applyAlignment="1">
      <alignment vertical="top"/>
      <protection/>
    </xf>
    <xf numFmtId="9" fontId="2" fillId="36" borderId="52" xfId="58" applyNumberFormat="1" applyFill="1" applyBorder="1" applyAlignment="1">
      <alignment vertical="top"/>
      <protection/>
    </xf>
    <xf numFmtId="3" fontId="2" fillId="36" borderId="52" xfId="58" applyNumberFormat="1" applyFill="1" applyBorder="1" applyAlignment="1">
      <alignment vertical="top"/>
      <protection/>
    </xf>
    <xf numFmtId="0" fontId="2" fillId="0" borderId="44" xfId="58" applyBorder="1" applyAlignment="1">
      <alignment vertical="top"/>
      <protection/>
    </xf>
    <xf numFmtId="0" fontId="2" fillId="0" borderId="45" xfId="58" applyBorder="1" applyAlignment="1">
      <alignment vertical="top"/>
      <protection/>
    </xf>
    <xf numFmtId="0" fontId="2" fillId="0" borderId="46" xfId="58" applyBorder="1" applyAlignment="1">
      <alignment vertical="top"/>
      <protection/>
    </xf>
    <xf numFmtId="4" fontId="2" fillId="0" borderId="44" xfId="58" applyNumberFormat="1" applyBorder="1" applyAlignment="1">
      <alignment vertical="top"/>
      <protection/>
    </xf>
    <xf numFmtId="3" fontId="2" fillId="0" borderId="45" xfId="58" applyNumberFormat="1" applyBorder="1" applyAlignment="1">
      <alignment vertical="top"/>
      <protection/>
    </xf>
    <xf numFmtId="9" fontId="2" fillId="0" borderId="44" xfId="58" applyNumberFormat="1" applyBorder="1" applyAlignment="1">
      <alignment vertical="top"/>
      <protection/>
    </xf>
    <xf numFmtId="9" fontId="2" fillId="0" borderId="45" xfId="58" applyNumberFormat="1" applyBorder="1" applyAlignment="1">
      <alignment vertical="top"/>
      <protection/>
    </xf>
    <xf numFmtId="9" fontId="2" fillId="0" borderId="46" xfId="58" applyNumberFormat="1" applyBorder="1" applyAlignment="1">
      <alignment vertical="top"/>
      <protection/>
    </xf>
    <xf numFmtId="3" fontId="2" fillId="0" borderId="46" xfId="58" applyNumberFormat="1" applyBorder="1" applyAlignment="1">
      <alignment vertical="top"/>
      <protection/>
    </xf>
    <xf numFmtId="4" fontId="2" fillId="36" borderId="50" xfId="58" applyNumberFormat="1" applyFill="1" applyBorder="1" applyAlignment="1">
      <alignment horizontal="center" vertical="top"/>
      <protection/>
    </xf>
    <xf numFmtId="3" fontId="2" fillId="36" borderId="51" xfId="58" applyNumberFormat="1" applyFill="1" applyBorder="1" applyAlignment="1">
      <alignment horizontal="center" vertical="top"/>
      <protection/>
    </xf>
    <xf numFmtId="4" fontId="2" fillId="0" borderId="50" xfId="58" applyNumberFormat="1" applyFill="1" applyBorder="1" applyAlignment="1">
      <alignment horizontal="center" vertical="top"/>
      <protection/>
    </xf>
    <xf numFmtId="3" fontId="2" fillId="0" borderId="51" xfId="58" applyNumberFormat="1" applyFill="1" applyBorder="1" applyAlignment="1">
      <alignment horizontal="center" vertical="top"/>
      <protection/>
    </xf>
    <xf numFmtId="4" fontId="2" fillId="36" borderId="44" xfId="58" applyNumberFormat="1" applyFill="1" applyBorder="1" applyAlignment="1">
      <alignment horizontal="center" vertical="top"/>
      <protection/>
    </xf>
    <xf numFmtId="3" fontId="2" fillId="36" borderId="45" xfId="58" applyNumberFormat="1" applyFill="1" applyBorder="1" applyAlignment="1">
      <alignment horizontal="center" vertical="top"/>
      <protection/>
    </xf>
    <xf numFmtId="4" fontId="2" fillId="0" borderId="44" xfId="58" applyNumberFormat="1" applyFill="1" applyBorder="1" applyAlignment="1">
      <alignment horizontal="center" vertical="top"/>
      <protection/>
    </xf>
    <xf numFmtId="3" fontId="2" fillId="0" borderId="45" xfId="58" applyNumberFormat="1" applyFill="1" applyBorder="1" applyAlignment="1">
      <alignment horizontal="center" vertical="top"/>
      <protection/>
    </xf>
    <xf numFmtId="3" fontId="2" fillId="0" borderId="52" xfId="58" applyNumberFormat="1" applyFill="1" applyBorder="1" applyAlignment="1">
      <alignment horizontal="center" vertical="top"/>
      <protection/>
    </xf>
    <xf numFmtId="3" fontId="2" fillId="36" borderId="52" xfId="58" applyNumberFormat="1" applyFill="1" applyBorder="1" applyAlignment="1">
      <alignment horizontal="center" vertical="top"/>
      <protection/>
    </xf>
    <xf numFmtId="3" fontId="2" fillId="0" borderId="46" xfId="58" applyNumberFormat="1" applyFill="1" applyBorder="1" applyAlignment="1">
      <alignment horizontal="center" vertical="top"/>
      <protection/>
    </xf>
    <xf numFmtId="0" fontId="2" fillId="36" borderId="50" xfId="58" applyFont="1" applyFill="1" applyBorder="1" applyAlignment="1">
      <alignment vertical="top"/>
      <protection/>
    </xf>
    <xf numFmtId="0" fontId="2" fillId="36" borderId="51" xfId="58" applyFont="1" applyFill="1" applyBorder="1" applyAlignment="1">
      <alignment vertical="top"/>
      <protection/>
    </xf>
    <xf numFmtId="0" fontId="2" fillId="36" borderId="52" xfId="58" applyFont="1" applyFill="1" applyBorder="1" applyAlignment="1">
      <alignment vertical="top"/>
      <protection/>
    </xf>
    <xf numFmtId="4" fontId="2" fillId="36" borderId="50" xfId="58" applyNumberFormat="1" applyFont="1" applyFill="1" applyBorder="1" applyAlignment="1">
      <alignment horizontal="center" vertical="top"/>
      <protection/>
    </xf>
    <xf numFmtId="3" fontId="2" fillId="36" borderId="51" xfId="58" applyNumberFormat="1" applyFont="1" applyFill="1" applyBorder="1" applyAlignment="1">
      <alignment horizontal="center" vertical="top"/>
      <protection/>
    </xf>
    <xf numFmtId="9" fontId="2" fillId="36" borderId="50" xfId="58" applyNumberFormat="1" applyFont="1" applyFill="1" applyBorder="1" applyAlignment="1">
      <alignment vertical="top"/>
      <protection/>
    </xf>
    <xf numFmtId="9" fontId="2" fillId="36" borderId="51" xfId="58" applyNumberFormat="1" applyFont="1" applyFill="1" applyBorder="1" applyAlignment="1">
      <alignment vertical="top"/>
      <protection/>
    </xf>
    <xf numFmtId="9" fontId="2" fillId="36" borderId="52" xfId="58" applyNumberFormat="1" applyFont="1" applyFill="1" applyBorder="1" applyAlignment="1">
      <alignment vertical="top"/>
      <protection/>
    </xf>
    <xf numFmtId="3" fontId="2" fillId="36" borderId="52" xfId="58" applyNumberFormat="1" applyFont="1" applyFill="1" applyBorder="1" applyAlignment="1">
      <alignment vertical="top"/>
      <protection/>
    </xf>
    <xf numFmtId="0" fontId="11" fillId="0" borderId="0" xfId="58" applyNumberFormat="1" applyFont="1" applyFill="1" applyAlignment="1">
      <alignment vertical="top"/>
      <protection/>
    </xf>
    <xf numFmtId="0" fontId="2" fillId="0" borderId="0" xfId="58" applyNumberFormat="1" applyFont="1" applyFill="1" applyAlignment="1">
      <alignment vertical="top"/>
      <protection/>
    </xf>
    <xf numFmtId="0" fontId="2" fillId="36" borderId="46" xfId="58" applyFill="1" applyBorder="1" applyAlignment="1">
      <alignment horizontal="center" vertical="top"/>
      <protection/>
    </xf>
    <xf numFmtId="3" fontId="2" fillId="36" borderId="46" xfId="58" applyNumberFormat="1" applyFill="1" applyBorder="1" applyAlignment="1">
      <alignment horizontal="center" vertical="top"/>
      <protection/>
    </xf>
    <xf numFmtId="0" fontId="2" fillId="36" borderId="47" xfId="58" applyFill="1" applyBorder="1" applyAlignment="1">
      <alignment vertical="top"/>
      <protection/>
    </xf>
    <xf numFmtId="0" fontId="2" fillId="36" borderId="48" xfId="58" applyFill="1" applyBorder="1" applyAlignment="1">
      <alignment vertical="top"/>
      <protection/>
    </xf>
    <xf numFmtId="0" fontId="2" fillId="36" borderId="49" xfId="58" applyFill="1" applyBorder="1" applyAlignment="1">
      <alignment vertical="top"/>
      <protection/>
    </xf>
    <xf numFmtId="4" fontId="2" fillId="36" borderId="47" xfId="58" applyNumberFormat="1" applyFill="1" applyBorder="1" applyAlignment="1">
      <alignment vertical="top"/>
      <protection/>
    </xf>
    <xf numFmtId="3" fontId="2" fillId="36" borderId="48" xfId="58" applyNumberFormat="1" applyFill="1" applyBorder="1" applyAlignment="1">
      <alignment vertical="top"/>
      <protection/>
    </xf>
    <xf numFmtId="9" fontId="2" fillId="36" borderId="47" xfId="58" applyNumberFormat="1" applyFill="1" applyBorder="1" applyAlignment="1">
      <alignment vertical="top"/>
      <protection/>
    </xf>
    <xf numFmtId="9" fontId="2" fillId="36" borderId="48" xfId="58" applyNumberFormat="1" applyFill="1" applyBorder="1" applyAlignment="1">
      <alignment vertical="top"/>
      <protection/>
    </xf>
    <xf numFmtId="9" fontId="2" fillId="36" borderId="49" xfId="58" applyNumberFormat="1" applyFill="1" applyBorder="1" applyAlignment="1">
      <alignment vertical="top"/>
      <protection/>
    </xf>
    <xf numFmtId="3" fontId="2" fillId="36" borderId="49" xfId="58" applyNumberFormat="1" applyFill="1" applyBorder="1" applyAlignment="1">
      <alignment vertical="top"/>
      <protection/>
    </xf>
    <xf numFmtId="0" fontId="2" fillId="0" borderId="49" xfId="58" applyFill="1" applyBorder="1" applyAlignment="1">
      <alignment horizontal="center" vertical="top"/>
      <protection/>
    </xf>
    <xf numFmtId="0" fontId="2" fillId="36" borderId="49" xfId="58" applyFill="1" applyBorder="1" applyAlignment="1">
      <alignment horizontal="center" vertical="top"/>
      <protection/>
    </xf>
    <xf numFmtId="0" fontId="2" fillId="0" borderId="46" xfId="58" applyFill="1" applyBorder="1" applyAlignment="1">
      <alignment horizontal="center" vertical="top"/>
      <protection/>
    </xf>
    <xf numFmtId="9" fontId="2" fillId="0" borderId="44" xfId="58" applyNumberFormat="1" applyFill="1" applyBorder="1" applyAlignment="1">
      <alignment horizontal="center" vertical="top"/>
      <protection/>
    </xf>
    <xf numFmtId="9" fontId="2" fillId="0" borderId="45" xfId="58" applyNumberFormat="1" applyFill="1" applyBorder="1" applyAlignment="1">
      <alignment horizontal="center" vertical="top"/>
      <protection/>
    </xf>
    <xf numFmtId="9" fontId="2" fillId="0" borderId="46" xfId="58" applyNumberFormat="1" applyFill="1" applyBorder="1" applyAlignment="1">
      <alignment horizontal="center" vertical="top"/>
      <protection/>
    </xf>
    <xf numFmtId="9" fontId="2" fillId="36" borderId="44" xfId="58" applyNumberFormat="1" applyFill="1" applyBorder="1" applyAlignment="1">
      <alignment horizontal="center" vertical="top"/>
      <protection/>
    </xf>
    <xf numFmtId="9" fontId="2" fillId="36" borderId="45" xfId="58" applyNumberFormat="1" applyFill="1" applyBorder="1" applyAlignment="1">
      <alignment horizontal="center" vertical="top"/>
      <protection/>
    </xf>
    <xf numFmtId="9" fontId="2" fillId="36" borderId="46" xfId="58" applyNumberFormat="1" applyFill="1" applyBorder="1" applyAlignment="1">
      <alignment horizontal="center" vertical="top"/>
      <protection/>
    </xf>
    <xf numFmtId="0" fontId="2" fillId="36" borderId="52" xfId="58" applyFill="1" applyBorder="1" applyAlignment="1">
      <alignment horizontal="center" vertical="top"/>
      <protection/>
    </xf>
    <xf numFmtId="9" fontId="2" fillId="36" borderId="50" xfId="58" applyNumberFormat="1" applyFill="1" applyBorder="1" applyAlignment="1">
      <alignment horizontal="center" vertical="top"/>
      <protection/>
    </xf>
    <xf numFmtId="9" fontId="2" fillId="36" borderId="51" xfId="58" applyNumberFormat="1" applyFill="1" applyBorder="1" applyAlignment="1">
      <alignment horizontal="center" vertical="top"/>
      <protection/>
    </xf>
    <xf numFmtId="9" fontId="2" fillId="36" borderId="52" xfId="58" applyNumberFormat="1" applyFill="1" applyBorder="1" applyAlignment="1">
      <alignment horizontal="center" vertical="top"/>
      <protection/>
    </xf>
    <xf numFmtId="4" fontId="2" fillId="0" borderId="38" xfId="58" applyNumberFormat="1" applyFill="1" applyBorder="1" applyAlignment="1">
      <alignment horizontal="center" vertical="top"/>
      <protection/>
    </xf>
    <xf numFmtId="3" fontId="2" fillId="0" borderId="39" xfId="58" applyNumberFormat="1" applyFill="1" applyBorder="1" applyAlignment="1">
      <alignment horizontal="center" vertical="top"/>
      <protection/>
    </xf>
    <xf numFmtId="9" fontId="2" fillId="0" borderId="38" xfId="58" applyNumberFormat="1" applyFill="1" applyBorder="1" applyAlignment="1">
      <alignment horizontal="center" vertical="top"/>
      <protection/>
    </xf>
    <xf numFmtId="9" fontId="2" fillId="0" borderId="40" xfId="58" applyNumberFormat="1" applyFill="1" applyBorder="1" applyAlignment="1">
      <alignment horizontal="center" vertical="top"/>
      <protection/>
    </xf>
    <xf numFmtId="3" fontId="2" fillId="0" borderId="40" xfId="58" applyNumberFormat="1" applyFill="1" applyBorder="1" applyAlignment="1">
      <alignment horizontal="center" vertical="top"/>
      <protection/>
    </xf>
    <xf numFmtId="9" fontId="2" fillId="0" borderId="50" xfId="58" applyNumberFormat="1" applyFill="1" applyBorder="1" applyAlignment="1">
      <alignment horizontal="center" vertical="top"/>
      <protection/>
    </xf>
    <xf numFmtId="9" fontId="2" fillId="0" borderId="52" xfId="58" applyNumberFormat="1" applyFill="1" applyBorder="1" applyAlignment="1">
      <alignment horizontal="center" vertical="top"/>
      <protection/>
    </xf>
    <xf numFmtId="4" fontId="2" fillId="0" borderId="35" xfId="58" applyNumberFormat="1" applyFill="1" applyBorder="1" applyAlignment="1">
      <alignment horizontal="center" vertical="top"/>
      <protection/>
    </xf>
    <xf numFmtId="3" fontId="2" fillId="0" borderId="36" xfId="58" applyNumberFormat="1" applyFill="1" applyBorder="1" applyAlignment="1">
      <alignment horizontal="center" vertical="top"/>
      <protection/>
    </xf>
    <xf numFmtId="0" fontId="2" fillId="0" borderId="37" xfId="58" applyFill="1" applyBorder="1" applyAlignment="1">
      <alignment horizontal="center" vertical="top"/>
      <protection/>
    </xf>
    <xf numFmtId="4" fontId="2" fillId="36" borderId="47" xfId="58" applyNumberFormat="1" applyFill="1" applyBorder="1" applyAlignment="1">
      <alignment horizontal="center" vertical="top"/>
      <protection/>
    </xf>
    <xf numFmtId="3" fontId="2" fillId="36" borderId="48" xfId="58" applyNumberFormat="1" applyFill="1" applyBorder="1" applyAlignment="1">
      <alignment horizontal="center" vertical="top"/>
      <protection/>
    </xf>
    <xf numFmtId="0" fontId="2" fillId="0" borderId="52" xfId="58" applyFill="1" applyBorder="1" applyAlignment="1">
      <alignment horizontal="center" vertical="top"/>
      <protection/>
    </xf>
    <xf numFmtId="3" fontId="2" fillId="36" borderId="49" xfId="58" applyNumberFormat="1" applyFill="1" applyBorder="1" applyAlignment="1">
      <alignment horizontal="center" vertical="top"/>
      <protection/>
    </xf>
    <xf numFmtId="0" fontId="2" fillId="0" borderId="24" xfId="58" applyFill="1" applyBorder="1" applyAlignment="1">
      <alignment vertical="top"/>
      <protection/>
    </xf>
    <xf numFmtId="0" fontId="73" fillId="0" borderId="14" xfId="0" applyFont="1" applyBorder="1" applyAlignment="1">
      <alignment/>
    </xf>
    <xf numFmtId="0" fontId="74" fillId="0" borderId="14" xfId="0" applyFont="1" applyFill="1" applyBorder="1" applyAlignment="1">
      <alignment/>
    </xf>
    <xf numFmtId="0" fontId="4" fillId="34" borderId="29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4" fillId="0" borderId="5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/>
    </xf>
    <xf numFmtId="0" fontId="6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62" fillId="0" borderId="28" xfId="0" applyFont="1" applyFill="1" applyBorder="1" applyAlignment="1">
      <alignment/>
    </xf>
    <xf numFmtId="0" fontId="74" fillId="0" borderId="12" xfId="0" applyFont="1" applyFill="1" applyBorder="1" applyAlignment="1">
      <alignment/>
    </xf>
    <xf numFmtId="0" fontId="4" fillId="34" borderId="57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181" fontId="4" fillId="4" borderId="14" xfId="0" applyNumberFormat="1" applyFont="1" applyFill="1" applyBorder="1" applyAlignment="1">
      <alignment horizontal="center"/>
    </xf>
    <xf numFmtId="181" fontId="75" fillId="0" borderId="11" xfId="0" applyNumberFormat="1" applyFont="1" applyFill="1" applyBorder="1" applyAlignment="1">
      <alignment horizontal="center"/>
    </xf>
    <xf numFmtId="181" fontId="75" fillId="4" borderId="11" xfId="0" applyNumberFormat="1" applyFont="1" applyFill="1" applyBorder="1" applyAlignment="1">
      <alignment horizontal="center"/>
    </xf>
    <xf numFmtId="182" fontId="75" fillId="0" borderId="11" xfId="0" applyNumberFormat="1" applyFont="1" applyFill="1" applyBorder="1" applyAlignment="1">
      <alignment horizontal="center"/>
    </xf>
    <xf numFmtId="181" fontId="75" fillId="4" borderId="14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181" fontId="62" fillId="0" borderId="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58" xfId="0" applyFont="1" applyFill="1" applyBorder="1" applyAlignment="1">
      <alignment horizontal="left" vertical="center"/>
    </xf>
    <xf numFmtId="4" fontId="0" fillId="0" borderId="12" xfId="0" applyNumberFormat="1" applyFill="1" applyBorder="1" applyAlignment="1">
      <alignment horizontal="center"/>
    </xf>
    <xf numFmtId="181" fontId="4" fillId="4" borderId="18" xfId="0" applyNumberFormat="1" applyFont="1" applyFill="1" applyBorder="1" applyAlignment="1">
      <alignment horizontal="center" vertical="center" wrapText="1"/>
    </xf>
    <xf numFmtId="181" fontId="62" fillId="0" borderId="18" xfId="0" applyNumberFormat="1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 vertical="center" wrapText="1"/>
    </xf>
    <xf numFmtId="181" fontId="62" fillId="4" borderId="59" xfId="0" applyNumberFormat="1" applyFont="1" applyFill="1" applyBorder="1" applyAlignment="1">
      <alignment horizontal="center" vertical="center" wrapText="1"/>
    </xf>
    <xf numFmtId="9" fontId="75" fillId="4" borderId="14" xfId="0" applyNumberFormat="1" applyFont="1" applyFill="1" applyBorder="1" applyAlignment="1">
      <alignment horizontal="center"/>
    </xf>
    <xf numFmtId="9" fontId="71" fillId="4" borderId="14" xfId="0" applyNumberFormat="1" applyFont="1" applyFill="1" applyBorder="1" applyAlignment="1">
      <alignment horizontal="center"/>
    </xf>
    <xf numFmtId="9" fontId="71" fillId="34" borderId="14" xfId="0" applyNumberFormat="1" applyFont="1" applyFill="1" applyBorder="1" applyAlignment="1">
      <alignment horizontal="center"/>
    </xf>
    <xf numFmtId="3" fontId="75" fillId="4" borderId="14" xfId="0" applyNumberFormat="1" applyFont="1" applyFill="1" applyBorder="1" applyAlignment="1">
      <alignment horizontal="center"/>
    </xf>
    <xf numFmtId="3" fontId="71" fillId="4" borderId="14" xfId="0" applyNumberFormat="1" applyFont="1" applyFill="1" applyBorder="1" applyAlignment="1">
      <alignment horizontal="center"/>
    </xf>
    <xf numFmtId="3" fontId="71" fillId="34" borderId="14" xfId="0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horizontal="left" vertical="top"/>
    </xf>
    <xf numFmtId="9" fontId="75" fillId="4" borderId="12" xfId="0" applyNumberFormat="1" applyFont="1" applyFill="1" applyBorder="1" applyAlignment="1">
      <alignment horizontal="center"/>
    </xf>
    <xf numFmtId="9" fontId="71" fillId="4" borderId="12" xfId="0" applyNumberFormat="1" applyFont="1" applyFill="1" applyBorder="1" applyAlignment="1">
      <alignment horizontal="center"/>
    </xf>
    <xf numFmtId="9" fontId="71" fillId="34" borderId="12" xfId="0" applyNumberFormat="1" applyFont="1" applyFill="1" applyBorder="1" applyAlignment="1">
      <alignment horizontal="center"/>
    </xf>
    <xf numFmtId="181" fontId="0" fillId="34" borderId="60" xfId="0" applyNumberFormat="1" applyFill="1" applyBorder="1" applyAlignment="1">
      <alignment horizontal="center"/>
    </xf>
    <xf numFmtId="4" fontId="0" fillId="34" borderId="60" xfId="0" applyNumberFormat="1" applyFill="1" applyBorder="1" applyAlignment="1">
      <alignment horizontal="center"/>
    </xf>
    <xf numFmtId="3" fontId="75" fillId="0" borderId="0" xfId="0" applyNumberFormat="1" applyFont="1" applyFill="1" applyBorder="1" applyAlignment="1">
      <alignment horizontal="center"/>
    </xf>
    <xf numFmtId="10" fontId="75" fillId="0" borderId="0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10" fontId="71" fillId="0" borderId="0" xfId="0" applyNumberFormat="1" applyFont="1" applyFill="1" applyBorder="1" applyAlignment="1">
      <alignment horizontal="center"/>
    </xf>
    <xf numFmtId="3" fontId="71" fillId="34" borderId="0" xfId="0" applyNumberFormat="1" applyFont="1" applyFill="1" applyBorder="1" applyAlignment="1">
      <alignment horizontal="center"/>
    </xf>
    <xf numFmtId="10" fontId="71" fillId="34" borderId="0" xfId="0" applyNumberFormat="1" applyFont="1" applyFill="1" applyBorder="1" applyAlignment="1">
      <alignment horizontal="center"/>
    </xf>
    <xf numFmtId="181" fontId="2" fillId="34" borderId="24" xfId="0" applyNumberFormat="1" applyFont="1" applyFill="1" applyBorder="1" applyAlignment="1">
      <alignment horizontal="center"/>
    </xf>
    <xf numFmtId="181" fontId="2" fillId="34" borderId="23" xfId="0" applyNumberFormat="1" applyFont="1" applyFill="1" applyBorder="1" applyAlignment="1">
      <alignment horizontal="center"/>
    </xf>
    <xf numFmtId="181" fontId="0" fillId="34" borderId="24" xfId="0" applyNumberFormat="1" applyFill="1" applyBorder="1" applyAlignment="1">
      <alignment horizontal="center"/>
    </xf>
    <xf numFmtId="181" fontId="0" fillId="34" borderId="23" xfId="0" applyNumberFormat="1" applyFill="1" applyBorder="1" applyAlignment="1">
      <alignment horizontal="center"/>
    </xf>
    <xf numFmtId="181" fontId="75" fillId="4" borderId="12" xfId="0" applyNumberFormat="1" applyFont="1" applyFill="1" applyBorder="1" applyAlignment="1">
      <alignment horizontal="center"/>
    </xf>
    <xf numFmtId="181" fontId="71" fillId="4" borderId="12" xfId="0" applyNumberFormat="1" applyFont="1" applyFill="1" applyBorder="1" applyAlignment="1">
      <alignment horizontal="center"/>
    </xf>
    <xf numFmtId="181" fontId="76" fillId="4" borderId="12" xfId="0" applyNumberFormat="1" applyFont="1" applyFill="1" applyBorder="1" applyAlignment="1">
      <alignment horizontal="center"/>
    </xf>
    <xf numFmtId="181" fontId="71" fillId="34" borderId="12" xfId="0" applyNumberFormat="1" applyFont="1" applyFill="1" applyBorder="1" applyAlignment="1">
      <alignment horizontal="center"/>
    </xf>
    <xf numFmtId="181" fontId="0" fillId="0" borderId="61" xfId="0" applyNumberFormat="1" applyFill="1" applyBorder="1" applyAlignment="1">
      <alignment horizontal="center"/>
    </xf>
    <xf numFmtId="181" fontId="0" fillId="0" borderId="62" xfId="0" applyNumberFormat="1" applyFill="1" applyBorder="1" applyAlignment="1">
      <alignment horizontal="center"/>
    </xf>
    <xf numFmtId="3" fontId="75" fillId="4" borderId="12" xfId="0" applyNumberFormat="1" applyFont="1" applyFill="1" applyBorder="1" applyAlignment="1">
      <alignment horizontal="center"/>
    </xf>
    <xf numFmtId="3" fontId="71" fillId="4" borderId="12" xfId="0" applyNumberFormat="1" applyFont="1" applyFill="1" applyBorder="1" applyAlignment="1">
      <alignment horizontal="center"/>
    </xf>
    <xf numFmtId="3" fontId="71" fillId="34" borderId="12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183" fontId="70" fillId="4" borderId="12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66" fillId="4" borderId="24" xfId="0" applyFont="1" applyFill="1" applyBorder="1" applyAlignment="1">
      <alignment horizontal="center"/>
    </xf>
    <xf numFmtId="0" fontId="66" fillId="4" borderId="23" xfId="0" applyFont="1" applyFill="1" applyBorder="1" applyAlignment="1">
      <alignment horizontal="center"/>
    </xf>
    <xf numFmtId="0" fontId="66" fillId="0" borderId="24" xfId="0" applyFont="1" applyBorder="1" applyAlignment="1">
      <alignment horizontal="center"/>
    </xf>
    <xf numFmtId="0" fontId="66" fillId="0" borderId="23" xfId="0" applyFont="1" applyBorder="1" applyAlignment="1">
      <alignment horizontal="center"/>
    </xf>
    <xf numFmtId="0" fontId="66" fillId="4" borderId="22" xfId="0" applyFont="1" applyFill="1" applyBorder="1" applyAlignment="1">
      <alignment horizontal="center"/>
    </xf>
    <xf numFmtId="3" fontId="62" fillId="0" borderId="32" xfId="0" applyNumberFormat="1" applyFont="1" applyBorder="1" applyAlignment="1">
      <alignment horizontal="center" vertical="center"/>
    </xf>
    <xf numFmtId="3" fontId="62" fillId="0" borderId="34" xfId="0" applyNumberFormat="1" applyFont="1" applyBorder="1" applyAlignment="1">
      <alignment horizontal="center" vertical="center"/>
    </xf>
    <xf numFmtId="3" fontId="62" fillId="4" borderId="32" xfId="0" applyNumberFormat="1" applyFont="1" applyFill="1" applyBorder="1" applyAlignment="1">
      <alignment horizontal="center" vertical="center"/>
    </xf>
    <xf numFmtId="3" fontId="62" fillId="4" borderId="34" xfId="0" applyNumberFormat="1" applyFont="1" applyFill="1" applyBorder="1" applyAlignment="1">
      <alignment horizontal="center" vertical="center"/>
    </xf>
    <xf numFmtId="0" fontId="64" fillId="4" borderId="24" xfId="0" applyFont="1" applyFill="1" applyBorder="1" applyAlignment="1">
      <alignment horizontal="center" vertical="center"/>
    </xf>
    <xf numFmtId="0" fontId="64" fillId="4" borderId="23" xfId="0" applyFont="1" applyFill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3" xfId="0" applyFont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 wrapText="1"/>
    </xf>
    <xf numFmtId="0" fontId="64" fillId="4" borderId="22" xfId="0" applyFont="1" applyFill="1" applyBorder="1" applyAlignment="1">
      <alignment horizontal="center" vertical="center"/>
    </xf>
    <xf numFmtId="181" fontId="62" fillId="4" borderId="11" xfId="0" applyNumberFormat="1" applyFont="1" applyFill="1" applyBorder="1" applyAlignment="1">
      <alignment horizontal="center" vertical="center" wrapText="1"/>
    </xf>
    <xf numFmtId="0" fontId="62" fillId="4" borderId="12" xfId="0" applyFont="1" applyFill="1" applyBorder="1" applyAlignment="1">
      <alignment horizontal="center" vertical="center" wrapText="1"/>
    </xf>
    <xf numFmtId="183" fontId="62" fillId="4" borderId="12" xfId="0" applyNumberFormat="1" applyFont="1" applyFill="1" applyBorder="1" applyAlignment="1">
      <alignment horizontal="center" vertical="center" wrapText="1"/>
    </xf>
    <xf numFmtId="3" fontId="62" fillId="0" borderId="12" xfId="0" applyNumberFormat="1" applyFont="1" applyBorder="1" applyAlignment="1">
      <alignment horizontal="center" vertical="center" wrapText="1"/>
    </xf>
    <xf numFmtId="0" fontId="62" fillId="0" borderId="12" xfId="0" applyFont="1" applyFill="1" applyBorder="1" applyAlignment="1">
      <alignment horizontal="center" vertical="center" wrapText="1"/>
    </xf>
    <xf numFmtId="3" fontId="4" fillId="4" borderId="12" xfId="0" applyNumberFormat="1" applyFont="1" applyFill="1" applyBorder="1" applyAlignment="1">
      <alignment horizontal="center" vertical="center" wrapText="1"/>
    </xf>
    <xf numFmtId="3" fontId="62" fillId="4" borderId="12" xfId="0" applyNumberFormat="1" applyFont="1" applyFill="1" applyBorder="1" applyAlignment="1">
      <alignment horizontal="center" vertical="center" wrapText="1"/>
    </xf>
    <xf numFmtId="181" fontId="62" fillId="0" borderId="11" xfId="0" applyNumberFormat="1" applyFont="1" applyBorder="1" applyAlignment="1">
      <alignment horizontal="center" vertical="center" wrapText="1"/>
    </xf>
    <xf numFmtId="3" fontId="62" fillId="0" borderId="12" xfId="0" applyNumberFormat="1" applyFont="1" applyFill="1" applyBorder="1" applyAlignment="1">
      <alignment horizontal="center" vertical="center" wrapText="1"/>
    </xf>
    <xf numFmtId="183" fontId="62" fillId="0" borderId="12" xfId="0" applyNumberFormat="1" applyFont="1" applyFill="1" applyBorder="1" applyAlignment="1">
      <alignment horizontal="center" vertical="center" wrapText="1"/>
    </xf>
    <xf numFmtId="181" fontId="62" fillId="0" borderId="11" xfId="0" applyNumberFormat="1" applyFont="1" applyFill="1" applyBorder="1" applyAlignment="1">
      <alignment horizontal="center" vertical="center" wrapText="1"/>
    </xf>
    <xf numFmtId="181" fontId="4" fillId="4" borderId="19" xfId="0" applyNumberFormat="1" applyFont="1" applyFill="1" applyBorder="1" applyAlignment="1">
      <alignment horizontal="center" vertical="center" wrapText="1"/>
    </xf>
    <xf numFmtId="181" fontId="4" fillId="4" borderId="13" xfId="0" applyNumberFormat="1" applyFont="1" applyFill="1" applyBorder="1" applyAlignment="1">
      <alignment horizontal="center" vertical="center" wrapText="1"/>
    </xf>
    <xf numFmtId="0" fontId="62" fillId="4" borderId="17" xfId="0" applyFont="1" applyFill="1" applyBorder="1" applyAlignment="1">
      <alignment horizontal="center" vertical="center"/>
    </xf>
    <xf numFmtId="0" fontId="62" fillId="4" borderId="63" xfId="0" applyFont="1" applyFill="1" applyBorder="1" applyAlignment="1">
      <alignment horizontal="center" vertical="center"/>
    </xf>
    <xf numFmtId="0" fontId="62" fillId="4" borderId="59" xfId="0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2" fillId="0" borderId="63" xfId="0" applyFont="1" applyBorder="1" applyAlignment="1">
      <alignment horizontal="center" vertical="center"/>
    </xf>
    <xf numFmtId="0" fontId="62" fillId="0" borderId="59" xfId="0" applyFont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63" xfId="0" applyFont="1" applyFill="1" applyBorder="1" applyAlignment="1">
      <alignment horizontal="center" vertical="center"/>
    </xf>
    <xf numFmtId="0" fontId="62" fillId="0" borderId="59" xfId="0" applyFont="1" applyFill="1" applyBorder="1" applyAlignment="1">
      <alignment horizontal="center" vertical="center"/>
    </xf>
    <xf numFmtId="183" fontId="62" fillId="0" borderId="12" xfId="0" applyNumberFormat="1" applyFont="1" applyBorder="1" applyAlignment="1">
      <alignment horizontal="center" vertical="center" wrapText="1"/>
    </xf>
    <xf numFmtId="181" fontId="4" fillId="4" borderId="20" xfId="0" applyNumberFormat="1" applyFont="1" applyFill="1" applyBorder="1" applyAlignment="1">
      <alignment horizontal="center" vertical="center" wrapText="1"/>
    </xf>
    <xf numFmtId="181" fontId="4" fillId="4" borderId="26" xfId="0" applyNumberFormat="1" applyFont="1" applyFill="1" applyBorder="1" applyAlignment="1">
      <alignment horizontal="center" vertical="center" wrapText="1"/>
    </xf>
    <xf numFmtId="181" fontId="62" fillId="0" borderId="20" xfId="0" applyNumberFormat="1" applyFont="1" applyFill="1" applyBorder="1" applyAlignment="1">
      <alignment horizontal="center" vertical="center" wrapText="1"/>
    </xf>
    <xf numFmtId="181" fontId="62" fillId="0" borderId="26" xfId="0" applyNumberFormat="1" applyFont="1" applyFill="1" applyBorder="1" applyAlignment="1">
      <alignment horizontal="center" vertical="center" wrapText="1"/>
    </xf>
    <xf numFmtId="181" fontId="62" fillId="4" borderId="20" xfId="0" applyNumberFormat="1" applyFont="1" applyFill="1" applyBorder="1" applyAlignment="1">
      <alignment horizontal="center" vertical="center" wrapText="1"/>
    </xf>
    <xf numFmtId="181" fontId="62" fillId="4" borderId="26" xfId="0" applyNumberFormat="1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 wrapText="1"/>
    </xf>
    <xf numFmtId="181" fontId="4" fillId="4" borderId="24" xfId="0" applyNumberFormat="1" applyFont="1" applyFill="1" applyBorder="1" applyAlignment="1">
      <alignment horizontal="center" vertical="center" wrapText="1"/>
    </xf>
    <xf numFmtId="181" fontId="4" fillId="4" borderId="23" xfId="0" applyNumberFormat="1" applyFont="1" applyFill="1" applyBorder="1" applyAlignment="1">
      <alignment horizontal="center" vertical="center" wrapText="1"/>
    </xf>
    <xf numFmtId="181" fontId="62" fillId="0" borderId="24" xfId="0" applyNumberFormat="1" applyFont="1" applyFill="1" applyBorder="1" applyAlignment="1">
      <alignment horizontal="center" vertical="center" wrapText="1"/>
    </xf>
    <xf numFmtId="181" fontId="62" fillId="0" borderId="23" xfId="0" applyNumberFormat="1" applyFont="1" applyFill="1" applyBorder="1" applyAlignment="1">
      <alignment horizontal="center" vertical="center" wrapText="1"/>
    </xf>
    <xf numFmtId="181" fontId="62" fillId="4" borderId="24" xfId="0" applyNumberFormat="1" applyFont="1" applyFill="1" applyBorder="1" applyAlignment="1">
      <alignment horizontal="center" vertical="center" wrapText="1"/>
    </xf>
    <xf numFmtId="181" fontId="62" fillId="4" borderId="23" xfId="0" applyNumberFormat="1" applyFont="1" applyFill="1" applyBorder="1" applyAlignment="1">
      <alignment horizontal="center"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23" xfId="0" applyFont="1" applyFill="1" applyBorder="1" applyAlignment="1">
      <alignment horizontal="center" vertical="center" wrapText="1"/>
    </xf>
    <xf numFmtId="9" fontId="71" fillId="4" borderId="12" xfId="0" applyNumberFormat="1" applyFont="1" applyFill="1" applyBorder="1" applyAlignment="1">
      <alignment horizontal="center"/>
    </xf>
    <xf numFmtId="9" fontId="71" fillId="4" borderId="14" xfId="0" applyNumberFormat="1" applyFont="1" applyFill="1" applyBorder="1" applyAlignment="1">
      <alignment horizontal="center"/>
    </xf>
    <xf numFmtId="3" fontId="71" fillId="0" borderId="0" xfId="0" applyNumberFormat="1" applyFont="1" applyFill="1" applyBorder="1" applyAlignment="1">
      <alignment horizontal="center"/>
    </xf>
    <xf numFmtId="10" fontId="71" fillId="0" borderId="0" xfId="0" applyNumberFormat="1" applyFont="1" applyFill="1" applyBorder="1" applyAlignment="1">
      <alignment horizontal="center"/>
    </xf>
    <xf numFmtId="181" fontId="76" fillId="4" borderId="28" xfId="0" applyNumberFormat="1" applyFont="1" applyFill="1" applyBorder="1" applyAlignment="1">
      <alignment horizontal="center" wrapText="1"/>
    </xf>
    <xf numFmtId="181" fontId="76" fillId="4" borderId="31" xfId="0" applyNumberFormat="1" applyFont="1" applyFill="1" applyBorder="1" applyAlignment="1">
      <alignment horizontal="center" wrapText="1"/>
    </xf>
    <xf numFmtId="10" fontId="71" fillId="0" borderId="27" xfId="0" applyNumberFormat="1" applyFont="1" applyFill="1" applyBorder="1" applyAlignment="1">
      <alignment horizontal="center"/>
    </xf>
    <xf numFmtId="3" fontId="71" fillId="4" borderId="12" xfId="0" applyNumberFormat="1" applyFont="1" applyFill="1" applyBorder="1" applyAlignment="1">
      <alignment horizontal="center"/>
    </xf>
    <xf numFmtId="3" fontId="71" fillId="4" borderId="14" xfId="0" applyNumberFormat="1" applyFont="1" applyFill="1" applyBorder="1" applyAlignment="1">
      <alignment horizontal="center"/>
    </xf>
    <xf numFmtId="3" fontId="71" fillId="4" borderId="28" xfId="0" applyNumberFormat="1" applyFont="1" applyFill="1" applyBorder="1" applyAlignment="1">
      <alignment horizontal="center"/>
    </xf>
    <xf numFmtId="3" fontId="71" fillId="4" borderId="31" xfId="0" applyNumberFormat="1" applyFont="1" applyFill="1" applyBorder="1" applyAlignment="1">
      <alignment horizontal="center"/>
    </xf>
    <xf numFmtId="9" fontId="71" fillId="4" borderId="28" xfId="0" applyNumberFormat="1" applyFont="1" applyFill="1" applyBorder="1" applyAlignment="1">
      <alignment horizontal="center"/>
    </xf>
    <xf numFmtId="9" fontId="71" fillId="4" borderId="31" xfId="0" applyNumberFormat="1" applyFont="1" applyFill="1" applyBorder="1" applyAlignment="1">
      <alignment horizontal="center"/>
    </xf>
    <xf numFmtId="3" fontId="71" fillId="0" borderId="27" xfId="0" applyNumberFormat="1" applyFont="1" applyFill="1" applyBorder="1" applyAlignment="1">
      <alignment horizontal="center"/>
    </xf>
    <xf numFmtId="181" fontId="76" fillId="4" borderId="12" xfId="0" applyNumberFormat="1" applyFont="1" applyFill="1" applyBorder="1" applyAlignment="1">
      <alignment horizontal="center"/>
    </xf>
    <xf numFmtId="181" fontId="76" fillId="4" borderId="14" xfId="0" applyNumberFormat="1" applyFont="1" applyFill="1" applyBorder="1" applyAlignment="1">
      <alignment horizontal="center"/>
    </xf>
    <xf numFmtId="0" fontId="4" fillId="35" borderId="9" xfId="58" applyFont="1" applyFill="1" applyBorder="1" applyAlignment="1">
      <alignment vertical="top" wrapText="1"/>
      <protection/>
    </xf>
    <xf numFmtId="0" fontId="2" fillId="0" borderId="9" xfId="58" applyBorder="1" applyAlignment="1">
      <alignment vertical="top" wrapText="1"/>
      <protection/>
    </xf>
    <xf numFmtId="0" fontId="2" fillId="0" borderId="9" xfId="58" applyFont="1" applyBorder="1" applyAlignment="1">
      <alignment vertical="top" wrapText="1"/>
      <protection/>
    </xf>
    <xf numFmtId="0" fontId="8" fillId="35" borderId="20" xfId="58" applyFont="1" applyFill="1" applyBorder="1" applyAlignment="1">
      <alignment vertical="top" wrapText="1"/>
      <protection/>
    </xf>
    <xf numFmtId="0" fontId="8" fillId="35" borderId="13" xfId="58" applyFont="1" applyFill="1" applyBorder="1" applyAlignment="1">
      <alignment vertical="top" wrapText="1"/>
      <protection/>
    </xf>
    <xf numFmtId="0" fontId="4" fillId="35" borderId="9" xfId="58" applyFont="1" applyFill="1" applyBorder="1" applyAlignment="1">
      <alignment horizontal="center" vertical="top" wrapText="1"/>
      <protection/>
    </xf>
    <xf numFmtId="0" fontId="2" fillId="0" borderId="9" xfId="58" applyFont="1" applyBorder="1" applyAlignment="1">
      <alignment horizontal="center" vertical="top" wrapText="1"/>
      <protection/>
    </xf>
    <xf numFmtId="0" fontId="4" fillId="35" borderId="32" xfId="58" applyFont="1" applyFill="1" applyBorder="1" applyAlignment="1">
      <alignment horizontal="center" vertical="top"/>
      <protection/>
    </xf>
    <xf numFmtId="0" fontId="4" fillId="35" borderId="33" xfId="58" applyFont="1" applyFill="1" applyBorder="1" applyAlignment="1">
      <alignment horizontal="center" vertical="top"/>
      <protection/>
    </xf>
    <xf numFmtId="0" fontId="4" fillId="35" borderId="34" xfId="58" applyFont="1" applyFill="1" applyBorder="1" applyAlignment="1">
      <alignment horizontal="center" vertical="top"/>
      <protection/>
    </xf>
    <xf numFmtId="0" fontId="4" fillId="35" borderId="9" xfId="58" applyFont="1" applyFill="1" applyBorder="1" applyAlignment="1">
      <alignment vertical="top"/>
      <protection/>
    </xf>
    <xf numFmtId="0" fontId="2" fillId="0" borderId="9" xfId="58" applyBorder="1" applyAlignment="1">
      <alignment vertical="top"/>
      <protection/>
    </xf>
    <xf numFmtId="0" fontId="4" fillId="35" borderId="20" xfId="58" applyFont="1" applyFill="1" applyBorder="1" applyAlignment="1">
      <alignment vertical="top" wrapText="1"/>
      <protection/>
    </xf>
    <xf numFmtId="0" fontId="2" fillId="0" borderId="11" xfId="58" applyBorder="1" applyAlignment="1">
      <alignment vertical="top" wrapText="1"/>
      <protection/>
    </xf>
    <xf numFmtId="0" fontId="2" fillId="0" borderId="13" xfId="58" applyBorder="1" applyAlignment="1">
      <alignment vertical="top" wrapText="1"/>
      <protection/>
    </xf>
    <xf numFmtId="0" fontId="0" fillId="4" borderId="17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59" xfId="0" applyFill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Style 23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externalLink" Target="externalLinks/externalLink10.xml" /><Relationship Id="rId22" Type="http://schemas.openxmlformats.org/officeDocument/2006/relationships/externalLink" Target="externalLinks/externalLink11.xml" /><Relationship Id="rId23" Type="http://schemas.openxmlformats.org/officeDocument/2006/relationships/externalLink" Target="externalLinks/externalLink12.xml" /><Relationship Id="rId24" Type="http://schemas.openxmlformats.org/officeDocument/2006/relationships/externalLink" Target="externalLinks/externalLink13.xml" /><Relationship Id="rId25" Type="http://schemas.openxmlformats.org/officeDocument/2006/relationships/externalLink" Target="externalLinks/externalLink14.xml" /><Relationship Id="rId26" Type="http://schemas.openxmlformats.org/officeDocument/2006/relationships/externalLink" Target="externalLinks/externalLink15.xml" /><Relationship Id="rId27" Type="http://schemas.openxmlformats.org/officeDocument/2006/relationships/externalLink" Target="externalLinks/externalLink16.xml" /><Relationship Id="rId28" Type="http://schemas.openxmlformats.org/officeDocument/2006/relationships/externalLink" Target="externalLinks/externalLink17.xml" /><Relationship Id="rId29" Type="http://schemas.openxmlformats.org/officeDocument/2006/relationships/externalLink" Target="externalLinks/externalLink18.xml" /><Relationship Id="rId30" Type="http://schemas.openxmlformats.org/officeDocument/2006/relationships/externalLink" Target="externalLinks/externalLink19.xml" /><Relationship Id="rId31" Type="http://schemas.openxmlformats.org/officeDocument/2006/relationships/externalLink" Target="externalLinks/externalLink20.xml" /><Relationship Id="rId32" Type="http://schemas.openxmlformats.org/officeDocument/2006/relationships/externalLink" Target="externalLinks/externalLink21.xml" /><Relationship Id="rId33" Type="http://schemas.openxmlformats.org/officeDocument/2006/relationships/externalLink" Target="externalLinks/externalLink22.xml" /><Relationship Id="rId34" Type="http://schemas.openxmlformats.org/officeDocument/2006/relationships/externalLink" Target="externalLinks/externalLink23.xml" /><Relationship Id="rId35" Type="http://schemas.openxmlformats.org/officeDocument/2006/relationships/externalLink" Target="externalLinks/externalLink24.xml" /><Relationship Id="rId36" Type="http://schemas.openxmlformats.org/officeDocument/2006/relationships/externalLink" Target="externalLinks/externalLink25.xml" /><Relationship Id="rId37" Type="http://schemas.openxmlformats.org/officeDocument/2006/relationships/externalLink" Target="externalLinks/externalLink26.xml" /><Relationship Id="rId38" Type="http://schemas.openxmlformats.org/officeDocument/2006/relationships/externalLink" Target="externalLinks/externalLink27.xml" /><Relationship Id="rId39" Type="http://schemas.openxmlformats.org/officeDocument/2006/relationships/externalLink" Target="externalLinks/externalLink28.xml" /><Relationship Id="rId40" Type="http://schemas.openxmlformats.org/officeDocument/2006/relationships/externalLink" Target="externalLinks/externalLink29.xml" /><Relationship Id="rId41" Type="http://schemas.openxmlformats.org/officeDocument/2006/relationships/externalLink" Target="externalLinks/externalLink30.xml" /><Relationship Id="rId42" Type="http://schemas.openxmlformats.org/officeDocument/2006/relationships/externalLink" Target="externalLinks/externalLink31.xml" /><Relationship Id="rId43" Type="http://schemas.openxmlformats.org/officeDocument/2006/relationships/externalLink" Target="externalLinks/externalLink32.xml" /><Relationship Id="rId44" Type="http://schemas.openxmlformats.org/officeDocument/2006/relationships/externalLink" Target="externalLinks/externalLink33.xml" /><Relationship Id="rId45" Type="http://schemas.openxmlformats.org/officeDocument/2006/relationships/externalLink" Target="externalLinks/externalLink34.xml" /><Relationship Id="rId46" Type="http://schemas.openxmlformats.org/officeDocument/2006/relationships/externalLink" Target="externalLinks/externalLink35.xml" /><Relationship Id="rId47" Type="http://schemas.openxmlformats.org/officeDocument/2006/relationships/externalLink" Target="externalLinks/externalLink36.xml" /><Relationship Id="rId48" Type="http://schemas.openxmlformats.org/officeDocument/2006/relationships/externalLink" Target="externalLinks/externalLink37.xml" /><Relationship Id="rId49" Type="http://schemas.openxmlformats.org/officeDocument/2006/relationships/externalLink" Target="externalLinks/externalLink38.xml" /><Relationship Id="rId50" Type="http://schemas.openxmlformats.org/officeDocument/2006/relationships/externalLink" Target="externalLinks/externalLink39.xml" /><Relationship Id="rId51" Type="http://schemas.openxmlformats.org/officeDocument/2006/relationships/externalLink" Target="externalLinks/externalLink40.xml" /><Relationship Id="rId5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28575</xdr:colOff>
      <xdr:row>14</xdr:row>
      <xdr:rowOff>152400</xdr:rowOff>
    </xdr:from>
    <xdr:ext cx="76200" cy="228600"/>
    <xdr:sp fLocksText="0">
      <xdr:nvSpPr>
        <xdr:cNvPr id="1" name="TextBox 1"/>
        <xdr:cNvSpPr txBox="1">
          <a:spLocks noChangeArrowheads="1"/>
        </xdr:cNvSpPr>
      </xdr:nvSpPr>
      <xdr:spPr>
        <a:xfrm>
          <a:off x="8239125" y="2819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6-2008%20OPA%20Conservation%20Results.Whitby%20Hydro%20Electric%20Corporatio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Timer%20-%20Outdoor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Summary%20TRC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7\2007%20Wasaga%20-%20Lightbulb%20Giveaway%20-%20Project%20Prochlight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7\2007%20Wasaga%20-%20SSM%20-%20Lightbulb%20Giveaway%20-%20Project%20Prochligh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8\2008%20Wasaga%20-%20Phantom%20Power%20Bars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8\2008%20Wasaga%20-%20SSM%20-%20Phantom%20Power%20Bars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2006-2008%20OPA%20Conservation%20Results.Wasaga%20Distribution%20Inc.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15W%20CF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Ceiling%20Fan%20(new%20tables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Outdoor%20Light%20Tim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15W%20CFL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Pstat%20Space%20Cooling%20(new%20tables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Pstat%20Space%20Heating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SLED%205W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SLED%20Mini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Timer%20-%20AC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5\2005%20Wasaga%20LYEB%20-%20SSM%20-%20Timer%20-%20Indoor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7\2007%20Wasaga%20-%20LED%20Traffic%20Lights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SSM%20-%20Old%20Tables\2008\2008%20Wasaga%20-%20%20Food%20Bank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7\2007%20Wasaga%20-%20LED%20Traffic%20Lights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8\2008%20Wasaga%20-%20%20Food%20Ban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Ceiling%20Fan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2006-8%20Final+2009%20Preliminary.OPA%20CDM%20Results.Wasaga%20Distribution%20Inc.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15W%20CF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Ceiling%20Fan%20(new%20tables)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Pstat%20Space%20Cooling%20(new%20tables)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Pstat%20Space%20Heating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SLED%205W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SLED%20Mini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Timer%20-%20AC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Timer%20-%20Indoor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5\2005%20Wasaga%20LYEB%20-%20SSM%20-%20Outdoor%20Light%20Time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Pstat%20Space%20Cooling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orkDell4\Desktop\TO%20FILE%20ON%20SERVER\LRAM%20SSM\Wasaga%20Distribution\2009%20LRAM%20SSM\TRCs%20for%20SSM%20-%20Old%20Tables\2007\2007%20Wasaga%20-%20SSM%20-%20Lightbulb%20Giveaway%20-%20Project%20Prochligh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Pstat%20Space%20Heating%20(old%20table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SLED%205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SLED%20Min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Timer%20-%20A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TRCs%20for%20LRAM%20-%20New%20Tables\2005\2005%20Wasaga%20LYEB%20-%20Timer%20-%20Indo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5">
        <row r="9">
          <cell r="I9">
            <v>0.007476141016995449</v>
          </cell>
          <cell r="J9">
            <v>0.007476141016995449</v>
          </cell>
          <cell r="K9">
            <v>0.007476141016995449</v>
          </cell>
          <cell r="L9">
            <v>0.007476141016995449</v>
          </cell>
          <cell r="AK9">
            <v>1146.995262076076</v>
          </cell>
          <cell r="AL9">
            <v>1146.995262076076</v>
          </cell>
          <cell r="AM9">
            <v>1146.995262076076</v>
          </cell>
          <cell r="AN9">
            <v>1146.995262076076</v>
          </cell>
        </row>
        <row r="10">
          <cell r="I10">
            <v>0.08954628177949016</v>
          </cell>
          <cell r="J10">
            <v>0.08954628177949016</v>
          </cell>
          <cell r="K10">
            <v>0.08954628177949016</v>
          </cell>
          <cell r="L10">
            <v>0.08954628177949016</v>
          </cell>
          <cell r="AK10">
            <v>87.42301942801771</v>
          </cell>
          <cell r="AL10">
            <v>87.42301942801771</v>
          </cell>
          <cell r="AM10">
            <v>87.42301942801771</v>
          </cell>
          <cell r="AN10">
            <v>87.42301942801771</v>
          </cell>
        </row>
        <row r="11">
          <cell r="I11">
            <v>0.010643566725001137</v>
          </cell>
          <cell r="J11">
            <v>0.010643566725001137</v>
          </cell>
          <cell r="K11">
            <v>0.010643566725001137</v>
          </cell>
          <cell r="L11">
            <v>0.010643566725001137</v>
          </cell>
          <cell r="AK11">
            <v>46.95691202206383</v>
          </cell>
          <cell r="AL11">
            <v>46.95691202206383</v>
          </cell>
          <cell r="AM11">
            <v>46.95691202206383</v>
          </cell>
          <cell r="AN11">
            <v>46.95691202206383</v>
          </cell>
        </row>
        <row r="12">
          <cell r="I12">
            <v>0.02799766526152325</v>
          </cell>
          <cell r="J12">
            <v>0.02799766526152325</v>
          </cell>
          <cell r="K12">
            <v>0.02799766526152325</v>
          </cell>
          <cell r="L12">
            <v>0.02799766526152325</v>
          </cell>
          <cell r="AK12">
            <v>1860.7737867485077</v>
          </cell>
          <cell r="AL12">
            <v>1860.7737867485077</v>
          </cell>
          <cell r="AM12">
            <v>1860.7737867485077</v>
          </cell>
          <cell r="AN12">
            <v>1860.7737867485077</v>
          </cell>
        </row>
        <row r="13">
          <cell r="I13">
            <v>1.1874279652640236</v>
          </cell>
          <cell r="J13">
            <v>0</v>
          </cell>
          <cell r="K13">
            <v>0</v>
          </cell>
          <cell r="L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</row>
        <row r="16">
          <cell r="J16">
            <v>0.021239151796984067</v>
          </cell>
          <cell r="K16">
            <v>0.021239151796984067</v>
          </cell>
          <cell r="L16">
            <v>0.021239151796984067</v>
          </cell>
          <cell r="AL16">
            <v>190.2062085695473</v>
          </cell>
          <cell r="AM16">
            <v>190.2062085695473</v>
          </cell>
          <cell r="AN16">
            <v>190.2062085695473</v>
          </cell>
        </row>
        <row r="17">
          <cell r="J17">
            <v>0.1677878878772515</v>
          </cell>
          <cell r="K17">
            <v>0.1677878878772515</v>
          </cell>
          <cell r="L17">
            <v>0.1677878878772515</v>
          </cell>
          <cell r="AL17">
            <v>255.58130050819292</v>
          </cell>
          <cell r="AM17">
            <v>255.58130050819292</v>
          </cell>
          <cell r="AN17">
            <v>255.58130050819292</v>
          </cell>
        </row>
        <row r="18">
          <cell r="J18">
            <v>0</v>
          </cell>
          <cell r="K18">
            <v>0</v>
          </cell>
          <cell r="L18">
            <v>0</v>
          </cell>
          <cell r="AL18">
            <v>0</v>
          </cell>
          <cell r="AM18">
            <v>0</v>
          </cell>
          <cell r="AN18">
            <v>0</v>
          </cell>
        </row>
        <row r="19">
          <cell r="J19">
            <v>0.04291943070961507</v>
          </cell>
          <cell r="K19">
            <v>0.03889224153936917</v>
          </cell>
          <cell r="L19">
            <v>0.03889224153936917</v>
          </cell>
          <cell r="AL19">
            <v>1117.8094609201971</v>
          </cell>
          <cell r="AM19">
            <v>1104.2536545167802</v>
          </cell>
          <cell r="AN19">
            <v>1104.2536545167802</v>
          </cell>
        </row>
        <row r="20">
          <cell r="J20">
            <v>0</v>
          </cell>
          <cell r="K20">
            <v>0</v>
          </cell>
          <cell r="L20">
            <v>0</v>
          </cell>
          <cell r="AL20">
            <v>0</v>
          </cell>
          <cell r="AM20">
            <v>0</v>
          </cell>
          <cell r="AN20">
            <v>0</v>
          </cell>
        </row>
        <row r="21">
          <cell r="J21">
            <v>0.29465024648084565</v>
          </cell>
          <cell r="K21">
            <v>0.29465024648084565</v>
          </cell>
          <cell r="L21">
            <v>0</v>
          </cell>
          <cell r="AL21">
            <v>530.3704436655221</v>
          </cell>
          <cell r="AM21">
            <v>530.3704436655221</v>
          </cell>
          <cell r="AN21">
            <v>0</v>
          </cell>
        </row>
        <row r="22">
          <cell r="J22">
            <v>0</v>
          </cell>
          <cell r="K22">
            <v>0</v>
          </cell>
          <cell r="L22">
            <v>0</v>
          </cell>
          <cell r="AL22">
            <v>0</v>
          </cell>
          <cell r="AM22">
            <v>0</v>
          </cell>
          <cell r="AN22">
            <v>0</v>
          </cell>
        </row>
        <row r="23">
          <cell r="J23">
            <v>0.011851840908048803</v>
          </cell>
          <cell r="K23">
            <v>0.011851840908048803</v>
          </cell>
          <cell r="L23">
            <v>0.011851840908048803</v>
          </cell>
          <cell r="AL23">
            <v>100.74064771841483</v>
          </cell>
          <cell r="AM23">
            <v>100.74064771841483</v>
          </cell>
          <cell r="AN23">
            <v>100.74064771841483</v>
          </cell>
        </row>
        <row r="24">
          <cell r="J24">
            <v>0</v>
          </cell>
          <cell r="K24">
            <v>0</v>
          </cell>
          <cell r="L24">
            <v>0</v>
          </cell>
          <cell r="AL24">
            <v>0</v>
          </cell>
          <cell r="AM24">
            <v>0</v>
          </cell>
          <cell r="AN24">
            <v>0</v>
          </cell>
        </row>
        <row r="25">
          <cell r="J25">
            <v>0</v>
          </cell>
          <cell r="K25">
            <v>0</v>
          </cell>
          <cell r="L25">
            <v>0</v>
          </cell>
          <cell r="AL25">
            <v>0</v>
          </cell>
          <cell r="AM25">
            <v>0</v>
          </cell>
          <cell r="AN25">
            <v>0</v>
          </cell>
        </row>
        <row r="26">
          <cell r="J26">
            <v>0</v>
          </cell>
          <cell r="K26">
            <v>0</v>
          </cell>
          <cell r="L26">
            <v>0</v>
          </cell>
          <cell r="AL26">
            <v>0</v>
          </cell>
          <cell r="AM26">
            <v>0</v>
          </cell>
          <cell r="AN26">
            <v>0</v>
          </cell>
        </row>
        <row r="27">
          <cell r="J27">
            <v>1.967805156795073</v>
          </cell>
          <cell r="K27">
            <v>1.967805156795073</v>
          </cell>
          <cell r="L27">
            <v>0</v>
          </cell>
          <cell r="AL27">
            <v>0</v>
          </cell>
          <cell r="AM27">
            <v>0</v>
          </cell>
          <cell r="AN27">
            <v>0</v>
          </cell>
        </row>
        <row r="28">
          <cell r="J28">
            <v>0.16367377485630097</v>
          </cell>
          <cell r="K28">
            <v>0</v>
          </cell>
          <cell r="L28">
            <v>0</v>
          </cell>
          <cell r="AL28">
            <v>0</v>
          </cell>
          <cell r="AM28">
            <v>0</v>
          </cell>
          <cell r="AN28">
            <v>0</v>
          </cell>
        </row>
        <row r="32">
          <cell r="K32">
            <v>0.024794064134819774</v>
          </cell>
          <cell r="L32">
            <v>0.024794064134819774</v>
          </cell>
          <cell r="AM32">
            <v>269.14414876728273</v>
          </cell>
          <cell r="AN32">
            <v>269.14414876728273</v>
          </cell>
        </row>
        <row r="33">
          <cell r="K33">
            <v>0.12212695559182055</v>
          </cell>
          <cell r="L33">
            <v>0.12212695559182055</v>
          </cell>
          <cell r="AM33">
            <v>151.2408308416523</v>
          </cell>
          <cell r="AN33">
            <v>151.2408308416523</v>
          </cell>
        </row>
        <row r="34">
          <cell r="K34">
            <v>0</v>
          </cell>
          <cell r="L34">
            <v>0</v>
          </cell>
          <cell r="AM34">
            <v>0</v>
          </cell>
          <cell r="AN34">
            <v>0</v>
          </cell>
        </row>
        <row r="35">
          <cell r="K35">
            <v>0.0014855097394148372</v>
          </cell>
          <cell r="L35">
            <v>0</v>
          </cell>
          <cell r="AM35">
            <v>0</v>
          </cell>
          <cell r="AN35">
            <v>0</v>
          </cell>
        </row>
        <row r="36">
          <cell r="K36">
            <v>0.02528695776788217</v>
          </cell>
          <cell r="L36">
            <v>0.02436383210176334</v>
          </cell>
          <cell r="AM36">
            <v>378.20680045473597</v>
          </cell>
          <cell r="AN36">
            <v>375.09784508634294</v>
          </cell>
        </row>
        <row r="37">
          <cell r="K37">
            <v>0</v>
          </cell>
          <cell r="L37">
            <v>0</v>
          </cell>
          <cell r="AM37">
            <v>0</v>
          </cell>
          <cell r="AN37">
            <v>0</v>
          </cell>
        </row>
        <row r="38">
          <cell r="K38">
            <v>0.13864771666666664</v>
          </cell>
          <cell r="L38">
            <v>0.13864771666666664</v>
          </cell>
          <cell r="AM38">
            <v>316.1167939999999</v>
          </cell>
          <cell r="AN38">
            <v>316.1167939999999</v>
          </cell>
        </row>
        <row r="39">
          <cell r="K39">
            <v>0</v>
          </cell>
          <cell r="L39">
            <v>0</v>
          </cell>
          <cell r="AM39">
            <v>0</v>
          </cell>
          <cell r="AN39">
            <v>0</v>
          </cell>
        </row>
        <row r="40">
          <cell r="K40">
            <v>0.000781170289086891</v>
          </cell>
          <cell r="L40">
            <v>0.000781170289086891</v>
          </cell>
          <cell r="AM40">
            <v>1.7793323251423627</v>
          </cell>
          <cell r="AN40">
            <v>1.7793323251423627</v>
          </cell>
        </row>
        <row r="41">
          <cell r="K41">
            <v>0.0028741991513781882</v>
          </cell>
          <cell r="L41">
            <v>0.0028741991513781882</v>
          </cell>
          <cell r="AM41">
            <v>21.061759773599988</v>
          </cell>
          <cell r="AN41">
            <v>21.061759773599988</v>
          </cell>
        </row>
        <row r="42">
          <cell r="K42">
            <v>0</v>
          </cell>
          <cell r="L42">
            <v>0</v>
          </cell>
          <cell r="AM42">
            <v>0</v>
          </cell>
          <cell r="AN42">
            <v>0</v>
          </cell>
        </row>
        <row r="43">
          <cell r="K43">
            <v>0.00018561474035692406</v>
          </cell>
          <cell r="L43">
            <v>0</v>
          </cell>
          <cell r="AM43">
            <v>0</v>
          </cell>
          <cell r="AN43">
            <v>0</v>
          </cell>
        </row>
        <row r="44">
          <cell r="K44">
            <v>0.4949891736563284</v>
          </cell>
          <cell r="L44">
            <v>0</v>
          </cell>
          <cell r="AM44">
            <v>0</v>
          </cell>
          <cell r="AN44">
            <v>0</v>
          </cell>
        </row>
        <row r="45">
          <cell r="K45">
            <v>0.18109511225577846</v>
          </cell>
          <cell r="L45">
            <v>0</v>
          </cell>
          <cell r="AM45">
            <v>0</v>
          </cell>
          <cell r="AN45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9">
          <cell r="B19">
            <v>26</v>
          </cell>
        </row>
        <row r="20">
          <cell r="B20">
            <v>0.1</v>
          </cell>
        </row>
      </sheetData>
      <sheetData sheetId="3">
        <row r="10">
          <cell r="BA10">
            <v>961.74</v>
          </cell>
          <cell r="BC10">
            <v>1068.6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28">
          <cell r="D28">
            <v>46410.68583750264</v>
          </cell>
        </row>
        <row r="31">
          <cell r="D31">
            <v>-2057</v>
          </cell>
        </row>
        <row r="37">
          <cell r="D37">
            <v>-7778.3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8</v>
          </cell>
        </row>
        <row r="19">
          <cell r="B19">
            <v>6500</v>
          </cell>
        </row>
        <row r="20">
          <cell r="B20">
            <v>0.1</v>
          </cell>
        </row>
      </sheetData>
      <sheetData sheetId="3">
        <row r="10">
          <cell r="BA10">
            <v>252720</v>
          </cell>
          <cell r="BC10">
            <v>280800</v>
          </cell>
          <cell r="BE10">
            <v>5.8500000000000005</v>
          </cell>
          <cell r="BF10">
            <v>6.5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4</v>
          </cell>
        </row>
        <row r="17">
          <cell r="E17">
            <v>136231.44652512786</v>
          </cell>
        </row>
        <row r="33">
          <cell r="D33">
            <v>-11700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8</v>
          </cell>
        </row>
        <row r="19">
          <cell r="B19">
            <v>1290</v>
          </cell>
        </row>
        <row r="20">
          <cell r="B20">
            <v>0.1</v>
          </cell>
        </row>
      </sheetData>
      <sheetData sheetId="3">
        <row r="7">
          <cell r="BA7">
            <v>32159.7</v>
          </cell>
          <cell r="BC7">
            <v>35733</v>
          </cell>
          <cell r="BE7">
            <v>1.161</v>
          </cell>
          <cell r="BF7">
            <v>1.29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3</v>
          </cell>
        </row>
        <row r="17">
          <cell r="E17">
            <v>10647.139718732096</v>
          </cell>
        </row>
        <row r="37">
          <cell r="D37">
            <v>-3914.16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llocation Methodology"/>
      <sheetName val="Summary"/>
      <sheetName val="Annual Net Demand Savings-LDC"/>
      <sheetName val="Annual Net Energy Savings-LDC"/>
      <sheetName val="Annual Net Demand Savings-Prov"/>
      <sheetName val="Annual Net Energy Savings-Prov"/>
      <sheetName val="Initiative Level"/>
      <sheetName val="Measures"/>
      <sheetName val="Local Distribution Companies"/>
    </sheetNames>
    <sheetDataSet>
      <sheetData sheetId="1">
        <row r="20">
          <cell r="B20" t="str">
            <v>Wasaga Distribution Inc.</v>
          </cell>
        </row>
      </sheetData>
      <sheetData sheetId="8">
        <row r="2">
          <cell r="B2" t="str">
            <v>Atikokan Hydro Inc.</v>
          </cell>
        </row>
        <row r="3">
          <cell r="B3" t="str">
            <v>Attawapiskat First Nation</v>
          </cell>
        </row>
        <row r="4">
          <cell r="B4" t="str">
            <v>Attawapiskat Power Corporation</v>
          </cell>
        </row>
        <row r="5">
          <cell r="B5" t="str">
            <v>Barrie Hydro Distribution Inc.</v>
          </cell>
        </row>
        <row r="6">
          <cell r="B6" t="str">
            <v>Bluewater Power Distribution Corporation</v>
          </cell>
        </row>
        <row r="7">
          <cell r="B7" t="str">
            <v>Brant County Power Inc.</v>
          </cell>
        </row>
        <row r="8">
          <cell r="B8" t="str">
            <v>Brantford Power Inc.</v>
          </cell>
        </row>
        <row r="9">
          <cell r="B9" t="str">
            <v>Burlington Hydro Inc.</v>
          </cell>
        </row>
        <row r="10">
          <cell r="B10" t="str">
            <v>COLLUS Power Corp.</v>
          </cell>
        </row>
        <row r="11">
          <cell r="B11" t="str">
            <v>Cambridge and North Dumfries Hydro Inc.</v>
          </cell>
        </row>
        <row r="12">
          <cell r="B12" t="str">
            <v>Canadian Niagara Power Inc.</v>
          </cell>
        </row>
        <row r="13">
          <cell r="B13" t="str">
            <v>Centre Wellington Hydro Ltd.</v>
          </cell>
        </row>
        <row r="14">
          <cell r="B14" t="str">
            <v>Chapleau Public Utilities Corporation</v>
          </cell>
        </row>
        <row r="15">
          <cell r="B15" t="str">
            <v>Chatham-Kent Hydro Inc.</v>
          </cell>
        </row>
        <row r="16">
          <cell r="B16" t="str">
            <v>Clinton Power Corporation</v>
          </cell>
        </row>
        <row r="17">
          <cell r="B17" t="str">
            <v>Cooperative Hydro Embrun Inc.</v>
          </cell>
        </row>
        <row r="18">
          <cell r="B18" t="str">
            <v>Cornwall Street Railway Light and Power Company Limited</v>
          </cell>
        </row>
        <row r="19">
          <cell r="B19" t="str">
            <v>Dubreuil Forest Products Ltd.</v>
          </cell>
        </row>
        <row r="20">
          <cell r="B20" t="str">
            <v>Dutton Hydro Limited</v>
          </cell>
        </row>
        <row r="21">
          <cell r="B21" t="str">
            <v>E.L.K. Energy Inc.</v>
          </cell>
        </row>
        <row r="22">
          <cell r="B22" t="str">
            <v>ENWIN Utilities Ltd.</v>
          </cell>
        </row>
        <row r="23">
          <cell r="B23" t="str">
            <v>Enersource Hydro Mississauga Inc.</v>
          </cell>
        </row>
        <row r="24">
          <cell r="B24" t="str">
            <v>Erie Thames Powerlines Corporation</v>
          </cell>
        </row>
        <row r="25">
          <cell r="B25" t="str">
            <v>Espanola Regional Hydro Distribution Corporation</v>
          </cell>
        </row>
        <row r="26">
          <cell r="B26" t="str">
            <v>Essex Powerlines Corporation</v>
          </cell>
        </row>
        <row r="27">
          <cell r="B27" t="str">
            <v>Festival Hydro Inc.</v>
          </cell>
        </row>
        <row r="28">
          <cell r="B28" t="str">
            <v>Fort Albany First Nation</v>
          </cell>
        </row>
        <row r="29">
          <cell r="B29" t="str">
            <v>Fort Albany Power Corporation</v>
          </cell>
        </row>
        <row r="30">
          <cell r="B30" t="str">
            <v>Fort Frances Power Corporation</v>
          </cell>
        </row>
        <row r="31">
          <cell r="B31" t="str">
            <v>Grand Valley Energy Inc</v>
          </cell>
        </row>
        <row r="32">
          <cell r="B32" t="str">
            <v>Great Lakes Power Limited</v>
          </cell>
        </row>
        <row r="33">
          <cell r="B33" t="str">
            <v>Greater Sudbury Hydro Inc.</v>
          </cell>
        </row>
        <row r="34">
          <cell r="B34" t="str">
            <v>Grimsby Power Incorporated</v>
          </cell>
        </row>
        <row r="35">
          <cell r="B35" t="str">
            <v>Guelph Hydro Electric Systems Inc.</v>
          </cell>
        </row>
        <row r="36">
          <cell r="B36" t="str">
            <v>Haldimand County Hydro Inc.</v>
          </cell>
        </row>
        <row r="37">
          <cell r="B37" t="str">
            <v>Halton Hills Hydro Inc.</v>
          </cell>
        </row>
        <row r="38">
          <cell r="B38" t="str">
            <v>Hearst Power Distribution Company Limited</v>
          </cell>
        </row>
        <row r="39">
          <cell r="B39" t="str">
            <v>Horizon Utilities Corporation</v>
          </cell>
        </row>
        <row r="40">
          <cell r="B40" t="str">
            <v>Hydro 2000 Inc.</v>
          </cell>
        </row>
        <row r="41">
          <cell r="B41" t="str">
            <v>Hydro Hawkesbury Inc.</v>
          </cell>
        </row>
        <row r="42">
          <cell r="B42" t="str">
            <v>Hydro One Brampton Networks Inc.</v>
          </cell>
        </row>
        <row r="43">
          <cell r="B43" t="str">
            <v>Hydro One Networks Inc.</v>
          </cell>
        </row>
        <row r="44">
          <cell r="B44" t="str">
            <v>Hydro One Networks Inc./Cat Lake Power Community</v>
          </cell>
        </row>
        <row r="45">
          <cell r="B45" t="str">
            <v>Hydro One Remote Communities Inc.</v>
          </cell>
        </row>
        <row r="46">
          <cell r="B46" t="str">
            <v>Hydro Ottawa Limited</v>
          </cell>
        </row>
        <row r="47">
          <cell r="B47" t="str">
            <v>Innisfil Hydro Distribution Systems Limited</v>
          </cell>
        </row>
        <row r="48">
          <cell r="B48" t="str">
            <v>Kashechewan First Nation</v>
          </cell>
        </row>
        <row r="49">
          <cell r="B49" t="str">
            <v>Kashechewan Power Corporation</v>
          </cell>
        </row>
        <row r="50">
          <cell r="B50" t="str">
            <v>Kenora Hydro Electric Corporation Ltd.</v>
          </cell>
        </row>
        <row r="51">
          <cell r="B51" t="str">
            <v>Kingston Hydro Corporation</v>
          </cell>
        </row>
        <row r="52">
          <cell r="B52" t="str">
            <v>Kitchener-Wilmot Hydro Inc.</v>
          </cell>
        </row>
        <row r="53">
          <cell r="B53" t="str">
            <v>Lakefront Utilities Inc.</v>
          </cell>
        </row>
        <row r="54">
          <cell r="B54" t="str">
            <v>Lakeland Power Distribution Ltd.</v>
          </cell>
        </row>
        <row r="55">
          <cell r="B55" t="str">
            <v>London Hydro Inc.</v>
          </cell>
        </row>
        <row r="56">
          <cell r="B56" t="str">
            <v>Middlesex Power Distribution Corporation</v>
          </cell>
        </row>
        <row r="57">
          <cell r="B57" t="str">
            <v>Midland Power Utility Corporation</v>
          </cell>
        </row>
        <row r="58">
          <cell r="B58" t="str">
            <v>Milton Hydro Distribution Inc.</v>
          </cell>
        </row>
        <row r="59">
          <cell r="B59" t="str">
            <v>Newbury Power Inc.</v>
          </cell>
        </row>
        <row r="60">
          <cell r="B60" t="str">
            <v>Newmarket - Tay Power Distribution Ltd.</v>
          </cell>
        </row>
        <row r="61">
          <cell r="B61" t="str">
            <v>Niagara Peninsula Energy Inc.</v>
          </cell>
        </row>
        <row r="62">
          <cell r="B62" t="str">
            <v>Niagara-on-the-Lake Hydro Inc.</v>
          </cell>
        </row>
        <row r="63">
          <cell r="B63" t="str">
            <v>Norfolk Power Distribution Inc.</v>
          </cell>
        </row>
        <row r="64">
          <cell r="B64" t="str">
            <v>North Bay Hydro Distribution Limited</v>
          </cell>
        </row>
        <row r="65">
          <cell r="B65" t="str">
            <v>Northern Ontario Wires Inc.</v>
          </cell>
        </row>
        <row r="66">
          <cell r="B66" t="str">
            <v>Oakville Hydro Electricity Distribution Inc.</v>
          </cell>
        </row>
        <row r="67">
          <cell r="B67" t="str">
            <v>Orangeville Hydro Limited</v>
          </cell>
        </row>
        <row r="68">
          <cell r="B68" t="str">
            <v>Orillia Power Distribution Corporation</v>
          </cell>
        </row>
        <row r="69">
          <cell r="B69" t="str">
            <v>Oshawa PUC Networks Inc.</v>
          </cell>
        </row>
        <row r="70">
          <cell r="B70" t="str">
            <v>Ottawa River Power Corporation</v>
          </cell>
        </row>
        <row r="71">
          <cell r="B71" t="str">
            <v>PUC Distribution Inc.</v>
          </cell>
        </row>
        <row r="72">
          <cell r="B72" t="str">
            <v>Parry Sound Power Corporation</v>
          </cell>
        </row>
        <row r="73">
          <cell r="B73" t="str">
            <v>Peterborough Distribution Incorporated</v>
          </cell>
        </row>
        <row r="74">
          <cell r="B74" t="str">
            <v>Port Colborne Hydro Inc.</v>
          </cell>
        </row>
        <row r="75">
          <cell r="B75" t="str">
            <v>PowerStream Inc.</v>
          </cell>
        </row>
        <row r="76">
          <cell r="B76" t="str">
            <v>Renfrew Hydro Inc.</v>
          </cell>
        </row>
        <row r="77">
          <cell r="B77" t="str">
            <v>Rideau St. Lawrence Distribution Inc.</v>
          </cell>
        </row>
        <row r="78">
          <cell r="B78" t="str">
            <v>Sioux Lookout Hydro Inc.</v>
          </cell>
        </row>
        <row r="79">
          <cell r="B79" t="str">
            <v>St. Thomas Energy Inc.</v>
          </cell>
        </row>
        <row r="80">
          <cell r="B80" t="str">
            <v>Thunder Bay Hydro Electricity Distribution Inc.</v>
          </cell>
        </row>
        <row r="81">
          <cell r="B81" t="str">
            <v>Tillsonburg Hydro Inc.</v>
          </cell>
        </row>
        <row r="82">
          <cell r="B82" t="str">
            <v>Toronto Hydro-Electric System Limited</v>
          </cell>
        </row>
        <row r="83">
          <cell r="B83" t="str">
            <v>Veridian Connections Inc.</v>
          </cell>
        </row>
        <row r="84">
          <cell r="B84" t="str">
            <v>Wasaga Distribution Inc.</v>
          </cell>
        </row>
        <row r="85">
          <cell r="B85" t="str">
            <v>Waterloo North Hydro Inc.</v>
          </cell>
        </row>
        <row r="86">
          <cell r="B86" t="str">
            <v>Welland Hydro-Electric System Corp.</v>
          </cell>
        </row>
        <row r="87">
          <cell r="B87" t="str">
            <v>Wellington North Power Inc.</v>
          </cell>
        </row>
        <row r="88">
          <cell r="B88" t="str">
            <v>West Coast Huron Energy Inc.</v>
          </cell>
        </row>
        <row r="89">
          <cell r="B89" t="str">
            <v>West Perth Power Inc.</v>
          </cell>
        </row>
        <row r="90">
          <cell r="B90" t="str">
            <v>Westario Power Inc.</v>
          </cell>
        </row>
        <row r="91">
          <cell r="B91" t="str">
            <v>Whitby Hydro Electric Corporation</v>
          </cell>
        </row>
        <row r="92">
          <cell r="B92" t="str">
            <v>Woodstock Hydro Services Inc.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4</v>
          </cell>
        </row>
        <row r="17">
          <cell r="E17">
            <v>14258.151663039389</v>
          </cell>
        </row>
        <row r="37">
          <cell r="D37">
            <v>-1225.8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-29.582327250875025</v>
          </cell>
        </row>
        <row r="37">
          <cell r="D37">
            <v>-634.5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</definedNames>
    <sheetDataSet>
      <sheetData sheetId="2">
        <row r="5">
          <cell r="B5">
            <v>20</v>
          </cell>
        </row>
        <row r="17">
          <cell r="E17">
            <v>5293.272680205419</v>
          </cell>
        </row>
        <row r="37">
          <cell r="D37">
            <v>-468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  <definedName name="UnitsDelivered" refersTo="=NPV TRC!$B$19"/>
    </definedNames>
    <sheetDataSet>
      <sheetData sheetId="2">
        <row r="5">
          <cell r="B5">
            <v>8</v>
          </cell>
        </row>
        <row r="17">
          <cell r="B17">
            <v>0.07675</v>
          </cell>
        </row>
        <row r="19">
          <cell r="B19">
            <v>681</v>
          </cell>
        </row>
      </sheetData>
      <sheetData sheetId="3">
        <row r="10">
          <cell r="BA10">
            <v>26477.280000000002</v>
          </cell>
          <cell r="BC10">
            <v>29419.2</v>
          </cell>
          <cell r="BE10">
            <v>0.6129000000000001</v>
          </cell>
          <cell r="BF10">
            <v>0.6810000000000002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4924.531889816923</v>
          </cell>
        </row>
        <row r="37">
          <cell r="D37">
            <v>-1890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12459.996551516579</v>
          </cell>
        </row>
        <row r="37">
          <cell r="D37">
            <v>-702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2387.662500723075</v>
          </cell>
        </row>
        <row r="37">
          <cell r="D37">
            <v>-256.5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755.4634262026584</v>
          </cell>
        </row>
        <row r="37">
          <cell r="D37">
            <v>-256.5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319.0928952641748</v>
          </cell>
        </row>
        <row r="37">
          <cell r="D37">
            <v>-216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320.7965579852889</v>
          </cell>
        </row>
        <row r="37">
          <cell r="D37">
            <v>-72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-11272.926500742911</v>
          </cell>
        </row>
        <row r="37">
          <cell r="D37">
            <v>-12976</v>
          </cell>
        </row>
      </sheetData>
      <sheetData sheetId="3">
        <row r="7">
          <cell r="BA7">
            <v>5244.38</v>
          </cell>
          <cell r="BC7">
            <v>5827.0888888888885</v>
          </cell>
          <cell r="BE7">
            <v>0.5987547892720306</v>
          </cell>
          <cell r="BG7">
            <v>0.598720930232558</v>
          </cell>
        </row>
        <row r="8">
          <cell r="BA8">
            <v>5244.38</v>
          </cell>
          <cell r="BC8">
            <v>5827.0888888888885</v>
          </cell>
          <cell r="BE8">
            <v>0.5987547892720306</v>
          </cell>
          <cell r="BG8">
            <v>0.598720930232558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2">
        <row r="17">
          <cell r="E17">
            <v>12716.934937448674</v>
          </cell>
        </row>
        <row r="37">
          <cell r="D37">
            <v>-12933.34</v>
          </cell>
        </row>
      </sheetData>
      <sheetData sheetId="3">
        <row r="7">
          <cell r="BA7">
            <v>33600</v>
          </cell>
          <cell r="BC7">
            <v>37333.333333333336</v>
          </cell>
          <cell r="BE7">
            <v>3.835639534883721</v>
          </cell>
          <cell r="BG7">
            <v>3.835614617940199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5</v>
          </cell>
        </row>
        <row r="17">
          <cell r="B17">
            <v>0.07675</v>
          </cell>
        </row>
        <row r="19">
          <cell r="B19">
            <v>19</v>
          </cell>
        </row>
        <row r="20">
          <cell r="B20">
            <v>0.1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14</v>
          </cell>
        </row>
        <row r="17">
          <cell r="B17">
            <v>0.0759</v>
          </cell>
        </row>
        <row r="19">
          <cell r="B19">
            <v>4</v>
          </cell>
        </row>
        <row r="20">
          <cell r="B20">
            <v>0.1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9">
          <cell r="B19">
            <v>15</v>
          </cell>
        </row>
      </sheetData>
      <sheetData sheetId="3">
        <row r="10">
          <cell r="BA10">
            <v>1212.3</v>
          </cell>
          <cell r="BC10">
            <v>1347</v>
          </cell>
          <cell r="BE10">
            <v>0.0405</v>
          </cell>
          <cell r="BF10">
            <v>0.045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LDC Filter"/>
      <sheetName val="Allocation Methodology"/>
      <sheetName val="Summary - LDC"/>
      <sheetName val="Summary - Prov"/>
      <sheetName val="Annual Net Demand Savings - LDC"/>
      <sheetName val="Annual Net Energy Savings - LDC"/>
      <sheetName val="Annual Net Demand Savings -Prov"/>
      <sheetName val="Annual Net Energy Savings -Prov"/>
      <sheetName val="Initiative Level - LDC"/>
      <sheetName val="Initiative Level - Prov"/>
      <sheetName val="Measures - LDC"/>
      <sheetName val="Measures - Prov"/>
      <sheetName val="Local Distribution Companies"/>
    </sheetNames>
    <sheetDataSet>
      <sheetData sheetId="8">
        <row r="9">
          <cell r="G9">
            <v>0.0023120367795018927</v>
          </cell>
          <cell r="H9">
            <v>0.0023120367795018927</v>
          </cell>
          <cell r="I9">
            <v>0.0023120367795018927</v>
          </cell>
          <cell r="J9">
            <v>0.0023120367795018927</v>
          </cell>
        </row>
        <row r="10">
          <cell r="G10">
            <v>0.02333599623330669</v>
          </cell>
          <cell r="H10">
            <v>0.02333599623330669</v>
          </cell>
          <cell r="I10">
            <v>0.02333599623330669</v>
          </cell>
          <cell r="J10">
            <v>0.02333599623330669</v>
          </cell>
        </row>
        <row r="11">
          <cell r="G11">
            <v>0.007705757566418754</v>
          </cell>
          <cell r="H11">
            <v>0.007705757566418754</v>
          </cell>
          <cell r="I11">
            <v>0.007705757566418754</v>
          </cell>
          <cell r="J11">
            <v>0.007705757566418754</v>
          </cell>
        </row>
        <row r="12">
          <cell r="G12">
            <v>0.1076572772776752</v>
          </cell>
          <cell r="H12">
            <v>0</v>
          </cell>
          <cell r="I12">
            <v>0</v>
          </cell>
          <cell r="J12">
            <v>0</v>
          </cell>
        </row>
        <row r="13">
          <cell r="G13">
            <v>0.005269369746271753</v>
          </cell>
          <cell r="H13">
            <v>0.005269369746271753</v>
          </cell>
          <cell r="I13">
            <v>0.005269369746271753</v>
          </cell>
          <cell r="J13">
            <v>0.005269369746271753</v>
          </cell>
        </row>
        <row r="15">
          <cell r="H15">
            <v>0.004646650545050389</v>
          </cell>
          <cell r="I15">
            <v>0.004646650545050389</v>
          </cell>
          <cell r="J15">
            <v>0.004646650545050389</v>
          </cell>
        </row>
        <row r="16">
          <cell r="H16">
            <v>0.02764000586226088</v>
          </cell>
          <cell r="I16">
            <v>0.02764000586226088</v>
          </cell>
          <cell r="J16">
            <v>0.02764000586226088</v>
          </cell>
        </row>
        <row r="17">
          <cell r="H17">
            <v>0.009615757050171743</v>
          </cell>
          <cell r="I17">
            <v>0.008713497350639149</v>
          </cell>
          <cell r="J17">
            <v>0.008713497350639149</v>
          </cell>
        </row>
        <row r="19">
          <cell r="H19">
            <v>0.22593383317824695</v>
          </cell>
          <cell r="I19">
            <v>0.06737923827846604</v>
          </cell>
          <cell r="J19">
            <v>0.032441646944934635</v>
          </cell>
        </row>
        <row r="22">
          <cell r="H22">
            <v>0.0026553106806133197</v>
          </cell>
          <cell r="I22">
            <v>0.0026553106806133197</v>
          </cell>
          <cell r="J22">
            <v>0.0026553106806133197</v>
          </cell>
        </row>
        <row r="26">
          <cell r="H26">
            <v>0.136292203098901</v>
          </cell>
          <cell r="I26">
            <v>0</v>
          </cell>
          <cell r="J26">
            <v>0</v>
          </cell>
        </row>
        <row r="27">
          <cell r="H27">
            <v>0.005754893718371746</v>
          </cell>
          <cell r="I27">
            <v>0.005754893718371746</v>
          </cell>
          <cell r="J27">
            <v>0.005754893718371746</v>
          </cell>
        </row>
        <row r="30">
          <cell r="I30">
            <v>0.00882553992086</v>
          </cell>
          <cell r="J30">
            <v>0.00882553992086</v>
          </cell>
        </row>
        <row r="31">
          <cell r="I31">
            <v>0.028071724018643093</v>
          </cell>
          <cell r="J31">
            <v>0.028071724018643093</v>
          </cell>
        </row>
        <row r="32">
          <cell r="I32">
            <v>0.012267789748839415</v>
          </cell>
          <cell r="J32">
            <v>0.011722693412783345</v>
          </cell>
        </row>
        <row r="34">
          <cell r="I34">
            <v>0.025315142811552577</v>
          </cell>
          <cell r="J34">
            <v>0.014517079517191448</v>
          </cell>
        </row>
        <row r="37">
          <cell r="I37">
            <v>0.0001573430859507625</v>
          </cell>
          <cell r="J37">
            <v>0.0001573430859507625</v>
          </cell>
        </row>
        <row r="39">
          <cell r="I39">
            <v>0.20341221596958137</v>
          </cell>
          <cell r="J39">
            <v>0</v>
          </cell>
        </row>
        <row r="40">
          <cell r="I40">
            <v>0.03933577148769063</v>
          </cell>
          <cell r="J40">
            <v>0.03933577148769063</v>
          </cell>
        </row>
        <row r="41">
          <cell r="I41">
            <v>0.0013883213466243751</v>
          </cell>
          <cell r="J41">
            <v>0.0013883213466243751</v>
          </cell>
        </row>
        <row r="46">
          <cell r="J46">
            <v>0.009703295</v>
          </cell>
        </row>
        <row r="47">
          <cell r="J47">
            <v>0.045171464530657894</v>
          </cell>
        </row>
        <row r="48">
          <cell r="J48">
            <v>0.004890653033016395</v>
          </cell>
        </row>
        <row r="52">
          <cell r="J52">
            <v>0.0017962564356408372</v>
          </cell>
        </row>
        <row r="53">
          <cell r="J53">
            <v>0.15871100999999993</v>
          </cell>
        </row>
        <row r="55">
          <cell r="J55">
            <v>0.08110110533197391</v>
          </cell>
        </row>
        <row r="56">
          <cell r="J56">
            <v>0.07080438867784312</v>
          </cell>
        </row>
        <row r="57">
          <cell r="J57">
            <v>0.03933577148769063</v>
          </cell>
        </row>
        <row r="58">
          <cell r="J58">
            <v>0.0013003943280048313</v>
          </cell>
        </row>
        <row r="76">
          <cell r="G76">
            <v>10.200162262508348</v>
          </cell>
          <cell r="H76">
            <v>10.200162262508348</v>
          </cell>
          <cell r="I76">
            <v>10.200162262508348</v>
          </cell>
          <cell r="J76">
            <v>10.200162262508348</v>
          </cell>
        </row>
        <row r="77">
          <cell r="G77">
            <v>25.179914512714266</v>
          </cell>
          <cell r="H77">
            <v>25.179914512714266</v>
          </cell>
          <cell r="I77">
            <v>25.179914512714266</v>
          </cell>
          <cell r="J77">
            <v>25.179914512714266</v>
          </cell>
        </row>
        <row r="78">
          <cell r="G78">
            <v>653.359239886676</v>
          </cell>
          <cell r="H78">
            <v>653.359239886676</v>
          </cell>
          <cell r="I78">
            <v>653.359239886676</v>
          </cell>
          <cell r="J78">
            <v>653.359239886676</v>
          </cell>
        </row>
        <row r="82">
          <cell r="H82">
            <v>41.05057080594887</v>
          </cell>
          <cell r="I82">
            <v>41.05057080594887</v>
          </cell>
          <cell r="J82">
            <v>41.05057080594887</v>
          </cell>
        </row>
        <row r="83">
          <cell r="H83">
            <v>41.42696423246095</v>
          </cell>
          <cell r="I83">
            <v>41.42696423246095</v>
          </cell>
          <cell r="J83">
            <v>41.42696423246095</v>
          </cell>
        </row>
        <row r="84">
          <cell r="H84">
            <v>248.33107755133028</v>
          </cell>
          <cell r="I84">
            <v>245.2940069555822</v>
          </cell>
          <cell r="J84">
            <v>245.2940069555822</v>
          </cell>
        </row>
        <row r="86">
          <cell r="H86">
            <v>0.4035714167293911</v>
          </cell>
          <cell r="I86">
            <v>0.06802294361958092</v>
          </cell>
          <cell r="J86">
            <v>0.025747779951588314</v>
          </cell>
        </row>
        <row r="89">
          <cell r="H89">
            <v>22.57014078521322</v>
          </cell>
          <cell r="I89">
            <v>22.57014078521322</v>
          </cell>
          <cell r="J89">
            <v>22.57014078521322</v>
          </cell>
        </row>
        <row r="97">
          <cell r="I97">
            <v>83.10630999999998</v>
          </cell>
          <cell r="J97">
            <v>83.10630999999998</v>
          </cell>
        </row>
        <row r="98">
          <cell r="I98">
            <v>44.31479240653379</v>
          </cell>
          <cell r="J98">
            <v>44.31479240653379</v>
          </cell>
        </row>
        <row r="99">
          <cell r="I99">
            <v>224.9529184064327</v>
          </cell>
          <cell r="J99">
            <v>223.97434069837013</v>
          </cell>
        </row>
        <row r="101">
          <cell r="I101">
            <v>0.025315142811552577</v>
          </cell>
          <cell r="J101">
            <v>0.009135054323195321</v>
          </cell>
        </row>
        <row r="104">
          <cell r="I104">
            <v>0.1328160754937319</v>
          </cell>
          <cell r="J104">
            <v>0.1328160754937319</v>
          </cell>
        </row>
        <row r="113">
          <cell r="J113">
            <v>70.6310114376</v>
          </cell>
        </row>
        <row r="114">
          <cell r="J114">
            <v>69.57527459166586</v>
          </cell>
        </row>
        <row r="115">
          <cell r="J115">
            <v>60.175998902487535</v>
          </cell>
        </row>
        <row r="119">
          <cell r="J119">
            <v>4.095270308272582</v>
          </cell>
        </row>
        <row r="120">
          <cell r="J120">
            <v>1166.3622900000003</v>
          </cell>
        </row>
        <row r="143">
          <cell r="G143">
            <v>0.0025689297550021027</v>
          </cell>
          <cell r="H143">
            <v>0.0025689297550021027</v>
          </cell>
          <cell r="I143">
            <v>0.0025689297550021027</v>
          </cell>
          <cell r="J143">
            <v>0.0025689297550021027</v>
          </cell>
        </row>
        <row r="144">
          <cell r="G144">
            <v>0.028374524431934393</v>
          </cell>
          <cell r="H144">
            <v>0.028374524431934393</v>
          </cell>
          <cell r="I144">
            <v>0.028374524431934393</v>
          </cell>
          <cell r="J144">
            <v>0.028374524431934393</v>
          </cell>
        </row>
        <row r="145">
          <cell r="G145">
            <v>0.008561952851576394</v>
          </cell>
          <cell r="H145">
            <v>0.008561952851576394</v>
          </cell>
          <cell r="I145">
            <v>0.008561952851576394</v>
          </cell>
          <cell r="J145">
            <v>0.008561952851576394</v>
          </cell>
        </row>
        <row r="146">
          <cell r="G146">
            <v>0.1076572772776752</v>
          </cell>
          <cell r="H146">
            <v>0</v>
          </cell>
          <cell r="I146">
            <v>0</v>
          </cell>
          <cell r="J146">
            <v>0</v>
          </cell>
        </row>
        <row r="147">
          <cell r="G147">
            <v>0.005269369746271753</v>
          </cell>
          <cell r="H147">
            <v>0.005269369746271753</v>
          </cell>
          <cell r="I147">
            <v>0.005269369746271753</v>
          </cell>
          <cell r="J147">
            <v>0.005269369746271753</v>
          </cell>
        </row>
        <row r="149">
          <cell r="H149">
            <v>0.01147423003455841</v>
          </cell>
          <cell r="I149">
            <v>0.01147423003455841</v>
          </cell>
          <cell r="J149">
            <v>0.01147423003455841</v>
          </cell>
        </row>
        <row r="150">
          <cell r="H150">
            <v>0.05802110190199293</v>
          </cell>
          <cell r="I150">
            <v>0.05802110190199293</v>
          </cell>
          <cell r="J150">
            <v>0.05802110190199293</v>
          </cell>
        </row>
        <row r="151">
          <cell r="H151">
            <v>0.013922847677465742</v>
          </cell>
          <cell r="I151">
            <v>0.012282375496497388</v>
          </cell>
          <cell r="J151">
            <v>0.012282375496497388</v>
          </cell>
        </row>
        <row r="153">
          <cell r="H153">
            <v>1.8827819431520578</v>
          </cell>
          <cell r="I153">
            <v>0.5614936523205503</v>
          </cell>
          <cell r="J153">
            <v>0.27034705787445523</v>
          </cell>
        </row>
        <row r="156">
          <cell r="H156">
            <v>0.0026553106806133197</v>
          </cell>
          <cell r="I156">
            <v>0.0026553106806133197</v>
          </cell>
          <cell r="J156">
            <v>0.0026553106806133197</v>
          </cell>
        </row>
        <row r="160">
          <cell r="H160">
            <v>0.136292203098901</v>
          </cell>
          <cell r="I160">
            <v>0</v>
          </cell>
          <cell r="J160">
            <v>0</v>
          </cell>
        </row>
        <row r="161">
          <cell r="H161">
            <v>0.005754893718371746</v>
          </cell>
          <cell r="I161">
            <v>0.005754893718371746</v>
          </cell>
          <cell r="J161">
            <v>0.005754893718371746</v>
          </cell>
        </row>
        <row r="164">
          <cell r="I164">
            <v>0.016372701668000002</v>
          </cell>
          <cell r="J164">
            <v>0.016372701668000002</v>
          </cell>
        </row>
        <row r="165">
          <cell r="I165">
            <v>0.04873610255143195</v>
          </cell>
          <cell r="J165">
            <v>0.04873610255143195</v>
          </cell>
        </row>
        <row r="166">
          <cell r="I166">
            <v>0.029381620361122247</v>
          </cell>
          <cell r="J166">
            <v>0.027828095803362443</v>
          </cell>
        </row>
        <row r="168">
          <cell r="I168">
            <v>0.032628493299761</v>
          </cell>
          <cell r="J168">
            <v>0.018710952384697558</v>
          </cell>
        </row>
        <row r="171">
          <cell r="I171">
            <v>0.00022477583707251786</v>
          </cell>
          <cell r="J171">
            <v>0.00022477583707251786</v>
          </cell>
        </row>
        <row r="173">
          <cell r="I173">
            <v>0.20341221596958137</v>
          </cell>
          <cell r="J173">
            <v>0</v>
          </cell>
        </row>
        <row r="174">
          <cell r="I174">
            <v>0.03933577148769063</v>
          </cell>
          <cell r="J174">
            <v>0.03933577148769063</v>
          </cell>
        </row>
        <row r="175">
          <cell r="I175">
            <v>0.0013883213466243751</v>
          </cell>
          <cell r="J175">
            <v>0.0013883213466243751</v>
          </cell>
        </row>
        <row r="180">
          <cell r="J180">
            <v>0.020287000000000003</v>
          </cell>
        </row>
        <row r="181">
          <cell r="J181">
            <v>0.07815826256927658</v>
          </cell>
        </row>
        <row r="182">
          <cell r="J182">
            <v>0.009932178760858902</v>
          </cell>
        </row>
        <row r="186">
          <cell r="J186">
            <v>0.002566080622344053</v>
          </cell>
        </row>
        <row r="187">
          <cell r="J187">
            <v>0.17065699999999995</v>
          </cell>
        </row>
        <row r="189">
          <cell r="J189">
            <v>0.08110110533197391</v>
          </cell>
        </row>
        <row r="190">
          <cell r="J190">
            <v>0.07080438867784312</v>
          </cell>
        </row>
        <row r="191">
          <cell r="J191">
            <v>0.03933577148769063</v>
          </cell>
        </row>
        <row r="192">
          <cell r="J192">
            <v>0.0013003943280048313</v>
          </cell>
        </row>
        <row r="210">
          <cell r="G210">
            <v>11.333513625009276</v>
          </cell>
          <cell r="H210">
            <v>11.333513625009276</v>
          </cell>
          <cell r="I210">
            <v>11.333513625009276</v>
          </cell>
          <cell r="J210">
            <v>11.333513625009276</v>
          </cell>
        </row>
        <row r="211">
          <cell r="G211">
            <v>31.898378438293367</v>
          </cell>
          <cell r="H211">
            <v>31.898378438293367</v>
          </cell>
          <cell r="I211">
            <v>31.898378438293367</v>
          </cell>
          <cell r="J211">
            <v>31.898378438293367</v>
          </cell>
        </row>
        <row r="212">
          <cell r="G212">
            <v>725.9547109851958</v>
          </cell>
          <cell r="H212">
            <v>725.9547109851958</v>
          </cell>
          <cell r="I212">
            <v>725.9547109851958</v>
          </cell>
          <cell r="J212">
            <v>725.9547109851958</v>
          </cell>
        </row>
        <row r="216">
          <cell r="H216">
            <v>101.92528770976521</v>
          </cell>
          <cell r="I216">
            <v>101.92528770976521</v>
          </cell>
          <cell r="J216">
            <v>101.92528770976521</v>
          </cell>
        </row>
        <row r="217">
          <cell r="H217">
            <v>81.3664731014958</v>
          </cell>
          <cell r="I217">
            <v>81.3664731014958</v>
          </cell>
          <cell r="J217">
            <v>81.3664731014958</v>
          </cell>
        </row>
        <row r="218">
          <cell r="H218">
            <v>338.78930002212184</v>
          </cell>
          <cell r="I218">
            <v>333.267353484398</v>
          </cell>
          <cell r="J218">
            <v>333.267353484398</v>
          </cell>
        </row>
        <row r="220">
          <cell r="H220">
            <v>3.3630951394115924</v>
          </cell>
          <cell r="I220">
            <v>0.5668578634965077</v>
          </cell>
          <cell r="J220">
            <v>0.2145648329299026</v>
          </cell>
        </row>
        <row r="223">
          <cell r="H223">
            <v>22.57014078521322</v>
          </cell>
          <cell r="I223">
            <v>22.57014078521322</v>
          </cell>
          <cell r="J223">
            <v>22.57014078521322</v>
          </cell>
        </row>
        <row r="231">
          <cell r="I231">
            <v>152.35600000000002</v>
          </cell>
          <cell r="J231">
            <v>152.35600000000002</v>
          </cell>
        </row>
        <row r="232">
          <cell r="I232">
            <v>77.14445813217486</v>
          </cell>
          <cell r="J232">
            <v>77.14445813217486</v>
          </cell>
        </row>
        <row r="233">
          <cell r="I233">
            <v>557.91849207591</v>
          </cell>
          <cell r="J233">
            <v>555.1295456079317</v>
          </cell>
        </row>
        <row r="235">
          <cell r="I235">
            <v>128.97076390507215</v>
          </cell>
          <cell r="J235">
            <v>46.539533398926004</v>
          </cell>
        </row>
        <row r="238">
          <cell r="I238">
            <v>0.18973725070533126</v>
          </cell>
          <cell r="J238">
            <v>0.18973725070533126</v>
          </cell>
        </row>
        <row r="247">
          <cell r="J247">
            <v>146.18961960000001</v>
          </cell>
        </row>
        <row r="248">
          <cell r="J248">
            <v>119.7621244372106</v>
          </cell>
        </row>
        <row r="249">
          <cell r="J249">
            <v>91.86122550104167</v>
          </cell>
        </row>
        <row r="253">
          <cell r="J253">
            <v>5.850386154675117</v>
          </cell>
        </row>
        <row r="254">
          <cell r="J254">
            <v>1254.153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63986.76</v>
          </cell>
          <cell r="BC7">
            <v>71096.4</v>
          </cell>
          <cell r="BE7">
            <v>0</v>
          </cell>
          <cell r="BF7">
            <v>0</v>
          </cell>
        </row>
        <row r="8">
          <cell r="BA8">
            <v>63986.76</v>
          </cell>
          <cell r="BC8">
            <v>71096.4</v>
          </cell>
          <cell r="BE8">
            <v>0</v>
          </cell>
          <cell r="BF8">
            <v>0</v>
          </cell>
        </row>
        <row r="9">
          <cell r="BA9">
            <v>63986.76</v>
          </cell>
          <cell r="BC9">
            <v>71096.4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1212.3</v>
          </cell>
          <cell r="BC7">
            <v>1347</v>
          </cell>
          <cell r="BE7">
            <v>0.0405</v>
          </cell>
          <cell r="BF7">
            <v>0.045</v>
          </cell>
        </row>
        <row r="8">
          <cell r="BA8">
            <v>1212.3</v>
          </cell>
          <cell r="BC8">
            <v>1347</v>
          </cell>
          <cell r="BE8">
            <v>0.0405</v>
          </cell>
          <cell r="BF8">
            <v>0.045</v>
          </cell>
        </row>
        <row r="9">
          <cell r="BA9">
            <v>1212.3</v>
          </cell>
          <cell r="BC9">
            <v>1347</v>
          </cell>
          <cell r="BE9">
            <v>0.0405</v>
          </cell>
          <cell r="BF9">
            <v>0.045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5011.146000000001</v>
          </cell>
          <cell r="BC7">
            <v>5567.9400000000005</v>
          </cell>
          <cell r="BE7">
            <v>5.134370901639345</v>
          </cell>
          <cell r="BF7">
            <v>5.70485655737705</v>
          </cell>
        </row>
        <row r="8">
          <cell r="BA8">
            <v>5011.146000000001</v>
          </cell>
          <cell r="BC8">
            <v>5567.9400000000005</v>
          </cell>
          <cell r="BE8">
            <v>5.134370901639345</v>
          </cell>
          <cell r="BF8">
            <v>5.70485655737705</v>
          </cell>
        </row>
        <row r="9">
          <cell r="BA9">
            <v>5011.146000000001</v>
          </cell>
          <cell r="BC9">
            <v>5567.9400000000005</v>
          </cell>
          <cell r="BE9">
            <v>5.134370901639345</v>
          </cell>
          <cell r="BF9">
            <v>5.70485655737705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17156.2131</v>
          </cell>
          <cell r="BC7">
            <v>19062.459</v>
          </cell>
          <cell r="BE7">
            <v>0</v>
          </cell>
          <cell r="BF7">
            <v>0</v>
          </cell>
        </row>
        <row r="8">
          <cell r="BA8">
            <v>17156.2131</v>
          </cell>
          <cell r="BC8">
            <v>19062.459</v>
          </cell>
          <cell r="BE8">
            <v>0</v>
          </cell>
          <cell r="BF8">
            <v>0</v>
          </cell>
        </row>
        <row r="9">
          <cell r="BA9">
            <v>17156.2131</v>
          </cell>
          <cell r="BC9">
            <v>19062.459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2418.3846</v>
          </cell>
          <cell r="BC7">
            <v>2545.668</v>
          </cell>
          <cell r="BE7">
            <v>0</v>
          </cell>
          <cell r="BF7">
            <v>0</v>
          </cell>
        </row>
        <row r="8">
          <cell r="BA8">
            <v>2418.3846</v>
          </cell>
          <cell r="BC8">
            <v>2545.668</v>
          </cell>
          <cell r="BE8">
            <v>0</v>
          </cell>
          <cell r="BF8">
            <v>0</v>
          </cell>
        </row>
        <row r="9">
          <cell r="BA9">
            <v>2418.3846</v>
          </cell>
          <cell r="BC9">
            <v>2545.668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925.5545999999999</v>
          </cell>
          <cell r="BC7">
            <v>974.268</v>
          </cell>
          <cell r="BE7">
            <v>0</v>
          </cell>
          <cell r="BF7">
            <v>0</v>
          </cell>
        </row>
        <row r="8">
          <cell r="BA8">
            <v>925.5545999999999</v>
          </cell>
          <cell r="BC8">
            <v>974.268</v>
          </cell>
          <cell r="BE8">
            <v>0</v>
          </cell>
          <cell r="BF8">
            <v>0</v>
          </cell>
        </row>
        <row r="9">
          <cell r="BA9">
            <v>925.5545999999999</v>
          </cell>
          <cell r="BC9">
            <v>974.268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572.7024</v>
          </cell>
          <cell r="BC7">
            <v>636.336</v>
          </cell>
          <cell r="BE7">
            <v>0.5867852459016394</v>
          </cell>
          <cell r="BF7">
            <v>0.6519836065573771</v>
          </cell>
        </row>
        <row r="8">
          <cell r="BA8">
            <v>572.7024</v>
          </cell>
          <cell r="BC8">
            <v>636.336</v>
          </cell>
          <cell r="BE8">
            <v>0.5867852459016394</v>
          </cell>
          <cell r="BF8">
            <v>0.6519836065573771</v>
          </cell>
        </row>
        <row r="9">
          <cell r="BA9">
            <v>572.7024</v>
          </cell>
          <cell r="BC9">
            <v>636.336</v>
          </cell>
          <cell r="BE9">
            <v>0.5867852459016394</v>
          </cell>
          <cell r="BF9">
            <v>0.6519836065573771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788.04</v>
          </cell>
          <cell r="BC7">
            <v>875.5999999999999</v>
          </cell>
          <cell r="BE7">
            <v>0.0252</v>
          </cell>
          <cell r="BF7">
            <v>0.028</v>
          </cell>
        </row>
        <row r="8">
          <cell r="BA8">
            <v>788.04</v>
          </cell>
          <cell r="BC8">
            <v>875.5999999999999</v>
          </cell>
          <cell r="BE8">
            <v>0.0252</v>
          </cell>
          <cell r="BF8">
            <v>0.028</v>
          </cell>
        </row>
        <row r="9">
          <cell r="BA9">
            <v>788.04</v>
          </cell>
          <cell r="BC9">
            <v>875.5999999999999</v>
          </cell>
          <cell r="BE9">
            <v>0.0252</v>
          </cell>
          <cell r="BF9">
            <v>0.028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6832.8</v>
          </cell>
          <cell r="BC7">
            <v>7592</v>
          </cell>
          <cell r="BE7">
            <v>0</v>
          </cell>
          <cell r="BF7">
            <v>0</v>
          </cell>
        </row>
        <row r="8">
          <cell r="BA8">
            <v>6832.8</v>
          </cell>
          <cell r="BC8">
            <v>7592</v>
          </cell>
          <cell r="BE8">
            <v>0</v>
          </cell>
          <cell r="BF8">
            <v>0</v>
          </cell>
        </row>
        <row r="9">
          <cell r="BA9">
            <v>6832.8</v>
          </cell>
          <cell r="BC9">
            <v>7592</v>
          </cell>
          <cell r="BE9">
            <v>0</v>
          </cell>
          <cell r="BF9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  <definedName name="UnitsDelivered" refersTo="=NPV TRC!$B$19"/>
    </definedNames>
    <sheetDataSet>
      <sheetData sheetId="2">
        <row r="5">
          <cell r="B5">
            <v>18</v>
          </cell>
        </row>
        <row r="19">
          <cell r="B19">
            <v>35</v>
          </cell>
        </row>
      </sheetData>
      <sheetData sheetId="3">
        <row r="10">
          <cell r="BA10">
            <v>5011.146000000001</v>
          </cell>
          <cell r="BC10">
            <v>5567.9400000000005</v>
          </cell>
          <cell r="BE10">
            <v>5.134370901639345</v>
          </cell>
          <cell r="BF10">
            <v>5.70485655737705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sheetDataSet>
      <sheetData sheetId="3">
        <row r="7">
          <cell r="BA7">
            <v>610740</v>
          </cell>
          <cell r="BC7">
            <v>678600</v>
          </cell>
          <cell r="BE7">
            <v>0</v>
          </cell>
          <cell r="BF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18</v>
          </cell>
        </row>
        <row r="19">
          <cell r="B19">
            <v>13</v>
          </cell>
        </row>
        <row r="20">
          <cell r="B20">
            <v>0.1</v>
          </cell>
        </row>
      </sheetData>
      <sheetData sheetId="3">
        <row r="10">
          <cell r="BA10">
            <v>17156.2131</v>
          </cell>
          <cell r="BC10">
            <v>19062.459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  <definedName name="UnitsDelivered" refersTo="=NPV TRC!$B$19"/>
    </definedNames>
    <sheetDataSet>
      <sheetData sheetId="2">
        <row r="5">
          <cell r="B5">
            <v>30</v>
          </cell>
        </row>
        <row r="19">
          <cell r="B19">
            <v>135</v>
          </cell>
        </row>
      </sheetData>
      <sheetData sheetId="3">
        <row r="10">
          <cell r="BA10">
            <v>7310.25</v>
          </cell>
          <cell r="BC10">
            <v>7695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FreeRideRate" refersTo="=NPV TRC!$B$20"/>
      <definedName name="NumberofYears" refersTo="=NPV TRC!$B$5"/>
      <definedName name="UnitsDelivered" refersTo="=NPV TRC!$B$19"/>
    </definedNames>
    <sheetDataSet>
      <sheetData sheetId="2">
        <row r="5">
          <cell r="B5">
            <v>30</v>
          </cell>
        </row>
        <row r="19">
          <cell r="B19">
            <v>135</v>
          </cell>
        </row>
        <row r="20">
          <cell r="B20">
            <v>0.05</v>
          </cell>
        </row>
      </sheetData>
      <sheetData sheetId="3">
        <row r="10">
          <cell r="BA10">
            <v>925.5545999999999</v>
          </cell>
          <cell r="BC10">
            <v>974.268</v>
          </cell>
          <cell r="BE10">
            <v>0</v>
          </cell>
          <cell r="BF10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NumberofYears" refersTo="=NPV TRC!$B$5"/>
      <definedName name="UnitsDelivered" refersTo="=NPV TRC!$B$19"/>
    </definedNames>
    <sheetDataSet>
      <sheetData sheetId="2">
        <row r="5">
          <cell r="B5">
            <v>10</v>
          </cell>
        </row>
        <row r="19">
          <cell r="B19">
            <v>4</v>
          </cell>
        </row>
      </sheetData>
      <sheetData sheetId="3">
        <row r="10">
          <cell r="BA10">
            <v>572.7024</v>
          </cell>
          <cell r="BC10">
            <v>636.336</v>
          </cell>
          <cell r="BE10">
            <v>0.5867852459016394</v>
          </cell>
          <cell r="BF10">
            <v>0.6519836065573771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HiddenData"/>
      <sheetName val="EnerSpectrum Group"/>
      <sheetName val="NPV TRC"/>
      <sheetName val="Avoided Load Profile"/>
      <sheetName val="Avoided Gen, Tx"/>
      <sheetName val="Residential"/>
      <sheetName val="Residential (2)"/>
      <sheetName val="Commercial"/>
      <sheetName val="Commercial (2)"/>
      <sheetName val="Industrial "/>
      <sheetName val="Industrial  (2)"/>
      <sheetName val="TOU RPP Periods"/>
      <sheetName val="SSM"/>
      <sheetName val="LRAM"/>
    </sheetNames>
    <definedNames>
      <definedName name="UnitsDelivered" refersTo="=NPV TRC!$B$19"/>
    </definedNames>
    <sheetDataSet>
      <sheetData sheetId="2">
        <row r="19">
          <cell r="B19">
            <v>4</v>
          </cell>
        </row>
      </sheetData>
      <sheetData sheetId="3">
        <row r="9">
          <cell r="BE9">
            <v>0.0252</v>
          </cell>
        </row>
        <row r="10">
          <cell r="BA10">
            <v>788.04</v>
          </cell>
          <cell r="BC10">
            <v>875.5999999999999</v>
          </cell>
          <cell r="BE10">
            <v>0.0252</v>
          </cell>
          <cell r="BF10">
            <v>0.028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8"/>
  <sheetViews>
    <sheetView zoomScalePageLayoutView="0" workbookViewId="0" topLeftCell="A1">
      <selection activeCell="A36" sqref="A36"/>
    </sheetView>
  </sheetViews>
  <sheetFormatPr defaultColWidth="9.140625" defaultRowHeight="15"/>
  <cols>
    <col min="1" max="1" width="47.28125" style="0" bestFit="1" customWidth="1"/>
    <col min="2" max="2" width="14.421875" style="16" customWidth="1"/>
    <col min="3" max="3" width="0" style="29" hidden="1" customWidth="1"/>
    <col min="4" max="4" width="9.140625" style="21" hidden="1" customWidth="1"/>
    <col min="5" max="5" width="10.421875" style="33" bestFit="1" customWidth="1"/>
    <col min="6" max="6" width="9.140625" style="25" customWidth="1"/>
    <col min="7" max="7" width="11.00390625" style="29" bestFit="1" customWidth="1"/>
    <col min="8" max="8" width="9.421875" style="21" bestFit="1" customWidth="1"/>
    <col min="9" max="9" width="11.7109375" style="33" bestFit="1" customWidth="1"/>
    <col min="10" max="10" width="9.421875" style="25" bestFit="1" customWidth="1"/>
    <col min="11" max="11" width="10.7109375" style="29" bestFit="1" customWidth="1"/>
    <col min="12" max="12" width="9.421875" style="21" bestFit="1" customWidth="1"/>
    <col min="13" max="13" width="12.140625" style="42" customWidth="1"/>
    <col min="14" max="14" width="11.00390625" style="43" bestFit="1" customWidth="1"/>
  </cols>
  <sheetData>
    <row r="1" spans="1:14" ht="15">
      <c r="A1" s="12" t="s">
        <v>56</v>
      </c>
      <c r="B1" s="51"/>
      <c r="C1" s="81"/>
      <c r="D1" s="82"/>
      <c r="E1" s="83"/>
      <c r="F1" s="101"/>
      <c r="G1" s="102"/>
      <c r="H1" s="101"/>
      <c r="I1" s="102"/>
      <c r="J1" s="101"/>
      <c r="K1" s="102"/>
      <c r="L1" s="101"/>
      <c r="M1" s="85"/>
      <c r="N1" s="86"/>
    </row>
    <row r="2" spans="1:14" ht="15">
      <c r="A2" s="1" t="s">
        <v>48</v>
      </c>
      <c r="B2" s="94"/>
      <c r="C2" s="81"/>
      <c r="D2" s="82"/>
      <c r="E2" s="83"/>
      <c r="F2" s="101"/>
      <c r="G2" s="102"/>
      <c r="H2" s="101"/>
      <c r="I2" s="102"/>
      <c r="J2" s="101"/>
      <c r="K2" s="102"/>
      <c r="L2" s="101"/>
      <c r="M2" s="85"/>
      <c r="N2" s="86"/>
    </row>
    <row r="3" spans="1:14" ht="15">
      <c r="A3" s="9"/>
      <c r="B3" s="95"/>
      <c r="C3" s="96"/>
      <c r="D3" s="97"/>
      <c r="E3" s="98"/>
      <c r="F3" s="103"/>
      <c r="G3" s="104"/>
      <c r="H3" s="103"/>
      <c r="I3" s="104"/>
      <c r="J3" s="103"/>
      <c r="K3" s="104"/>
      <c r="L3" s="103"/>
      <c r="M3" s="99"/>
      <c r="N3" s="100"/>
    </row>
    <row r="4" spans="1:14" ht="15">
      <c r="A4" s="70" t="s">
        <v>3</v>
      </c>
      <c r="B4" s="617" t="s">
        <v>10</v>
      </c>
      <c r="C4" s="619">
        <v>2005</v>
      </c>
      <c r="D4" s="620"/>
      <c r="E4" s="621">
        <v>2006</v>
      </c>
      <c r="F4" s="622"/>
      <c r="G4" s="623">
        <v>2007</v>
      </c>
      <c r="H4" s="623"/>
      <c r="I4" s="621">
        <v>2008</v>
      </c>
      <c r="J4" s="622"/>
      <c r="K4" s="619">
        <v>2009</v>
      </c>
      <c r="L4" s="620"/>
      <c r="M4" s="62" t="s">
        <v>49</v>
      </c>
      <c r="N4" s="63" t="s">
        <v>50</v>
      </c>
    </row>
    <row r="5" spans="1:14" ht="15">
      <c r="A5" s="71" t="s">
        <v>4</v>
      </c>
      <c r="B5" s="618"/>
      <c r="C5" s="30" t="s">
        <v>16</v>
      </c>
      <c r="D5" s="22" t="s">
        <v>17</v>
      </c>
      <c r="E5" s="34" t="s">
        <v>16</v>
      </c>
      <c r="F5" s="26" t="s">
        <v>17</v>
      </c>
      <c r="G5" s="30" t="s">
        <v>16</v>
      </c>
      <c r="H5" s="22" t="s">
        <v>17</v>
      </c>
      <c r="I5" s="34" t="s">
        <v>16</v>
      </c>
      <c r="J5" s="26" t="s">
        <v>17</v>
      </c>
      <c r="K5" s="30" t="s">
        <v>16</v>
      </c>
      <c r="L5" s="22" t="s">
        <v>17</v>
      </c>
      <c r="M5" s="44"/>
      <c r="N5" s="45"/>
    </row>
    <row r="6" spans="1:14" ht="15">
      <c r="A6" s="72" t="s">
        <v>5</v>
      </c>
      <c r="B6" s="11"/>
      <c r="C6" s="31"/>
      <c r="D6" s="23"/>
      <c r="E6" s="35"/>
      <c r="F6" s="27"/>
      <c r="G6" s="31"/>
      <c r="H6" s="23"/>
      <c r="I6" s="35"/>
      <c r="J6" s="27"/>
      <c r="K6" s="31"/>
      <c r="L6" s="23"/>
      <c r="M6" s="46"/>
      <c r="N6" s="47"/>
    </row>
    <row r="7" spans="1:14" ht="15">
      <c r="A7" s="64" t="s">
        <v>6</v>
      </c>
      <c r="C7" s="31"/>
      <c r="D7" s="23"/>
      <c r="E7" s="35"/>
      <c r="F7" s="27"/>
      <c r="G7" s="31"/>
      <c r="H7" s="23"/>
      <c r="I7" s="35"/>
      <c r="J7" s="27"/>
      <c r="K7" s="31"/>
      <c r="L7" s="23"/>
      <c r="M7" s="46"/>
      <c r="N7" s="47"/>
    </row>
    <row r="8" spans="1:14" ht="15">
      <c r="A8" s="71" t="s">
        <v>20</v>
      </c>
      <c r="B8" s="69" t="s">
        <v>55</v>
      </c>
      <c r="C8" s="31"/>
      <c r="D8" s="23"/>
      <c r="E8" s="35"/>
      <c r="F8" s="27"/>
      <c r="G8" s="31"/>
      <c r="H8" s="23"/>
      <c r="I8" s="35"/>
      <c r="J8" s="27"/>
      <c r="K8" s="31"/>
      <c r="L8" s="23"/>
      <c r="M8" s="46"/>
      <c r="N8" s="47"/>
    </row>
    <row r="9" spans="1:14" ht="15">
      <c r="A9" s="71" t="s">
        <v>2</v>
      </c>
      <c r="B9" s="110" t="s">
        <v>60</v>
      </c>
      <c r="C9" s="31"/>
      <c r="D9" s="23"/>
      <c r="E9" s="35"/>
      <c r="F9" s="27"/>
      <c r="G9" s="31"/>
      <c r="H9" s="23"/>
      <c r="I9" s="35"/>
      <c r="J9" s="27"/>
      <c r="K9" s="31"/>
      <c r="L9" s="23"/>
      <c r="M9" s="46"/>
      <c r="N9" s="47"/>
    </row>
    <row r="10" spans="1:14" ht="15">
      <c r="A10" s="71" t="s">
        <v>1</v>
      </c>
      <c r="B10" s="69" t="s">
        <v>55</v>
      </c>
      <c r="C10" s="31"/>
      <c r="D10" s="23"/>
      <c r="E10" s="35"/>
      <c r="F10" s="27"/>
      <c r="G10" s="31"/>
      <c r="H10" s="23"/>
      <c r="I10" s="35"/>
      <c r="J10" s="27"/>
      <c r="K10" s="31"/>
      <c r="L10" s="23"/>
      <c r="M10" s="46"/>
      <c r="N10" s="47"/>
    </row>
    <row r="11" spans="1:14" ht="15">
      <c r="A11" s="71"/>
      <c r="C11" s="31"/>
      <c r="D11" s="23"/>
      <c r="E11" s="35"/>
      <c r="F11" s="27"/>
      <c r="G11" s="31"/>
      <c r="H11" s="23"/>
      <c r="I11" s="35"/>
      <c r="J11" s="27"/>
      <c r="K11" s="31"/>
      <c r="L11" s="23"/>
      <c r="M11" s="46"/>
      <c r="N11" s="47"/>
    </row>
    <row r="12" spans="1:14" ht="15">
      <c r="A12" s="74" t="s">
        <v>7</v>
      </c>
      <c r="C12" s="31"/>
      <c r="D12" s="23"/>
      <c r="E12" s="35"/>
      <c r="F12" s="27"/>
      <c r="G12" s="31"/>
      <c r="H12" s="23"/>
      <c r="I12" s="35"/>
      <c r="J12" s="27"/>
      <c r="K12" s="31"/>
      <c r="L12" s="23"/>
      <c r="M12" s="46"/>
      <c r="N12" s="47"/>
    </row>
    <row r="13" spans="1:14" ht="15">
      <c r="A13" s="71" t="s">
        <v>0</v>
      </c>
      <c r="B13" s="16">
        <v>2006</v>
      </c>
      <c r="C13" s="31"/>
      <c r="D13" s="23"/>
      <c r="E13" s="35"/>
      <c r="F13" s="27"/>
      <c r="G13" s="31"/>
      <c r="H13" s="23"/>
      <c r="I13" s="35"/>
      <c r="J13" s="27"/>
      <c r="K13" s="31"/>
      <c r="L13" s="23"/>
      <c r="M13" s="46"/>
      <c r="N13" s="47"/>
    </row>
    <row r="14" spans="1:14" ht="15">
      <c r="A14" s="71"/>
      <c r="C14" s="31"/>
      <c r="D14" s="23"/>
      <c r="E14" s="35"/>
      <c r="F14" s="27"/>
      <c r="G14" s="31"/>
      <c r="H14" s="23"/>
      <c r="I14" s="35"/>
      <c r="J14" s="27"/>
      <c r="K14" s="31"/>
      <c r="L14" s="23"/>
      <c r="M14" s="46"/>
      <c r="N14" s="47"/>
    </row>
    <row r="15" spans="1:14" ht="15">
      <c r="A15" s="74" t="s">
        <v>8</v>
      </c>
      <c r="C15" s="31"/>
      <c r="D15" s="23"/>
      <c r="E15" s="35"/>
      <c r="F15" s="27"/>
      <c r="G15" s="31"/>
      <c r="H15" s="23"/>
      <c r="I15" s="35"/>
      <c r="J15" s="27"/>
      <c r="K15" s="31"/>
      <c r="L15" s="23"/>
      <c r="M15" s="46"/>
      <c r="N15" s="47"/>
    </row>
    <row r="16" spans="1:14" ht="15">
      <c r="A16" s="75" t="s">
        <v>21</v>
      </c>
      <c r="B16" s="14">
        <v>2006</v>
      </c>
      <c r="C16" s="32"/>
      <c r="D16" s="24"/>
      <c r="E16" s="36"/>
      <c r="F16" s="28"/>
      <c r="G16" s="32"/>
      <c r="H16" s="24"/>
      <c r="I16" s="36"/>
      <c r="J16" s="28"/>
      <c r="K16" s="32"/>
      <c r="L16" s="24"/>
      <c r="M16" s="44"/>
      <c r="N16" s="45"/>
    </row>
    <row r="17" spans="1:14" ht="15">
      <c r="A17" s="71"/>
      <c r="B17" s="110"/>
      <c r="C17" s="31"/>
      <c r="D17" s="23"/>
      <c r="E17" s="35"/>
      <c r="F17" s="27"/>
      <c r="G17" s="31"/>
      <c r="H17" s="23"/>
      <c r="I17" s="35"/>
      <c r="J17" s="27"/>
      <c r="K17" s="31"/>
      <c r="L17" s="23"/>
      <c r="M17" s="46"/>
      <c r="N17" s="47"/>
    </row>
    <row r="18" spans="1:14" ht="15">
      <c r="A18" s="76" t="s">
        <v>59</v>
      </c>
      <c r="B18" s="110"/>
      <c r="C18" s="31"/>
      <c r="D18" s="23"/>
      <c r="E18" s="35"/>
      <c r="F18" s="27"/>
      <c r="G18" s="31"/>
      <c r="H18" s="23"/>
      <c r="I18" s="35"/>
      <c r="J18" s="27"/>
      <c r="K18" s="31"/>
      <c r="L18" s="23"/>
      <c r="M18" s="46"/>
      <c r="N18" s="47"/>
    </row>
    <row r="19" spans="1:14" ht="15">
      <c r="A19" s="64" t="s">
        <v>6</v>
      </c>
      <c r="B19" s="110"/>
      <c r="C19" s="31"/>
      <c r="D19" s="23"/>
      <c r="E19" s="35"/>
      <c r="F19" s="27"/>
      <c r="G19" s="31"/>
      <c r="H19" s="23"/>
      <c r="I19" s="35"/>
      <c r="J19" s="27"/>
      <c r="K19" s="31"/>
      <c r="L19" s="23"/>
      <c r="M19" s="46"/>
      <c r="N19" s="47"/>
    </row>
    <row r="20" spans="1:14" ht="15">
      <c r="A20" s="73" t="s">
        <v>52</v>
      </c>
      <c r="B20" s="110">
        <v>2008</v>
      </c>
      <c r="C20" s="31"/>
      <c r="D20" s="23"/>
      <c r="E20" s="35"/>
      <c r="F20" s="27"/>
      <c r="G20" s="31"/>
      <c r="H20" s="23"/>
      <c r="I20" s="35"/>
      <c r="J20" s="27"/>
      <c r="K20" s="31"/>
      <c r="L20" s="23"/>
      <c r="M20" s="46"/>
      <c r="N20" s="47"/>
    </row>
    <row r="21" spans="1:14" ht="15">
      <c r="A21" s="73" t="s">
        <v>53</v>
      </c>
      <c r="B21" s="110">
        <v>2008</v>
      </c>
      <c r="C21" s="31"/>
      <c r="D21" s="23"/>
      <c r="E21" s="35"/>
      <c r="F21" s="27"/>
      <c r="G21" s="31"/>
      <c r="H21" s="23"/>
      <c r="I21" s="35"/>
      <c r="J21" s="27"/>
      <c r="K21" s="31"/>
      <c r="L21" s="23"/>
      <c r="M21" s="46"/>
      <c r="N21" s="47"/>
    </row>
    <row r="22" spans="1:14" ht="15">
      <c r="A22" s="75" t="s">
        <v>2</v>
      </c>
      <c r="B22" s="14">
        <v>2008</v>
      </c>
      <c r="C22" s="32"/>
      <c r="D22" s="24"/>
      <c r="E22" s="36"/>
      <c r="F22" s="28"/>
      <c r="G22" s="32"/>
      <c r="H22" s="24"/>
      <c r="I22" s="36"/>
      <c r="J22" s="28"/>
      <c r="K22" s="32"/>
      <c r="L22" s="24"/>
      <c r="M22" s="44"/>
      <c r="N22" s="45"/>
    </row>
    <row r="23" spans="1:14" ht="15">
      <c r="A23" s="113"/>
      <c r="B23" s="114"/>
      <c r="C23" s="115"/>
      <c r="D23" s="116"/>
      <c r="E23" s="115"/>
      <c r="F23" s="116"/>
      <c r="G23" s="89"/>
      <c r="H23" s="119"/>
      <c r="I23" s="115"/>
      <c r="J23" s="116"/>
      <c r="K23" s="89"/>
      <c r="L23" s="119"/>
      <c r="M23" s="117"/>
      <c r="N23" s="118"/>
    </row>
    <row r="24" spans="1:14" ht="15">
      <c r="A24" s="76" t="s">
        <v>22</v>
      </c>
      <c r="C24" s="31"/>
      <c r="D24" s="23"/>
      <c r="E24" s="35"/>
      <c r="F24" s="27"/>
      <c r="G24" s="31"/>
      <c r="H24" s="23"/>
      <c r="I24" s="35"/>
      <c r="J24" s="27"/>
      <c r="K24" s="31"/>
      <c r="L24" s="23"/>
      <c r="M24" s="46"/>
      <c r="N24" s="47"/>
    </row>
    <row r="25" spans="1:14" ht="15">
      <c r="A25" s="74" t="s">
        <v>6</v>
      </c>
      <c r="B25" s="18"/>
      <c r="C25" s="31"/>
      <c r="D25" s="23"/>
      <c r="E25" s="35"/>
      <c r="F25" s="27"/>
      <c r="G25" s="31"/>
      <c r="H25" s="23"/>
      <c r="I25" s="35"/>
      <c r="J25" s="27"/>
      <c r="K25" s="31"/>
      <c r="L25" s="23"/>
      <c r="M25" s="46"/>
      <c r="N25" s="47"/>
    </row>
    <row r="26" spans="1:14" ht="15">
      <c r="A26" s="77" t="s">
        <v>28</v>
      </c>
      <c r="B26" s="18">
        <v>2006</v>
      </c>
      <c r="C26" s="31"/>
      <c r="D26" s="23"/>
      <c r="E26" s="35">
        <f>'[1]Initiative Level'!$AK$9*1000</f>
        <v>1146995.262076076</v>
      </c>
      <c r="F26" s="27">
        <f>'[1]Initiative Level'!$I$9*1000</f>
        <v>7.476141016995449</v>
      </c>
      <c r="G26" s="31">
        <f>'[1]Initiative Level'!$AL$9*1000</f>
        <v>1146995.262076076</v>
      </c>
      <c r="H26" s="23">
        <f>'[1]Initiative Level'!$J$9*1000</f>
        <v>7.476141016995449</v>
      </c>
      <c r="I26" s="35">
        <f>'[1]Initiative Level'!$AM$9*1000</f>
        <v>1146995.262076076</v>
      </c>
      <c r="J26" s="27">
        <f>'[1]Initiative Level'!$K$9*1000</f>
        <v>7.476141016995449</v>
      </c>
      <c r="K26" s="31">
        <f>'[1]Initiative Level'!$AN$9*1000</f>
        <v>1146995.262076076</v>
      </c>
      <c r="L26" s="23">
        <f>'[1]Initiative Level'!$L$9*1000</f>
        <v>7.476141016995449</v>
      </c>
      <c r="M26" s="46">
        <f>C26+E26+G26+I26+K26</f>
        <v>4587981.048304304</v>
      </c>
      <c r="N26" s="47">
        <f>D26+F26+H26+J26+L26</f>
        <v>29.904564067981795</v>
      </c>
    </row>
    <row r="27" spans="1:14" ht="15">
      <c r="A27" s="78" t="s">
        <v>29</v>
      </c>
      <c r="B27" s="18" t="s">
        <v>27</v>
      </c>
      <c r="C27" s="31"/>
      <c r="D27" s="23"/>
      <c r="E27" s="35">
        <f>'[1]Initiative Level'!$AK$10*1000</f>
        <v>87423.01942801771</v>
      </c>
      <c r="F27" s="27">
        <f>'[1]Initiative Level'!$I$10*1000</f>
        <v>89.54628177949016</v>
      </c>
      <c r="G27" s="31">
        <f>('[1]Initiative Level'!$AL$10+'[1]Initiative Level'!$AL$17)*1000</f>
        <v>343004.31993621064</v>
      </c>
      <c r="H27" s="23">
        <f>('[1]Initiative Level'!$J$10+'[1]Initiative Level'!$J$17)*1000</f>
        <v>257.33416965674166</v>
      </c>
      <c r="I27" s="35">
        <f>('[1]Initiative Level'!$AM$10+'[1]Initiative Level'!$AM$17+'[1]Initiative Level'!$AM$33)*1000</f>
        <v>494245.15077786293</v>
      </c>
      <c r="J27" s="27">
        <f>('[1]Initiative Level'!$K$10+'[1]Initiative Level'!$K$17+'[1]Initiative Level'!$K$33)*1000</f>
        <v>379.4611252485622</v>
      </c>
      <c r="K27" s="31">
        <f>('[1]Initiative Level'!$AN$10+'[1]Initiative Level'!$AN$17+'[1]Initiative Level'!$AN$33)*1000</f>
        <v>494245.15077786293</v>
      </c>
      <c r="L27" s="23">
        <f>('[1]Initiative Level'!$L$10+'[1]Initiative Level'!$L$17+'[1]Initiative Level'!$L$33)*1000</f>
        <v>379.4611252485622</v>
      </c>
      <c r="M27" s="46">
        <f aca="true" t="shared" si="0" ref="M27:M53">C27+E27+G27+I27+K27</f>
        <v>1418917.6409199543</v>
      </c>
      <c r="N27" s="47">
        <f aca="true" t="shared" si="1" ref="N27:N53">D27+F27+H27+J27+L27</f>
        <v>1105.8027019333563</v>
      </c>
    </row>
    <row r="28" spans="1:14" ht="15">
      <c r="A28" s="77" t="s">
        <v>30</v>
      </c>
      <c r="B28" s="18">
        <v>2006</v>
      </c>
      <c r="C28" s="31"/>
      <c r="D28" s="23"/>
      <c r="E28" s="35">
        <f>'[1]Initiative Level'!$AK$11*1000</f>
        <v>46956.912022063836</v>
      </c>
      <c r="F28" s="27">
        <f>'[1]Initiative Level'!$I$11*1000</f>
        <v>10.643566725001138</v>
      </c>
      <c r="G28" s="31">
        <f>'[1]Initiative Level'!$AL$11*1000</f>
        <v>46956.912022063836</v>
      </c>
      <c r="H28" s="23">
        <f>'[1]Initiative Level'!$J$11*1000</f>
        <v>10.643566725001138</v>
      </c>
      <c r="I28" s="35">
        <f>'[1]Initiative Level'!$AM$11*1000</f>
        <v>46956.912022063836</v>
      </c>
      <c r="J28" s="27">
        <f>('[1]Initiative Level'!$K$11)*1000</f>
        <v>10.643566725001138</v>
      </c>
      <c r="K28" s="31">
        <f>'[1]Initiative Level'!$AN$11*1000</f>
        <v>46956.912022063836</v>
      </c>
      <c r="L28" s="23">
        <f>'[1]Initiative Level'!$L$11*1000</f>
        <v>10.643566725001138</v>
      </c>
      <c r="M28" s="46">
        <f t="shared" si="0"/>
        <v>187827.64808825534</v>
      </c>
      <c r="N28" s="47">
        <f t="shared" si="1"/>
        <v>42.57426690000455</v>
      </c>
    </row>
    <row r="29" spans="1:14" ht="15">
      <c r="A29" s="77" t="s">
        <v>31</v>
      </c>
      <c r="B29" s="18">
        <v>2006</v>
      </c>
      <c r="C29" s="31"/>
      <c r="D29" s="23"/>
      <c r="E29" s="35">
        <f>'[1]Initiative Level'!$AK$12*1000</f>
        <v>1860773.7867485078</v>
      </c>
      <c r="F29" s="27">
        <f>'[1]Initiative Level'!$I$12*1000</f>
        <v>27.99766526152325</v>
      </c>
      <c r="G29" s="31">
        <f>'[1]Initiative Level'!$AL$12*1000</f>
        <v>1860773.7867485078</v>
      </c>
      <c r="H29" s="23">
        <f>'[1]Initiative Level'!$J$12*1000</f>
        <v>27.99766526152325</v>
      </c>
      <c r="I29" s="35">
        <f>'[1]Initiative Level'!$AM$12*1000</f>
        <v>1860773.7867485078</v>
      </c>
      <c r="J29" s="27">
        <f>'[1]Initiative Level'!$K$12*1000</f>
        <v>27.99766526152325</v>
      </c>
      <c r="K29" s="31">
        <f>'[1]Initiative Level'!$AN$12*1000</f>
        <v>1860773.7867485078</v>
      </c>
      <c r="L29" s="23">
        <f>'[1]Initiative Level'!$L$12*1000</f>
        <v>27.99766526152325</v>
      </c>
      <c r="M29" s="46">
        <f t="shared" si="0"/>
        <v>7443095.146994031</v>
      </c>
      <c r="N29" s="47">
        <f t="shared" si="1"/>
        <v>111.990661046093</v>
      </c>
    </row>
    <row r="30" spans="1:14" ht="15">
      <c r="A30" s="77" t="s">
        <v>23</v>
      </c>
      <c r="B30" s="18" t="s">
        <v>26</v>
      </c>
      <c r="C30" s="31"/>
      <c r="D30" s="23"/>
      <c r="E30" s="35"/>
      <c r="F30" s="27"/>
      <c r="G30" s="31">
        <f>'[1]Initiative Level'!$AL$16*1000</f>
        <v>190206.2085695473</v>
      </c>
      <c r="H30" s="23">
        <f>'[1]Initiative Level'!$J$16*1000</f>
        <v>21.239151796984068</v>
      </c>
      <c r="I30" s="35">
        <f>('[1]Initiative Level'!$AM$16+'[1]Initiative Level'!$AM$32)*1000</f>
        <v>459350.35733683006</v>
      </c>
      <c r="J30" s="27">
        <f>('[1]Initiative Level'!$K$16+'[1]Initiative Level'!$K$32)*1000</f>
        <v>46.033215931803845</v>
      </c>
      <c r="K30" s="31">
        <f>('[1]Initiative Level'!$AN$16+'[1]Initiative Level'!$AN$32)*1000</f>
        <v>459350.35733683006</v>
      </c>
      <c r="L30" s="23">
        <f>('[1]Initiative Level'!$L$16+'[1]Initiative Level'!$L$32)*1000</f>
        <v>46.033215931803845</v>
      </c>
      <c r="M30" s="46">
        <f t="shared" si="0"/>
        <v>1108906.9232432074</v>
      </c>
      <c r="N30" s="47">
        <f t="shared" si="1"/>
        <v>113.30558366059176</v>
      </c>
    </row>
    <row r="31" spans="1:14" ht="15">
      <c r="A31" s="77" t="s">
        <v>32</v>
      </c>
      <c r="B31" s="18">
        <v>2007</v>
      </c>
      <c r="C31" s="31"/>
      <c r="D31" s="23"/>
      <c r="E31" s="35"/>
      <c r="F31" s="27"/>
      <c r="G31" s="31">
        <f>'[1]Initiative Level'!$AL$18*1000</f>
        <v>0</v>
      </c>
      <c r="H31" s="23">
        <f>'[1]Initiative Level'!$J$18*1000</f>
        <v>0</v>
      </c>
      <c r="I31" s="35">
        <f>'[1]Initiative Level'!$AM$18*1000</f>
        <v>0</v>
      </c>
      <c r="J31" s="27">
        <f>'[1]Initiative Level'!$K$18*1000</f>
        <v>0</v>
      </c>
      <c r="K31" s="31">
        <f>'[1]Initiative Level'!$AN$18*1000</f>
        <v>0</v>
      </c>
      <c r="L31" s="23">
        <f>'[1]Initiative Level'!$L$18*1000</f>
        <v>0</v>
      </c>
      <c r="M31" s="46">
        <f t="shared" si="0"/>
        <v>0</v>
      </c>
      <c r="N31" s="47">
        <f t="shared" si="1"/>
        <v>0</v>
      </c>
    </row>
    <row r="32" spans="1:14" ht="15">
      <c r="A32" s="79" t="s">
        <v>33</v>
      </c>
      <c r="B32" s="18">
        <v>2007</v>
      </c>
      <c r="C32" s="31"/>
      <c r="D32" s="23"/>
      <c r="E32" s="35"/>
      <c r="F32" s="27"/>
      <c r="G32" s="31">
        <f>'[1]Initiative Level'!$AL$19*1000</f>
        <v>1117809.4609201972</v>
      </c>
      <c r="H32" s="23">
        <f>'[1]Initiative Level'!$J$19*1000</f>
        <v>42.91943070961507</v>
      </c>
      <c r="I32" s="35">
        <f>'[1]Initiative Level'!$AM$19*1000</f>
        <v>1104253.6545167803</v>
      </c>
      <c r="J32" s="27">
        <f>'[1]Initiative Level'!$K$19*1000</f>
        <v>38.89224153936917</v>
      </c>
      <c r="K32" s="31">
        <f>'[1]Initiative Level'!$AN$19*1000</f>
        <v>1104253.6545167803</v>
      </c>
      <c r="L32" s="23">
        <f>'[1]Initiative Level'!$L$19*1000</f>
        <v>38.89224153936917</v>
      </c>
      <c r="M32" s="46">
        <f t="shared" si="0"/>
        <v>3326316.769953758</v>
      </c>
      <c r="N32" s="47">
        <f t="shared" si="1"/>
        <v>120.7039137883534</v>
      </c>
    </row>
    <row r="33" spans="1:14" ht="15">
      <c r="A33" s="77" t="s">
        <v>34</v>
      </c>
      <c r="B33" s="18" t="s">
        <v>26</v>
      </c>
      <c r="C33" s="31"/>
      <c r="D33" s="23"/>
      <c r="E33" s="35"/>
      <c r="F33" s="27"/>
      <c r="G33" s="31">
        <f>'[1]Initiative Level'!$AL$20*1000</f>
        <v>0</v>
      </c>
      <c r="H33" s="23">
        <f>'[1]Initiative Level'!$J$20*1000</f>
        <v>0</v>
      </c>
      <c r="I33" s="35">
        <f>('[1]Initiative Level'!$AM$20+'[1]Initiative Level'!$AM$37)*1000</f>
        <v>0</v>
      </c>
      <c r="J33" s="27">
        <f>('[1]Initiative Level'!$K$20+'[1]Initiative Level'!$K$37)*1000</f>
        <v>0</v>
      </c>
      <c r="K33" s="31">
        <f>('[1]Initiative Level'!$AN$20+'[1]Initiative Level'!$AN$37)*1000</f>
        <v>0</v>
      </c>
      <c r="L33" s="23">
        <f>('[1]Initiative Level'!$L$20+'[1]Initiative Level'!$L$37)*1000</f>
        <v>0</v>
      </c>
      <c r="M33" s="46">
        <f t="shared" si="0"/>
        <v>0</v>
      </c>
      <c r="N33" s="47">
        <f t="shared" si="1"/>
        <v>0</v>
      </c>
    </row>
    <row r="34" spans="1:14" ht="15">
      <c r="A34" s="77" t="s">
        <v>24</v>
      </c>
      <c r="B34" s="18">
        <v>2007</v>
      </c>
      <c r="C34" s="31"/>
      <c r="D34" s="23"/>
      <c r="E34" s="35"/>
      <c r="F34" s="27"/>
      <c r="G34" s="31">
        <f>'[1]Initiative Level'!$AL$21*1000</f>
        <v>530370.443665522</v>
      </c>
      <c r="H34" s="23">
        <f>'[1]Initiative Level'!$J$21*1000</f>
        <v>294.6502464808456</v>
      </c>
      <c r="I34" s="35">
        <f>'[1]Initiative Level'!$AM$21*1000</f>
        <v>530370.443665522</v>
      </c>
      <c r="J34" s="27">
        <f>'[1]Initiative Level'!$K$21*1000</f>
        <v>294.6502464808456</v>
      </c>
      <c r="K34" s="31">
        <f>'[1]Initiative Level'!$AN$21*1000</f>
        <v>0</v>
      </c>
      <c r="L34" s="23">
        <f>'[1]Initiative Level'!$L$21*1000</f>
        <v>0</v>
      </c>
      <c r="M34" s="46">
        <f t="shared" si="0"/>
        <v>1060740.887331044</v>
      </c>
      <c r="N34" s="47">
        <f t="shared" si="1"/>
        <v>589.3004929616912</v>
      </c>
    </row>
    <row r="35" spans="1:14" ht="15">
      <c r="A35" s="77" t="s">
        <v>35</v>
      </c>
      <c r="B35" s="18">
        <v>2007</v>
      </c>
      <c r="C35" s="31"/>
      <c r="D35" s="23"/>
      <c r="E35" s="35"/>
      <c r="F35" s="27"/>
      <c r="G35" s="31">
        <f>'[1]Initiative Level'!$AL$22*1000</f>
        <v>0</v>
      </c>
      <c r="H35" s="23">
        <f>'[1]Initiative Level'!$J$22*1000</f>
        <v>0</v>
      </c>
      <c r="I35" s="35">
        <f>'[1]Initiative Level'!$AM$22*1000</f>
        <v>0</v>
      </c>
      <c r="J35" s="27">
        <f>'[1]Initiative Level'!$K$22*1000</f>
        <v>0</v>
      </c>
      <c r="K35" s="31">
        <f>'[1]Initiative Level'!$AN$22*1000</f>
        <v>0</v>
      </c>
      <c r="L35" s="23">
        <f>'[1]Initiative Level'!$L$22*1000</f>
        <v>0</v>
      </c>
      <c r="M35" s="46">
        <f t="shared" si="0"/>
        <v>0</v>
      </c>
      <c r="N35" s="47">
        <f t="shared" si="1"/>
        <v>0</v>
      </c>
    </row>
    <row r="36" spans="1:14" ht="15">
      <c r="A36" s="77" t="s">
        <v>36</v>
      </c>
      <c r="B36" s="18">
        <v>2007</v>
      </c>
      <c r="C36" s="31"/>
      <c r="D36" s="23"/>
      <c r="E36" s="35"/>
      <c r="F36" s="27"/>
      <c r="G36" s="31">
        <f>'[1]Initiative Level'!$AL$23*1000</f>
        <v>100740.64771841484</v>
      </c>
      <c r="H36" s="23">
        <f>'[1]Initiative Level'!$J$23*1000</f>
        <v>11.851840908048803</v>
      </c>
      <c r="I36" s="35">
        <f>'[1]Initiative Level'!$AM$23*1000</f>
        <v>100740.64771841484</v>
      </c>
      <c r="J36" s="27">
        <f>'[1]Initiative Level'!$K$23*1000</f>
        <v>11.851840908048803</v>
      </c>
      <c r="K36" s="31">
        <f>'[1]Initiative Level'!$AN$23*1000</f>
        <v>100740.64771841484</v>
      </c>
      <c r="L36" s="23">
        <f>'[1]Initiative Level'!$L$23*1000</f>
        <v>11.851840908048803</v>
      </c>
      <c r="M36" s="46">
        <f t="shared" si="0"/>
        <v>302221.9431552445</v>
      </c>
      <c r="N36" s="47">
        <f t="shared" si="1"/>
        <v>35.555522724146414</v>
      </c>
    </row>
    <row r="37" spans="1:14" ht="15">
      <c r="A37" s="77" t="s">
        <v>37</v>
      </c>
      <c r="B37" s="18">
        <v>2007</v>
      </c>
      <c r="C37" s="31"/>
      <c r="D37" s="23"/>
      <c r="E37" s="35"/>
      <c r="F37" s="27"/>
      <c r="G37" s="31">
        <f>'[1]Initiative Level'!$AL$24*1000</f>
        <v>0</v>
      </c>
      <c r="H37" s="23">
        <f>'[1]Initiative Level'!$J$24*1000</f>
        <v>0</v>
      </c>
      <c r="I37" s="35">
        <f>'[1]Initiative Level'!$AM$24*1000</f>
        <v>0</v>
      </c>
      <c r="J37" s="27">
        <f>'[1]Initiative Level'!$K$24*1000</f>
        <v>0</v>
      </c>
      <c r="K37" s="31">
        <f>'[1]Initiative Level'!$AN$24*1000</f>
        <v>0</v>
      </c>
      <c r="L37" s="23">
        <f>'[1]Initiative Level'!$L$24*1000</f>
        <v>0</v>
      </c>
      <c r="M37" s="46">
        <f t="shared" si="0"/>
        <v>0</v>
      </c>
      <c r="N37" s="47">
        <f t="shared" si="1"/>
        <v>0</v>
      </c>
    </row>
    <row r="38" spans="1:14" ht="15">
      <c r="A38" s="77" t="s">
        <v>38</v>
      </c>
      <c r="B38" s="18">
        <v>2008</v>
      </c>
      <c r="C38" s="31"/>
      <c r="D38" s="23"/>
      <c r="E38" s="35"/>
      <c r="F38" s="27"/>
      <c r="G38" s="31"/>
      <c r="H38" s="23"/>
      <c r="I38" s="35">
        <f>'[1]Initiative Level'!$AM$34*1000</f>
        <v>0</v>
      </c>
      <c r="J38" s="27">
        <f>'[1]Initiative Level'!$K$34*1000</f>
        <v>0</v>
      </c>
      <c r="K38" s="31">
        <f>'[1]Initiative Level'!$AN$34*1000</f>
        <v>0</v>
      </c>
      <c r="L38" s="23">
        <f>'[1]Initiative Level'!$L$34*1000</f>
        <v>0</v>
      </c>
      <c r="M38" s="46">
        <f t="shared" si="0"/>
        <v>0</v>
      </c>
      <c r="N38" s="47">
        <f t="shared" si="1"/>
        <v>0</v>
      </c>
    </row>
    <row r="39" spans="1:14" ht="15">
      <c r="A39" s="77" t="s">
        <v>39</v>
      </c>
      <c r="B39" s="18">
        <v>2008</v>
      </c>
      <c r="C39" s="31"/>
      <c r="D39" s="23"/>
      <c r="E39" s="35"/>
      <c r="F39" s="27"/>
      <c r="G39" s="31"/>
      <c r="H39" s="23"/>
      <c r="I39" s="35">
        <f>'[1]Initiative Level'!$AM$35*1000</f>
        <v>0</v>
      </c>
      <c r="J39" s="27">
        <f>'[1]Initiative Level'!$K$35*1000</f>
        <v>1.485509739414837</v>
      </c>
      <c r="K39" s="31">
        <f>'[1]Initiative Level'!$AN$35*1000</f>
        <v>0</v>
      </c>
      <c r="L39" s="23">
        <f>'[1]Initiative Level'!$L$35*1000</f>
        <v>0</v>
      </c>
      <c r="M39" s="46">
        <f t="shared" si="0"/>
        <v>0</v>
      </c>
      <c r="N39" s="47">
        <f t="shared" si="1"/>
        <v>1.485509739414837</v>
      </c>
    </row>
    <row r="40" spans="1:14" ht="15">
      <c r="A40" s="79" t="s">
        <v>40</v>
      </c>
      <c r="B40" s="18">
        <v>2008</v>
      </c>
      <c r="C40" s="31"/>
      <c r="D40" s="23"/>
      <c r="E40" s="35"/>
      <c r="F40" s="27"/>
      <c r="G40" s="31"/>
      <c r="H40" s="23"/>
      <c r="I40" s="35">
        <f>'[1]Initiative Level'!$AM$36*1000</f>
        <v>378206.800454736</v>
      </c>
      <c r="J40" s="27">
        <f>'[1]Initiative Level'!$K$36*1000</f>
        <v>25.28695776788217</v>
      </c>
      <c r="K40" s="31">
        <f>'[1]Initiative Level'!$AN$36*1000</f>
        <v>375097.84508634295</v>
      </c>
      <c r="L40" s="23">
        <f>'[1]Initiative Level'!$L$36*1000</f>
        <v>24.36383210176334</v>
      </c>
      <c r="M40" s="46">
        <f t="shared" si="0"/>
        <v>753304.6455410789</v>
      </c>
      <c r="N40" s="47">
        <f t="shared" si="1"/>
        <v>49.65078986964551</v>
      </c>
    </row>
    <row r="41" spans="1:14" ht="15">
      <c r="A41" s="79" t="s">
        <v>54</v>
      </c>
      <c r="B41" s="18">
        <v>2008</v>
      </c>
      <c r="C41" s="31"/>
      <c r="D41" s="23"/>
      <c r="E41" s="35"/>
      <c r="F41" s="27"/>
      <c r="G41" s="31"/>
      <c r="H41" s="23"/>
      <c r="I41" s="35">
        <v>281880</v>
      </c>
      <c r="J41" s="27"/>
      <c r="K41" s="31">
        <v>281880</v>
      </c>
      <c r="L41" s="23"/>
      <c r="M41" s="46">
        <f>I41+K41</f>
        <v>563760</v>
      </c>
      <c r="N41" s="47"/>
    </row>
    <row r="42" spans="1:14" ht="15">
      <c r="A42" s="79"/>
      <c r="B42" s="18"/>
      <c r="C42" s="31"/>
      <c r="D42" s="23"/>
      <c r="E42" s="35"/>
      <c r="F42" s="27"/>
      <c r="G42" s="31"/>
      <c r="H42" s="23"/>
      <c r="I42" s="35"/>
      <c r="J42" s="27"/>
      <c r="K42" s="31"/>
      <c r="L42" s="23"/>
      <c r="M42" s="46"/>
      <c r="N42" s="47"/>
    </row>
    <row r="43" spans="1:14" ht="15">
      <c r="A43" s="74" t="s">
        <v>7</v>
      </c>
      <c r="B43" s="18"/>
      <c r="C43" s="31"/>
      <c r="D43" s="23"/>
      <c r="E43" s="35"/>
      <c r="F43" s="27"/>
      <c r="G43" s="31"/>
      <c r="H43" s="23"/>
      <c r="I43" s="35"/>
      <c r="J43" s="27"/>
      <c r="K43" s="31"/>
      <c r="L43" s="23"/>
      <c r="M43" s="46"/>
      <c r="N43" s="47"/>
    </row>
    <row r="44" spans="1:14" ht="15">
      <c r="A44" s="77" t="s">
        <v>41</v>
      </c>
      <c r="B44" s="18" t="s">
        <v>26</v>
      </c>
      <c r="C44" s="31"/>
      <c r="D44" s="23"/>
      <c r="E44" s="35"/>
      <c r="F44" s="27"/>
      <c r="G44" s="31">
        <f>'[1]Initiative Level'!$AL$25*1000</f>
        <v>0</v>
      </c>
      <c r="H44" s="23">
        <f>'[1]Initiative Level'!$J$25*1000</f>
        <v>0</v>
      </c>
      <c r="I44" s="35">
        <f>('[1]Initiative Level'!$AM$25+'[1]Initiative Level'!$AM$39)*1000</f>
        <v>0</v>
      </c>
      <c r="J44" s="27">
        <f>('[1]Initiative Level'!$K$25+'[1]Initiative Level'!$K$39)*1000</f>
        <v>0</v>
      </c>
      <c r="K44" s="31">
        <f>('[1]Initiative Level'!$AN$25+'[1]Initiative Level'!$AN$39)*1000</f>
        <v>0</v>
      </c>
      <c r="L44" s="23">
        <f>('[1]Initiative Level'!$L$25+'[1]Initiative Level'!$L$39)*1000</f>
        <v>0</v>
      </c>
      <c r="M44" s="46">
        <f t="shared" si="0"/>
        <v>0</v>
      </c>
      <c r="N44" s="47">
        <f t="shared" si="1"/>
        <v>0</v>
      </c>
    </row>
    <row r="45" spans="1:14" ht="15">
      <c r="A45" s="77" t="s">
        <v>42</v>
      </c>
      <c r="B45" s="18">
        <v>2008</v>
      </c>
      <c r="C45" s="31"/>
      <c r="D45" s="23"/>
      <c r="E45" s="35"/>
      <c r="F45" s="27"/>
      <c r="G45" s="31"/>
      <c r="H45" s="23"/>
      <c r="I45" s="35">
        <f>'[1]Initiative Level'!$AM$40*1000</f>
        <v>1779.3323251423628</v>
      </c>
      <c r="J45" s="27">
        <f>'[1]Initiative Level'!$K$40*1000</f>
        <v>0.781170289086891</v>
      </c>
      <c r="K45" s="31">
        <f>'[1]Initiative Level'!$AN$40*1000</f>
        <v>1779.3323251423628</v>
      </c>
      <c r="L45" s="23">
        <f>'[1]Initiative Level'!$L$40*1000</f>
        <v>0.781170289086891</v>
      </c>
      <c r="M45" s="46">
        <f t="shared" si="0"/>
        <v>3558.6646502847257</v>
      </c>
      <c r="N45" s="47">
        <f t="shared" si="1"/>
        <v>1.562340578173782</v>
      </c>
    </row>
    <row r="46" spans="1:14" ht="15">
      <c r="A46" s="77" t="s">
        <v>43</v>
      </c>
      <c r="B46" s="18">
        <v>2008</v>
      </c>
      <c r="C46" s="31"/>
      <c r="D46" s="23"/>
      <c r="E46" s="35"/>
      <c r="F46" s="27"/>
      <c r="G46" s="31"/>
      <c r="H46" s="23"/>
      <c r="I46" s="35">
        <f>'[1]Initiative Level'!$AM$41*1000</f>
        <v>21061.759773599988</v>
      </c>
      <c r="J46" s="27">
        <f>'[1]Initiative Level'!$K$41*1000</f>
        <v>2.874199151378188</v>
      </c>
      <c r="K46" s="31">
        <f>'[1]Initiative Level'!$AN$41*1000</f>
        <v>21061.759773599988</v>
      </c>
      <c r="L46" s="23">
        <f>'[1]Initiative Level'!$L$41*1000</f>
        <v>2.874199151378188</v>
      </c>
      <c r="M46" s="46">
        <f t="shared" si="0"/>
        <v>42123.519547199976</v>
      </c>
      <c r="N46" s="47">
        <f t="shared" si="1"/>
        <v>5.748398302756376</v>
      </c>
    </row>
    <row r="47" spans="1:14" ht="15">
      <c r="A47" s="77" t="s">
        <v>44</v>
      </c>
      <c r="B47" s="18">
        <v>2008</v>
      </c>
      <c r="C47" s="31"/>
      <c r="D47" s="23"/>
      <c r="E47" s="35"/>
      <c r="F47" s="27"/>
      <c r="G47" s="31"/>
      <c r="H47" s="23"/>
      <c r="I47" s="35">
        <f>'[1]Initiative Level'!$AM$42*1000</f>
        <v>0</v>
      </c>
      <c r="J47" s="27">
        <f>'[1]Initiative Level'!$K$42*1000</f>
        <v>0</v>
      </c>
      <c r="K47" s="31">
        <f>'[1]Initiative Level'!$AN$42*1000</f>
        <v>0</v>
      </c>
      <c r="L47" s="23">
        <f>'[1]Initiative Level'!$L$42*1000</f>
        <v>0</v>
      </c>
      <c r="M47" s="46">
        <f t="shared" si="0"/>
        <v>0</v>
      </c>
      <c r="N47" s="47">
        <f t="shared" si="1"/>
        <v>0</v>
      </c>
    </row>
    <row r="48" spans="1:14" ht="15">
      <c r="A48" s="80"/>
      <c r="B48" s="18"/>
      <c r="C48" s="31"/>
      <c r="D48" s="23"/>
      <c r="E48" s="35"/>
      <c r="F48" s="27"/>
      <c r="G48" s="31"/>
      <c r="H48" s="23"/>
      <c r="I48" s="35"/>
      <c r="J48" s="27"/>
      <c r="K48" s="31"/>
      <c r="L48" s="23"/>
      <c r="M48" s="46"/>
      <c r="N48" s="47"/>
    </row>
    <row r="49" spans="1:14" ht="15">
      <c r="A49" s="74" t="s">
        <v>8</v>
      </c>
      <c r="B49" s="18"/>
      <c r="C49" s="31"/>
      <c r="D49" s="23"/>
      <c r="E49" s="35"/>
      <c r="F49" s="27"/>
      <c r="G49" s="31"/>
      <c r="H49" s="23"/>
      <c r="I49" s="35"/>
      <c r="J49" s="27"/>
      <c r="K49" s="31"/>
      <c r="L49" s="23"/>
      <c r="M49" s="46"/>
      <c r="N49" s="47"/>
    </row>
    <row r="50" spans="1:14" ht="15">
      <c r="A50" s="77" t="s">
        <v>45</v>
      </c>
      <c r="B50" s="18" t="s">
        <v>27</v>
      </c>
      <c r="C50" s="31"/>
      <c r="D50" s="23"/>
      <c r="E50" s="35">
        <f>'[1]Initiative Level'!$AK$13*1000</f>
        <v>0</v>
      </c>
      <c r="F50" s="27">
        <f>'[1]Initiative Level'!$I$13*1000</f>
        <v>1187.4279652640237</v>
      </c>
      <c r="G50" s="31">
        <f>('[1]Initiative Level'!$AL$13+'[1]Initiative Level'!$AL$27)*1000</f>
        <v>0</v>
      </c>
      <c r="H50" s="23">
        <f>('[1]Initiative Level'!$J$13+'[1]Initiative Level'!$J$27)*1000</f>
        <v>1967.805156795073</v>
      </c>
      <c r="I50" s="35">
        <f>('[1]Initiative Level'!$AM$13+'[1]Initiative Level'!$AM$27+'[1]Initiative Level'!$AM$43)*1000</f>
        <v>0</v>
      </c>
      <c r="J50" s="27">
        <f>('[1]Initiative Level'!$K$13+'[1]Initiative Level'!$K$27+'[1]Initiative Level'!$K$43)*1000</f>
        <v>1967.99077153543</v>
      </c>
      <c r="K50" s="31">
        <f>('[1]Initiative Level'!$AN$13+'[1]Initiative Level'!$AN$27+'[1]Initiative Level'!$AN$43)*1000</f>
        <v>0</v>
      </c>
      <c r="L50" s="23">
        <f>('[1]Initiative Level'!$L$13+'[1]Initiative Level'!$L$27+'[1]Initiative Level'!$L$43)*1000</f>
        <v>0</v>
      </c>
      <c r="M50" s="46">
        <f t="shared" si="0"/>
        <v>0</v>
      </c>
      <c r="N50" s="47">
        <f t="shared" si="1"/>
        <v>5123.223893594527</v>
      </c>
    </row>
    <row r="51" spans="1:14" ht="15">
      <c r="A51" s="77" t="s">
        <v>46</v>
      </c>
      <c r="B51" s="18">
        <v>2008</v>
      </c>
      <c r="C51" s="31"/>
      <c r="D51" s="23"/>
      <c r="E51" s="35"/>
      <c r="F51" s="27"/>
      <c r="G51" s="31"/>
      <c r="H51" s="23"/>
      <c r="I51" s="35">
        <f>'[1]Initiative Level'!$AM$44*1000</f>
        <v>0</v>
      </c>
      <c r="J51" s="27">
        <f>'[1]Initiative Level'!$K$44*1000</f>
        <v>494.9891736563284</v>
      </c>
      <c r="K51" s="31">
        <f>'[1]Initiative Level'!$AN$44*1000</f>
        <v>0</v>
      </c>
      <c r="L51" s="23">
        <f>'[1]Initiative Level'!$L$44*1000</f>
        <v>0</v>
      </c>
      <c r="M51" s="46">
        <f t="shared" si="0"/>
        <v>0</v>
      </c>
      <c r="N51" s="47">
        <f t="shared" si="1"/>
        <v>494.9891736563284</v>
      </c>
    </row>
    <row r="52" spans="1:14" ht="15">
      <c r="A52" s="77" t="s">
        <v>25</v>
      </c>
      <c r="B52" s="18" t="s">
        <v>26</v>
      </c>
      <c r="C52" s="31"/>
      <c r="D52" s="23"/>
      <c r="E52" s="35"/>
      <c r="F52" s="27"/>
      <c r="G52" s="31">
        <f>'[1]Initiative Level'!$AL$26*1000</f>
        <v>0</v>
      </c>
      <c r="H52" s="23">
        <f>'[1]Initiative Level'!$J$26*1000</f>
        <v>0</v>
      </c>
      <c r="I52" s="35">
        <f>('[1]Initiative Level'!$AM$26+'[1]Initiative Level'!$AM$38)*1000</f>
        <v>316116.79399999994</v>
      </c>
      <c r="J52" s="27">
        <f>('[1]Initiative Level'!$K$26+'[1]Initiative Level'!$K$38)*1000</f>
        <v>138.64771666666664</v>
      </c>
      <c r="K52" s="31">
        <f>('[1]Initiative Level'!$AN$26+'[1]Initiative Level'!$AN$38)*1000</f>
        <v>316116.79399999994</v>
      </c>
      <c r="L52" s="23">
        <f>('[1]Initiative Level'!$L$26+'[1]Initiative Level'!$L$38)*1000</f>
        <v>138.64771666666664</v>
      </c>
      <c r="M52" s="46">
        <f t="shared" si="0"/>
        <v>632233.5879999999</v>
      </c>
      <c r="N52" s="47">
        <f t="shared" si="1"/>
        <v>277.2954333333333</v>
      </c>
    </row>
    <row r="53" spans="1:14" ht="15">
      <c r="A53" s="77" t="s">
        <v>47</v>
      </c>
      <c r="B53" s="18" t="s">
        <v>26</v>
      </c>
      <c r="C53" s="31"/>
      <c r="D53" s="23"/>
      <c r="E53" s="35"/>
      <c r="F53" s="27"/>
      <c r="G53" s="31">
        <f>'[1]Initiative Level'!$AL$28*1000</f>
        <v>0</v>
      </c>
      <c r="H53" s="23">
        <f>'[1]Initiative Level'!$J$28*1000</f>
        <v>163.67377485630098</v>
      </c>
      <c r="I53" s="35">
        <f>('[1]Initiative Level'!$AM$28+'[1]Initiative Level'!$AM$45)*1000</f>
        <v>0</v>
      </c>
      <c r="J53" s="27">
        <f>('[1]Initiative Level'!$K$28+'[1]Initiative Level'!$K$45)*1000</f>
        <v>181.09511225577845</v>
      </c>
      <c r="K53" s="31">
        <f>('[1]Initiative Level'!$AN$28+'[1]Initiative Level'!$AN$45)*1000</f>
        <v>0</v>
      </c>
      <c r="L53" s="23">
        <f>('[1]Initiative Level'!$L$28+'[1]Initiative Level'!$L$45)*1000</f>
        <v>0</v>
      </c>
      <c r="M53" s="46">
        <f t="shared" si="0"/>
        <v>0</v>
      </c>
      <c r="N53" s="47">
        <f t="shared" si="1"/>
        <v>344.7688871120794</v>
      </c>
    </row>
    <row r="54" spans="1:14" ht="15">
      <c r="A54" s="80"/>
      <c r="B54" s="18"/>
      <c r="C54" s="31"/>
      <c r="D54" s="23"/>
      <c r="E54" s="35"/>
      <c r="F54" s="27"/>
      <c r="G54" s="31"/>
      <c r="H54" s="23"/>
      <c r="I54" s="35"/>
      <c r="J54" s="27"/>
      <c r="K54" s="31"/>
      <c r="L54" s="23"/>
      <c r="M54" s="46"/>
      <c r="N54" s="47"/>
    </row>
    <row r="55" spans="1:14" ht="8.25" customHeight="1" thickBot="1">
      <c r="A55" s="87"/>
      <c r="B55" s="88"/>
      <c r="E55" s="55"/>
      <c r="F55" s="56"/>
      <c r="G55" s="57"/>
      <c r="H55" s="58"/>
      <c r="I55" s="55"/>
      <c r="J55" s="56"/>
      <c r="K55" s="57"/>
      <c r="L55" s="58"/>
      <c r="M55" s="59"/>
      <c r="N55" s="60"/>
    </row>
    <row r="56" spans="1:14" ht="15">
      <c r="A56" s="9"/>
      <c r="B56" s="17"/>
      <c r="E56" s="35">
        <f>SUM(E7:E54)</f>
        <v>3142148.980274665</v>
      </c>
      <c r="F56" s="35">
        <f>SUM(F7:F54)</f>
        <v>1323.0916200470338</v>
      </c>
      <c r="G56" s="31">
        <f aca="true" t="shared" si="2" ref="G56:N56">SUM(G8:G54)</f>
        <v>5336857.041656539</v>
      </c>
      <c r="H56" s="31">
        <f t="shared" si="2"/>
        <v>2805.5911442071288</v>
      </c>
      <c r="I56" s="38">
        <f t="shared" si="2"/>
        <v>6742730.901415535</v>
      </c>
      <c r="J56" s="38">
        <f t="shared" si="2"/>
        <v>3630.156654174116</v>
      </c>
      <c r="K56" s="31">
        <f t="shared" si="2"/>
        <v>6209251.50238162</v>
      </c>
      <c r="L56" s="31">
        <f t="shared" si="2"/>
        <v>689.0227148401989</v>
      </c>
      <c r="M56" s="38">
        <f t="shared" si="2"/>
        <v>21430988.425728362</v>
      </c>
      <c r="N56" s="61">
        <f t="shared" si="2"/>
        <v>8447.862133268478</v>
      </c>
    </row>
    <row r="57" spans="1:15" ht="15">
      <c r="A57" s="9"/>
      <c r="B57" s="51"/>
      <c r="C57" s="81"/>
      <c r="D57" s="82"/>
      <c r="E57" s="83"/>
      <c r="F57" s="84"/>
      <c r="G57" s="81"/>
      <c r="H57" s="82"/>
      <c r="I57" s="83"/>
      <c r="J57" s="84"/>
      <c r="K57" s="81"/>
      <c r="L57" s="82"/>
      <c r="M57" s="85"/>
      <c r="N57" s="86"/>
      <c r="O57" s="9"/>
    </row>
    <row r="58" spans="1:15" ht="15">
      <c r="A58" s="9"/>
      <c r="B58" s="51"/>
      <c r="C58" s="81"/>
      <c r="D58" s="82"/>
      <c r="E58" s="83"/>
      <c r="F58" s="84"/>
      <c r="G58" s="81"/>
      <c r="H58" s="82"/>
      <c r="I58" s="83"/>
      <c r="J58" s="84"/>
      <c r="K58" s="81"/>
      <c r="L58" s="82"/>
      <c r="M58" s="85"/>
      <c r="N58" s="86"/>
      <c r="O58" s="9"/>
    </row>
    <row r="59" spans="1:15" ht="15">
      <c r="A59" s="9"/>
      <c r="B59" s="51"/>
      <c r="C59" s="81"/>
      <c r="D59" s="82"/>
      <c r="E59" s="83"/>
      <c r="F59" s="84"/>
      <c r="G59" s="81"/>
      <c r="H59" s="82"/>
      <c r="I59" s="83"/>
      <c r="J59" s="84"/>
      <c r="K59" s="81"/>
      <c r="L59" s="82"/>
      <c r="M59" s="85"/>
      <c r="N59" s="86"/>
      <c r="O59" s="9"/>
    </row>
    <row r="60" spans="1:15" ht="15">
      <c r="A60" s="9"/>
      <c r="B60" s="51"/>
      <c r="C60" s="81"/>
      <c r="D60" s="82"/>
      <c r="E60" s="83"/>
      <c r="F60" s="84"/>
      <c r="G60" s="81"/>
      <c r="H60" s="82"/>
      <c r="I60" s="83"/>
      <c r="J60" s="84"/>
      <c r="K60" s="81"/>
      <c r="L60" s="82"/>
      <c r="M60" s="85"/>
      <c r="N60" s="86"/>
      <c r="O60" s="9"/>
    </row>
    <row r="61" spans="1:15" ht="15">
      <c r="A61" s="9"/>
      <c r="B61" s="51"/>
      <c r="C61" s="81"/>
      <c r="D61" s="82"/>
      <c r="E61" s="83"/>
      <c r="F61" s="84"/>
      <c r="G61" s="81"/>
      <c r="H61" s="82"/>
      <c r="I61" s="83"/>
      <c r="J61" s="84"/>
      <c r="K61" s="81"/>
      <c r="L61" s="82"/>
      <c r="M61" s="85"/>
      <c r="N61" s="86"/>
      <c r="O61" s="9"/>
    </row>
    <row r="62" spans="1:15" ht="15">
      <c r="A62" s="9"/>
      <c r="B62" s="51"/>
      <c r="C62" s="81"/>
      <c r="D62" s="82"/>
      <c r="E62" s="83"/>
      <c r="F62" s="84"/>
      <c r="G62" s="81"/>
      <c r="H62" s="82"/>
      <c r="I62" s="83"/>
      <c r="J62" s="84"/>
      <c r="K62" s="81"/>
      <c r="L62" s="82"/>
      <c r="M62" s="85"/>
      <c r="N62" s="86"/>
      <c r="O62" s="9"/>
    </row>
    <row r="63" spans="1:15" ht="15">
      <c r="A63" s="9"/>
      <c r="B63" s="51"/>
      <c r="C63" s="81"/>
      <c r="D63" s="82"/>
      <c r="E63" s="83"/>
      <c r="F63" s="84"/>
      <c r="G63" s="81"/>
      <c r="H63" s="82"/>
      <c r="I63" s="83"/>
      <c r="J63" s="84"/>
      <c r="K63" s="81"/>
      <c r="L63" s="82"/>
      <c r="M63" s="85"/>
      <c r="N63" s="86"/>
      <c r="O63" s="9"/>
    </row>
    <row r="64" spans="1:15" ht="15">
      <c r="A64" s="9"/>
      <c r="B64" s="51"/>
      <c r="C64" s="81"/>
      <c r="D64" s="82"/>
      <c r="E64" s="83"/>
      <c r="F64" s="84"/>
      <c r="G64" s="81"/>
      <c r="H64" s="82"/>
      <c r="I64" s="83"/>
      <c r="J64" s="84"/>
      <c r="K64" s="81"/>
      <c r="L64" s="82"/>
      <c r="M64" s="85"/>
      <c r="N64" s="86"/>
      <c r="O64" s="9"/>
    </row>
    <row r="65" spans="1:15" ht="15">
      <c r="A65" s="9"/>
      <c r="B65" s="51"/>
      <c r="C65" s="81"/>
      <c r="D65" s="82"/>
      <c r="E65" s="83"/>
      <c r="F65" s="84"/>
      <c r="G65" s="81"/>
      <c r="H65" s="82"/>
      <c r="I65" s="83"/>
      <c r="J65" s="84"/>
      <c r="K65" s="81"/>
      <c r="L65" s="82"/>
      <c r="M65" s="85"/>
      <c r="N65" s="86"/>
      <c r="O65" s="9"/>
    </row>
    <row r="66" spans="1:15" ht="15">
      <c r="A66" s="9"/>
      <c r="B66" s="51"/>
      <c r="C66" s="81"/>
      <c r="D66" s="82"/>
      <c r="E66" s="83"/>
      <c r="F66" s="84"/>
      <c r="G66" s="81"/>
      <c r="H66" s="82"/>
      <c r="I66" s="83"/>
      <c r="J66" s="84"/>
      <c r="K66" s="81"/>
      <c r="L66" s="82"/>
      <c r="M66" s="85"/>
      <c r="N66" s="86"/>
      <c r="O66" s="9"/>
    </row>
    <row r="67" spans="1:15" ht="15">
      <c r="A67" s="9"/>
      <c r="B67" s="51"/>
      <c r="C67" s="81"/>
      <c r="D67" s="82"/>
      <c r="E67" s="83"/>
      <c r="F67" s="84"/>
      <c r="G67" s="81"/>
      <c r="H67" s="82"/>
      <c r="I67" s="83"/>
      <c r="J67" s="84"/>
      <c r="K67" s="81"/>
      <c r="L67" s="82"/>
      <c r="M67" s="85"/>
      <c r="N67" s="86"/>
      <c r="O67" s="9"/>
    </row>
    <row r="68" spans="1:15" ht="15">
      <c r="A68" s="9"/>
      <c r="B68" s="51"/>
      <c r="C68" s="81"/>
      <c r="D68" s="82"/>
      <c r="E68" s="83"/>
      <c r="F68" s="84"/>
      <c r="G68" s="81"/>
      <c r="H68" s="82"/>
      <c r="I68" s="83"/>
      <c r="J68" s="84"/>
      <c r="K68" s="81"/>
      <c r="L68" s="82"/>
      <c r="M68" s="85"/>
      <c r="N68" s="86"/>
      <c r="O68" s="9"/>
    </row>
    <row r="69" spans="1:15" ht="15">
      <c r="A69" s="9"/>
      <c r="B69" s="51"/>
      <c r="C69" s="81"/>
      <c r="D69" s="82"/>
      <c r="E69" s="83"/>
      <c r="F69" s="84"/>
      <c r="G69" s="81"/>
      <c r="H69" s="82"/>
      <c r="I69" s="83"/>
      <c r="J69" s="84"/>
      <c r="K69" s="81"/>
      <c r="L69" s="82"/>
      <c r="M69" s="85"/>
      <c r="N69" s="86"/>
      <c r="O69" s="9"/>
    </row>
    <row r="70" spans="1:15" ht="15">
      <c r="A70" s="9"/>
      <c r="B70" s="51"/>
      <c r="C70" s="81"/>
      <c r="D70" s="82"/>
      <c r="E70" s="83"/>
      <c r="F70" s="84"/>
      <c r="G70" s="81"/>
      <c r="H70" s="82"/>
      <c r="I70" s="83"/>
      <c r="J70" s="84"/>
      <c r="K70" s="81"/>
      <c r="L70" s="82"/>
      <c r="M70" s="85"/>
      <c r="N70" s="86"/>
      <c r="O70" s="9"/>
    </row>
    <row r="71" spans="1:15" ht="15">
      <c r="A71" s="9"/>
      <c r="B71" s="51"/>
      <c r="C71" s="81"/>
      <c r="D71" s="82"/>
      <c r="E71" s="83"/>
      <c r="F71" s="84"/>
      <c r="G71" s="81"/>
      <c r="H71" s="82"/>
      <c r="I71" s="83"/>
      <c r="J71" s="84"/>
      <c r="K71" s="81"/>
      <c r="L71" s="82"/>
      <c r="M71" s="85"/>
      <c r="N71" s="86"/>
      <c r="O71" s="9"/>
    </row>
    <row r="72" spans="1:15" ht="15">
      <c r="A72" s="9"/>
      <c r="B72" s="51"/>
      <c r="C72" s="81"/>
      <c r="D72" s="82"/>
      <c r="E72" s="83"/>
      <c r="F72" s="84"/>
      <c r="G72" s="81"/>
      <c r="H72" s="82"/>
      <c r="I72" s="83"/>
      <c r="J72" s="84"/>
      <c r="K72" s="81"/>
      <c r="L72" s="82"/>
      <c r="M72" s="85"/>
      <c r="N72" s="86"/>
      <c r="O72" s="9"/>
    </row>
    <row r="73" spans="1:15" ht="15">
      <c r="A73" s="9"/>
      <c r="B73" s="51"/>
      <c r="C73" s="81"/>
      <c r="D73" s="82"/>
      <c r="E73" s="83"/>
      <c r="F73" s="84"/>
      <c r="G73" s="81"/>
      <c r="H73" s="82"/>
      <c r="I73" s="83"/>
      <c r="J73" s="84"/>
      <c r="K73" s="81"/>
      <c r="L73" s="82"/>
      <c r="M73" s="85"/>
      <c r="N73" s="86"/>
      <c r="O73" s="9"/>
    </row>
    <row r="74" spans="1:15" ht="15">
      <c r="A74" s="9"/>
      <c r="B74" s="51"/>
      <c r="C74" s="81"/>
      <c r="D74" s="82"/>
      <c r="E74" s="83"/>
      <c r="F74" s="84"/>
      <c r="G74" s="81"/>
      <c r="H74" s="82"/>
      <c r="I74" s="83"/>
      <c r="J74" s="84"/>
      <c r="K74" s="81"/>
      <c r="L74" s="82"/>
      <c r="M74" s="85"/>
      <c r="N74" s="86"/>
      <c r="O74" s="9"/>
    </row>
    <row r="75" spans="1:15" ht="15">
      <c r="A75" s="9"/>
      <c r="B75" s="51"/>
      <c r="C75" s="81"/>
      <c r="D75" s="82"/>
      <c r="E75" s="83"/>
      <c r="F75" s="84"/>
      <c r="G75" s="81"/>
      <c r="H75" s="82"/>
      <c r="I75" s="83"/>
      <c r="J75" s="84"/>
      <c r="K75" s="81"/>
      <c r="L75" s="82"/>
      <c r="M75" s="85"/>
      <c r="N75" s="86"/>
      <c r="O75" s="9"/>
    </row>
    <row r="76" spans="1:15" ht="15">
      <c r="A76" s="9"/>
      <c r="B76" s="51"/>
      <c r="C76" s="81"/>
      <c r="D76" s="82"/>
      <c r="E76" s="83"/>
      <c r="F76" s="84"/>
      <c r="G76" s="81"/>
      <c r="H76" s="82"/>
      <c r="I76" s="83"/>
      <c r="J76" s="84"/>
      <c r="K76" s="81"/>
      <c r="L76" s="82"/>
      <c r="M76" s="85"/>
      <c r="N76" s="86"/>
      <c r="O76" s="9"/>
    </row>
    <row r="77" spans="1:15" ht="15">
      <c r="A77" s="9"/>
      <c r="B77" s="51"/>
      <c r="C77" s="81"/>
      <c r="D77" s="82"/>
      <c r="E77" s="83"/>
      <c r="F77" s="84"/>
      <c r="G77" s="81"/>
      <c r="H77" s="82"/>
      <c r="I77" s="83"/>
      <c r="J77" s="84"/>
      <c r="K77" s="81"/>
      <c r="L77" s="82"/>
      <c r="M77" s="85"/>
      <c r="N77" s="86"/>
      <c r="O77" s="9"/>
    </row>
    <row r="78" spans="1:15" ht="15">
      <c r="A78" s="9"/>
      <c r="B78" s="51"/>
      <c r="C78" s="81"/>
      <c r="D78" s="82"/>
      <c r="E78" s="83"/>
      <c r="F78" s="84"/>
      <c r="G78" s="81"/>
      <c r="H78" s="82"/>
      <c r="I78" s="83"/>
      <c r="J78" s="84"/>
      <c r="K78" s="81"/>
      <c r="L78" s="82"/>
      <c r="M78" s="85"/>
      <c r="N78" s="86"/>
      <c r="O78" s="9"/>
    </row>
    <row r="79" spans="1:15" ht="15">
      <c r="A79" s="9"/>
      <c r="B79" s="51"/>
      <c r="C79" s="81"/>
      <c r="D79" s="82"/>
      <c r="E79" s="83"/>
      <c r="F79" s="84"/>
      <c r="G79" s="81"/>
      <c r="H79" s="82"/>
      <c r="I79" s="83"/>
      <c r="J79" s="84"/>
      <c r="K79" s="81"/>
      <c r="L79" s="82"/>
      <c r="M79" s="85"/>
      <c r="N79" s="86"/>
      <c r="O79" s="9"/>
    </row>
    <row r="80" spans="1:15" ht="15">
      <c r="A80" s="9"/>
      <c r="B80" s="51"/>
      <c r="C80" s="81"/>
      <c r="D80" s="82"/>
      <c r="E80" s="83"/>
      <c r="F80" s="84"/>
      <c r="G80" s="81"/>
      <c r="H80" s="82"/>
      <c r="I80" s="83"/>
      <c r="J80" s="84"/>
      <c r="K80" s="81"/>
      <c r="L80" s="82"/>
      <c r="M80" s="85"/>
      <c r="N80" s="86"/>
      <c r="O80" s="9"/>
    </row>
    <row r="81" spans="1:15" ht="15">
      <c r="A81" s="9"/>
      <c r="B81" s="51"/>
      <c r="C81" s="81"/>
      <c r="D81" s="82"/>
      <c r="E81" s="83"/>
      <c r="F81" s="84"/>
      <c r="G81" s="81"/>
      <c r="H81" s="82"/>
      <c r="I81" s="83"/>
      <c r="J81" s="84"/>
      <c r="K81" s="81"/>
      <c r="L81" s="82"/>
      <c r="M81" s="85"/>
      <c r="N81" s="86"/>
      <c r="O81" s="9"/>
    </row>
    <row r="82" spans="1:15" ht="15">
      <c r="A82" s="9"/>
      <c r="B82" s="51"/>
      <c r="C82" s="81"/>
      <c r="D82" s="82"/>
      <c r="E82" s="83"/>
      <c r="F82" s="84"/>
      <c r="G82" s="81"/>
      <c r="H82" s="82"/>
      <c r="I82" s="83"/>
      <c r="J82" s="84"/>
      <c r="K82" s="81"/>
      <c r="L82" s="82"/>
      <c r="M82" s="85"/>
      <c r="N82" s="86"/>
      <c r="O82" s="9"/>
    </row>
    <row r="83" spans="1:15" ht="15">
      <c r="A83" s="9"/>
      <c r="B83" s="51"/>
      <c r="C83" s="81"/>
      <c r="D83" s="82"/>
      <c r="E83" s="83"/>
      <c r="F83" s="84"/>
      <c r="G83" s="81"/>
      <c r="H83" s="82"/>
      <c r="I83" s="83"/>
      <c r="J83" s="84"/>
      <c r="K83" s="81"/>
      <c r="L83" s="82"/>
      <c r="M83" s="85"/>
      <c r="N83" s="86"/>
      <c r="O83" s="9"/>
    </row>
    <row r="84" spans="1:15" ht="15">
      <c r="A84" s="9"/>
      <c r="B84" s="51"/>
      <c r="C84" s="81"/>
      <c r="D84" s="82"/>
      <c r="E84" s="83"/>
      <c r="F84" s="84"/>
      <c r="G84" s="81"/>
      <c r="H84" s="82"/>
      <c r="I84" s="83"/>
      <c r="J84" s="84"/>
      <c r="K84" s="81"/>
      <c r="L84" s="82"/>
      <c r="M84" s="85"/>
      <c r="N84" s="86"/>
      <c r="O84" s="9"/>
    </row>
    <row r="85" spans="1:15" ht="15">
      <c r="A85" s="9"/>
      <c r="B85" s="51"/>
      <c r="C85" s="81"/>
      <c r="D85" s="82"/>
      <c r="E85" s="83"/>
      <c r="F85" s="84"/>
      <c r="G85" s="81"/>
      <c r="H85" s="82"/>
      <c r="I85" s="83"/>
      <c r="J85" s="84"/>
      <c r="K85" s="81"/>
      <c r="L85" s="82"/>
      <c r="M85" s="85"/>
      <c r="N85" s="86"/>
      <c r="O85" s="9"/>
    </row>
    <row r="86" spans="1:15" ht="15">
      <c r="A86" s="9"/>
      <c r="B86" s="51"/>
      <c r="C86" s="81"/>
      <c r="D86" s="82"/>
      <c r="E86" s="83"/>
      <c r="F86" s="84"/>
      <c r="G86" s="81"/>
      <c r="H86" s="82"/>
      <c r="I86" s="83"/>
      <c r="J86" s="84"/>
      <c r="K86" s="81"/>
      <c r="L86" s="82"/>
      <c r="M86" s="85"/>
      <c r="N86" s="86"/>
      <c r="O86" s="9"/>
    </row>
    <row r="87" spans="1:15" ht="15">
      <c r="A87" s="9"/>
      <c r="B87" s="51"/>
      <c r="C87" s="81"/>
      <c r="D87" s="82"/>
      <c r="E87" s="83"/>
      <c r="F87" s="84"/>
      <c r="G87" s="81"/>
      <c r="H87" s="82"/>
      <c r="I87" s="83"/>
      <c r="J87" s="84"/>
      <c r="K87" s="81"/>
      <c r="L87" s="82"/>
      <c r="M87" s="85"/>
      <c r="N87" s="86"/>
      <c r="O87" s="9"/>
    </row>
    <row r="88" spans="1:15" ht="15">
      <c r="A88" s="9"/>
      <c r="B88" s="51"/>
      <c r="C88" s="81"/>
      <c r="D88" s="82"/>
      <c r="E88" s="83"/>
      <c r="F88" s="84"/>
      <c r="G88" s="81"/>
      <c r="H88" s="82"/>
      <c r="I88" s="83"/>
      <c r="J88" s="84"/>
      <c r="K88" s="81"/>
      <c r="L88" s="82"/>
      <c r="M88" s="85"/>
      <c r="N88" s="86"/>
      <c r="O88" s="9"/>
    </row>
    <row r="89" spans="1:15" ht="15">
      <c r="A89" s="9"/>
      <c r="B89" s="51"/>
      <c r="C89" s="81"/>
      <c r="D89" s="82"/>
      <c r="E89" s="83"/>
      <c r="F89" s="84"/>
      <c r="G89" s="81"/>
      <c r="H89" s="82"/>
      <c r="I89" s="83"/>
      <c r="J89" s="84"/>
      <c r="K89" s="81"/>
      <c r="L89" s="82"/>
      <c r="M89" s="85"/>
      <c r="N89" s="86"/>
      <c r="O89" s="9"/>
    </row>
    <row r="90" spans="1:15" ht="15">
      <c r="A90" s="9"/>
      <c r="B90" s="51"/>
      <c r="C90" s="81"/>
      <c r="D90" s="82"/>
      <c r="E90" s="83"/>
      <c r="F90" s="84"/>
      <c r="G90" s="81"/>
      <c r="H90" s="82"/>
      <c r="I90" s="83"/>
      <c r="J90" s="84"/>
      <c r="K90" s="81"/>
      <c r="L90" s="82"/>
      <c r="M90" s="85"/>
      <c r="N90" s="86"/>
      <c r="O90" s="9"/>
    </row>
    <row r="91" spans="1:15" ht="15">
      <c r="A91" s="9"/>
      <c r="B91" s="51"/>
      <c r="C91" s="81"/>
      <c r="D91" s="82"/>
      <c r="E91" s="83"/>
      <c r="F91" s="84"/>
      <c r="G91" s="81"/>
      <c r="H91" s="82"/>
      <c r="I91" s="83"/>
      <c r="J91" s="84"/>
      <c r="K91" s="81"/>
      <c r="L91" s="82"/>
      <c r="M91" s="85"/>
      <c r="N91" s="86"/>
      <c r="O91" s="9"/>
    </row>
    <row r="92" spans="1:15" ht="15">
      <c r="A92" s="9"/>
      <c r="B92" s="51"/>
      <c r="C92" s="81"/>
      <c r="D92" s="82"/>
      <c r="E92" s="83"/>
      <c r="F92" s="84"/>
      <c r="G92" s="81"/>
      <c r="H92" s="82"/>
      <c r="I92" s="83"/>
      <c r="J92" s="84"/>
      <c r="K92" s="81"/>
      <c r="L92" s="82"/>
      <c r="M92" s="85"/>
      <c r="N92" s="86"/>
      <c r="O92" s="9"/>
    </row>
    <row r="93" spans="1:15" ht="15">
      <c r="A93" s="9"/>
      <c r="B93" s="51"/>
      <c r="C93" s="81"/>
      <c r="D93" s="82"/>
      <c r="E93" s="83"/>
      <c r="F93" s="84"/>
      <c r="G93" s="81"/>
      <c r="H93" s="82"/>
      <c r="I93" s="83"/>
      <c r="J93" s="84"/>
      <c r="K93" s="81"/>
      <c r="L93" s="82"/>
      <c r="M93" s="85"/>
      <c r="N93" s="86"/>
      <c r="O93" s="9"/>
    </row>
    <row r="94" spans="1:15" ht="15">
      <c r="A94" s="9"/>
      <c r="B94" s="51"/>
      <c r="C94" s="81"/>
      <c r="D94" s="82"/>
      <c r="E94" s="83"/>
      <c r="F94" s="84"/>
      <c r="G94" s="81"/>
      <c r="H94" s="82"/>
      <c r="I94" s="83"/>
      <c r="J94" s="84"/>
      <c r="K94" s="81"/>
      <c r="L94" s="82"/>
      <c r="M94" s="85"/>
      <c r="N94" s="86"/>
      <c r="O94" s="9"/>
    </row>
    <row r="95" spans="1:15" ht="15">
      <c r="A95" s="9"/>
      <c r="B95" s="51"/>
      <c r="C95" s="81"/>
      <c r="D95" s="82"/>
      <c r="E95" s="83"/>
      <c r="F95" s="84"/>
      <c r="G95" s="81"/>
      <c r="H95" s="82"/>
      <c r="I95" s="83"/>
      <c r="J95" s="84"/>
      <c r="K95" s="81"/>
      <c r="L95" s="82"/>
      <c r="M95" s="85"/>
      <c r="N95" s="86"/>
      <c r="O95" s="9"/>
    </row>
    <row r="96" spans="1:15" ht="15">
      <c r="A96" s="9"/>
      <c r="B96" s="51"/>
      <c r="C96" s="81"/>
      <c r="D96" s="82"/>
      <c r="E96" s="83"/>
      <c r="F96" s="84"/>
      <c r="G96" s="81"/>
      <c r="H96" s="82"/>
      <c r="I96" s="83"/>
      <c r="J96" s="84"/>
      <c r="K96" s="81"/>
      <c r="L96" s="82"/>
      <c r="M96" s="85"/>
      <c r="N96" s="86"/>
      <c r="O96" s="9"/>
    </row>
    <row r="97" spans="1:15" ht="15">
      <c r="A97" s="9"/>
      <c r="B97" s="51"/>
      <c r="C97" s="81"/>
      <c r="D97" s="82"/>
      <c r="E97" s="83"/>
      <c r="F97" s="84"/>
      <c r="G97" s="81"/>
      <c r="H97" s="82"/>
      <c r="I97" s="83"/>
      <c r="J97" s="84"/>
      <c r="K97" s="81"/>
      <c r="L97" s="82"/>
      <c r="M97" s="85"/>
      <c r="N97" s="86"/>
      <c r="O97" s="9"/>
    </row>
    <row r="98" spans="1:15" ht="15">
      <c r="A98" s="9"/>
      <c r="B98" s="51"/>
      <c r="C98" s="81"/>
      <c r="D98" s="82"/>
      <c r="E98" s="83"/>
      <c r="F98" s="84"/>
      <c r="G98" s="81"/>
      <c r="H98" s="82"/>
      <c r="I98" s="83"/>
      <c r="J98" s="84"/>
      <c r="K98" s="81"/>
      <c r="L98" s="82"/>
      <c r="M98" s="85"/>
      <c r="N98" s="86"/>
      <c r="O98" s="9"/>
    </row>
    <row r="99" spans="1:15" ht="15">
      <c r="A99" s="9"/>
      <c r="B99" s="51"/>
      <c r="C99" s="81"/>
      <c r="D99" s="82"/>
      <c r="E99" s="83"/>
      <c r="F99" s="84"/>
      <c r="G99" s="81"/>
      <c r="H99" s="82"/>
      <c r="I99" s="83"/>
      <c r="J99" s="84"/>
      <c r="K99" s="81"/>
      <c r="L99" s="82"/>
      <c r="M99" s="85"/>
      <c r="N99" s="86"/>
      <c r="O99" s="9"/>
    </row>
    <row r="100" spans="1:15" ht="15">
      <c r="A100" s="9"/>
      <c r="B100" s="51"/>
      <c r="C100" s="81"/>
      <c r="D100" s="82"/>
      <c r="E100" s="83"/>
      <c r="F100" s="84"/>
      <c r="G100" s="81"/>
      <c r="H100" s="82"/>
      <c r="I100" s="83"/>
      <c r="J100" s="84"/>
      <c r="K100" s="81"/>
      <c r="L100" s="82"/>
      <c r="M100" s="85"/>
      <c r="N100" s="86"/>
      <c r="O100" s="9"/>
    </row>
    <row r="101" spans="1:15" ht="15">
      <c r="A101" s="9"/>
      <c r="B101" s="51"/>
      <c r="C101" s="81"/>
      <c r="D101" s="82"/>
      <c r="E101" s="83"/>
      <c r="F101" s="84"/>
      <c r="G101" s="81"/>
      <c r="H101" s="82"/>
      <c r="I101" s="83"/>
      <c r="J101" s="84"/>
      <c r="K101" s="81"/>
      <c r="L101" s="82"/>
      <c r="M101" s="85"/>
      <c r="N101" s="86"/>
      <c r="O101" s="9"/>
    </row>
    <row r="102" spans="1:15" ht="15">
      <c r="A102" s="9"/>
      <c r="B102" s="51"/>
      <c r="C102" s="81"/>
      <c r="D102" s="82"/>
      <c r="E102" s="83"/>
      <c r="F102" s="84"/>
      <c r="G102" s="81"/>
      <c r="H102" s="82"/>
      <c r="I102" s="83"/>
      <c r="J102" s="84"/>
      <c r="K102" s="81"/>
      <c r="L102" s="82"/>
      <c r="M102" s="85"/>
      <c r="N102" s="86"/>
      <c r="O102" s="9"/>
    </row>
    <row r="103" spans="1:15" ht="15">
      <c r="A103" s="9"/>
      <c r="B103" s="51"/>
      <c r="C103" s="81"/>
      <c r="D103" s="82"/>
      <c r="E103" s="83"/>
      <c r="F103" s="84"/>
      <c r="G103" s="81"/>
      <c r="H103" s="82"/>
      <c r="I103" s="83"/>
      <c r="J103" s="84"/>
      <c r="K103" s="81"/>
      <c r="L103" s="82"/>
      <c r="M103" s="85"/>
      <c r="N103" s="86"/>
      <c r="O103" s="9"/>
    </row>
    <row r="104" spans="1:15" ht="15">
      <c r="A104" s="9"/>
      <c r="B104" s="51"/>
      <c r="C104" s="81"/>
      <c r="D104" s="82"/>
      <c r="E104" s="83"/>
      <c r="F104" s="84"/>
      <c r="G104" s="81"/>
      <c r="H104" s="82"/>
      <c r="I104" s="83"/>
      <c r="J104" s="84"/>
      <c r="K104" s="81"/>
      <c r="L104" s="82"/>
      <c r="M104" s="85"/>
      <c r="N104" s="86"/>
      <c r="O104" s="9"/>
    </row>
    <row r="105" spans="1:15" ht="15">
      <c r="A105" s="9"/>
      <c r="B105" s="51"/>
      <c r="C105" s="81"/>
      <c r="D105" s="82"/>
      <c r="E105" s="83"/>
      <c r="F105" s="84"/>
      <c r="G105" s="81"/>
      <c r="H105" s="82"/>
      <c r="I105" s="83"/>
      <c r="J105" s="84"/>
      <c r="K105" s="81"/>
      <c r="L105" s="82"/>
      <c r="M105" s="85"/>
      <c r="N105" s="86"/>
      <c r="O105" s="9"/>
    </row>
    <row r="106" spans="1:15" ht="15">
      <c r="A106" s="9"/>
      <c r="B106" s="51"/>
      <c r="C106" s="81"/>
      <c r="D106" s="82"/>
      <c r="E106" s="83"/>
      <c r="F106" s="84"/>
      <c r="G106" s="81"/>
      <c r="H106" s="82"/>
      <c r="I106" s="83"/>
      <c r="J106" s="84"/>
      <c r="K106" s="81"/>
      <c r="L106" s="82"/>
      <c r="M106" s="85"/>
      <c r="N106" s="86"/>
      <c r="O106" s="9"/>
    </row>
    <row r="107" spans="1:15" ht="15">
      <c r="A107" s="9"/>
      <c r="B107" s="51"/>
      <c r="C107" s="81"/>
      <c r="D107" s="82"/>
      <c r="E107" s="83"/>
      <c r="F107" s="84"/>
      <c r="G107" s="81"/>
      <c r="H107" s="82"/>
      <c r="I107" s="83"/>
      <c r="J107" s="84"/>
      <c r="K107" s="81"/>
      <c r="L107" s="82"/>
      <c r="M107" s="85"/>
      <c r="N107" s="86"/>
      <c r="O107" s="9"/>
    </row>
    <row r="108" spans="1:15" ht="15">
      <c r="A108" s="9"/>
      <c r="B108" s="51"/>
      <c r="C108" s="81"/>
      <c r="D108" s="82"/>
      <c r="E108" s="83"/>
      <c r="F108" s="84"/>
      <c r="G108" s="81"/>
      <c r="H108" s="82"/>
      <c r="I108" s="83"/>
      <c r="J108" s="84"/>
      <c r="K108" s="81"/>
      <c r="L108" s="82"/>
      <c r="M108" s="85"/>
      <c r="N108" s="86"/>
      <c r="O108" s="9"/>
    </row>
    <row r="109" spans="1:15" ht="15">
      <c r="A109" s="9"/>
      <c r="B109" s="51"/>
      <c r="C109" s="81"/>
      <c r="D109" s="82"/>
      <c r="E109" s="83"/>
      <c r="F109" s="84"/>
      <c r="G109" s="81"/>
      <c r="H109" s="82"/>
      <c r="I109" s="83"/>
      <c r="J109" s="84"/>
      <c r="K109" s="81"/>
      <c r="L109" s="82"/>
      <c r="M109" s="85"/>
      <c r="N109" s="86"/>
      <c r="O109" s="9"/>
    </row>
    <row r="110" spans="1:15" ht="15">
      <c r="A110" s="9"/>
      <c r="B110" s="51"/>
      <c r="C110" s="81"/>
      <c r="D110" s="82"/>
      <c r="E110" s="83"/>
      <c r="F110" s="84"/>
      <c r="G110" s="81"/>
      <c r="H110" s="82"/>
      <c r="I110" s="83"/>
      <c r="J110" s="84"/>
      <c r="K110" s="81"/>
      <c r="L110" s="82"/>
      <c r="M110" s="85"/>
      <c r="N110" s="86"/>
      <c r="O110" s="9"/>
    </row>
    <row r="111" spans="1:15" ht="15">
      <c r="A111" s="9"/>
      <c r="B111" s="51"/>
      <c r="C111" s="81"/>
      <c r="D111" s="82"/>
      <c r="E111" s="83"/>
      <c r="F111" s="84"/>
      <c r="G111" s="81"/>
      <c r="H111" s="82"/>
      <c r="I111" s="83"/>
      <c r="J111" s="84"/>
      <c r="K111" s="81"/>
      <c r="L111" s="82"/>
      <c r="M111" s="85"/>
      <c r="N111" s="86"/>
      <c r="O111" s="9"/>
    </row>
    <row r="112" spans="1:15" ht="15">
      <c r="A112" s="9"/>
      <c r="B112" s="51"/>
      <c r="C112" s="81"/>
      <c r="D112" s="82"/>
      <c r="E112" s="83"/>
      <c r="F112" s="84"/>
      <c r="G112" s="81"/>
      <c r="H112" s="82"/>
      <c r="I112" s="83"/>
      <c r="J112" s="84"/>
      <c r="K112" s="81"/>
      <c r="L112" s="82"/>
      <c r="M112" s="85"/>
      <c r="N112" s="86"/>
      <c r="O112" s="9"/>
    </row>
    <row r="113" spans="1:15" ht="15">
      <c r="A113" s="9"/>
      <c r="B113" s="51"/>
      <c r="C113" s="81"/>
      <c r="D113" s="82"/>
      <c r="E113" s="83"/>
      <c r="F113" s="84"/>
      <c r="G113" s="81"/>
      <c r="H113" s="82"/>
      <c r="I113" s="83"/>
      <c r="J113" s="84"/>
      <c r="K113" s="81"/>
      <c r="L113" s="82"/>
      <c r="M113" s="85"/>
      <c r="N113" s="86"/>
      <c r="O113" s="9"/>
    </row>
    <row r="114" spans="1:15" ht="15">
      <c r="A114" s="9"/>
      <c r="B114" s="51"/>
      <c r="C114" s="81"/>
      <c r="D114" s="82"/>
      <c r="E114" s="83"/>
      <c r="F114" s="84"/>
      <c r="G114" s="81"/>
      <c r="H114" s="82"/>
      <c r="I114" s="83"/>
      <c r="J114" s="84"/>
      <c r="K114" s="81"/>
      <c r="L114" s="82"/>
      <c r="M114" s="85"/>
      <c r="N114" s="86"/>
      <c r="O114" s="9"/>
    </row>
    <row r="115" spans="1:15" ht="15">
      <c r="A115" s="9"/>
      <c r="B115" s="51"/>
      <c r="C115" s="81"/>
      <c r="D115" s="82"/>
      <c r="E115" s="83"/>
      <c r="F115" s="84"/>
      <c r="G115" s="81"/>
      <c r="H115" s="82"/>
      <c r="I115" s="83"/>
      <c r="J115" s="84"/>
      <c r="K115" s="81"/>
      <c r="L115" s="82"/>
      <c r="M115" s="85"/>
      <c r="N115" s="86"/>
      <c r="O115" s="9"/>
    </row>
    <row r="116" spans="1:15" ht="15">
      <c r="A116" s="9"/>
      <c r="B116" s="51"/>
      <c r="C116" s="81"/>
      <c r="D116" s="82"/>
      <c r="E116" s="83"/>
      <c r="F116" s="84"/>
      <c r="G116" s="81"/>
      <c r="H116" s="82"/>
      <c r="I116" s="83"/>
      <c r="J116" s="84"/>
      <c r="K116" s="81"/>
      <c r="L116" s="82"/>
      <c r="M116" s="85"/>
      <c r="N116" s="86"/>
      <c r="O116" s="9"/>
    </row>
    <row r="117" spans="1:15" ht="15">
      <c r="A117" s="9"/>
      <c r="B117" s="51"/>
      <c r="C117" s="81"/>
      <c r="D117" s="82"/>
      <c r="E117" s="83"/>
      <c r="F117" s="84"/>
      <c r="G117" s="81"/>
      <c r="H117" s="82"/>
      <c r="I117" s="83"/>
      <c r="J117" s="84"/>
      <c r="K117" s="81"/>
      <c r="L117" s="82"/>
      <c r="M117" s="85"/>
      <c r="N117" s="86"/>
      <c r="O117" s="9"/>
    </row>
    <row r="118" spans="1:15" ht="15">
      <c r="A118" s="9"/>
      <c r="B118" s="51"/>
      <c r="C118" s="81"/>
      <c r="D118" s="82"/>
      <c r="E118" s="83"/>
      <c r="F118" s="84"/>
      <c r="G118" s="81"/>
      <c r="H118" s="82"/>
      <c r="I118" s="83"/>
      <c r="J118" s="84"/>
      <c r="K118" s="81"/>
      <c r="L118" s="82"/>
      <c r="M118" s="85"/>
      <c r="N118" s="86"/>
      <c r="O118" s="9"/>
    </row>
  </sheetData>
  <sheetProtection/>
  <mergeCells count="6">
    <mergeCell ref="B4:B5"/>
    <mergeCell ref="C4:D4"/>
    <mergeCell ref="E4:F4"/>
    <mergeCell ref="G4:H4"/>
    <mergeCell ref="I4:J4"/>
    <mergeCell ref="K4:L4"/>
  </mergeCells>
  <printOptions/>
  <pageMargins left="0.25" right="0.25" top="0.75" bottom="0.75" header="0.3" footer="0.3"/>
  <pageSetup fitToHeight="1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8"/>
  <sheetViews>
    <sheetView tabSelected="1" workbookViewId="0" topLeftCell="A1">
      <selection activeCell="F2" sqref="F2"/>
    </sheetView>
  </sheetViews>
  <sheetFormatPr defaultColWidth="9.140625" defaultRowHeight="15"/>
  <cols>
    <col min="1" max="1" width="3.00390625" style="9" customWidth="1"/>
    <col min="2" max="2" width="45.8515625" style="0" customWidth="1"/>
    <col min="3" max="3" width="13.8515625" style="110" customWidth="1"/>
    <col min="4" max="4" width="11.8515625" style="31" hidden="1" customWidth="1"/>
    <col min="5" max="5" width="15.00390625" style="23" hidden="1" customWidth="1"/>
    <col min="6" max="6" width="10.57421875" style="35" bestFit="1" customWidth="1"/>
    <col min="7" max="7" width="9.140625" style="27" customWidth="1"/>
    <col min="8" max="8" width="10.7109375" style="35" bestFit="1" customWidth="1"/>
    <col min="9" max="9" width="9.140625" style="40" customWidth="1"/>
    <col min="10" max="10" width="11.140625" style="31" bestFit="1" customWidth="1"/>
    <col min="11" max="11" width="9.7109375" style="155" bestFit="1" customWidth="1"/>
    <col min="12" max="12" width="10.57421875" style="35" customWidth="1"/>
    <col min="13" max="13" width="9.140625" style="40" customWidth="1"/>
    <col min="14" max="14" width="11.8515625" style="35" bestFit="1" customWidth="1"/>
    <col min="15" max="15" width="10.28125" style="156" bestFit="1" customWidth="1"/>
    <col min="16" max="16" width="12.00390625" style="35" customWidth="1"/>
    <col min="17" max="17" width="9.140625" style="40" customWidth="1"/>
    <col min="18" max="18" width="11.28125" style="31" bestFit="1" customWidth="1"/>
    <col min="19" max="19" width="9.57421875" style="155" bestFit="1" customWidth="1"/>
    <col min="20" max="20" width="11.00390625" style="35" customWidth="1"/>
    <col min="21" max="21" width="10.421875" style="40" customWidth="1"/>
    <col min="22" max="22" width="12.140625" style="46" customWidth="1"/>
    <col min="23" max="23" width="11.00390625" style="47" bestFit="1" customWidth="1"/>
    <col min="24" max="24" width="12.140625" style="46" customWidth="1"/>
    <col min="25" max="25" width="11.00390625" style="47" bestFit="1" customWidth="1"/>
  </cols>
  <sheetData>
    <row r="1" spans="1:25" ht="15">
      <c r="A1" s="337" t="s">
        <v>56</v>
      </c>
      <c r="B1" s="12"/>
      <c r="C1" s="141"/>
      <c r="D1" s="147"/>
      <c r="E1" s="211"/>
      <c r="F1" s="212"/>
      <c r="G1" s="213"/>
      <c r="H1" s="214"/>
      <c r="I1" s="206"/>
      <c r="J1" s="214"/>
      <c r="K1" s="206"/>
      <c r="L1" s="214"/>
      <c r="M1" s="206"/>
      <c r="N1" s="214"/>
      <c r="O1" s="206"/>
      <c r="P1" s="214"/>
      <c r="Q1" s="206"/>
      <c r="R1" s="214"/>
      <c r="S1" s="206"/>
      <c r="T1" s="214"/>
      <c r="U1" s="206"/>
      <c r="V1" s="215"/>
      <c r="W1" s="216"/>
      <c r="X1" s="215"/>
      <c r="Y1" s="216"/>
    </row>
    <row r="2" spans="1:25" ht="15">
      <c r="A2" s="350" t="s">
        <v>48</v>
      </c>
      <c r="B2" s="1"/>
      <c r="C2" s="94"/>
      <c r="D2" s="147"/>
      <c r="E2" s="211"/>
      <c r="F2" s="212"/>
      <c r="G2" s="213"/>
      <c r="H2" s="214"/>
      <c r="I2" s="206"/>
      <c r="J2" s="214"/>
      <c r="K2" s="206"/>
      <c r="L2" s="214"/>
      <c r="M2" s="206"/>
      <c r="N2" s="214"/>
      <c r="O2" s="206"/>
      <c r="P2" s="214"/>
      <c r="Q2" s="206"/>
      <c r="R2" s="214"/>
      <c r="S2" s="206"/>
      <c r="T2" s="214"/>
      <c r="U2" s="206"/>
      <c r="V2" s="215"/>
      <c r="W2" s="216"/>
      <c r="X2" s="215"/>
      <c r="Y2" s="216"/>
    </row>
    <row r="3" spans="1:25" s="262" customFormat="1" ht="15">
      <c r="A3" s="258"/>
      <c r="B3" s="258"/>
      <c r="C3" s="259"/>
      <c r="D3" s="260"/>
      <c r="E3" s="261"/>
      <c r="F3" s="624" t="s">
        <v>62</v>
      </c>
      <c r="G3" s="625"/>
      <c r="H3" s="624" t="s">
        <v>63</v>
      </c>
      <c r="I3" s="625"/>
      <c r="J3" s="626" t="s">
        <v>62</v>
      </c>
      <c r="K3" s="627"/>
      <c r="L3" s="626" t="s">
        <v>63</v>
      </c>
      <c r="M3" s="627"/>
      <c r="N3" s="624" t="s">
        <v>62</v>
      </c>
      <c r="O3" s="625"/>
      <c r="P3" s="624" t="s">
        <v>63</v>
      </c>
      <c r="Q3" s="625"/>
      <c r="R3" s="626" t="s">
        <v>62</v>
      </c>
      <c r="S3" s="627"/>
      <c r="T3" s="626" t="s">
        <v>63</v>
      </c>
      <c r="U3" s="627"/>
      <c r="V3" s="624" t="s">
        <v>62</v>
      </c>
      <c r="W3" s="625"/>
      <c r="X3" s="626" t="s">
        <v>63</v>
      </c>
      <c r="Y3" s="627"/>
    </row>
    <row r="4" spans="1:25" s="262" customFormat="1" ht="15" customHeight="1">
      <c r="A4" s="338" t="s">
        <v>3</v>
      </c>
      <c r="B4" s="325"/>
      <c r="C4" s="617" t="s">
        <v>10</v>
      </c>
      <c r="D4" s="628">
        <v>2005</v>
      </c>
      <c r="E4" s="629"/>
      <c r="F4" s="630">
        <v>2006</v>
      </c>
      <c r="G4" s="631"/>
      <c r="H4" s="630">
        <v>2006</v>
      </c>
      <c r="I4" s="631"/>
      <c r="J4" s="633">
        <v>2007</v>
      </c>
      <c r="K4" s="633"/>
      <c r="L4" s="628">
        <v>2007</v>
      </c>
      <c r="M4" s="629"/>
      <c r="N4" s="630">
        <v>2008</v>
      </c>
      <c r="O4" s="631"/>
      <c r="P4" s="630">
        <v>2008</v>
      </c>
      <c r="Q4" s="631"/>
      <c r="R4" s="628">
        <v>2009</v>
      </c>
      <c r="S4" s="629"/>
      <c r="T4" s="628">
        <v>2009</v>
      </c>
      <c r="U4" s="629"/>
      <c r="V4" s="62" t="s">
        <v>49</v>
      </c>
      <c r="W4" s="63" t="s">
        <v>50</v>
      </c>
      <c r="X4" s="123" t="s">
        <v>49</v>
      </c>
      <c r="Y4" s="124" t="s">
        <v>50</v>
      </c>
    </row>
    <row r="5" spans="1:25" s="262" customFormat="1" ht="15">
      <c r="A5" s="339" t="s">
        <v>4</v>
      </c>
      <c r="B5" s="326"/>
      <c r="C5" s="632"/>
      <c r="D5" s="263" t="s">
        <v>16</v>
      </c>
      <c r="E5" s="264" t="s">
        <v>17</v>
      </c>
      <c r="F5" s="265" t="s">
        <v>16</v>
      </c>
      <c r="G5" s="266" t="s">
        <v>17</v>
      </c>
      <c r="H5" s="265" t="s">
        <v>16</v>
      </c>
      <c r="I5" s="267" t="s">
        <v>17</v>
      </c>
      <c r="J5" s="263" t="s">
        <v>16</v>
      </c>
      <c r="K5" s="268" t="s">
        <v>17</v>
      </c>
      <c r="L5" s="263" t="s">
        <v>16</v>
      </c>
      <c r="M5" s="268" t="s">
        <v>17</v>
      </c>
      <c r="N5" s="265" t="s">
        <v>16</v>
      </c>
      <c r="O5" s="267" t="s">
        <v>17</v>
      </c>
      <c r="P5" s="265" t="s">
        <v>16</v>
      </c>
      <c r="Q5" s="267" t="s">
        <v>17</v>
      </c>
      <c r="R5" s="263" t="s">
        <v>16</v>
      </c>
      <c r="S5" s="268" t="s">
        <v>17</v>
      </c>
      <c r="T5" s="263" t="s">
        <v>16</v>
      </c>
      <c r="U5" s="268" t="s">
        <v>17</v>
      </c>
      <c r="V5" s="44"/>
      <c r="W5" s="45"/>
      <c r="X5" s="125"/>
      <c r="Y5" s="126"/>
    </row>
    <row r="6" spans="1:25" ht="15">
      <c r="A6" s="340" t="s">
        <v>5</v>
      </c>
      <c r="B6" s="327"/>
      <c r="C6" s="159"/>
      <c r="D6" s="147"/>
      <c r="L6" s="31"/>
      <c r="M6" s="41"/>
      <c r="T6" s="31"/>
      <c r="U6" s="41"/>
      <c r="X6" s="127"/>
      <c r="Y6" s="128"/>
    </row>
    <row r="7" spans="1:25" s="169" customFormat="1" ht="15">
      <c r="A7" s="323" t="s">
        <v>72</v>
      </c>
      <c r="B7" s="328"/>
      <c r="C7" s="164"/>
      <c r="D7" s="250"/>
      <c r="E7" s="251"/>
      <c r="F7" s="228"/>
      <c r="G7" s="251"/>
      <c r="H7" s="228"/>
      <c r="I7" s="252"/>
      <c r="J7" s="228"/>
      <c r="K7" s="253"/>
      <c r="L7" s="228"/>
      <c r="M7" s="252"/>
      <c r="N7" s="228"/>
      <c r="O7" s="253"/>
      <c r="P7" s="228"/>
      <c r="Q7" s="252"/>
      <c r="R7" s="228"/>
      <c r="S7" s="253"/>
      <c r="T7" s="228"/>
      <c r="U7" s="252"/>
      <c r="V7" s="254"/>
      <c r="W7" s="255"/>
      <c r="X7" s="254"/>
      <c r="Y7" s="255"/>
    </row>
    <row r="8" spans="1:25" s="262" customFormat="1" ht="15">
      <c r="A8" s="324" t="s">
        <v>95</v>
      </c>
      <c r="B8" s="336"/>
      <c r="C8" s="353">
        <v>2005</v>
      </c>
      <c r="D8" s="354"/>
      <c r="E8" s="128"/>
      <c r="F8" s="355">
        <f>SUM(F9:F17)</f>
        <v>98903.9007</v>
      </c>
      <c r="G8" s="356">
        <f aca="true" t="shared" si="0" ref="G8:Q8">SUM(G9:G17)</f>
        <v>5.786856147540984</v>
      </c>
      <c r="H8" s="355">
        <f t="shared" si="0"/>
        <v>109697.671</v>
      </c>
      <c r="I8" s="356">
        <f t="shared" si="0"/>
        <v>6.4298401639344265</v>
      </c>
      <c r="J8" s="357">
        <f t="shared" si="0"/>
        <v>98903.9007</v>
      </c>
      <c r="K8" s="359">
        <f t="shared" si="0"/>
        <v>5.786856147540984</v>
      </c>
      <c r="L8" s="357">
        <f t="shared" si="0"/>
        <v>109697.671</v>
      </c>
      <c r="M8" s="359">
        <f t="shared" si="0"/>
        <v>6.4298401639344265</v>
      </c>
      <c r="N8" s="355">
        <f t="shared" si="0"/>
        <v>98903.9007</v>
      </c>
      <c r="O8" s="356">
        <f t="shared" si="0"/>
        <v>5.786856147540984</v>
      </c>
      <c r="P8" s="355">
        <f t="shared" si="0"/>
        <v>109697.671</v>
      </c>
      <c r="Q8" s="356">
        <f t="shared" si="0"/>
        <v>6.4298401639344265</v>
      </c>
      <c r="R8" s="357">
        <f>'[2]Avoided Load Profile'!$BA$10+'[3]Avoided Load Profile'!$BA$10+'[4]Avoided Load Profile'!$BA$10+'[5]Avoided Load Profile'!$BA$10+'[6]Avoided Load Profile'!$BA$10+'[7]Avoided Load Profile'!$BA$10+'[8]Avoided Load Profile'!$BA$10+'[9]Avoided Load Profile'!$BA$10+'[10]Avoided Load Profile'!$BA$10</f>
        <v>60415.22610000001</v>
      </c>
      <c r="S8" s="358">
        <f>'[2]Avoided Load Profile'!$BE$10+'[3]Avoided Load Profile'!$BE$10+'[4]Avoided Load Profile'!$BE$10+'[5]Avoided Load Profile'!$BE$10+'[6]Avoided Load Profile'!$BE$10+'[7]Avoided Load Profile'!$BE$10+'[8]Avoided Load Profile'!$BE$10+'[9]Avoided Load Profile'!$BE$10+'[10]Avoided Load Profile'!$BE$10</f>
        <v>6.399756147540985</v>
      </c>
      <c r="T8" s="357">
        <f>'[2]Avoided Load Profile'!$BC$10+'[3]Avoided Load Profile'!$BC$10+'[4]Avoided Load Profile'!$BC$10+'[5]Avoided Load Profile'!$BC$10+'[6]Avoided Load Profile'!$BC$10+'[7]Avoided Load Profile'!$BC$10+'[8]Avoided Load Profile'!$BC$10+'[9]Avoided Load Profile'!$BC$10+'[10]Avoided Load Profile'!$BC$10</f>
        <v>66646.403</v>
      </c>
      <c r="U8" s="359">
        <f>'[2]Avoided Load Profile'!$BF$10+'[3]Avoided Load Profile'!$BF$10+'[4]Avoided Load Profile'!$BF$10+'[5]Avoided Load Profile'!$BF$10+'[6]Avoided Load Profile'!$BF$10+'[7]Avoided Load Profile'!$BF$10+'[8]Avoided Load Profile'!$BF$10+'[9]Avoided Load Profile'!$BF$10+'[10]Avoided Load Profile'!$BF$10</f>
        <v>7.1108401639344265</v>
      </c>
      <c r="V8" s="46">
        <f aca="true" t="shared" si="1" ref="V8:W22">D8+F8+J8+N8+R8</f>
        <v>357126.9282</v>
      </c>
      <c r="W8" s="47">
        <f t="shared" si="1"/>
        <v>23.760324590163936</v>
      </c>
      <c r="X8" s="127">
        <f>H8+L8+P8+T8</f>
        <v>395739.416</v>
      </c>
      <c r="Y8" s="128">
        <f>M8+Q8+U8</f>
        <v>19.970520491803278</v>
      </c>
    </row>
    <row r="9" spans="1:25" ht="15">
      <c r="A9" s="149"/>
      <c r="B9" s="329" t="s">
        <v>104</v>
      </c>
      <c r="C9" s="151"/>
      <c r="D9" s="147"/>
      <c r="F9" s="35">
        <f>'[31]Avoided Load Profile'!$BA$7</f>
        <v>63986.76</v>
      </c>
      <c r="G9" s="27">
        <f>'[31]Avoided Load Profile'!$BE$7</f>
        <v>0</v>
      </c>
      <c r="H9" s="35">
        <f>'[31]Avoided Load Profile'!$BC$7</f>
        <v>71096.4</v>
      </c>
      <c r="I9" s="40">
        <f>'[31]Avoided Load Profile'!$BF$7</f>
        <v>0</v>
      </c>
      <c r="J9" s="31">
        <f>'[31]Avoided Load Profile'!$BA$8</f>
        <v>63986.76</v>
      </c>
      <c r="K9" s="155">
        <f>'[31]Avoided Load Profile'!$BE$8</f>
        <v>0</v>
      </c>
      <c r="L9" s="31">
        <f>'[31]Avoided Load Profile'!$BC$8</f>
        <v>71096.4</v>
      </c>
      <c r="M9" s="41">
        <f>'[31]Avoided Load Profile'!$BF$8</f>
        <v>0</v>
      </c>
      <c r="N9" s="35">
        <f>'[31]Avoided Load Profile'!$BA$9</f>
        <v>63986.76</v>
      </c>
      <c r="O9" s="156">
        <f>'[31]Avoided Load Profile'!$BE$9</f>
        <v>0</v>
      </c>
      <c r="P9" s="35">
        <f>'[31]Avoided Load Profile'!$BC$9</f>
        <v>71096.4</v>
      </c>
      <c r="Q9" s="40">
        <f>'[31]Avoided Load Profile'!$BF$9</f>
        <v>0</v>
      </c>
      <c r="R9" s="31">
        <f>'[2]Avoided Load Profile'!$BA$10</f>
        <v>26477.280000000002</v>
      </c>
      <c r="S9" s="155">
        <f>'[2]Avoided Load Profile'!$BE$10</f>
        <v>0.6129000000000001</v>
      </c>
      <c r="T9" s="31">
        <f>'[2]Avoided Load Profile'!$BC$10</f>
        <v>29419.2</v>
      </c>
      <c r="U9" s="41">
        <f>'[2]Avoided Load Profile'!$BF$10</f>
        <v>0.6810000000000002</v>
      </c>
      <c r="V9" s="361">
        <f t="shared" si="1"/>
        <v>218437.56</v>
      </c>
      <c r="W9" s="362">
        <f t="shared" si="1"/>
        <v>0.6129000000000001</v>
      </c>
      <c r="X9" s="363">
        <f aca="true" t="shared" si="2" ref="X9:X17">H9+L9+P9+T9</f>
        <v>242708.4</v>
      </c>
      <c r="Y9" s="364">
        <f aca="true" t="shared" si="3" ref="Y9:Y17">M9+Q9+U9</f>
        <v>0.6810000000000002</v>
      </c>
    </row>
    <row r="10" spans="1:25" ht="15">
      <c r="A10" s="149"/>
      <c r="B10" s="329" t="s">
        <v>105</v>
      </c>
      <c r="C10" s="151"/>
      <c r="D10" s="147"/>
      <c r="F10" s="35">
        <f>'[32]Avoided Load Profile'!$BA$7</f>
        <v>1212.3</v>
      </c>
      <c r="G10" s="27">
        <f>'[32]Avoided Load Profile'!$BE$7</f>
        <v>0.0405</v>
      </c>
      <c r="H10" s="35">
        <f>'[32]Avoided Load Profile'!$BC$7</f>
        <v>1347</v>
      </c>
      <c r="I10" s="40">
        <f>'[32]Avoided Load Profile'!$BF$7</f>
        <v>0.045</v>
      </c>
      <c r="J10" s="31">
        <f>'[32]Avoided Load Profile'!$BA$8</f>
        <v>1212.3</v>
      </c>
      <c r="K10" s="155">
        <f>'[32]Avoided Load Profile'!$BE$8</f>
        <v>0.0405</v>
      </c>
      <c r="L10" s="31">
        <f>'[32]Avoided Load Profile'!$BC$8</f>
        <v>1347</v>
      </c>
      <c r="M10" s="41">
        <f>'[32]Avoided Load Profile'!$BF$8</f>
        <v>0.045</v>
      </c>
      <c r="N10" s="35">
        <f>'[32]Avoided Load Profile'!$BA$9</f>
        <v>1212.3</v>
      </c>
      <c r="O10" s="156">
        <f>'[32]Avoided Load Profile'!$BE$9</f>
        <v>0.0405</v>
      </c>
      <c r="P10" s="35">
        <f>'[32]Avoided Load Profile'!$BC$9</f>
        <v>1347</v>
      </c>
      <c r="Q10" s="40">
        <f>'[32]Avoided Load Profile'!$BF$9</f>
        <v>0.045</v>
      </c>
      <c r="R10" s="31">
        <f>'[3]Avoided Load Profile'!$BA$10</f>
        <v>1212.3</v>
      </c>
      <c r="S10" s="155">
        <f>'[3]Avoided Load Profile'!$BE$10</f>
        <v>0.0405</v>
      </c>
      <c r="T10" s="31">
        <f>'[3]Avoided Load Profile'!$BC$10</f>
        <v>1347</v>
      </c>
      <c r="U10" s="41">
        <f>'[3]Avoided Load Profile'!$BF$10</f>
        <v>0.045</v>
      </c>
      <c r="V10" s="361">
        <f t="shared" si="1"/>
        <v>4849.2</v>
      </c>
      <c r="W10" s="362">
        <f t="shared" si="1"/>
        <v>0.162</v>
      </c>
      <c r="X10" s="363">
        <f t="shared" si="2"/>
        <v>5388</v>
      </c>
      <c r="Y10" s="364">
        <f t="shared" si="3"/>
        <v>0.135</v>
      </c>
    </row>
    <row r="11" spans="1:25" ht="15">
      <c r="A11" s="149"/>
      <c r="B11" s="329" t="s">
        <v>106</v>
      </c>
      <c r="C11" s="151"/>
      <c r="D11" s="147"/>
      <c r="F11" s="35">
        <f>'[33]Avoided Load Profile'!$BA$7</f>
        <v>5011.146000000001</v>
      </c>
      <c r="G11" s="27">
        <f>'[33]Avoided Load Profile'!$BE$7</f>
        <v>5.134370901639345</v>
      </c>
      <c r="H11" s="35">
        <f>'[33]Avoided Load Profile'!$BC$7</f>
        <v>5567.9400000000005</v>
      </c>
      <c r="I11" s="40">
        <f>'[33]Avoided Load Profile'!$BF$7</f>
        <v>5.70485655737705</v>
      </c>
      <c r="J11" s="31">
        <f>'[33]Avoided Load Profile'!$BA$8</f>
        <v>5011.146000000001</v>
      </c>
      <c r="K11" s="155">
        <f>'[33]Avoided Load Profile'!$BE$8</f>
        <v>5.134370901639345</v>
      </c>
      <c r="L11" s="31">
        <f>'[33]Avoided Load Profile'!$BC$8</f>
        <v>5567.9400000000005</v>
      </c>
      <c r="M11" s="41">
        <f>'[33]Avoided Load Profile'!$BF$8</f>
        <v>5.70485655737705</v>
      </c>
      <c r="N11" s="35">
        <f>'[33]Avoided Load Profile'!$BA$9</f>
        <v>5011.146000000001</v>
      </c>
      <c r="O11" s="156">
        <f>'[33]Avoided Load Profile'!$BE$9</f>
        <v>5.134370901639345</v>
      </c>
      <c r="P11" s="35">
        <f>'[33]Avoided Load Profile'!$BC$9</f>
        <v>5567.9400000000005</v>
      </c>
      <c r="Q11" s="40">
        <f>'[33]Avoided Load Profile'!$BF$9</f>
        <v>5.70485655737705</v>
      </c>
      <c r="R11" s="31">
        <f>'[4]Avoided Load Profile'!$BA$10</f>
        <v>5011.146000000001</v>
      </c>
      <c r="S11" s="155">
        <f>'[4]Avoided Load Profile'!$BE$10</f>
        <v>5.134370901639345</v>
      </c>
      <c r="T11" s="31">
        <f>'[4]Avoided Load Profile'!$BC$10</f>
        <v>5567.9400000000005</v>
      </c>
      <c r="U11" s="41">
        <f>'[4]Avoided Load Profile'!$BF$10</f>
        <v>5.70485655737705</v>
      </c>
      <c r="V11" s="361">
        <f t="shared" si="1"/>
        <v>20044.584000000003</v>
      </c>
      <c r="W11" s="362">
        <f t="shared" si="1"/>
        <v>20.53748360655738</v>
      </c>
      <c r="X11" s="363">
        <f t="shared" si="2"/>
        <v>22271.760000000002</v>
      </c>
      <c r="Y11" s="364">
        <f t="shared" si="3"/>
        <v>17.11456967213115</v>
      </c>
    </row>
    <row r="12" spans="1:25" ht="15">
      <c r="A12" s="149"/>
      <c r="B12" s="329" t="s">
        <v>107</v>
      </c>
      <c r="C12" s="151"/>
      <c r="D12" s="147"/>
      <c r="F12" s="35">
        <f>'[34]Avoided Load Profile'!$BA$7</f>
        <v>17156.2131</v>
      </c>
      <c r="G12" s="27">
        <f>'[34]Avoided Load Profile'!$BE$7</f>
        <v>0</v>
      </c>
      <c r="H12" s="35">
        <f>'[34]Avoided Load Profile'!$BC$7</f>
        <v>19062.459</v>
      </c>
      <c r="I12" s="40">
        <f>'[34]Avoided Load Profile'!$BF$7</f>
        <v>0</v>
      </c>
      <c r="J12" s="31">
        <f>'[34]Avoided Load Profile'!$BA$8</f>
        <v>17156.2131</v>
      </c>
      <c r="K12" s="155">
        <f>'[34]Avoided Load Profile'!$BE$8</f>
        <v>0</v>
      </c>
      <c r="L12" s="31">
        <f>'[34]Avoided Load Profile'!$BC$8</f>
        <v>19062.459</v>
      </c>
      <c r="M12" s="41">
        <f>'[34]Avoided Load Profile'!$BF$8</f>
        <v>0</v>
      </c>
      <c r="N12" s="35">
        <f>'[34]Avoided Load Profile'!$BA$9</f>
        <v>17156.2131</v>
      </c>
      <c r="O12" s="156">
        <f>'[34]Avoided Load Profile'!$BE$9</f>
        <v>0</v>
      </c>
      <c r="P12" s="35">
        <f>'[34]Avoided Load Profile'!$BC$9</f>
        <v>19062.459</v>
      </c>
      <c r="Q12" s="40">
        <f>'[34]Avoided Load Profile'!$BF$9</f>
        <v>0</v>
      </c>
      <c r="R12" s="31">
        <f>'[5]Avoided Load Profile'!$BA$10</f>
        <v>17156.2131</v>
      </c>
      <c r="S12" s="155">
        <f>'[5]Avoided Load Profile'!$BE$10</f>
        <v>0</v>
      </c>
      <c r="T12" s="31">
        <f>'[5]Avoided Load Profile'!$BC$10</f>
        <v>19062.459</v>
      </c>
      <c r="U12" s="41">
        <f>'[5]Avoided Load Profile'!$BF$10</f>
        <v>0</v>
      </c>
      <c r="V12" s="361">
        <f t="shared" si="1"/>
        <v>68624.8524</v>
      </c>
      <c r="W12" s="362">
        <f t="shared" si="1"/>
        <v>0</v>
      </c>
      <c r="X12" s="363">
        <f t="shared" si="2"/>
        <v>76249.836</v>
      </c>
      <c r="Y12" s="364">
        <f t="shared" si="3"/>
        <v>0</v>
      </c>
    </row>
    <row r="13" spans="1:25" ht="15">
      <c r="A13" s="149"/>
      <c r="B13" s="329" t="s">
        <v>108</v>
      </c>
      <c r="C13" s="151"/>
      <c r="D13" s="147"/>
      <c r="F13" s="35">
        <f>'[35]Avoided Load Profile'!$BA$7</f>
        <v>2418.3846</v>
      </c>
      <c r="G13" s="27">
        <f>'[35]Avoided Load Profile'!$BE$7</f>
        <v>0</v>
      </c>
      <c r="H13" s="35">
        <f>'[35]Avoided Load Profile'!$BC$7</f>
        <v>2545.668</v>
      </c>
      <c r="I13" s="40">
        <f>'[35]Avoided Load Profile'!$BF$7</f>
        <v>0</v>
      </c>
      <c r="J13" s="31">
        <f>'[35]Avoided Load Profile'!$BA$8</f>
        <v>2418.3846</v>
      </c>
      <c r="K13" s="155">
        <f>'[35]Avoided Load Profile'!$BE$8</f>
        <v>0</v>
      </c>
      <c r="L13" s="31">
        <f>'[35]Avoided Load Profile'!$BC$8</f>
        <v>2545.668</v>
      </c>
      <c r="M13" s="41">
        <f>'[35]Avoided Load Profile'!$BF$8</f>
        <v>0</v>
      </c>
      <c r="N13" s="35">
        <f>'[35]Avoided Load Profile'!$BA$9</f>
        <v>2418.3846</v>
      </c>
      <c r="O13" s="156">
        <f>'[35]Avoided Load Profile'!$BE$9</f>
        <v>0</v>
      </c>
      <c r="P13" s="35">
        <f>'[35]Avoided Load Profile'!$BC$9</f>
        <v>2545.668</v>
      </c>
      <c r="Q13" s="40">
        <f>'[35]Avoided Load Profile'!$BF$9</f>
        <v>0</v>
      </c>
      <c r="R13" s="31">
        <f>'[6]Avoided Load Profile'!$BA$10</f>
        <v>7310.25</v>
      </c>
      <c r="S13" s="155">
        <f>'[6]Avoided Load Profile'!$BE$10</f>
        <v>0</v>
      </c>
      <c r="T13" s="31">
        <f>'[6]Avoided Load Profile'!$BC$10</f>
        <v>7695</v>
      </c>
      <c r="U13" s="41">
        <f>'[6]Avoided Load Profile'!$BF$10</f>
        <v>0</v>
      </c>
      <c r="V13" s="361">
        <f t="shared" si="1"/>
        <v>14565.4038</v>
      </c>
      <c r="W13" s="362">
        <f t="shared" si="1"/>
        <v>0</v>
      </c>
      <c r="X13" s="363">
        <f t="shared" si="2"/>
        <v>15332.004</v>
      </c>
      <c r="Y13" s="364">
        <f t="shared" si="3"/>
        <v>0</v>
      </c>
    </row>
    <row r="14" spans="1:25" ht="15">
      <c r="A14" s="149"/>
      <c r="B14" s="329" t="s">
        <v>109</v>
      </c>
      <c r="C14" s="151"/>
      <c r="D14" s="147"/>
      <c r="F14" s="35">
        <f>'[36]Avoided Load Profile'!$BA$7</f>
        <v>925.5545999999999</v>
      </c>
      <c r="G14" s="27">
        <f>'[36]Avoided Load Profile'!$BE$7</f>
        <v>0</v>
      </c>
      <c r="H14" s="35">
        <f>'[36]Avoided Load Profile'!$BC$7</f>
        <v>974.268</v>
      </c>
      <c r="I14" s="40">
        <f>'[36]Avoided Load Profile'!$BF$7</f>
        <v>0</v>
      </c>
      <c r="J14" s="31">
        <f>'[36]Avoided Load Profile'!$BA$8</f>
        <v>925.5545999999999</v>
      </c>
      <c r="K14" s="155">
        <f>'[36]Avoided Load Profile'!$BE$8</f>
        <v>0</v>
      </c>
      <c r="L14" s="31">
        <f>'[36]Avoided Load Profile'!$BC$8</f>
        <v>974.268</v>
      </c>
      <c r="M14" s="41">
        <f>'[36]Avoided Load Profile'!$BF$8</f>
        <v>0</v>
      </c>
      <c r="N14" s="35">
        <f>'[36]Avoided Load Profile'!$BA$9</f>
        <v>925.5545999999999</v>
      </c>
      <c r="O14" s="156">
        <f>'[36]Avoided Load Profile'!$BE$9</f>
        <v>0</v>
      </c>
      <c r="P14" s="35">
        <f>'[36]Avoided Load Profile'!$BC$9</f>
        <v>974.268</v>
      </c>
      <c r="Q14" s="40">
        <f>'[36]Avoided Load Profile'!$BF$9</f>
        <v>0</v>
      </c>
      <c r="R14" s="31">
        <f>'[7]Avoided Load Profile'!$BA$10</f>
        <v>925.5545999999999</v>
      </c>
      <c r="S14" s="155">
        <f>'[7]Avoided Load Profile'!$BE$10</f>
        <v>0</v>
      </c>
      <c r="T14" s="31">
        <f>'[7]Avoided Load Profile'!$BC$10</f>
        <v>974.268</v>
      </c>
      <c r="U14" s="41">
        <f>'[7]Avoided Load Profile'!$BF$10</f>
        <v>0</v>
      </c>
      <c r="V14" s="361">
        <f t="shared" si="1"/>
        <v>3702.2183999999997</v>
      </c>
      <c r="W14" s="362">
        <f t="shared" si="1"/>
        <v>0</v>
      </c>
      <c r="X14" s="363">
        <f t="shared" si="2"/>
        <v>3897.072</v>
      </c>
      <c r="Y14" s="364">
        <f t="shared" si="3"/>
        <v>0</v>
      </c>
    </row>
    <row r="15" spans="1:25" ht="15">
      <c r="A15" s="149"/>
      <c r="B15" s="329" t="s">
        <v>111</v>
      </c>
      <c r="C15" s="151"/>
      <c r="D15" s="147"/>
      <c r="F15" s="35">
        <f>'[37]Avoided Load Profile'!$BA$7</f>
        <v>572.7024</v>
      </c>
      <c r="G15" s="27">
        <f>'[37]Avoided Load Profile'!$BE$7</f>
        <v>0.5867852459016394</v>
      </c>
      <c r="H15" s="35">
        <f>'[37]Avoided Load Profile'!$BC$7</f>
        <v>636.336</v>
      </c>
      <c r="I15" s="40">
        <f>'[37]Avoided Load Profile'!$BF$7</f>
        <v>0.6519836065573771</v>
      </c>
      <c r="J15" s="31">
        <f>'[37]Avoided Load Profile'!$BA$8</f>
        <v>572.7024</v>
      </c>
      <c r="K15" s="155">
        <f>'[37]Avoided Load Profile'!$BE$8</f>
        <v>0.5867852459016394</v>
      </c>
      <c r="L15" s="31">
        <f>'[37]Avoided Load Profile'!$BC$8</f>
        <v>636.336</v>
      </c>
      <c r="M15" s="41">
        <f>'[37]Avoided Load Profile'!$BF$8</f>
        <v>0.6519836065573771</v>
      </c>
      <c r="N15" s="35">
        <f>'[37]Avoided Load Profile'!$BA$9</f>
        <v>572.7024</v>
      </c>
      <c r="O15" s="156">
        <f>'[37]Avoided Load Profile'!$BE$9</f>
        <v>0.5867852459016394</v>
      </c>
      <c r="P15" s="35">
        <f>'[37]Avoided Load Profile'!$BC$9</f>
        <v>636.336</v>
      </c>
      <c r="Q15" s="40">
        <f>'[37]Avoided Load Profile'!$BF$9</f>
        <v>0.6519836065573771</v>
      </c>
      <c r="R15" s="31">
        <f>'[8]Avoided Load Profile'!$BA$10</f>
        <v>572.7024</v>
      </c>
      <c r="S15" s="155">
        <f>'[8]Avoided Load Profile'!$BE$10</f>
        <v>0.5867852459016394</v>
      </c>
      <c r="T15" s="31">
        <f>'[8]Avoided Load Profile'!$BC$10</f>
        <v>636.336</v>
      </c>
      <c r="U15" s="41">
        <f>'[8]Avoided Load Profile'!$BF$10</f>
        <v>0.6519836065573771</v>
      </c>
      <c r="V15" s="361">
        <f t="shared" si="1"/>
        <v>2290.8096</v>
      </c>
      <c r="W15" s="362">
        <f t="shared" si="1"/>
        <v>2.3471409836065575</v>
      </c>
      <c r="X15" s="363">
        <f t="shared" si="2"/>
        <v>2545.344</v>
      </c>
      <c r="Y15" s="364">
        <f t="shared" si="3"/>
        <v>1.9559508196721311</v>
      </c>
    </row>
    <row r="16" spans="1:25" ht="15">
      <c r="A16" s="149"/>
      <c r="B16" s="329" t="s">
        <v>112</v>
      </c>
      <c r="C16" s="151"/>
      <c r="D16" s="147"/>
      <c r="F16" s="35">
        <f>'[38]Avoided Load Profile'!$BA$7</f>
        <v>788.04</v>
      </c>
      <c r="G16" s="27">
        <f>'[38]Avoided Load Profile'!$BE$7</f>
        <v>0.0252</v>
      </c>
      <c r="H16" s="35">
        <f>'[38]Avoided Load Profile'!$BC$7</f>
        <v>875.5999999999999</v>
      </c>
      <c r="I16" s="40">
        <f>'[38]Avoided Load Profile'!$BF$7</f>
        <v>0.028</v>
      </c>
      <c r="J16" s="31">
        <f>'[38]Avoided Load Profile'!$BA$8</f>
        <v>788.04</v>
      </c>
      <c r="K16" s="155">
        <f>'[38]Avoided Load Profile'!$BE$8</f>
        <v>0.0252</v>
      </c>
      <c r="L16" s="31">
        <f>'[38]Avoided Load Profile'!$BC$8</f>
        <v>875.5999999999999</v>
      </c>
      <c r="M16" s="41">
        <f>'[38]Avoided Load Profile'!$BF$8</f>
        <v>0.028</v>
      </c>
      <c r="N16" s="35">
        <f>'[38]Avoided Load Profile'!$BA$9</f>
        <v>788.04</v>
      </c>
      <c r="O16" s="156">
        <f>'[38]Avoided Load Profile'!$BE$9</f>
        <v>0.0252</v>
      </c>
      <c r="P16" s="35">
        <f>'[38]Avoided Load Profile'!$BC$9</f>
        <v>875.5999999999999</v>
      </c>
      <c r="Q16" s="40">
        <f>'[38]Avoided Load Profile'!$BF$9</f>
        <v>0.028</v>
      </c>
      <c r="R16" s="31">
        <f>'[9]Avoided Load Profile'!$BA$10</f>
        <v>788.04</v>
      </c>
      <c r="S16" s="155">
        <f>'[9]Avoided Load Profile'!$BE$9</f>
        <v>0.0252</v>
      </c>
      <c r="T16" s="31">
        <f>'[9]Avoided Load Profile'!$BC$10</f>
        <v>875.5999999999999</v>
      </c>
      <c r="U16" s="41">
        <f>'[9]Avoided Load Profile'!$BF$10</f>
        <v>0.028</v>
      </c>
      <c r="V16" s="361">
        <f t="shared" si="1"/>
        <v>3152.16</v>
      </c>
      <c r="W16" s="362">
        <f t="shared" si="1"/>
        <v>0.1008</v>
      </c>
      <c r="X16" s="363">
        <f t="shared" si="2"/>
        <v>3502.3999999999996</v>
      </c>
      <c r="Y16" s="364">
        <f t="shared" si="3"/>
        <v>0.084</v>
      </c>
    </row>
    <row r="17" spans="1:25" ht="15">
      <c r="A17" s="149"/>
      <c r="B17" s="329" t="s">
        <v>110</v>
      </c>
      <c r="C17" s="151"/>
      <c r="D17" s="147"/>
      <c r="F17" s="35">
        <f>'[39]Avoided Load Profile'!$BA$7</f>
        <v>6832.8</v>
      </c>
      <c r="G17" s="27">
        <f>'[39]Avoided Load Profile'!$BE$7</f>
        <v>0</v>
      </c>
      <c r="H17" s="35">
        <f>'[39]Avoided Load Profile'!$BC$7</f>
        <v>7592</v>
      </c>
      <c r="I17" s="40">
        <f>'[39]Avoided Load Profile'!$BF$7</f>
        <v>0</v>
      </c>
      <c r="J17" s="31">
        <f>'[39]Avoided Load Profile'!$BA$8</f>
        <v>6832.8</v>
      </c>
      <c r="K17" s="155">
        <f>'[39]Avoided Load Profile'!$BE$8</f>
        <v>0</v>
      </c>
      <c r="L17" s="31">
        <f>'[39]Avoided Load Profile'!$BC$8</f>
        <v>7592</v>
      </c>
      <c r="M17" s="41">
        <f>'[39]Avoided Load Profile'!$BF$8</f>
        <v>0</v>
      </c>
      <c r="N17" s="35">
        <f>'[39]Avoided Load Profile'!$BA$9</f>
        <v>6832.8</v>
      </c>
      <c r="O17" s="156">
        <f>'[39]Avoided Load Profile'!$BE$9</f>
        <v>0</v>
      </c>
      <c r="P17" s="35">
        <f>'[39]Avoided Load Profile'!$BC$9</f>
        <v>7592</v>
      </c>
      <c r="Q17" s="40">
        <f>'[39]Avoided Load Profile'!$BF$9</f>
        <v>0</v>
      </c>
      <c r="R17" s="31">
        <f>'[10]Avoided Load Profile'!$BA$10</f>
        <v>961.74</v>
      </c>
      <c r="S17" s="155">
        <f>'[10]Avoided Load Profile'!$BE$10</f>
        <v>0</v>
      </c>
      <c r="T17" s="31">
        <f>'[10]Avoided Load Profile'!$BC$10</f>
        <v>1068.6</v>
      </c>
      <c r="U17" s="41">
        <f>'[10]Avoided Load Profile'!$BF$10</f>
        <v>0</v>
      </c>
      <c r="V17" s="361">
        <f t="shared" si="1"/>
        <v>21460.140000000003</v>
      </c>
      <c r="W17" s="362">
        <f t="shared" si="1"/>
        <v>0</v>
      </c>
      <c r="X17" s="363">
        <f t="shared" si="2"/>
        <v>23844.6</v>
      </c>
      <c r="Y17" s="364">
        <f t="shared" si="3"/>
        <v>0</v>
      </c>
    </row>
    <row r="18" spans="1:25" s="262" customFormat="1" ht="15">
      <c r="A18" s="324" t="s">
        <v>98</v>
      </c>
      <c r="B18" s="336"/>
      <c r="C18" s="160">
        <v>2007</v>
      </c>
      <c r="D18" s="354"/>
      <c r="E18" s="128"/>
      <c r="F18" s="355"/>
      <c r="G18" s="47"/>
      <c r="H18" s="355"/>
      <c r="I18" s="356"/>
      <c r="J18" s="357"/>
      <c r="K18" s="358"/>
      <c r="L18" s="357"/>
      <c r="M18" s="359"/>
      <c r="N18" s="355">
        <f>'[40]Avoided Load Profile'!$BA$7</f>
        <v>610740</v>
      </c>
      <c r="O18" s="360">
        <f>'[40]Avoided Load Profile'!$BE$7</f>
        <v>0</v>
      </c>
      <c r="P18" s="355">
        <f>'[40]Avoided Load Profile'!$BC$7</f>
        <v>678600</v>
      </c>
      <c r="Q18" s="356">
        <f>'[40]Avoided Load Profile'!$BF$7</f>
        <v>0</v>
      </c>
      <c r="R18" s="357">
        <f>'[12]Avoided Load Profile'!$BA$10</f>
        <v>252720</v>
      </c>
      <c r="S18" s="358">
        <f>'[12]Avoided Load Profile'!$BE$10</f>
        <v>5.8500000000000005</v>
      </c>
      <c r="T18" s="357">
        <f>'[12]Avoided Load Profile'!$BC$10</f>
        <v>280800</v>
      </c>
      <c r="U18" s="359">
        <f>'[12]Avoided Load Profile'!$BF$10</f>
        <v>6.5</v>
      </c>
      <c r="V18" s="46">
        <f t="shared" si="1"/>
        <v>863460</v>
      </c>
      <c r="W18" s="47">
        <f t="shared" si="1"/>
        <v>5.8500000000000005</v>
      </c>
      <c r="X18" s="127">
        <f aca="true" t="shared" si="4" ref="X18:X53">H18+L18+P18+T18</f>
        <v>959400</v>
      </c>
      <c r="Y18" s="128">
        <f aca="true" t="shared" si="5" ref="Y18:Y53">M18+Q18+U18</f>
        <v>6.5</v>
      </c>
    </row>
    <row r="19" spans="1:25" s="262" customFormat="1" ht="15">
      <c r="A19" s="324" t="s">
        <v>102</v>
      </c>
      <c r="B19" s="336"/>
      <c r="C19" s="160">
        <v>2008</v>
      </c>
      <c r="D19" s="354"/>
      <c r="E19" s="128"/>
      <c r="F19" s="355"/>
      <c r="G19" s="47"/>
      <c r="H19" s="355"/>
      <c r="I19" s="356"/>
      <c r="J19" s="357"/>
      <c r="K19" s="358"/>
      <c r="L19" s="357"/>
      <c r="M19" s="359"/>
      <c r="N19" s="355"/>
      <c r="O19" s="360"/>
      <c r="P19" s="355"/>
      <c r="Q19" s="356"/>
      <c r="R19" s="357">
        <f>'[14]Avoided Load Profile'!$BA$7</f>
        <v>32159.7</v>
      </c>
      <c r="S19" s="358">
        <f>'[14]Avoided Load Profile'!$BE$7</f>
        <v>1.161</v>
      </c>
      <c r="T19" s="357">
        <f>'[14]Avoided Load Profile'!$BC$7</f>
        <v>35733</v>
      </c>
      <c r="U19" s="359">
        <f>'[14]Avoided Load Profile'!$BF$7</f>
        <v>1.29</v>
      </c>
      <c r="V19" s="46">
        <f t="shared" si="1"/>
        <v>32159.7</v>
      </c>
      <c r="W19" s="47">
        <f t="shared" si="1"/>
        <v>1.161</v>
      </c>
      <c r="X19" s="127">
        <f t="shared" si="4"/>
        <v>35733</v>
      </c>
      <c r="Y19" s="128">
        <f t="shared" si="5"/>
        <v>1.29</v>
      </c>
    </row>
    <row r="20" spans="1:25" ht="15">
      <c r="A20" s="341"/>
      <c r="B20" s="330"/>
      <c r="C20" s="143"/>
      <c r="D20" s="147"/>
      <c r="L20" s="31"/>
      <c r="M20" s="41"/>
      <c r="T20" s="31"/>
      <c r="U20" s="41"/>
      <c r="X20" s="127"/>
      <c r="Y20" s="128"/>
    </row>
    <row r="21" spans="1:25" s="169" customFormat="1" ht="15">
      <c r="A21" s="342" t="s">
        <v>74</v>
      </c>
      <c r="B21" s="331"/>
      <c r="C21" s="170"/>
      <c r="D21" s="256"/>
      <c r="E21" s="257"/>
      <c r="F21" s="228"/>
      <c r="G21" s="251"/>
      <c r="H21" s="228"/>
      <c r="I21" s="252"/>
      <c r="J21" s="228"/>
      <c r="K21" s="253"/>
      <c r="L21" s="228"/>
      <c r="M21" s="252"/>
      <c r="N21" s="228"/>
      <c r="O21" s="253"/>
      <c r="P21" s="228"/>
      <c r="Q21" s="252"/>
      <c r="R21" s="228"/>
      <c r="S21" s="253"/>
      <c r="T21" s="228"/>
      <c r="U21" s="252"/>
      <c r="V21" s="254"/>
      <c r="W21" s="255"/>
      <c r="X21" s="254"/>
      <c r="Y21" s="255"/>
    </row>
    <row r="22" spans="1:25" ht="15">
      <c r="A22" s="343" t="s">
        <v>103</v>
      </c>
      <c r="B22" s="332"/>
      <c r="C22" s="151">
        <v>2008</v>
      </c>
      <c r="D22" s="147"/>
      <c r="L22" s="31"/>
      <c r="M22" s="41"/>
      <c r="R22" s="31">
        <f>'[27]Avoided Load Profile'!$BA$7</f>
        <v>33600</v>
      </c>
      <c r="S22" s="155">
        <f>'[27]Avoided Load Profile'!$BE$7</f>
        <v>3.835639534883721</v>
      </c>
      <c r="T22" s="31">
        <f>'[27]Avoided Load Profile'!$BC$7</f>
        <v>37333.333333333336</v>
      </c>
      <c r="U22" s="41">
        <f>'[27]Avoided Load Profile'!$BG$7</f>
        <v>3.835614617940199</v>
      </c>
      <c r="V22" s="46">
        <f t="shared" si="1"/>
        <v>33600</v>
      </c>
      <c r="W22" s="47">
        <f t="shared" si="1"/>
        <v>3.835639534883721</v>
      </c>
      <c r="X22" s="127">
        <f t="shared" si="4"/>
        <v>37333.333333333336</v>
      </c>
      <c r="Y22" s="128">
        <f t="shared" si="5"/>
        <v>3.835614617940199</v>
      </c>
    </row>
    <row r="23" spans="1:25" ht="15">
      <c r="A23" s="343"/>
      <c r="B23" s="332"/>
      <c r="C23" s="151"/>
      <c r="D23" s="147"/>
      <c r="L23" s="31"/>
      <c r="M23" s="41"/>
      <c r="T23" s="31"/>
      <c r="U23" s="41"/>
      <c r="X23" s="127"/>
      <c r="Y23" s="128"/>
    </row>
    <row r="24" spans="1:25" s="169" customFormat="1" ht="16.5" customHeight="1">
      <c r="A24" s="342" t="s">
        <v>76</v>
      </c>
      <c r="B24" s="331"/>
      <c r="C24" s="170"/>
      <c r="D24" s="250"/>
      <c r="E24" s="251"/>
      <c r="F24" s="228"/>
      <c r="G24" s="251"/>
      <c r="H24" s="228"/>
      <c r="I24" s="252"/>
      <c r="J24" s="228"/>
      <c r="K24" s="253"/>
      <c r="L24" s="228"/>
      <c r="M24" s="252"/>
      <c r="N24" s="228"/>
      <c r="O24" s="253"/>
      <c r="P24" s="228"/>
      <c r="Q24" s="252"/>
      <c r="R24" s="228"/>
      <c r="S24" s="253"/>
      <c r="T24" s="228"/>
      <c r="U24" s="252"/>
      <c r="V24" s="254"/>
      <c r="W24" s="255"/>
      <c r="X24" s="254"/>
      <c r="Y24" s="255"/>
    </row>
    <row r="25" spans="1:25" ht="16.5" customHeight="1">
      <c r="A25" s="343" t="s">
        <v>99</v>
      </c>
      <c r="B25" s="332"/>
      <c r="C25" s="151">
        <v>2007</v>
      </c>
      <c r="D25" s="147"/>
      <c r="L25" s="31"/>
      <c r="M25" s="41"/>
      <c r="N25" s="35">
        <f>'[26]Avoided Load Profile'!$BA$7</f>
        <v>5244.38</v>
      </c>
      <c r="O25" s="156">
        <f>'[26]Avoided Load Profile'!$BE$7</f>
        <v>0.5987547892720306</v>
      </c>
      <c r="P25" s="35">
        <f>'[26]Avoided Load Profile'!$BC$7</f>
        <v>5827.0888888888885</v>
      </c>
      <c r="Q25" s="40">
        <f>'[26]Avoided Load Profile'!$BG$7</f>
        <v>0.598720930232558</v>
      </c>
      <c r="R25" s="31">
        <f>'[26]Avoided Load Profile'!$BA$8</f>
        <v>5244.38</v>
      </c>
      <c r="S25" s="155">
        <f>'[26]Avoided Load Profile'!$BE$8</f>
        <v>0.5987547892720306</v>
      </c>
      <c r="T25" s="31">
        <f>'[26]Avoided Load Profile'!$BC$8</f>
        <v>5827.0888888888885</v>
      </c>
      <c r="U25" s="41">
        <f>'[26]Avoided Load Profile'!$BG$8</f>
        <v>0.598720930232558</v>
      </c>
      <c r="V25" s="44">
        <f aca="true" t="shared" si="6" ref="V25:W53">D25+F25+J25+N25+R25</f>
        <v>10488.76</v>
      </c>
      <c r="W25" s="45">
        <f t="shared" si="6"/>
        <v>1.1975095785440613</v>
      </c>
      <c r="X25" s="125">
        <f t="shared" si="4"/>
        <v>11654.177777777777</v>
      </c>
      <c r="Y25" s="126">
        <f t="shared" si="5"/>
        <v>1.197441860465116</v>
      </c>
    </row>
    <row r="26" spans="1:25" ht="15">
      <c r="A26" s="351"/>
      <c r="B26" s="348"/>
      <c r="C26" s="114"/>
      <c r="D26" s="158"/>
      <c r="E26" s="116"/>
      <c r="F26" s="115"/>
      <c r="G26" s="116"/>
      <c r="H26" s="115"/>
      <c r="I26" s="192"/>
      <c r="J26" s="89"/>
      <c r="K26" s="193"/>
      <c r="L26" s="89"/>
      <c r="M26" s="194"/>
      <c r="N26" s="115"/>
      <c r="O26" s="195"/>
      <c r="P26" s="115"/>
      <c r="Q26" s="192"/>
      <c r="R26" s="89"/>
      <c r="S26" s="193"/>
      <c r="T26" s="89"/>
      <c r="U26" s="194"/>
      <c r="X26" s="127"/>
      <c r="Y26" s="128"/>
    </row>
    <row r="27" spans="1:25" ht="15">
      <c r="A27" s="344" t="s">
        <v>22</v>
      </c>
      <c r="B27" s="333"/>
      <c r="D27" s="147"/>
      <c r="L27" s="31"/>
      <c r="M27" s="41"/>
      <c r="T27" s="31"/>
      <c r="U27" s="41"/>
      <c r="X27" s="127"/>
      <c r="Y27" s="128"/>
    </row>
    <row r="28" spans="1:25" ht="15">
      <c r="A28" s="344"/>
      <c r="B28" s="552" t="s">
        <v>403</v>
      </c>
      <c r="D28" s="147"/>
      <c r="L28" s="31"/>
      <c r="M28" s="41"/>
      <c r="T28" s="31"/>
      <c r="U28" s="41"/>
      <c r="X28" s="127"/>
      <c r="Y28" s="128"/>
    </row>
    <row r="29" spans="1:25" s="169" customFormat="1" ht="15">
      <c r="A29" s="323" t="s">
        <v>68</v>
      </c>
      <c r="B29" s="328"/>
      <c r="C29" s="170"/>
      <c r="D29" s="250"/>
      <c r="E29" s="251"/>
      <c r="F29" s="228"/>
      <c r="G29" s="251"/>
      <c r="H29" s="228"/>
      <c r="I29" s="252"/>
      <c r="J29" s="228"/>
      <c r="K29" s="253"/>
      <c r="L29" s="228"/>
      <c r="M29" s="252"/>
      <c r="N29" s="228"/>
      <c r="O29" s="253"/>
      <c r="P29" s="228"/>
      <c r="Q29" s="252"/>
      <c r="R29" s="228"/>
      <c r="S29" s="253"/>
      <c r="T29" s="228"/>
      <c r="U29" s="252"/>
      <c r="V29" s="254"/>
      <c r="W29" s="255"/>
      <c r="X29" s="254"/>
      <c r="Y29" s="255"/>
    </row>
    <row r="30" spans="1:25" ht="15">
      <c r="A30" s="345" t="s">
        <v>30</v>
      </c>
      <c r="B30" s="334"/>
      <c r="C30" s="151">
        <v>2006</v>
      </c>
      <c r="D30" s="147"/>
      <c r="F30" s="35">
        <f>'[30]Initiative Level - LDC'!$G$76*1000</f>
        <v>10200.162262508347</v>
      </c>
      <c r="G30" s="27">
        <f>'[30]Initiative Level - LDC'!$G$9*1000</f>
        <v>2.312036779501893</v>
      </c>
      <c r="H30" s="35">
        <f>'[30]Initiative Level - LDC'!$G$210*1000</f>
        <v>11333.513625009276</v>
      </c>
      <c r="I30" s="40">
        <f>'[30]Initiative Level - LDC'!$G$143*1000</f>
        <v>2.568929755002103</v>
      </c>
      <c r="J30" s="31">
        <f>'[30]Initiative Level - LDC'!$H$76*1000</f>
        <v>10200.162262508347</v>
      </c>
      <c r="K30" s="155">
        <f>'[30]Initiative Level - LDC'!$H$9*1000</f>
        <v>2.312036779501893</v>
      </c>
      <c r="L30" s="31">
        <f>'[30]Initiative Level - LDC'!$H$210*1000</f>
        <v>11333.513625009276</v>
      </c>
      <c r="M30" s="41">
        <f>'[30]Initiative Level - LDC'!$H$143*1000</f>
        <v>2.568929755002103</v>
      </c>
      <c r="N30" s="35">
        <f>'[30]Initiative Level - LDC'!$I$76*1000</f>
        <v>10200.162262508347</v>
      </c>
      <c r="O30" s="156">
        <f>'[30]Initiative Level - LDC'!$I$9*1000</f>
        <v>2.312036779501893</v>
      </c>
      <c r="P30" s="35">
        <f>'[30]Initiative Level - LDC'!$I$210*1000</f>
        <v>11333.513625009276</v>
      </c>
      <c r="Q30" s="40">
        <f>'[30]Initiative Level - LDC'!$I$143*1000</f>
        <v>2.568929755002103</v>
      </c>
      <c r="R30" s="31">
        <f>'[30]Initiative Level - LDC'!$J$76*1000</f>
        <v>10200.162262508347</v>
      </c>
      <c r="S30" s="155">
        <f>'[30]Initiative Level - LDC'!$J$9*1000</f>
        <v>2.312036779501893</v>
      </c>
      <c r="T30" s="31">
        <f>'[30]Initiative Level - LDC'!$J$210*1000</f>
        <v>11333.513625009276</v>
      </c>
      <c r="U30" s="41">
        <f>'[30]Initiative Level - LDC'!$J$143*1000</f>
        <v>2.568929755002103</v>
      </c>
      <c r="V30" s="46">
        <f t="shared" si="6"/>
        <v>40800.64905003339</v>
      </c>
      <c r="W30" s="47">
        <f t="shared" si="6"/>
        <v>9.248147118007571</v>
      </c>
      <c r="X30" s="127">
        <f t="shared" si="4"/>
        <v>45334.054500037106</v>
      </c>
      <c r="Y30" s="128">
        <f t="shared" si="5"/>
        <v>7.706789265006309</v>
      </c>
    </row>
    <row r="31" spans="1:25" ht="15">
      <c r="A31" s="345" t="s">
        <v>417</v>
      </c>
      <c r="B31" s="334"/>
      <c r="C31" s="151" t="s">
        <v>418</v>
      </c>
      <c r="D31" s="147"/>
      <c r="F31" s="35">
        <f>'[30]Initiative Level - LDC'!$G$77*1000</f>
        <v>25179.914512714266</v>
      </c>
      <c r="G31" s="27">
        <f>'[30]Initiative Level - LDC'!$G$10*1000</f>
        <v>23.33599623330669</v>
      </c>
      <c r="H31" s="35">
        <f>'[30]Initiative Level - LDC'!$G$211*1000</f>
        <v>31898.378438293366</v>
      </c>
      <c r="I31" s="40">
        <f>'[30]Initiative Level - LDC'!$G$144*1000</f>
        <v>28.374524431934393</v>
      </c>
      <c r="J31" s="31">
        <f>('[30]Initiative Level - LDC'!$H$77+'[30]Initiative Level - LDC'!$H$83)*1000</f>
        <v>66606.87874517523</v>
      </c>
      <c r="K31" s="155">
        <f>('[30]Initiative Level - LDC'!$H$10+'[30]Initiative Level - LDC'!$H$16)*1000</f>
        <v>50.97600209556757</v>
      </c>
      <c r="L31" s="31">
        <f>('[30]Initiative Level - LDC'!$H$211+'[30]Initiative Level - LDC'!$H$217)*1000</f>
        <v>113264.85153978916</v>
      </c>
      <c r="M31" s="41">
        <f>('[30]Initiative Level - LDC'!$H$144+'[30]Initiative Level - LDC'!$H$150)*1000</f>
        <v>86.39562633392732</v>
      </c>
      <c r="N31" s="35">
        <f>('[30]Initiative Level - LDC'!$I$77+'[30]Initiative Level - LDC'!$I$83)*1000</f>
        <v>66606.87874517523</v>
      </c>
      <c r="O31" s="156">
        <f>('[30]Initiative Level - LDC'!$I$10+'[30]Initiative Level - LDC'!$I$16)*1000</f>
        <v>50.97600209556757</v>
      </c>
      <c r="P31" s="35">
        <f>('[30]Initiative Level - LDC'!$I$211+'[30]Initiative Level - LDC'!$I$217)*1000</f>
        <v>113264.85153978916</v>
      </c>
      <c r="Q31" s="40">
        <f>('[30]Initiative Level - LDC'!$I$144+'[30]Initiative Level - LDC'!$I$150)*1000</f>
        <v>86.39562633392732</v>
      </c>
      <c r="R31" s="31">
        <f>('[30]Initiative Level - LDC'!$J$77+'[30]Initiative Level - LDC'!$J$83)*1000</f>
        <v>66606.87874517523</v>
      </c>
      <c r="S31" s="155">
        <f>('[30]Initiative Level - LDC'!$J$10+'[30]Initiative Level - LDC'!$J$16)*1000</f>
        <v>50.97600209556757</v>
      </c>
      <c r="T31" s="31">
        <f>('[30]Initiative Level - LDC'!$J$211+'[30]Initiative Level - LDC'!$J$217)*1000</f>
        <v>113264.85153978916</v>
      </c>
      <c r="U31" s="41">
        <f>('[30]Initiative Level - LDC'!$J$144+'[30]Initiative Level - LDC'!$J$150)*1000</f>
        <v>86.39562633392732</v>
      </c>
      <c r="X31" s="127"/>
      <c r="Y31" s="128"/>
    </row>
    <row r="32" spans="1:25" ht="15">
      <c r="A32" s="149" t="s">
        <v>29</v>
      </c>
      <c r="B32" s="334"/>
      <c r="C32" s="151" t="s">
        <v>419</v>
      </c>
      <c r="D32" s="147"/>
      <c r="L32" s="31"/>
      <c r="M32" s="41"/>
      <c r="N32" s="35">
        <f>'[30]Initiative Level - LDC'!$I$98*1000</f>
        <v>44314.792406533794</v>
      </c>
      <c r="O32" s="156">
        <f>'[30]Initiative Level - LDC'!$I$31*1000</f>
        <v>28.071724018643092</v>
      </c>
      <c r="P32" s="35">
        <f>'[30]Initiative Level - LDC'!$I$232*1000</f>
        <v>77144.45813217486</v>
      </c>
      <c r="Q32" s="40">
        <f>'[30]Initiative Level - LDC'!$I$165*1000</f>
        <v>48.736102551431955</v>
      </c>
      <c r="R32" s="31">
        <f>('[30]Initiative Level - LDC'!$J$98+'[30]Initiative Level - LDC'!$J$114)*1000</f>
        <v>113890.06699819965</v>
      </c>
      <c r="S32" s="155">
        <f>('[30]Initiative Level - LDC'!$J$31+'[30]Initiative Level - LDC'!$J$47)*1000</f>
        <v>73.24318854930098</v>
      </c>
      <c r="T32" s="31">
        <f>('[30]Initiative Level - LDC'!$J$232+'[30]Initiative Level - LDC'!$J$248)*1000</f>
        <v>196906.58256938547</v>
      </c>
      <c r="U32" s="41">
        <f>('[30]Initiative Level - LDC'!$J$165+'[30]Initiative Level - LDC'!$J$181)*1000</f>
        <v>126.89436512070854</v>
      </c>
      <c r="X32" s="127"/>
      <c r="Y32" s="128"/>
    </row>
    <row r="33" spans="1:25" ht="15">
      <c r="A33" s="345" t="s">
        <v>420</v>
      </c>
      <c r="B33" s="334"/>
      <c r="C33" s="151" t="s">
        <v>418</v>
      </c>
      <c r="D33" s="147"/>
      <c r="F33" s="35">
        <f>'[30]Initiative Level - LDC'!$G$78*1000</f>
        <v>653359.2398866761</v>
      </c>
      <c r="G33" s="27">
        <f>'[30]Initiative Level - LDC'!$G$11*1000</f>
        <v>7.705757566418754</v>
      </c>
      <c r="H33" s="35">
        <f>'[30]Initiative Level - LDC'!$G$212*1000</f>
        <v>725954.7109851958</v>
      </c>
      <c r="I33" s="40">
        <f>'[30]Initiative Level - LDC'!$G$145*1000</f>
        <v>8.561952851576393</v>
      </c>
      <c r="J33" s="31">
        <f>('[30]Initiative Level - LDC'!$H$78+'[30]Initiative Level - LDC'!$H$84)*1000</f>
        <v>901690.3174380063</v>
      </c>
      <c r="K33" s="155">
        <f>('[30]Initiative Level - LDC'!$H$11+'[30]Initiative Level - LDC'!$H$17)*1000</f>
        <v>17.3215146165905</v>
      </c>
      <c r="L33" s="31">
        <f>('[30]Initiative Level - LDC'!$H$212+'[30]Initiative Level - LDC'!$H$218)*1000</f>
        <v>1064744.0110073176</v>
      </c>
      <c r="M33" s="41">
        <f>('[30]Initiative Level - LDC'!$H$145+'[30]Initiative Level - LDC'!$H$151)*1000</f>
        <v>22.484800529042136</v>
      </c>
      <c r="N33" s="35">
        <f>('[30]Initiative Level - LDC'!$I$78+'[30]Initiative Level - LDC'!$I$84)*1000</f>
        <v>898653.2468422583</v>
      </c>
      <c r="O33" s="156">
        <f>('[30]Initiative Level - LDC'!$I$11+'[30]Initiative Level - LDC'!$I$17)*1000</f>
        <v>16.419254917057902</v>
      </c>
      <c r="P33" s="35">
        <f>('[30]Initiative Level - LDC'!$I$212+'[30]Initiative Level - LDC'!$I$218)*1000</f>
        <v>1059222.0644695938</v>
      </c>
      <c r="Q33" s="40">
        <f>('[30]Initiative Level - LDC'!$I$145+'[30]Initiative Level - LDC'!$I$151)*1000</f>
        <v>20.84432834807378</v>
      </c>
      <c r="R33" s="31">
        <f>('[30]Initiative Level - LDC'!$J$78+'[30]Initiative Level - LDC'!$J$84)*1000</f>
        <v>898653.2468422583</v>
      </c>
      <c r="S33" s="155">
        <f>('[30]Initiative Level - LDC'!$J$11+'[30]Initiative Level - LDC'!$J$17)*1000</f>
        <v>16.419254917057902</v>
      </c>
      <c r="T33" s="31">
        <f>('[30]Initiative Level - LDC'!$J$212+'[30]Initiative Level - LDC'!$J$218)*1000</f>
        <v>1059222.0644695938</v>
      </c>
      <c r="U33" s="41">
        <f>('[30]Initiative Level - LDC'!$J$145+'[30]Initiative Level - LDC'!$J$151)*1000</f>
        <v>20.84432834807378</v>
      </c>
      <c r="V33" s="46">
        <f t="shared" si="6"/>
        <v>3352356.0510091987</v>
      </c>
      <c r="W33" s="47">
        <f t="shared" si="6"/>
        <v>57.865782017125056</v>
      </c>
      <c r="X33" s="127">
        <f t="shared" si="4"/>
        <v>3909142.8509317013</v>
      </c>
      <c r="Y33" s="128">
        <f t="shared" si="5"/>
        <v>64.17345722518971</v>
      </c>
    </row>
    <row r="34" spans="1:25" ht="15">
      <c r="A34" s="346" t="s">
        <v>23</v>
      </c>
      <c r="B34" s="299"/>
      <c r="C34" s="152" t="s">
        <v>423</v>
      </c>
      <c r="D34" s="147"/>
      <c r="J34" s="31">
        <f>'[30]Initiative Level - LDC'!$H$82*1000</f>
        <v>41050.570805948875</v>
      </c>
      <c r="K34" s="155">
        <f>'[30]Initiative Level - LDC'!$H$15*1000</f>
        <v>4.646650545050389</v>
      </c>
      <c r="L34" s="31">
        <f>'[30]Initiative Level - LDC'!$H$216*1000</f>
        <v>101925.28770976521</v>
      </c>
      <c r="M34" s="41">
        <f>'[30]Initiative Level - LDC'!$H$149*1000</f>
        <v>11.47423003455841</v>
      </c>
      <c r="N34" s="35">
        <f>('[30]Initiative Level - LDC'!$I$82+'[30]Initiative Level - LDC'!$I$97)*1000</f>
        <v>124156.88080594885</v>
      </c>
      <c r="O34" s="156">
        <f>('[30]Initiative Level - LDC'!$I$15+'[30]Initiative Level - LDC'!$I$30)*1000</f>
        <v>13.472190465910389</v>
      </c>
      <c r="P34" s="35">
        <f>('[30]Initiative Level - LDC'!$I$216+'[30]Initiative Level - LDC'!$I$231)*1000</f>
        <v>254281.28770976525</v>
      </c>
      <c r="Q34" s="40">
        <f>('[30]Initiative Level - LDC'!$I$149+'[30]Initiative Level - LDC'!$I$164)*1000</f>
        <v>27.84693170255841</v>
      </c>
      <c r="R34" s="31">
        <f>('[30]Initiative Level - LDC'!$J$82+'[30]Initiative Level - LDC'!$J$97+'[30]Initiative Level - LDC'!$J$113)*1000</f>
        <v>194787.89224354885</v>
      </c>
      <c r="S34" s="155">
        <f>('[30]Initiative Level - LDC'!$J$15+'[30]Initiative Level - LDC'!$J$30+'[30]Initiative Level - LDC'!$J$46)*1000</f>
        <v>23.175485465910388</v>
      </c>
      <c r="T34" s="31">
        <f>('[30]Initiative Level - LDC'!$J$216+'[30]Initiative Level - LDC'!$J$231+'[30]Initiative Level - LDC'!$J$247)*1000</f>
        <v>400470.9073097653</v>
      </c>
      <c r="U34" s="41">
        <f>('[30]Initiative Level - LDC'!$J$149+'[30]Initiative Level - LDC'!$J$164+'[30]Initiative Level - LDC'!$J$180)*1000</f>
        <v>48.13393170255842</v>
      </c>
      <c r="V34" s="46">
        <f t="shared" si="6"/>
        <v>359995.34385544655</v>
      </c>
      <c r="W34" s="47">
        <f t="shared" si="6"/>
        <v>41.29432647687116</v>
      </c>
      <c r="X34" s="127">
        <f t="shared" si="4"/>
        <v>756677.4827292957</v>
      </c>
      <c r="Y34" s="128">
        <f t="shared" si="5"/>
        <v>87.45509343967524</v>
      </c>
    </row>
    <row r="35" spans="1:25" ht="15">
      <c r="A35" s="346" t="s">
        <v>24</v>
      </c>
      <c r="B35" s="299"/>
      <c r="C35" s="18">
        <v>2007</v>
      </c>
      <c r="D35" s="147"/>
      <c r="J35" s="31">
        <f>'[30]Initiative Level - LDC'!$H$86*1000</f>
        <v>403.5714167293911</v>
      </c>
      <c r="K35" s="155">
        <f>'[30]Initiative Level - LDC'!$H$19*1000</f>
        <v>225.93383317824694</v>
      </c>
      <c r="L35" s="31">
        <f>'[30]Initiative Level - LDC'!$H$220*1000</f>
        <v>3363.0951394115923</v>
      </c>
      <c r="M35" s="41">
        <f>'[30]Initiative Level - LDC'!$H$153*1000</f>
        <v>1882.781943152058</v>
      </c>
      <c r="N35" s="35">
        <f>'[30]Initiative Level - LDC'!$I$86*1000</f>
        <v>68.02294361958091</v>
      </c>
      <c r="O35" s="156">
        <f>'[30]Initiative Level - LDC'!$I$19*1000</f>
        <v>67.37923827846603</v>
      </c>
      <c r="P35" s="35">
        <f>'[30]Initiative Level - LDC'!$I$220*1000</f>
        <v>566.8578634965077</v>
      </c>
      <c r="Q35" s="40">
        <f>'[30]Initiative Level - LDC'!$I$153*1000</f>
        <v>561.4936523205503</v>
      </c>
      <c r="R35" s="31">
        <f>'[30]Initiative Level - LDC'!$J$86*1000</f>
        <v>25.747779951588313</v>
      </c>
      <c r="S35" s="155">
        <f>'[30]Initiative Level - LDC'!$J$19*1000</f>
        <v>32.44164694493463</v>
      </c>
      <c r="T35" s="31">
        <f>'[30]Initiative Level - LDC'!$J$220*1000</f>
        <v>214.56483292990262</v>
      </c>
      <c r="U35" s="41">
        <f>'[30]Initiative Level - LDC'!$J$153*1000</f>
        <v>270.34705787445523</v>
      </c>
      <c r="V35" s="46">
        <f t="shared" si="6"/>
        <v>497.34214030056035</v>
      </c>
      <c r="W35" s="47">
        <f t="shared" si="6"/>
        <v>325.7547184016476</v>
      </c>
      <c r="X35" s="127">
        <f t="shared" si="4"/>
        <v>4144.517835838003</v>
      </c>
      <c r="Y35" s="128">
        <f t="shared" si="5"/>
        <v>2714.6226533470635</v>
      </c>
    </row>
    <row r="36" spans="1:25" ht="15">
      <c r="A36" s="346" t="s">
        <v>36</v>
      </c>
      <c r="B36" s="299"/>
      <c r="C36" s="18">
        <v>2007</v>
      </c>
      <c r="D36" s="147"/>
      <c r="J36" s="31">
        <f>'[30]Initiative Level - LDC'!$H$89*1000</f>
        <v>22570.140785213218</v>
      </c>
      <c r="K36" s="155">
        <f>'[30]Initiative Level - LDC'!$H$22*1000</f>
        <v>2.6553106806133195</v>
      </c>
      <c r="L36" s="31">
        <f>'[30]Initiative Level - LDC'!$H$223*1000</f>
        <v>22570.140785213218</v>
      </c>
      <c r="M36" s="41">
        <f>'[30]Initiative Level - LDC'!$H$156*1000</f>
        <v>2.6553106806133195</v>
      </c>
      <c r="N36" s="35">
        <f>'[30]Initiative Level - LDC'!$I$89*1000</f>
        <v>22570.140785213218</v>
      </c>
      <c r="O36" s="156">
        <f>'[30]Initiative Level - LDC'!$I$22*1000</f>
        <v>2.6553106806133195</v>
      </c>
      <c r="P36" s="35">
        <f>'[30]Initiative Level - LDC'!$I$223*1000</f>
        <v>22570.140785213218</v>
      </c>
      <c r="Q36" s="40">
        <f>'[30]Initiative Level - LDC'!$I$156*1000</f>
        <v>2.6553106806133195</v>
      </c>
      <c r="R36" s="31">
        <f>'[30]Initiative Level - LDC'!$J$89*1000</f>
        <v>22570.140785213218</v>
      </c>
      <c r="S36" s="155">
        <f>'[30]Initiative Level - LDC'!$J$22*1000</f>
        <v>2.6553106806133195</v>
      </c>
      <c r="T36" s="31">
        <f>'[30]Initiative Level - LDC'!$J$223*100</f>
        <v>2257.014078521322</v>
      </c>
      <c r="U36" s="41">
        <f>'[30]Initiative Level - LDC'!$J$156*1000</f>
        <v>2.6553106806133195</v>
      </c>
      <c r="V36" s="46">
        <f t="shared" si="6"/>
        <v>67710.42235563966</v>
      </c>
      <c r="W36" s="47">
        <f t="shared" si="6"/>
        <v>7.965932041839959</v>
      </c>
      <c r="X36" s="127">
        <f t="shared" si="4"/>
        <v>47397.29564894776</v>
      </c>
      <c r="Y36" s="128">
        <f t="shared" si="5"/>
        <v>7.965932041839959</v>
      </c>
    </row>
    <row r="37" spans="1:25" ht="15">
      <c r="A37" s="346" t="s">
        <v>39</v>
      </c>
      <c r="B37" s="299"/>
      <c r="C37" s="18">
        <v>2008</v>
      </c>
      <c r="D37" s="147"/>
      <c r="L37" s="31"/>
      <c r="M37" s="41"/>
      <c r="N37" s="35">
        <f>'[30]Initiative Level - LDC'!$I$101*1000</f>
        <v>25.315142811552576</v>
      </c>
      <c r="O37" s="156">
        <f>'[30]Initiative Level - LDC'!$I$34*1000</f>
        <v>25.315142811552576</v>
      </c>
      <c r="P37" s="35">
        <f>'[30]Initiative Level - LDC'!$I$235*100</f>
        <v>12897.076390507214</v>
      </c>
      <c r="Q37" s="40">
        <f>'[30]Initiative Level - LDC'!$I$168*1000</f>
        <v>32.628493299761004</v>
      </c>
      <c r="R37" s="31">
        <f>'[30]Initiative Level - LDC'!$J$101*1000</f>
        <v>9.135054323195321</v>
      </c>
      <c r="S37" s="155">
        <f>'[30]Initiative Level - LDC'!$J$34*1000</f>
        <v>14.517079517191448</v>
      </c>
      <c r="T37" s="31">
        <f>'[30]Initiative Level - LDC'!$J$235*1000</f>
        <v>46539.533398926</v>
      </c>
      <c r="U37" s="41">
        <f>'[30]Initiative Level - LDC'!$J$168*1000</f>
        <v>18.710952384697556</v>
      </c>
      <c r="V37" s="46">
        <f t="shared" si="6"/>
        <v>34.450197134747896</v>
      </c>
      <c r="W37" s="47">
        <f t="shared" si="6"/>
        <v>39.832222328744024</v>
      </c>
      <c r="X37" s="127">
        <f t="shared" si="4"/>
        <v>59436.60978943322</v>
      </c>
      <c r="Y37" s="128">
        <f t="shared" si="5"/>
        <v>51.33944568445856</v>
      </c>
    </row>
    <row r="38" spans="1:25" ht="15">
      <c r="A38" s="347" t="s">
        <v>40</v>
      </c>
      <c r="B38" s="335"/>
      <c r="C38" s="283" t="s">
        <v>419</v>
      </c>
      <c r="D38" s="147"/>
      <c r="L38" s="31"/>
      <c r="M38" s="41"/>
      <c r="N38" s="35">
        <f>'[30]Initiative Level - LDC'!$I$99*1000</f>
        <v>224952.9184064327</v>
      </c>
      <c r="O38" s="156">
        <f>'[30]Initiative Level - LDC'!$I$32*1000</f>
        <v>12.267789748839416</v>
      </c>
      <c r="P38" s="35">
        <f>'[30]Initiative Level - LDC'!$I$233*1000</f>
        <v>557918.49207591</v>
      </c>
      <c r="Q38" s="40">
        <f>'[30]Initiative Level - LDC'!$I$166*1000</f>
        <v>29.38162036112225</v>
      </c>
      <c r="R38" s="31">
        <f>('[30]Initiative Level - LDC'!$J$99+'[30]Initiative Level - LDC'!$J$115)*1000</f>
        <v>284150.33960085764</v>
      </c>
      <c r="S38" s="155">
        <f>('[30]Initiative Level - LDC'!$J$32+'[30]Initiative Level - LDC'!$J$48)*1000</f>
        <v>16.61334644579974</v>
      </c>
      <c r="T38" s="31">
        <f>('[30]Initiative Level - LDC'!$J$233+'[30]Initiative Level - LDC'!$J$249)*1000</f>
        <v>646990.7711089734</v>
      </c>
      <c r="U38" s="41">
        <f>('[30]Initiative Level - LDC'!$J$166+'[30]Initiative Level - LDC'!$J$182)*1000</f>
        <v>37.76027456422135</v>
      </c>
      <c r="V38" s="46">
        <f t="shared" si="6"/>
        <v>509103.2580072903</v>
      </c>
      <c r="W38" s="47">
        <f t="shared" si="6"/>
        <v>28.881136194639154</v>
      </c>
      <c r="X38" s="127">
        <f t="shared" si="4"/>
        <v>1204909.2631848834</v>
      </c>
      <c r="Y38" s="128">
        <f t="shared" si="5"/>
        <v>67.14189492534359</v>
      </c>
    </row>
    <row r="39" spans="1:25" ht="15">
      <c r="A39" s="347"/>
      <c r="B39" s="335"/>
      <c r="C39" s="151"/>
      <c r="D39" s="147"/>
      <c r="L39" s="31"/>
      <c r="M39" s="41"/>
      <c r="T39" s="31"/>
      <c r="U39" s="41"/>
      <c r="X39" s="127"/>
      <c r="Y39" s="128"/>
    </row>
    <row r="40" spans="1:25" s="169" customFormat="1" ht="15">
      <c r="A40" s="323" t="s">
        <v>70</v>
      </c>
      <c r="B40" s="328"/>
      <c r="C40" s="170"/>
      <c r="D40" s="250"/>
      <c r="E40" s="251"/>
      <c r="F40" s="228"/>
      <c r="G40" s="251"/>
      <c r="H40" s="228"/>
      <c r="I40" s="252"/>
      <c r="J40" s="228"/>
      <c r="K40" s="253"/>
      <c r="L40" s="228"/>
      <c r="M40" s="252"/>
      <c r="N40" s="228"/>
      <c r="O40" s="253"/>
      <c r="P40" s="228"/>
      <c r="Q40" s="252"/>
      <c r="R40" s="228"/>
      <c r="S40" s="253"/>
      <c r="T40" s="228"/>
      <c r="U40" s="252"/>
      <c r="V40" s="254"/>
      <c r="W40" s="255"/>
      <c r="X40" s="254"/>
      <c r="Y40" s="255"/>
    </row>
    <row r="41" spans="1:25" ht="15">
      <c r="A41" s="324" t="s">
        <v>69</v>
      </c>
      <c r="B41" s="336"/>
      <c r="C41" s="151"/>
      <c r="D41" s="147"/>
      <c r="L41" s="31"/>
      <c r="M41" s="41"/>
      <c r="T41" s="31"/>
      <c r="U41" s="41"/>
      <c r="X41" s="127"/>
      <c r="Y41" s="128"/>
    </row>
    <row r="42" spans="1:25" ht="15">
      <c r="A42" s="346" t="s">
        <v>42</v>
      </c>
      <c r="B42" s="299"/>
      <c r="C42" s="283" t="s">
        <v>419</v>
      </c>
      <c r="D42" s="147"/>
      <c r="L42" s="31"/>
      <c r="M42" s="41"/>
      <c r="N42" s="35">
        <f>'[30]Initiative Level - LDC'!$I$104*1000</f>
        <v>132.8160754937319</v>
      </c>
      <c r="O42" s="156">
        <f>'[30]Initiative Level - LDC'!$I$37*1000</f>
        <v>0.15734308595076252</v>
      </c>
      <c r="P42" s="35">
        <f>'[30]Initiative Level - LDC'!$I$238*1000</f>
        <v>189.73725070533126</v>
      </c>
      <c r="Q42" s="40">
        <f>'[30]Initiative Level - LDC'!$I$171*1000</f>
        <v>0.22477583707251786</v>
      </c>
      <c r="R42" s="31">
        <f>('[30]Initiative Level - LDC'!$J$104+'[30]Initiative Level - LDC'!$J$119)*1000</f>
        <v>4228.086383766314</v>
      </c>
      <c r="S42" s="155">
        <f>('[30]Initiative Level - LDC'!$J$37+'[30]Initiative Level - LDC'!$J$52)*1000</f>
        <v>1.9535995215915996</v>
      </c>
      <c r="T42" s="31">
        <f>('[30]Initiative Level - LDC'!$J$238+'[30]Initiative Level - LDC'!$J$253)*1000</f>
        <v>6040.123405380447</v>
      </c>
      <c r="U42" s="41">
        <f>('[30]Initiative Level - LDC'!$J$171+'[30]Initiative Level - LDC'!$J$186)*1000</f>
        <v>2.7908564594165712</v>
      </c>
      <c r="V42" s="46">
        <f t="shared" si="6"/>
        <v>4360.902459260045</v>
      </c>
      <c r="W42" s="47">
        <f t="shared" si="6"/>
        <v>2.110942607542362</v>
      </c>
      <c r="X42" s="127">
        <f t="shared" si="4"/>
        <v>6229.860656085779</v>
      </c>
      <c r="Y42" s="128">
        <f t="shared" si="5"/>
        <v>3.015632296489089</v>
      </c>
    </row>
    <row r="43" spans="1:25" ht="15">
      <c r="A43" s="346" t="s">
        <v>43</v>
      </c>
      <c r="B43" s="299"/>
      <c r="C43" s="283" t="s">
        <v>419</v>
      </c>
      <c r="D43" s="147"/>
      <c r="L43" s="31"/>
      <c r="M43" s="41"/>
      <c r="R43" s="31">
        <f>'[30]Initiative Level - LDC'!$J$120*1000</f>
        <v>1166362.2900000003</v>
      </c>
      <c r="S43" s="155">
        <f>'[30]Initiative Level - LDC'!$J$53*1000</f>
        <v>158.71100999999993</v>
      </c>
      <c r="T43" s="31">
        <f>'[30]Initiative Level - LDC'!$J$254*1000</f>
        <v>1254153</v>
      </c>
      <c r="U43" s="41">
        <f>'[30]Initiative Level - LDC'!$J$187*1000</f>
        <v>170.65699999999995</v>
      </c>
      <c r="V43" s="46">
        <f t="shared" si="6"/>
        <v>1166362.2900000003</v>
      </c>
      <c r="W43" s="47">
        <f t="shared" si="6"/>
        <v>158.71100999999993</v>
      </c>
      <c r="X43" s="127">
        <f t="shared" si="4"/>
        <v>1254153</v>
      </c>
      <c r="Y43" s="128">
        <f t="shared" si="5"/>
        <v>170.65699999999995</v>
      </c>
    </row>
    <row r="44" spans="1:25" ht="15">
      <c r="A44" s="149"/>
      <c r="B44" s="329"/>
      <c r="C44" s="152"/>
      <c r="D44" s="147"/>
      <c r="L44" s="31"/>
      <c r="M44" s="41"/>
      <c r="T44" s="31"/>
      <c r="U44" s="41"/>
      <c r="V44" s="46">
        <f t="shared" si="6"/>
        <v>0</v>
      </c>
      <c r="W44" s="47">
        <f t="shared" si="6"/>
        <v>0</v>
      </c>
      <c r="X44" s="127">
        <f t="shared" si="4"/>
        <v>0</v>
      </c>
      <c r="Y44" s="128">
        <f t="shared" si="5"/>
        <v>0</v>
      </c>
    </row>
    <row r="45" spans="1:25" ht="15">
      <c r="A45" s="345"/>
      <c r="B45" s="334"/>
      <c r="C45" s="152"/>
      <c r="D45" s="147"/>
      <c r="L45" s="31"/>
      <c r="M45" s="41"/>
      <c r="T45" s="31"/>
      <c r="U45" s="41"/>
      <c r="X45" s="127"/>
      <c r="Y45" s="128"/>
    </row>
    <row r="46" spans="1:25" s="169" customFormat="1" ht="15">
      <c r="A46" s="323" t="s">
        <v>71</v>
      </c>
      <c r="B46" s="328"/>
      <c r="C46" s="173"/>
      <c r="D46" s="250"/>
      <c r="E46" s="251"/>
      <c r="F46" s="228"/>
      <c r="G46" s="251"/>
      <c r="H46" s="228"/>
      <c r="I46" s="252"/>
      <c r="J46" s="228"/>
      <c r="K46" s="253"/>
      <c r="L46" s="228"/>
      <c r="M46" s="252"/>
      <c r="N46" s="228"/>
      <c r="O46" s="253"/>
      <c r="P46" s="228"/>
      <c r="Q46" s="252"/>
      <c r="R46" s="228"/>
      <c r="S46" s="253"/>
      <c r="T46" s="228"/>
      <c r="U46" s="252"/>
      <c r="V46" s="254"/>
      <c r="W46" s="255"/>
      <c r="X46" s="254"/>
      <c r="Y46" s="255"/>
    </row>
    <row r="47" spans="1:25" ht="15">
      <c r="A47" s="324" t="s">
        <v>69</v>
      </c>
      <c r="B47" s="336"/>
      <c r="C47" s="151"/>
      <c r="D47" s="147"/>
      <c r="E47" s="39"/>
      <c r="F47" s="37"/>
      <c r="H47" s="37"/>
      <c r="I47" s="156"/>
      <c r="J47" s="154"/>
      <c r="L47" s="154"/>
      <c r="M47" s="155"/>
      <c r="N47" s="37"/>
      <c r="P47" s="37"/>
      <c r="Q47" s="156"/>
      <c r="R47" s="154"/>
      <c r="T47" s="154"/>
      <c r="U47" s="155"/>
      <c r="X47" s="127"/>
      <c r="Y47" s="128"/>
    </row>
    <row r="48" spans="1:25" ht="15">
      <c r="A48" s="346" t="s">
        <v>45</v>
      </c>
      <c r="B48" s="299"/>
      <c r="C48" s="283" t="s">
        <v>424</v>
      </c>
      <c r="D48" s="147"/>
      <c r="E48" s="39"/>
      <c r="F48" s="37"/>
      <c r="G48" s="27">
        <f>'[30]Initiative Level - LDC'!$G$12*1000</f>
        <v>107.65727727767519</v>
      </c>
      <c r="H48" s="37"/>
      <c r="I48" s="156">
        <f>'[30]Initiative Level - LDC'!$G$146*1000</f>
        <v>107.65727727767519</v>
      </c>
      <c r="J48" s="154"/>
      <c r="K48" s="155">
        <f>('[30]Initiative Level - LDC'!$H$12+'[30]Initiative Level - LDC'!$H$26)*1000</f>
        <v>136.292203098901</v>
      </c>
      <c r="L48" s="154"/>
      <c r="M48" s="155">
        <f>('[30]Initiative Level - LDC'!$H$146+'[30]Initiative Level - LDC'!$H$160)*1000</f>
        <v>136.292203098901</v>
      </c>
      <c r="N48" s="37"/>
      <c r="O48" s="156">
        <f>('[30]Initiative Level - LDC'!$I$12+'[30]Initiative Level - LDC'!$I$26+'[30]Initiative Level - LDC'!$I$39)*1000</f>
        <v>203.41221596958135</v>
      </c>
      <c r="P48" s="37"/>
      <c r="Q48" s="156">
        <f>('[30]Initiative Level - LDC'!$I$146+'[30]Initiative Level - LDC'!$I$160+'[30]Initiative Level - LDC'!$I$173)*1000</f>
        <v>203.41221596958135</v>
      </c>
      <c r="R48" s="154"/>
      <c r="S48" s="155">
        <f>('[30]Initiative Level - LDC'!$J$12+'[30]Initiative Level - LDC'!$J$26+'[30]Initiative Level - LDC'!$J$39+'[30]Initiative Level - LDC'!$J$55)*1000</f>
        <v>81.10110533197391</v>
      </c>
      <c r="T48" s="154"/>
      <c r="U48" s="155">
        <f>('[30]Initiative Level - LDC'!$J$146+'[30]Initiative Level - LDC'!$J$160+'[30]Initiative Level - LDC'!$J$173+'[30]Initiative Level - LDC'!$J$189)*1000</f>
        <v>81.10110533197391</v>
      </c>
      <c r="V48" s="46">
        <f t="shared" si="6"/>
        <v>0</v>
      </c>
      <c r="W48" s="47">
        <f t="shared" si="6"/>
        <v>528.4628016781315</v>
      </c>
      <c r="X48" s="127">
        <f t="shared" si="4"/>
        <v>0</v>
      </c>
      <c r="Y48" s="128">
        <f t="shared" si="5"/>
        <v>420.8055244004563</v>
      </c>
    </row>
    <row r="49" spans="1:25" ht="15">
      <c r="A49" s="346" t="s">
        <v>422</v>
      </c>
      <c r="B49" s="299"/>
      <c r="C49" s="283">
        <v>2009</v>
      </c>
      <c r="D49" s="147"/>
      <c r="E49" s="39"/>
      <c r="F49" s="37"/>
      <c r="H49" s="37"/>
      <c r="I49" s="156"/>
      <c r="J49" s="154"/>
      <c r="L49" s="154"/>
      <c r="M49" s="155"/>
      <c r="N49" s="37"/>
      <c r="P49" s="37"/>
      <c r="Q49" s="156"/>
      <c r="R49" s="154"/>
      <c r="S49" s="155">
        <f>'[30]Initiative Level - LDC'!$J$56*1000</f>
        <v>70.80438867784312</v>
      </c>
      <c r="T49" s="154"/>
      <c r="U49" s="155">
        <f>'[30]Initiative Level - LDC'!$J$190*1000</f>
        <v>70.80438867784312</v>
      </c>
      <c r="X49" s="127"/>
      <c r="Y49" s="128"/>
    </row>
    <row r="50" spans="1:25" ht="15">
      <c r="A50" s="346" t="s">
        <v>46</v>
      </c>
      <c r="B50" s="299"/>
      <c r="C50" s="283" t="s">
        <v>419</v>
      </c>
      <c r="D50" s="147"/>
      <c r="E50" s="39"/>
      <c r="F50" s="37"/>
      <c r="H50" s="37"/>
      <c r="I50" s="156"/>
      <c r="J50" s="154"/>
      <c r="L50" s="154"/>
      <c r="M50" s="155"/>
      <c r="N50" s="37"/>
      <c r="O50" s="156">
        <f>'[30]Initiative Level - LDC'!$I$40*1000</f>
        <v>39.33577148769063</v>
      </c>
      <c r="P50" s="37"/>
      <c r="Q50" s="156">
        <f>'[30]Initiative Level - LDC'!$I$174*100</f>
        <v>3.933577148769063</v>
      </c>
      <c r="R50" s="154"/>
      <c r="S50" s="155">
        <f>('[30]Initiative Level - LDC'!$J$40+'[30]Initiative Level - LDC'!$J$57)*1000</f>
        <v>78.67154297538126</v>
      </c>
      <c r="T50" s="154"/>
      <c r="U50" s="155">
        <f>('[30]Initiative Level - LDC'!$J$174+'[30]Initiative Level - LDC'!$J$191)*1000</f>
        <v>78.67154297538126</v>
      </c>
      <c r="V50" s="46">
        <f t="shared" si="6"/>
        <v>0</v>
      </c>
      <c r="W50" s="47">
        <f t="shared" si="6"/>
        <v>118.00731446307188</v>
      </c>
      <c r="X50" s="127">
        <f t="shared" si="4"/>
        <v>0</v>
      </c>
      <c r="Y50" s="128">
        <f t="shared" si="5"/>
        <v>82.60512012415032</v>
      </c>
    </row>
    <row r="51" spans="1:25" ht="15">
      <c r="A51" s="346" t="s">
        <v>421</v>
      </c>
      <c r="B51" s="299"/>
      <c r="C51" s="283" t="s">
        <v>425</v>
      </c>
      <c r="D51" s="147"/>
      <c r="E51" s="39"/>
      <c r="F51" s="37"/>
      <c r="G51" s="37">
        <f>'[30]Initiative Level - LDC'!$G$13*1000</f>
        <v>5.269369746271753</v>
      </c>
      <c r="H51" s="37"/>
      <c r="I51" s="156">
        <f>'[30]Initiative Level - LDC'!$G$147*1000</f>
        <v>5.269369746271753</v>
      </c>
      <c r="J51" s="154"/>
      <c r="K51" s="155">
        <f>('[30]Initiative Level - LDC'!$H$13+'[30]Initiative Level - LDC'!$H$27)*1000</f>
        <v>11.0242634646435</v>
      </c>
      <c r="L51" s="154"/>
      <c r="M51" s="155">
        <f>('[30]Initiative Level - LDC'!$H$147+'[30]Initiative Level - LDC'!$H$161)*1000</f>
        <v>11.0242634646435</v>
      </c>
      <c r="N51" s="157"/>
      <c r="O51" s="190">
        <f>('[30]Initiative Level - LDC'!$I$13+'[30]Initiative Level - LDC'!$I$27+'[30]Initiative Level - LDC'!$I$41)*1000</f>
        <v>12.412584811267875</v>
      </c>
      <c r="P51" s="157"/>
      <c r="Q51" s="190">
        <f>('[30]Initiative Level - LDC'!$I$147+'[30]Initiative Level - LDC'!$I$161+'[30]Initiative Level - LDC'!$I$175)*1000</f>
        <v>12.412584811267875</v>
      </c>
      <c r="R51" s="154"/>
      <c r="S51" s="155">
        <f>('[30]Initiative Level - LDC'!$J$13+'[30]Initiative Level - LDC'!$J$27+'[30]Initiative Level - LDC'!$J$41+'[30]Initiative Level - LDC'!$J$58)*1000</f>
        <v>13.712979139272706</v>
      </c>
      <c r="T51" s="154"/>
      <c r="U51" s="155">
        <f>('[30]Initiative Level - LDC'!$J$147+'[30]Initiative Level - LDC'!$J$161+'[30]Initiative Level - LDC'!$J$175+'[30]Initiative Level - LDC'!$J$192)*1000</f>
        <v>13.712979139272706</v>
      </c>
      <c r="V51" s="46">
        <f t="shared" si="6"/>
        <v>0</v>
      </c>
      <c r="W51" s="47">
        <f t="shared" si="6"/>
        <v>42.419197161455834</v>
      </c>
      <c r="X51" s="127">
        <f t="shared" si="4"/>
        <v>0</v>
      </c>
      <c r="Y51" s="128">
        <f t="shared" si="5"/>
        <v>37.14982741518408</v>
      </c>
    </row>
    <row r="52" spans="1:27" ht="15">
      <c r="A52" s="324"/>
      <c r="B52" s="336"/>
      <c r="C52" s="151"/>
      <c r="D52" s="147"/>
      <c r="E52" s="211"/>
      <c r="F52" s="37"/>
      <c r="H52" s="37"/>
      <c r="I52" s="156"/>
      <c r="J52" s="154"/>
      <c r="L52" s="154"/>
      <c r="M52" s="155"/>
      <c r="N52" s="37"/>
      <c r="P52" s="37"/>
      <c r="Q52" s="156"/>
      <c r="R52" s="154"/>
      <c r="T52" s="154"/>
      <c r="U52" s="155"/>
      <c r="V52" s="46">
        <f t="shared" si="6"/>
        <v>0</v>
      </c>
      <c r="W52" s="47">
        <f t="shared" si="6"/>
        <v>0</v>
      </c>
      <c r="X52" s="127">
        <f t="shared" si="4"/>
        <v>0</v>
      </c>
      <c r="Y52" s="128">
        <f t="shared" si="5"/>
        <v>0</v>
      </c>
      <c r="Z52" s="9"/>
      <c r="AA52" s="9"/>
    </row>
    <row r="53" spans="1:27" ht="15.75" thickBot="1">
      <c r="A53" s="352"/>
      <c r="B53" s="349"/>
      <c r="C53" s="161"/>
      <c r="D53" s="217"/>
      <c r="E53" s="218"/>
      <c r="F53" s="219"/>
      <c r="G53" s="220"/>
      <c r="H53" s="219"/>
      <c r="I53" s="207"/>
      <c r="J53" s="221"/>
      <c r="K53" s="209"/>
      <c r="L53" s="221"/>
      <c r="M53" s="209"/>
      <c r="N53" s="219"/>
      <c r="O53" s="207"/>
      <c r="P53" s="219"/>
      <c r="Q53" s="207"/>
      <c r="R53" s="221"/>
      <c r="S53" s="209"/>
      <c r="T53" s="221"/>
      <c r="U53" s="209"/>
      <c r="V53" s="196">
        <f t="shared" si="6"/>
        <v>0</v>
      </c>
      <c r="W53" s="197">
        <f t="shared" si="6"/>
        <v>0</v>
      </c>
      <c r="X53" s="129">
        <f t="shared" si="4"/>
        <v>0</v>
      </c>
      <c r="Y53" s="198">
        <f t="shared" si="5"/>
        <v>0</v>
      </c>
      <c r="Z53" s="9"/>
      <c r="AA53" s="9"/>
    </row>
    <row r="54" spans="2:27" ht="15">
      <c r="B54" s="9"/>
      <c r="C54" s="141"/>
      <c r="D54" s="147"/>
      <c r="E54" s="211"/>
      <c r="F54" s="212"/>
      <c r="G54" s="222"/>
      <c r="H54" s="212"/>
      <c r="I54" s="208"/>
      <c r="J54" s="147"/>
      <c r="K54" s="210"/>
      <c r="L54" s="212"/>
      <c r="M54" s="208"/>
      <c r="N54" s="212"/>
      <c r="O54" s="208"/>
      <c r="P54" s="212"/>
      <c r="Q54" s="208"/>
      <c r="R54" s="147"/>
      <c r="S54" s="210"/>
      <c r="T54" s="212"/>
      <c r="U54" s="208"/>
      <c r="V54" s="215"/>
      <c r="W54" s="216"/>
      <c r="X54" s="215"/>
      <c r="Y54" s="216"/>
      <c r="Z54" s="9"/>
      <c r="AA54" s="9"/>
    </row>
    <row r="55" spans="2:27" ht="15">
      <c r="B55" s="9"/>
      <c r="C55" s="141"/>
      <c r="D55" s="147"/>
      <c r="E55" s="211"/>
      <c r="F55" s="212"/>
      <c r="G55" s="222"/>
      <c r="H55" s="212"/>
      <c r="I55" s="208"/>
      <c r="J55" s="147"/>
      <c r="K55" s="210"/>
      <c r="L55" s="212"/>
      <c r="M55" s="208"/>
      <c r="N55" s="212"/>
      <c r="O55" s="208"/>
      <c r="P55" s="212"/>
      <c r="Q55" s="208"/>
      <c r="R55" s="147"/>
      <c r="S55" s="210"/>
      <c r="T55" s="212"/>
      <c r="U55" s="208"/>
      <c r="V55" s="215"/>
      <c r="W55" s="216"/>
      <c r="X55" s="215"/>
      <c r="Y55" s="216"/>
      <c r="Z55" s="9"/>
      <c r="AA55" s="9"/>
    </row>
    <row r="56" spans="2:27" ht="15">
      <c r="B56" s="9"/>
      <c r="C56" s="141"/>
      <c r="D56" s="147"/>
      <c r="E56" s="211"/>
      <c r="F56" s="212"/>
      <c r="G56" s="222"/>
      <c r="H56" s="212"/>
      <c r="I56" s="208"/>
      <c r="J56" s="147"/>
      <c r="K56" s="210"/>
      <c r="L56" s="212"/>
      <c r="M56" s="208"/>
      <c r="N56" s="212"/>
      <c r="O56" s="208"/>
      <c r="P56" s="212"/>
      <c r="Q56" s="208"/>
      <c r="R56" s="147"/>
      <c r="S56" s="210"/>
      <c r="T56" s="212"/>
      <c r="U56" s="208"/>
      <c r="V56" s="215"/>
      <c r="W56" s="216"/>
      <c r="X56" s="215"/>
      <c r="Y56" s="216"/>
      <c r="Z56" s="9"/>
      <c r="AA56" s="9"/>
    </row>
    <row r="57" spans="2:27" ht="15">
      <c r="B57" s="9"/>
      <c r="C57" s="141"/>
      <c r="D57" s="147"/>
      <c r="E57" s="211"/>
      <c r="F57" s="212"/>
      <c r="G57" s="222"/>
      <c r="H57" s="212"/>
      <c r="I57" s="208"/>
      <c r="J57" s="147"/>
      <c r="K57" s="210"/>
      <c r="L57" s="212"/>
      <c r="M57" s="208"/>
      <c r="N57" s="212"/>
      <c r="O57" s="208"/>
      <c r="P57" s="212"/>
      <c r="Q57" s="208"/>
      <c r="R57" s="147"/>
      <c r="S57" s="210"/>
      <c r="T57" s="212"/>
      <c r="U57" s="208"/>
      <c r="V57" s="215"/>
      <c r="W57" s="216"/>
      <c r="X57" s="215"/>
      <c r="Y57" s="216"/>
      <c r="Z57" s="9"/>
      <c r="AA57" s="9"/>
    </row>
    <row r="58" spans="2:27" ht="15">
      <c r="B58" s="9"/>
      <c r="C58" s="141"/>
      <c r="D58" s="147"/>
      <c r="E58" s="211"/>
      <c r="F58" s="212"/>
      <c r="G58" s="222"/>
      <c r="H58" s="212"/>
      <c r="I58" s="208"/>
      <c r="J58" s="147"/>
      <c r="K58" s="210"/>
      <c r="L58" s="212"/>
      <c r="M58" s="208"/>
      <c r="N58" s="212"/>
      <c r="O58" s="208"/>
      <c r="P58" s="212"/>
      <c r="Q58" s="208"/>
      <c r="R58" s="147"/>
      <c r="S58" s="210"/>
      <c r="T58" s="212"/>
      <c r="U58" s="208"/>
      <c r="V58" s="215"/>
      <c r="W58" s="216"/>
      <c r="X58" s="215"/>
      <c r="Y58" s="216"/>
      <c r="Z58" s="9"/>
      <c r="AA58" s="9"/>
    </row>
    <row r="59" spans="2:27" ht="15">
      <c r="B59" s="9"/>
      <c r="C59" s="141"/>
      <c r="D59" s="147"/>
      <c r="E59" s="211"/>
      <c r="F59" s="212"/>
      <c r="G59" s="222"/>
      <c r="H59" s="212"/>
      <c r="I59" s="208"/>
      <c r="J59" s="147"/>
      <c r="K59" s="210"/>
      <c r="L59" s="614"/>
      <c r="M59" s="208"/>
      <c r="N59" s="212"/>
      <c r="O59" s="208"/>
      <c r="P59" s="212"/>
      <c r="Q59" s="208"/>
      <c r="R59" s="147"/>
      <c r="S59" s="210"/>
      <c r="T59" s="212"/>
      <c r="U59" s="208"/>
      <c r="V59" s="215"/>
      <c r="W59" s="216"/>
      <c r="X59" s="215"/>
      <c r="Y59" s="216"/>
      <c r="Z59" s="9"/>
      <c r="AA59" s="9"/>
    </row>
    <row r="60" spans="2:27" ht="15">
      <c r="B60" s="9"/>
      <c r="C60" s="141"/>
      <c r="D60" s="147"/>
      <c r="E60" s="211"/>
      <c r="F60" s="212"/>
      <c r="G60" s="222"/>
      <c r="H60" s="212"/>
      <c r="I60" s="208"/>
      <c r="J60" s="147"/>
      <c r="K60" s="210"/>
      <c r="L60" s="212"/>
      <c r="M60" s="208"/>
      <c r="N60" s="212"/>
      <c r="O60" s="208"/>
      <c r="P60" s="212"/>
      <c r="Q60" s="208"/>
      <c r="R60" s="147"/>
      <c r="S60" s="210"/>
      <c r="T60" s="212"/>
      <c r="U60" s="208"/>
      <c r="V60" s="215"/>
      <c r="W60" s="216"/>
      <c r="X60" s="215"/>
      <c r="Y60" s="216"/>
      <c r="Z60" s="9"/>
      <c r="AA60" s="9"/>
    </row>
    <row r="61" spans="2:27" ht="15">
      <c r="B61" s="9"/>
      <c r="C61" s="141"/>
      <c r="D61" s="147"/>
      <c r="E61" s="211"/>
      <c r="F61" s="212"/>
      <c r="G61" s="222"/>
      <c r="H61" s="212"/>
      <c r="I61" s="208"/>
      <c r="J61" s="147"/>
      <c r="K61" s="210"/>
      <c r="L61" s="212"/>
      <c r="M61" s="208"/>
      <c r="N61" s="212"/>
      <c r="O61" s="208"/>
      <c r="P61" s="212"/>
      <c r="Q61" s="208"/>
      <c r="R61" s="147"/>
      <c r="S61" s="210"/>
      <c r="T61" s="212"/>
      <c r="U61" s="208"/>
      <c r="V61" s="215"/>
      <c r="W61" s="216"/>
      <c r="X61" s="215"/>
      <c r="Y61" s="216"/>
      <c r="Z61" s="9"/>
      <c r="AA61" s="9"/>
    </row>
    <row r="62" spans="2:27" ht="15">
      <c r="B62" s="9"/>
      <c r="C62" s="141"/>
      <c r="D62" s="147"/>
      <c r="E62" s="211"/>
      <c r="F62" s="212"/>
      <c r="G62" s="222"/>
      <c r="H62" s="212"/>
      <c r="I62" s="208"/>
      <c r="J62" s="147"/>
      <c r="K62" s="210"/>
      <c r="L62" s="212"/>
      <c r="M62" s="208"/>
      <c r="N62" s="212"/>
      <c r="O62" s="208"/>
      <c r="P62" s="212"/>
      <c r="Q62" s="208"/>
      <c r="R62" s="147"/>
      <c r="S62" s="210"/>
      <c r="T62" s="212"/>
      <c r="U62" s="208"/>
      <c r="V62" s="215"/>
      <c r="W62" s="216"/>
      <c r="X62" s="215"/>
      <c r="Y62" s="216"/>
      <c r="Z62" s="9"/>
      <c r="AA62" s="9"/>
    </row>
    <row r="63" spans="2:27" ht="15">
      <c r="B63" s="9"/>
      <c r="C63" s="141"/>
      <c r="D63" s="147"/>
      <c r="E63" s="211"/>
      <c r="F63" s="212"/>
      <c r="G63" s="222"/>
      <c r="H63" s="212"/>
      <c r="I63" s="208"/>
      <c r="J63" s="147"/>
      <c r="K63" s="210"/>
      <c r="L63" s="212"/>
      <c r="M63" s="208"/>
      <c r="N63" s="212"/>
      <c r="O63" s="208"/>
      <c r="P63" s="212"/>
      <c r="Q63" s="208"/>
      <c r="R63" s="147"/>
      <c r="S63" s="210"/>
      <c r="T63" s="212"/>
      <c r="U63" s="208"/>
      <c r="V63" s="215"/>
      <c r="W63" s="216"/>
      <c r="X63" s="215"/>
      <c r="Y63" s="216"/>
      <c r="Z63" s="9"/>
      <c r="AA63" s="9"/>
    </row>
    <row r="64" spans="2:27" ht="15">
      <c r="B64" s="9"/>
      <c r="C64" s="141"/>
      <c r="D64" s="147"/>
      <c r="E64" s="211"/>
      <c r="F64" s="212"/>
      <c r="G64" s="222"/>
      <c r="H64" s="212"/>
      <c r="I64" s="208"/>
      <c r="J64" s="147"/>
      <c r="K64" s="210"/>
      <c r="L64" s="212"/>
      <c r="M64" s="208"/>
      <c r="N64" s="212"/>
      <c r="O64" s="208"/>
      <c r="P64" s="212"/>
      <c r="Q64" s="208"/>
      <c r="R64" s="147"/>
      <c r="S64" s="210"/>
      <c r="T64" s="212"/>
      <c r="U64" s="208"/>
      <c r="V64" s="215"/>
      <c r="W64" s="216"/>
      <c r="X64" s="215"/>
      <c r="Y64" s="216"/>
      <c r="Z64" s="9"/>
      <c r="AA64" s="9"/>
    </row>
    <row r="65" spans="2:27" ht="15">
      <c r="B65" s="9"/>
      <c r="C65" s="141"/>
      <c r="D65" s="147"/>
      <c r="E65" s="211"/>
      <c r="F65" s="212"/>
      <c r="G65" s="222"/>
      <c r="H65" s="212"/>
      <c r="I65" s="208"/>
      <c r="J65" s="147"/>
      <c r="K65" s="210"/>
      <c r="L65" s="212"/>
      <c r="M65" s="208"/>
      <c r="N65" s="212"/>
      <c r="O65" s="208"/>
      <c r="P65" s="212"/>
      <c r="Q65" s="208"/>
      <c r="R65" s="147"/>
      <c r="S65" s="210"/>
      <c r="T65" s="212"/>
      <c r="U65" s="208"/>
      <c r="V65" s="215"/>
      <c r="W65" s="216"/>
      <c r="X65" s="215"/>
      <c r="Y65" s="216"/>
      <c r="Z65" s="9"/>
      <c r="AA65" s="9"/>
    </row>
    <row r="66" spans="2:27" ht="15">
      <c r="B66" s="9"/>
      <c r="C66" s="141"/>
      <c r="D66" s="147"/>
      <c r="E66" s="211"/>
      <c r="F66" s="212"/>
      <c r="G66" s="222"/>
      <c r="H66" s="212"/>
      <c r="I66" s="208"/>
      <c r="J66" s="147"/>
      <c r="K66" s="210"/>
      <c r="L66" s="212"/>
      <c r="M66" s="208"/>
      <c r="N66" s="212"/>
      <c r="O66" s="208"/>
      <c r="P66" s="212"/>
      <c r="Q66" s="208"/>
      <c r="R66" s="147"/>
      <c r="S66" s="210"/>
      <c r="T66" s="212"/>
      <c r="U66" s="208"/>
      <c r="V66" s="215"/>
      <c r="W66" s="216"/>
      <c r="X66" s="215"/>
      <c r="Y66" s="216"/>
      <c r="Z66" s="9"/>
      <c r="AA66" s="9"/>
    </row>
    <row r="67" spans="2:27" ht="15">
      <c r="B67" s="9"/>
      <c r="C67" s="141"/>
      <c r="D67" s="147"/>
      <c r="E67" s="211"/>
      <c r="F67" s="212"/>
      <c r="G67" s="222"/>
      <c r="H67" s="212"/>
      <c r="I67" s="208"/>
      <c r="J67" s="147"/>
      <c r="K67" s="210"/>
      <c r="L67" s="212"/>
      <c r="M67" s="208"/>
      <c r="N67" s="212"/>
      <c r="O67" s="208"/>
      <c r="P67" s="212"/>
      <c r="Q67" s="208"/>
      <c r="R67" s="147"/>
      <c r="S67" s="210"/>
      <c r="T67" s="212"/>
      <c r="U67" s="208"/>
      <c r="V67" s="215"/>
      <c r="W67" s="216"/>
      <c r="X67" s="215"/>
      <c r="Y67" s="216"/>
      <c r="Z67" s="9"/>
      <c r="AA67" s="9"/>
    </row>
    <row r="68" spans="2:27" ht="15">
      <c r="B68" s="9"/>
      <c r="C68" s="141"/>
      <c r="D68" s="147"/>
      <c r="E68" s="211"/>
      <c r="F68" s="212"/>
      <c r="G68" s="222"/>
      <c r="H68" s="212"/>
      <c r="I68" s="208"/>
      <c r="J68" s="147"/>
      <c r="K68" s="210"/>
      <c r="L68" s="212"/>
      <c r="M68" s="208"/>
      <c r="N68" s="212"/>
      <c r="O68" s="208"/>
      <c r="P68" s="212"/>
      <c r="Q68" s="208"/>
      <c r="R68" s="147"/>
      <c r="S68" s="210"/>
      <c r="T68" s="212"/>
      <c r="U68" s="208"/>
      <c r="V68" s="215"/>
      <c r="W68" s="216"/>
      <c r="X68" s="215"/>
      <c r="Y68" s="216"/>
      <c r="Z68" s="9"/>
      <c r="AA68" s="9"/>
    </row>
    <row r="69" spans="2:27" ht="15">
      <c r="B69" s="9"/>
      <c r="C69" s="141"/>
      <c r="D69" s="147"/>
      <c r="E69" s="211"/>
      <c r="F69" s="212"/>
      <c r="G69" s="222"/>
      <c r="H69" s="212"/>
      <c r="I69" s="208"/>
      <c r="J69" s="147"/>
      <c r="K69" s="210"/>
      <c r="L69" s="212"/>
      <c r="M69" s="208"/>
      <c r="N69" s="212"/>
      <c r="O69" s="208"/>
      <c r="P69" s="212"/>
      <c r="Q69" s="208"/>
      <c r="R69" s="147"/>
      <c r="S69" s="210"/>
      <c r="T69" s="212"/>
      <c r="U69" s="208"/>
      <c r="V69" s="215"/>
      <c r="W69" s="216"/>
      <c r="X69" s="215"/>
      <c r="Y69" s="216"/>
      <c r="Z69" s="9"/>
      <c r="AA69" s="9"/>
    </row>
    <row r="70" spans="2:27" ht="15">
      <c r="B70" s="9"/>
      <c r="C70" s="141"/>
      <c r="D70" s="147"/>
      <c r="E70" s="211"/>
      <c r="F70" s="212"/>
      <c r="G70" s="222"/>
      <c r="H70" s="212"/>
      <c r="I70" s="208"/>
      <c r="J70" s="147"/>
      <c r="K70" s="210"/>
      <c r="L70" s="212"/>
      <c r="M70" s="208"/>
      <c r="N70" s="212"/>
      <c r="O70" s="208"/>
      <c r="P70" s="212"/>
      <c r="Q70" s="208"/>
      <c r="R70" s="147"/>
      <c r="S70" s="210"/>
      <c r="T70" s="212"/>
      <c r="U70" s="208"/>
      <c r="V70" s="215"/>
      <c r="W70" s="216"/>
      <c r="X70" s="215"/>
      <c r="Y70" s="216"/>
      <c r="Z70" s="9"/>
      <c r="AA70" s="9"/>
    </row>
    <row r="71" spans="2:27" ht="15">
      <c r="B71" s="9"/>
      <c r="C71" s="141"/>
      <c r="D71" s="147"/>
      <c r="E71" s="211"/>
      <c r="F71" s="212"/>
      <c r="G71" s="222"/>
      <c r="H71" s="212"/>
      <c r="I71" s="208"/>
      <c r="J71" s="147"/>
      <c r="K71" s="210"/>
      <c r="L71" s="212"/>
      <c r="M71" s="208"/>
      <c r="N71" s="212"/>
      <c r="O71" s="208"/>
      <c r="P71" s="212"/>
      <c r="Q71" s="208"/>
      <c r="R71" s="147"/>
      <c r="S71" s="210"/>
      <c r="T71" s="212"/>
      <c r="U71" s="208"/>
      <c r="V71" s="215"/>
      <c r="W71" s="216"/>
      <c r="X71" s="215"/>
      <c r="Y71" s="216"/>
      <c r="Z71" s="9"/>
      <c r="AA71" s="9"/>
    </row>
    <row r="72" spans="2:27" ht="15">
      <c r="B72" s="9"/>
      <c r="C72" s="141"/>
      <c r="D72" s="147"/>
      <c r="E72" s="211"/>
      <c r="F72" s="212"/>
      <c r="G72" s="222"/>
      <c r="H72" s="212"/>
      <c r="I72" s="208"/>
      <c r="J72" s="147"/>
      <c r="K72" s="210"/>
      <c r="L72" s="212"/>
      <c r="M72" s="208"/>
      <c r="N72" s="212"/>
      <c r="O72" s="208"/>
      <c r="P72" s="212"/>
      <c r="Q72" s="208"/>
      <c r="R72" s="147"/>
      <c r="S72" s="210"/>
      <c r="T72" s="212"/>
      <c r="U72" s="208"/>
      <c r="V72" s="215"/>
      <c r="W72" s="216"/>
      <c r="X72" s="215"/>
      <c r="Y72" s="216"/>
      <c r="Z72" s="9"/>
      <c r="AA72" s="9"/>
    </row>
    <row r="73" spans="2:27" ht="15">
      <c r="B73" s="9"/>
      <c r="C73" s="141"/>
      <c r="D73" s="147"/>
      <c r="E73" s="211"/>
      <c r="F73" s="212"/>
      <c r="G73" s="222"/>
      <c r="H73" s="212"/>
      <c r="I73" s="208"/>
      <c r="J73" s="147"/>
      <c r="K73" s="210"/>
      <c r="L73" s="212"/>
      <c r="M73" s="208"/>
      <c r="N73" s="212"/>
      <c r="O73" s="208"/>
      <c r="P73" s="212"/>
      <c r="Q73" s="208"/>
      <c r="R73" s="147"/>
      <c r="S73" s="210"/>
      <c r="T73" s="212"/>
      <c r="U73" s="208"/>
      <c r="V73" s="215"/>
      <c r="W73" s="216"/>
      <c r="X73" s="215"/>
      <c r="Y73" s="216"/>
      <c r="Z73" s="9"/>
      <c r="AA73" s="9"/>
    </row>
    <row r="74" spans="2:27" ht="15">
      <c r="B74" s="9"/>
      <c r="C74" s="141"/>
      <c r="D74" s="147"/>
      <c r="E74" s="211"/>
      <c r="F74" s="212"/>
      <c r="G74" s="222"/>
      <c r="H74" s="212"/>
      <c r="I74" s="208"/>
      <c r="J74" s="147"/>
      <c r="K74" s="210"/>
      <c r="L74" s="212"/>
      <c r="M74" s="208"/>
      <c r="N74" s="212"/>
      <c r="O74" s="208"/>
      <c r="P74" s="212"/>
      <c r="Q74" s="208"/>
      <c r="R74" s="147"/>
      <c r="S74" s="210"/>
      <c r="T74" s="212"/>
      <c r="U74" s="208"/>
      <c r="V74" s="215"/>
      <c r="W74" s="216"/>
      <c r="X74" s="215"/>
      <c r="Y74" s="216"/>
      <c r="Z74" s="9"/>
      <c r="AA74" s="9"/>
    </row>
    <row r="75" spans="2:27" ht="15">
      <c r="B75" s="9"/>
      <c r="C75" s="141"/>
      <c r="D75" s="147"/>
      <c r="E75" s="211"/>
      <c r="F75" s="212"/>
      <c r="G75" s="222"/>
      <c r="H75" s="212"/>
      <c r="I75" s="208"/>
      <c r="J75" s="147"/>
      <c r="K75" s="210"/>
      <c r="L75" s="212"/>
      <c r="M75" s="208"/>
      <c r="N75" s="212"/>
      <c r="O75" s="208"/>
      <c r="P75" s="212"/>
      <c r="Q75" s="208"/>
      <c r="R75" s="147"/>
      <c r="S75" s="210"/>
      <c r="T75" s="212"/>
      <c r="U75" s="208"/>
      <c r="V75" s="215"/>
      <c r="W75" s="216"/>
      <c r="X75" s="215"/>
      <c r="Y75" s="216"/>
      <c r="Z75" s="9"/>
      <c r="AA75" s="9"/>
    </row>
    <row r="76" spans="2:27" ht="15">
      <c r="B76" s="9"/>
      <c r="C76" s="141"/>
      <c r="D76" s="147"/>
      <c r="E76" s="211"/>
      <c r="F76" s="212"/>
      <c r="G76" s="222"/>
      <c r="H76" s="212"/>
      <c r="I76" s="208"/>
      <c r="J76" s="147"/>
      <c r="K76" s="210"/>
      <c r="L76" s="212"/>
      <c r="M76" s="208"/>
      <c r="N76" s="212"/>
      <c r="O76" s="208"/>
      <c r="P76" s="212"/>
      <c r="Q76" s="208"/>
      <c r="R76" s="147"/>
      <c r="S76" s="210"/>
      <c r="T76" s="212"/>
      <c r="U76" s="208"/>
      <c r="V76" s="215"/>
      <c r="W76" s="216"/>
      <c r="X76" s="215"/>
      <c r="Y76" s="216"/>
      <c r="Z76" s="9"/>
      <c r="AA76" s="9"/>
    </row>
    <row r="77" spans="2:27" ht="15">
      <c r="B77" s="9"/>
      <c r="C77" s="141"/>
      <c r="D77" s="147"/>
      <c r="E77" s="211"/>
      <c r="F77" s="212"/>
      <c r="G77" s="222"/>
      <c r="H77" s="212"/>
      <c r="I77" s="208"/>
      <c r="J77" s="147"/>
      <c r="K77" s="210"/>
      <c r="L77" s="212"/>
      <c r="M77" s="208"/>
      <c r="N77" s="212"/>
      <c r="O77" s="208"/>
      <c r="P77" s="212"/>
      <c r="Q77" s="208"/>
      <c r="R77" s="147"/>
      <c r="S77" s="210"/>
      <c r="T77" s="212"/>
      <c r="U77" s="208"/>
      <c r="V77" s="215"/>
      <c r="W77" s="216"/>
      <c r="X77" s="215"/>
      <c r="Y77" s="216"/>
      <c r="Z77" s="9"/>
      <c r="AA77" s="9"/>
    </row>
    <row r="78" spans="2:27" ht="15">
      <c r="B78" s="9"/>
      <c r="C78" s="141"/>
      <c r="D78" s="147"/>
      <c r="E78" s="211"/>
      <c r="F78" s="212"/>
      <c r="G78" s="222"/>
      <c r="H78" s="212"/>
      <c r="I78" s="208"/>
      <c r="J78" s="147"/>
      <c r="K78" s="210"/>
      <c r="L78" s="212"/>
      <c r="M78" s="208"/>
      <c r="N78" s="212"/>
      <c r="O78" s="208"/>
      <c r="P78" s="212"/>
      <c r="Q78" s="208"/>
      <c r="R78" s="147"/>
      <c r="S78" s="210"/>
      <c r="T78" s="212"/>
      <c r="U78" s="208"/>
      <c r="V78" s="215"/>
      <c r="W78" s="216"/>
      <c r="X78" s="215"/>
      <c r="Y78" s="216"/>
      <c r="Z78" s="9"/>
      <c r="AA78" s="9"/>
    </row>
    <row r="79" spans="2:27" ht="15">
      <c r="B79" s="9"/>
      <c r="C79" s="141"/>
      <c r="D79" s="147"/>
      <c r="E79" s="211"/>
      <c r="F79" s="212"/>
      <c r="G79" s="222"/>
      <c r="H79" s="212"/>
      <c r="I79" s="208"/>
      <c r="J79" s="147"/>
      <c r="K79" s="210"/>
      <c r="L79" s="212"/>
      <c r="M79" s="208"/>
      <c r="N79" s="212"/>
      <c r="O79" s="208"/>
      <c r="P79" s="212"/>
      <c r="Q79" s="208"/>
      <c r="R79" s="147"/>
      <c r="S79" s="210"/>
      <c r="T79" s="212"/>
      <c r="U79" s="208"/>
      <c r="V79" s="215"/>
      <c r="W79" s="216"/>
      <c r="X79" s="215"/>
      <c r="Y79" s="216"/>
      <c r="Z79" s="9"/>
      <c r="AA79" s="9"/>
    </row>
    <row r="80" spans="2:27" ht="15">
      <c r="B80" s="9"/>
      <c r="C80" s="141"/>
      <c r="D80" s="147"/>
      <c r="E80" s="211"/>
      <c r="F80" s="212"/>
      <c r="G80" s="222"/>
      <c r="H80" s="212"/>
      <c r="I80" s="208"/>
      <c r="J80" s="147"/>
      <c r="K80" s="210"/>
      <c r="L80" s="212"/>
      <c r="M80" s="208"/>
      <c r="N80" s="212"/>
      <c r="O80" s="208"/>
      <c r="P80" s="212"/>
      <c r="Q80" s="208"/>
      <c r="R80" s="147"/>
      <c r="S80" s="210"/>
      <c r="T80" s="212"/>
      <c r="U80" s="208"/>
      <c r="V80" s="215"/>
      <c r="W80" s="216"/>
      <c r="X80" s="215"/>
      <c r="Y80" s="216"/>
      <c r="Z80" s="9"/>
      <c r="AA80" s="9"/>
    </row>
    <row r="81" spans="2:27" ht="15">
      <c r="B81" s="9"/>
      <c r="C81" s="141"/>
      <c r="D81" s="147"/>
      <c r="E81" s="211"/>
      <c r="F81" s="212"/>
      <c r="G81" s="222"/>
      <c r="H81" s="212"/>
      <c r="I81" s="208"/>
      <c r="J81" s="147"/>
      <c r="K81" s="210"/>
      <c r="L81" s="212"/>
      <c r="M81" s="208"/>
      <c r="N81" s="212"/>
      <c r="O81" s="208"/>
      <c r="P81" s="212"/>
      <c r="Q81" s="208"/>
      <c r="R81" s="147"/>
      <c r="S81" s="210"/>
      <c r="T81" s="212"/>
      <c r="U81" s="208"/>
      <c r="V81" s="215"/>
      <c r="W81" s="216"/>
      <c r="X81" s="215"/>
      <c r="Y81" s="216"/>
      <c r="Z81" s="9"/>
      <c r="AA81" s="9"/>
    </row>
    <row r="82" spans="2:27" ht="15">
      <c r="B82" s="9"/>
      <c r="C82" s="141"/>
      <c r="D82" s="147"/>
      <c r="E82" s="211"/>
      <c r="F82" s="212"/>
      <c r="G82" s="222"/>
      <c r="H82" s="212"/>
      <c r="I82" s="208"/>
      <c r="J82" s="147"/>
      <c r="K82" s="210"/>
      <c r="L82" s="212"/>
      <c r="M82" s="208"/>
      <c r="N82" s="212"/>
      <c r="O82" s="208"/>
      <c r="P82" s="212"/>
      <c r="Q82" s="208"/>
      <c r="R82" s="147"/>
      <c r="S82" s="210"/>
      <c r="T82" s="212"/>
      <c r="U82" s="208"/>
      <c r="V82" s="215"/>
      <c r="W82" s="216"/>
      <c r="X82" s="215"/>
      <c r="Y82" s="216"/>
      <c r="Z82" s="9"/>
      <c r="AA82" s="9"/>
    </row>
    <row r="83" spans="2:27" ht="15">
      <c r="B83" s="9"/>
      <c r="C83" s="141"/>
      <c r="D83" s="147"/>
      <c r="E83" s="211"/>
      <c r="F83" s="212"/>
      <c r="G83" s="222"/>
      <c r="H83" s="212"/>
      <c r="I83" s="208"/>
      <c r="J83" s="147"/>
      <c r="K83" s="210"/>
      <c r="L83" s="212"/>
      <c r="M83" s="208"/>
      <c r="N83" s="212"/>
      <c r="O83" s="208"/>
      <c r="P83" s="212"/>
      <c r="Q83" s="208"/>
      <c r="R83" s="147"/>
      <c r="S83" s="210"/>
      <c r="T83" s="212"/>
      <c r="U83" s="208"/>
      <c r="V83" s="215"/>
      <c r="W83" s="216"/>
      <c r="X83" s="215"/>
      <c r="Y83" s="216"/>
      <c r="Z83" s="9"/>
      <c r="AA83" s="9"/>
    </row>
    <row r="84" spans="2:27" ht="15">
      <c r="B84" s="9"/>
      <c r="C84" s="141"/>
      <c r="D84" s="147"/>
      <c r="E84" s="211"/>
      <c r="F84" s="212"/>
      <c r="G84" s="222"/>
      <c r="H84" s="212"/>
      <c r="I84" s="208"/>
      <c r="J84" s="147"/>
      <c r="K84" s="210"/>
      <c r="L84" s="212"/>
      <c r="M84" s="208"/>
      <c r="N84" s="212"/>
      <c r="O84" s="208"/>
      <c r="P84" s="212"/>
      <c r="Q84" s="208"/>
      <c r="R84" s="147"/>
      <c r="S84" s="210"/>
      <c r="T84" s="212"/>
      <c r="U84" s="208"/>
      <c r="V84" s="215"/>
      <c r="W84" s="216"/>
      <c r="X84" s="215"/>
      <c r="Y84" s="216"/>
      <c r="Z84" s="9"/>
      <c r="AA84" s="9"/>
    </row>
    <row r="85" spans="2:27" ht="15">
      <c r="B85" s="9"/>
      <c r="C85" s="141"/>
      <c r="D85" s="147"/>
      <c r="E85" s="211"/>
      <c r="F85" s="212"/>
      <c r="G85" s="222"/>
      <c r="H85" s="212"/>
      <c r="I85" s="208"/>
      <c r="J85" s="147"/>
      <c r="K85" s="210"/>
      <c r="L85" s="212"/>
      <c r="M85" s="208"/>
      <c r="N85" s="212"/>
      <c r="O85" s="208"/>
      <c r="P85" s="212"/>
      <c r="Q85" s="208"/>
      <c r="R85" s="147"/>
      <c r="S85" s="210"/>
      <c r="T85" s="212"/>
      <c r="U85" s="208"/>
      <c r="V85" s="215"/>
      <c r="W85" s="216"/>
      <c r="X85" s="215"/>
      <c r="Y85" s="216"/>
      <c r="Z85" s="9"/>
      <c r="AA85" s="9"/>
    </row>
    <row r="86" spans="2:27" ht="15">
      <c r="B86" s="9"/>
      <c r="C86" s="141"/>
      <c r="D86" s="147"/>
      <c r="E86" s="211"/>
      <c r="F86" s="212"/>
      <c r="G86" s="222"/>
      <c r="H86" s="212"/>
      <c r="I86" s="208"/>
      <c r="J86" s="147"/>
      <c r="K86" s="210"/>
      <c r="L86" s="212"/>
      <c r="M86" s="208"/>
      <c r="N86" s="212"/>
      <c r="O86" s="208"/>
      <c r="P86" s="212"/>
      <c r="Q86" s="208"/>
      <c r="R86" s="147"/>
      <c r="S86" s="210"/>
      <c r="T86" s="212"/>
      <c r="U86" s="208"/>
      <c r="V86" s="215"/>
      <c r="W86" s="216"/>
      <c r="X86" s="215"/>
      <c r="Y86" s="216"/>
      <c r="Z86" s="9"/>
      <c r="AA86" s="9"/>
    </row>
    <row r="87" spans="2:27" ht="15">
      <c r="B87" s="9"/>
      <c r="C87" s="141"/>
      <c r="D87" s="147"/>
      <c r="E87" s="211"/>
      <c r="F87" s="212"/>
      <c r="G87" s="222"/>
      <c r="H87" s="212"/>
      <c r="I87" s="208"/>
      <c r="J87" s="147"/>
      <c r="K87" s="210"/>
      <c r="L87" s="212"/>
      <c r="M87" s="208"/>
      <c r="N87" s="212"/>
      <c r="O87" s="208"/>
      <c r="P87" s="212"/>
      <c r="Q87" s="208"/>
      <c r="R87" s="147"/>
      <c r="S87" s="210"/>
      <c r="T87" s="212"/>
      <c r="U87" s="208"/>
      <c r="V87" s="215"/>
      <c r="W87" s="216"/>
      <c r="X87" s="215"/>
      <c r="Y87" s="216"/>
      <c r="Z87" s="9"/>
      <c r="AA87" s="9"/>
    </row>
    <row r="88" spans="2:27" ht="15">
      <c r="B88" s="9"/>
      <c r="C88" s="141"/>
      <c r="D88" s="147"/>
      <c r="E88" s="211"/>
      <c r="F88" s="212"/>
      <c r="G88" s="222"/>
      <c r="H88" s="212"/>
      <c r="I88" s="208"/>
      <c r="J88" s="147"/>
      <c r="K88" s="210"/>
      <c r="L88" s="212"/>
      <c r="M88" s="208"/>
      <c r="N88" s="212"/>
      <c r="O88" s="208"/>
      <c r="P88" s="212"/>
      <c r="Q88" s="208"/>
      <c r="R88" s="147"/>
      <c r="S88" s="210"/>
      <c r="T88" s="212"/>
      <c r="U88" s="208"/>
      <c r="V88" s="215"/>
      <c r="W88" s="216"/>
      <c r="X88" s="215"/>
      <c r="Y88" s="216"/>
      <c r="Z88" s="9"/>
      <c r="AA88" s="9"/>
    </row>
    <row r="89" spans="2:27" ht="15">
      <c r="B89" s="9"/>
      <c r="C89" s="141"/>
      <c r="D89" s="147"/>
      <c r="E89" s="211"/>
      <c r="F89" s="212"/>
      <c r="G89" s="222"/>
      <c r="H89" s="212"/>
      <c r="I89" s="208"/>
      <c r="J89" s="147"/>
      <c r="K89" s="210"/>
      <c r="L89" s="212"/>
      <c r="M89" s="208"/>
      <c r="N89" s="212"/>
      <c r="O89" s="208"/>
      <c r="P89" s="212"/>
      <c r="Q89" s="208"/>
      <c r="R89" s="147"/>
      <c r="S89" s="210"/>
      <c r="T89" s="212"/>
      <c r="U89" s="208"/>
      <c r="V89" s="215"/>
      <c r="W89" s="216"/>
      <c r="X89" s="215"/>
      <c r="Y89" s="216"/>
      <c r="Z89" s="9"/>
      <c r="AA89" s="9"/>
    </row>
    <row r="90" spans="2:27" ht="15">
      <c r="B90" s="9"/>
      <c r="C90" s="141"/>
      <c r="D90" s="147"/>
      <c r="E90" s="211"/>
      <c r="F90" s="212"/>
      <c r="G90" s="222"/>
      <c r="H90" s="212"/>
      <c r="I90" s="208"/>
      <c r="J90" s="147"/>
      <c r="K90" s="210"/>
      <c r="L90" s="212"/>
      <c r="M90" s="208"/>
      <c r="N90" s="212"/>
      <c r="O90" s="208"/>
      <c r="P90" s="212"/>
      <c r="Q90" s="208"/>
      <c r="R90" s="147"/>
      <c r="S90" s="210"/>
      <c r="T90" s="212"/>
      <c r="U90" s="208"/>
      <c r="V90" s="215"/>
      <c r="W90" s="216"/>
      <c r="X90" s="215"/>
      <c r="Y90" s="216"/>
      <c r="Z90" s="9"/>
      <c r="AA90" s="9"/>
    </row>
    <row r="91" spans="2:27" ht="15">
      <c r="B91" s="9"/>
      <c r="C91" s="141"/>
      <c r="D91" s="147"/>
      <c r="E91" s="211"/>
      <c r="F91" s="212"/>
      <c r="G91" s="222"/>
      <c r="H91" s="212"/>
      <c r="I91" s="208"/>
      <c r="J91" s="147"/>
      <c r="K91" s="210"/>
      <c r="L91" s="212"/>
      <c r="M91" s="208"/>
      <c r="N91" s="212"/>
      <c r="O91" s="208"/>
      <c r="P91" s="212"/>
      <c r="Q91" s="208"/>
      <c r="R91" s="147"/>
      <c r="S91" s="210"/>
      <c r="T91" s="212"/>
      <c r="U91" s="208"/>
      <c r="V91" s="215"/>
      <c r="W91" s="216"/>
      <c r="X91" s="215"/>
      <c r="Y91" s="216"/>
      <c r="Z91" s="9"/>
      <c r="AA91" s="9"/>
    </row>
    <row r="92" spans="2:27" ht="15">
      <c r="B92" s="9"/>
      <c r="C92" s="141"/>
      <c r="D92" s="147"/>
      <c r="E92" s="211"/>
      <c r="F92" s="212"/>
      <c r="G92" s="222"/>
      <c r="H92" s="212"/>
      <c r="I92" s="208"/>
      <c r="J92" s="147"/>
      <c r="K92" s="210"/>
      <c r="L92" s="212"/>
      <c r="M92" s="208"/>
      <c r="N92" s="212"/>
      <c r="O92" s="208"/>
      <c r="P92" s="212"/>
      <c r="Q92" s="208"/>
      <c r="R92" s="147"/>
      <c r="S92" s="210"/>
      <c r="T92" s="212"/>
      <c r="U92" s="208"/>
      <c r="V92" s="215"/>
      <c r="W92" s="216"/>
      <c r="X92" s="215"/>
      <c r="Y92" s="216"/>
      <c r="Z92" s="9"/>
      <c r="AA92" s="9"/>
    </row>
    <row r="93" spans="2:27" ht="15">
      <c r="B93" s="9"/>
      <c r="C93" s="141"/>
      <c r="D93" s="147"/>
      <c r="E93" s="211"/>
      <c r="F93" s="212"/>
      <c r="G93" s="222"/>
      <c r="H93" s="212"/>
      <c r="I93" s="208"/>
      <c r="J93" s="147"/>
      <c r="K93" s="210"/>
      <c r="L93" s="212"/>
      <c r="M93" s="208"/>
      <c r="N93" s="212"/>
      <c r="O93" s="208"/>
      <c r="P93" s="212"/>
      <c r="Q93" s="208"/>
      <c r="R93" s="147"/>
      <c r="S93" s="210"/>
      <c r="T93" s="212"/>
      <c r="U93" s="208"/>
      <c r="V93" s="215"/>
      <c r="W93" s="216"/>
      <c r="X93" s="215"/>
      <c r="Y93" s="216"/>
      <c r="Z93" s="9"/>
      <c r="AA93" s="9"/>
    </row>
    <row r="94" spans="2:27" ht="15">
      <c r="B94" s="9"/>
      <c r="C94" s="141"/>
      <c r="D94" s="147"/>
      <c r="E94" s="211"/>
      <c r="F94" s="212"/>
      <c r="G94" s="222"/>
      <c r="H94" s="212"/>
      <c r="I94" s="208"/>
      <c r="J94" s="147"/>
      <c r="K94" s="210"/>
      <c r="L94" s="212"/>
      <c r="M94" s="208"/>
      <c r="N94" s="212"/>
      <c r="O94" s="208"/>
      <c r="P94" s="212"/>
      <c r="Q94" s="208"/>
      <c r="R94" s="147"/>
      <c r="S94" s="210"/>
      <c r="T94" s="212"/>
      <c r="U94" s="208"/>
      <c r="V94" s="215"/>
      <c r="W94" s="216"/>
      <c r="X94" s="215"/>
      <c r="Y94" s="216"/>
      <c r="Z94" s="9"/>
      <c r="AA94" s="9"/>
    </row>
    <row r="95" spans="2:27" ht="15">
      <c r="B95" s="9"/>
      <c r="C95" s="141"/>
      <c r="D95" s="147"/>
      <c r="E95" s="211"/>
      <c r="F95" s="212"/>
      <c r="G95" s="222"/>
      <c r="H95" s="212"/>
      <c r="I95" s="208"/>
      <c r="J95" s="147"/>
      <c r="K95" s="210"/>
      <c r="L95" s="212"/>
      <c r="M95" s="208"/>
      <c r="N95" s="212"/>
      <c r="O95" s="208"/>
      <c r="P95" s="212"/>
      <c r="Q95" s="208"/>
      <c r="R95" s="147"/>
      <c r="S95" s="210"/>
      <c r="T95" s="212"/>
      <c r="U95" s="208"/>
      <c r="V95" s="215"/>
      <c r="W95" s="216"/>
      <c r="X95" s="215"/>
      <c r="Y95" s="216"/>
      <c r="Z95" s="9"/>
      <c r="AA95" s="9"/>
    </row>
    <row r="96" spans="2:27" ht="15">
      <c r="B96" s="9"/>
      <c r="C96" s="141"/>
      <c r="D96" s="147"/>
      <c r="E96" s="211"/>
      <c r="F96" s="212"/>
      <c r="G96" s="222"/>
      <c r="H96" s="212"/>
      <c r="I96" s="208"/>
      <c r="J96" s="147"/>
      <c r="K96" s="210"/>
      <c r="L96" s="212"/>
      <c r="M96" s="208"/>
      <c r="N96" s="212"/>
      <c r="O96" s="208"/>
      <c r="P96" s="212"/>
      <c r="Q96" s="208"/>
      <c r="R96" s="147"/>
      <c r="S96" s="210"/>
      <c r="T96" s="212"/>
      <c r="U96" s="208"/>
      <c r="V96" s="215"/>
      <c r="W96" s="216"/>
      <c r="X96" s="215"/>
      <c r="Y96" s="216"/>
      <c r="Z96" s="9"/>
      <c r="AA96" s="9"/>
    </row>
    <row r="97" spans="2:27" ht="15">
      <c r="B97" s="9"/>
      <c r="C97" s="141"/>
      <c r="D97" s="147"/>
      <c r="E97" s="211"/>
      <c r="F97" s="212"/>
      <c r="G97" s="222"/>
      <c r="H97" s="212"/>
      <c r="I97" s="208"/>
      <c r="J97" s="147"/>
      <c r="K97" s="210"/>
      <c r="L97" s="212"/>
      <c r="M97" s="208"/>
      <c r="N97" s="212"/>
      <c r="O97" s="208"/>
      <c r="P97" s="212"/>
      <c r="Q97" s="208"/>
      <c r="R97" s="147"/>
      <c r="S97" s="210"/>
      <c r="T97" s="212"/>
      <c r="U97" s="208"/>
      <c r="V97" s="215"/>
      <c r="W97" s="216"/>
      <c r="X97" s="215"/>
      <c r="Y97" s="216"/>
      <c r="Z97" s="9"/>
      <c r="AA97" s="9"/>
    </row>
    <row r="98" spans="2:27" ht="15">
      <c r="B98" s="9"/>
      <c r="C98" s="141"/>
      <c r="D98" s="147"/>
      <c r="E98" s="211"/>
      <c r="F98" s="212"/>
      <c r="G98" s="222"/>
      <c r="H98" s="212"/>
      <c r="I98" s="208"/>
      <c r="J98" s="147"/>
      <c r="K98" s="210"/>
      <c r="L98" s="212"/>
      <c r="M98" s="208"/>
      <c r="N98" s="212"/>
      <c r="O98" s="208"/>
      <c r="P98" s="212"/>
      <c r="Q98" s="208"/>
      <c r="R98" s="147"/>
      <c r="S98" s="210"/>
      <c r="T98" s="212"/>
      <c r="U98" s="208"/>
      <c r="V98" s="215"/>
      <c r="W98" s="216"/>
      <c r="X98" s="215"/>
      <c r="Y98" s="216"/>
      <c r="Z98" s="9"/>
      <c r="AA98" s="9"/>
    </row>
    <row r="99" spans="2:27" ht="15">
      <c r="B99" s="9"/>
      <c r="C99" s="141"/>
      <c r="D99" s="147"/>
      <c r="E99" s="211"/>
      <c r="F99" s="212"/>
      <c r="G99" s="222"/>
      <c r="H99" s="212"/>
      <c r="I99" s="208"/>
      <c r="J99" s="147"/>
      <c r="K99" s="210"/>
      <c r="L99" s="212"/>
      <c r="M99" s="208"/>
      <c r="N99" s="212"/>
      <c r="O99" s="208"/>
      <c r="P99" s="212"/>
      <c r="Q99" s="208"/>
      <c r="R99" s="147"/>
      <c r="S99" s="210"/>
      <c r="T99" s="212"/>
      <c r="U99" s="208"/>
      <c r="V99" s="215"/>
      <c r="W99" s="216"/>
      <c r="X99" s="215"/>
      <c r="Y99" s="216"/>
      <c r="Z99" s="9"/>
      <c r="AA99" s="9"/>
    </row>
    <row r="100" spans="2:27" ht="15">
      <c r="B100" s="9"/>
      <c r="C100" s="141"/>
      <c r="D100" s="147"/>
      <c r="E100" s="211"/>
      <c r="F100" s="212"/>
      <c r="G100" s="222"/>
      <c r="H100" s="212"/>
      <c r="I100" s="208"/>
      <c r="J100" s="147"/>
      <c r="K100" s="210"/>
      <c r="L100" s="212"/>
      <c r="M100" s="208"/>
      <c r="N100" s="212"/>
      <c r="O100" s="208"/>
      <c r="P100" s="212"/>
      <c r="Q100" s="208"/>
      <c r="R100" s="147"/>
      <c r="S100" s="210"/>
      <c r="T100" s="212"/>
      <c r="U100" s="208"/>
      <c r="V100" s="215"/>
      <c r="W100" s="216"/>
      <c r="X100" s="215"/>
      <c r="Y100" s="216"/>
      <c r="Z100" s="9"/>
      <c r="AA100" s="9"/>
    </row>
    <row r="101" spans="2:27" ht="15">
      <c r="B101" s="9"/>
      <c r="C101" s="141"/>
      <c r="D101" s="147"/>
      <c r="E101" s="211"/>
      <c r="F101" s="212"/>
      <c r="G101" s="222"/>
      <c r="H101" s="212"/>
      <c r="I101" s="208"/>
      <c r="J101" s="147"/>
      <c r="K101" s="210"/>
      <c r="L101" s="212"/>
      <c r="M101" s="208"/>
      <c r="N101" s="212"/>
      <c r="O101" s="208"/>
      <c r="P101" s="212"/>
      <c r="Q101" s="208"/>
      <c r="R101" s="147"/>
      <c r="S101" s="210"/>
      <c r="T101" s="212"/>
      <c r="U101" s="208"/>
      <c r="V101" s="215"/>
      <c r="W101" s="216"/>
      <c r="X101" s="215"/>
      <c r="Y101" s="216"/>
      <c r="Z101" s="9"/>
      <c r="AA101" s="9"/>
    </row>
    <row r="102" spans="2:27" ht="15">
      <c r="B102" s="9"/>
      <c r="C102" s="141"/>
      <c r="D102" s="147"/>
      <c r="E102" s="211"/>
      <c r="F102" s="212"/>
      <c r="G102" s="222"/>
      <c r="H102" s="212"/>
      <c r="I102" s="208"/>
      <c r="J102" s="147"/>
      <c r="K102" s="210"/>
      <c r="L102" s="212"/>
      <c r="M102" s="208"/>
      <c r="N102" s="212"/>
      <c r="O102" s="208"/>
      <c r="P102" s="212"/>
      <c r="Q102" s="208"/>
      <c r="R102" s="147"/>
      <c r="S102" s="210"/>
      <c r="T102" s="212"/>
      <c r="U102" s="208"/>
      <c r="V102" s="215"/>
      <c r="W102" s="216"/>
      <c r="X102" s="215"/>
      <c r="Y102" s="216"/>
      <c r="Z102" s="9"/>
      <c r="AA102" s="9"/>
    </row>
    <row r="103" spans="2:27" ht="15">
      <c r="B103" s="9"/>
      <c r="C103" s="141"/>
      <c r="D103" s="147"/>
      <c r="E103" s="211"/>
      <c r="F103" s="212"/>
      <c r="G103" s="222"/>
      <c r="H103" s="212"/>
      <c r="I103" s="208"/>
      <c r="J103" s="147"/>
      <c r="K103" s="210"/>
      <c r="L103" s="212"/>
      <c r="M103" s="208"/>
      <c r="N103" s="212"/>
      <c r="O103" s="208"/>
      <c r="P103" s="212"/>
      <c r="Q103" s="208"/>
      <c r="R103" s="147"/>
      <c r="S103" s="210"/>
      <c r="T103" s="212"/>
      <c r="U103" s="208"/>
      <c r="V103" s="215"/>
      <c r="W103" s="216"/>
      <c r="X103" s="215"/>
      <c r="Y103" s="216"/>
      <c r="Z103" s="9"/>
      <c r="AA103" s="9"/>
    </row>
    <row r="104" spans="2:27" ht="15">
      <c r="B104" s="9"/>
      <c r="C104" s="141"/>
      <c r="D104" s="147"/>
      <c r="E104" s="211"/>
      <c r="F104" s="212"/>
      <c r="G104" s="222"/>
      <c r="H104" s="212"/>
      <c r="I104" s="208"/>
      <c r="J104" s="147"/>
      <c r="K104" s="210"/>
      <c r="L104" s="212"/>
      <c r="M104" s="208"/>
      <c r="N104" s="212"/>
      <c r="O104" s="208"/>
      <c r="P104" s="212"/>
      <c r="Q104" s="208"/>
      <c r="R104" s="147"/>
      <c r="S104" s="210"/>
      <c r="T104" s="212"/>
      <c r="U104" s="208"/>
      <c r="V104" s="215"/>
      <c r="W104" s="216"/>
      <c r="X104" s="215"/>
      <c r="Y104" s="216"/>
      <c r="Z104" s="9"/>
      <c r="AA104" s="9"/>
    </row>
    <row r="105" spans="2:27" ht="15">
      <c r="B105" s="9"/>
      <c r="C105" s="141"/>
      <c r="D105" s="147"/>
      <c r="E105" s="211"/>
      <c r="F105" s="212"/>
      <c r="G105" s="222"/>
      <c r="H105" s="212"/>
      <c r="I105" s="208"/>
      <c r="J105" s="147"/>
      <c r="K105" s="210"/>
      <c r="L105" s="212"/>
      <c r="M105" s="208"/>
      <c r="N105" s="212"/>
      <c r="O105" s="208"/>
      <c r="P105" s="212"/>
      <c r="Q105" s="208"/>
      <c r="R105" s="147"/>
      <c r="S105" s="210"/>
      <c r="T105" s="212"/>
      <c r="U105" s="208"/>
      <c r="V105" s="215"/>
      <c r="W105" s="216"/>
      <c r="X105" s="215"/>
      <c r="Y105" s="216"/>
      <c r="Z105" s="9"/>
      <c r="AA105" s="9"/>
    </row>
    <row r="106" spans="2:27" ht="15">
      <c r="B106" s="9"/>
      <c r="C106" s="141"/>
      <c r="D106" s="147"/>
      <c r="E106" s="211"/>
      <c r="F106" s="212"/>
      <c r="G106" s="222"/>
      <c r="H106" s="212"/>
      <c r="I106" s="208"/>
      <c r="J106" s="147"/>
      <c r="K106" s="210"/>
      <c r="L106" s="212"/>
      <c r="M106" s="208"/>
      <c r="N106" s="212"/>
      <c r="O106" s="208"/>
      <c r="P106" s="212"/>
      <c r="Q106" s="208"/>
      <c r="R106" s="147"/>
      <c r="S106" s="210"/>
      <c r="T106" s="212"/>
      <c r="U106" s="208"/>
      <c r="V106" s="215"/>
      <c r="W106" s="216"/>
      <c r="X106" s="215"/>
      <c r="Y106" s="216"/>
      <c r="Z106" s="9"/>
      <c r="AA106" s="9"/>
    </row>
    <row r="107" spans="2:27" ht="15">
      <c r="B107" s="9"/>
      <c r="C107" s="141"/>
      <c r="D107" s="147"/>
      <c r="E107" s="211"/>
      <c r="F107" s="212"/>
      <c r="G107" s="222"/>
      <c r="H107" s="212"/>
      <c r="I107" s="208"/>
      <c r="J107" s="147"/>
      <c r="K107" s="210"/>
      <c r="L107" s="212"/>
      <c r="M107" s="208"/>
      <c r="N107" s="212"/>
      <c r="O107" s="208"/>
      <c r="P107" s="212"/>
      <c r="Q107" s="208"/>
      <c r="R107" s="147"/>
      <c r="S107" s="210"/>
      <c r="T107" s="212"/>
      <c r="U107" s="208"/>
      <c r="V107" s="215"/>
      <c r="W107" s="216"/>
      <c r="X107" s="215"/>
      <c r="Y107" s="216"/>
      <c r="Z107" s="9"/>
      <c r="AA107" s="9"/>
    </row>
    <row r="108" spans="2:27" ht="15">
      <c r="B108" s="9"/>
      <c r="C108" s="141"/>
      <c r="D108" s="147"/>
      <c r="E108" s="211"/>
      <c r="F108" s="212"/>
      <c r="G108" s="222"/>
      <c r="H108" s="212"/>
      <c r="I108" s="208"/>
      <c r="J108" s="147"/>
      <c r="K108" s="210"/>
      <c r="L108" s="212"/>
      <c r="M108" s="208"/>
      <c r="N108" s="212"/>
      <c r="O108" s="208"/>
      <c r="P108" s="212"/>
      <c r="Q108" s="208"/>
      <c r="R108" s="147"/>
      <c r="S108" s="210"/>
      <c r="T108" s="212"/>
      <c r="U108" s="208"/>
      <c r="V108" s="215"/>
      <c r="W108" s="216"/>
      <c r="X108" s="215"/>
      <c r="Y108" s="216"/>
      <c r="Z108" s="9"/>
      <c r="AA108" s="9"/>
    </row>
  </sheetData>
  <sheetProtection/>
  <mergeCells count="20">
    <mergeCell ref="R4:S4"/>
    <mergeCell ref="L3:M3"/>
    <mergeCell ref="L4:M4"/>
    <mergeCell ref="P3:Q3"/>
    <mergeCell ref="P4:Q4"/>
    <mergeCell ref="C4:C5"/>
    <mergeCell ref="D4:E4"/>
    <mergeCell ref="F4:G4"/>
    <mergeCell ref="J4:K4"/>
    <mergeCell ref="N4:O4"/>
    <mergeCell ref="V3:W3"/>
    <mergeCell ref="X3:Y3"/>
    <mergeCell ref="T3:U3"/>
    <mergeCell ref="T4:U4"/>
    <mergeCell ref="F3:G3"/>
    <mergeCell ref="J3:K3"/>
    <mergeCell ref="N3:O3"/>
    <mergeCell ref="R3:S3"/>
    <mergeCell ref="H3:I3"/>
    <mergeCell ref="H4:I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scale="48" r:id="rId2"/>
  <headerFooter>
    <oddFooter xml:space="preserve">&amp;C© Burman Energy Consultants Group Inc 2010 - Wasaga Distribution LRAM/SSM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workbookViewId="0" topLeftCell="A1">
      <selection activeCell="V27" sqref="V27"/>
    </sheetView>
  </sheetViews>
  <sheetFormatPr defaultColWidth="9.140625" defaultRowHeight="15"/>
  <cols>
    <col min="1" max="1" width="46.57421875" style="0" customWidth="1"/>
    <col min="2" max="2" width="13.8515625" style="110" customWidth="1"/>
    <col min="3" max="3" width="9.140625" style="31" customWidth="1"/>
    <col min="4" max="5" width="9.140625" style="7" customWidth="1"/>
    <col min="6" max="6" width="12.140625" style="6" customWidth="1"/>
    <col min="7" max="7" width="9.57421875" style="35" bestFit="1" customWidth="1"/>
    <col min="8" max="8" width="9.140625" style="19" customWidth="1"/>
    <col min="9" max="9" width="9.28125" style="54" bestFit="1" customWidth="1"/>
    <col min="10" max="10" width="13.57421875" style="3" customWidth="1"/>
    <col min="11" max="11" width="9.7109375" style="31" bestFit="1" customWidth="1"/>
    <col min="12" max="12" width="9.140625" style="7" customWidth="1"/>
    <col min="13" max="13" width="9.421875" style="8" bestFit="1" customWidth="1"/>
    <col min="14" max="14" width="14.00390625" style="6" customWidth="1"/>
    <col min="15" max="15" width="9.8515625" style="35" bestFit="1" customWidth="1"/>
    <col min="16" max="16" width="9.140625" style="19" customWidth="1"/>
    <col min="17" max="17" width="9.421875" style="54" bestFit="1" customWidth="1"/>
    <col min="18" max="18" width="12.7109375" style="3" customWidth="1"/>
    <col min="19" max="19" width="17.7109375" style="6" bestFit="1" customWidth="1"/>
    <col min="20" max="20" width="11.57421875" style="0" customWidth="1"/>
  </cols>
  <sheetData>
    <row r="1" spans="1:20" ht="15">
      <c r="A1" s="12" t="s">
        <v>57</v>
      </c>
      <c r="B1" s="138"/>
      <c r="C1" s="214"/>
      <c r="D1" s="90"/>
      <c r="E1" s="90"/>
      <c r="F1" s="91"/>
      <c r="G1" s="214"/>
      <c r="H1" s="90"/>
      <c r="I1" s="92"/>
      <c r="J1" s="91"/>
      <c r="K1" s="214"/>
      <c r="L1" s="90"/>
      <c r="M1" s="92"/>
      <c r="N1" s="91"/>
      <c r="O1" s="214"/>
      <c r="P1" s="90"/>
      <c r="Q1" s="92"/>
      <c r="R1" s="91"/>
      <c r="S1" s="91"/>
      <c r="T1" s="93"/>
    </row>
    <row r="2" spans="1:20" ht="15">
      <c r="A2" s="4" t="s">
        <v>9</v>
      </c>
      <c r="B2" s="94"/>
      <c r="C2" s="214"/>
      <c r="D2" s="139"/>
      <c r="E2" s="92"/>
      <c r="F2" s="91"/>
      <c r="G2" s="229"/>
      <c r="H2" s="106"/>
      <c r="I2" s="107"/>
      <c r="J2" s="108"/>
      <c r="K2" s="229"/>
      <c r="L2" s="106"/>
      <c r="M2" s="107"/>
      <c r="N2" s="108"/>
      <c r="O2" s="229"/>
      <c r="P2" s="106"/>
      <c r="Q2" s="107"/>
      <c r="R2" s="108"/>
      <c r="S2" s="109"/>
      <c r="T2" s="93"/>
    </row>
    <row r="3" spans="1:20" s="262" customFormat="1" ht="15.75" thickBot="1">
      <c r="A3" s="258"/>
      <c r="B3" s="259"/>
      <c r="C3" s="647">
        <v>2006</v>
      </c>
      <c r="D3" s="648"/>
      <c r="E3" s="648"/>
      <c r="F3" s="649"/>
      <c r="G3" s="650">
        <v>2007</v>
      </c>
      <c r="H3" s="651"/>
      <c r="I3" s="651"/>
      <c r="J3" s="652"/>
      <c r="K3" s="647">
        <v>2008</v>
      </c>
      <c r="L3" s="648"/>
      <c r="M3" s="648"/>
      <c r="N3" s="649"/>
      <c r="O3" s="653">
        <v>2009</v>
      </c>
      <c r="P3" s="654"/>
      <c r="Q3" s="654"/>
      <c r="R3" s="655"/>
      <c r="S3" s="105"/>
      <c r="T3" s="258"/>
    </row>
    <row r="4" spans="1:19" s="262" customFormat="1" ht="15" customHeight="1">
      <c r="A4" s="70" t="s">
        <v>3</v>
      </c>
      <c r="B4" s="617" t="s">
        <v>10</v>
      </c>
      <c r="C4" s="639" t="s">
        <v>14</v>
      </c>
      <c r="D4" s="635" t="s">
        <v>11</v>
      </c>
      <c r="E4" s="636" t="s">
        <v>12</v>
      </c>
      <c r="F4" s="634" t="s">
        <v>13</v>
      </c>
      <c r="G4" s="637" t="s">
        <v>14</v>
      </c>
      <c r="H4" s="638" t="s">
        <v>11</v>
      </c>
      <c r="I4" s="656" t="s">
        <v>12</v>
      </c>
      <c r="J4" s="641" t="s">
        <v>13</v>
      </c>
      <c r="K4" s="640" t="s">
        <v>14</v>
      </c>
      <c r="L4" s="635" t="s">
        <v>11</v>
      </c>
      <c r="M4" s="636" t="s">
        <v>12</v>
      </c>
      <c r="N4" s="634" t="s">
        <v>13</v>
      </c>
      <c r="O4" s="642" t="s">
        <v>51</v>
      </c>
      <c r="P4" s="638" t="s">
        <v>11</v>
      </c>
      <c r="Q4" s="643" t="s">
        <v>12</v>
      </c>
      <c r="R4" s="644" t="s">
        <v>13</v>
      </c>
      <c r="S4" s="645" t="s">
        <v>15</v>
      </c>
    </row>
    <row r="5" spans="1:19" s="262" customFormat="1" ht="15">
      <c r="A5" s="122" t="s">
        <v>4</v>
      </c>
      <c r="B5" s="632"/>
      <c r="C5" s="640"/>
      <c r="D5" s="635"/>
      <c r="E5" s="636"/>
      <c r="F5" s="634"/>
      <c r="G5" s="637"/>
      <c r="H5" s="638"/>
      <c r="I5" s="656"/>
      <c r="J5" s="641"/>
      <c r="K5" s="640"/>
      <c r="L5" s="635"/>
      <c r="M5" s="636"/>
      <c r="N5" s="634"/>
      <c r="O5" s="642"/>
      <c r="P5" s="638"/>
      <c r="Q5" s="643"/>
      <c r="R5" s="644"/>
      <c r="S5" s="646"/>
    </row>
    <row r="6" spans="1:20" ht="15">
      <c r="A6" s="72" t="s">
        <v>5</v>
      </c>
      <c r="B6" s="159"/>
      <c r="C6" s="154"/>
      <c r="D6" s="5"/>
      <c r="E6" s="5"/>
      <c r="G6" s="37"/>
      <c r="H6" s="110"/>
      <c r="I6" s="162"/>
      <c r="K6" s="154"/>
      <c r="L6" s="5"/>
      <c r="M6" s="163"/>
      <c r="O6" s="37"/>
      <c r="P6" s="110"/>
      <c r="Q6" s="162"/>
      <c r="T6" s="2"/>
    </row>
    <row r="7" spans="1:20" s="169" customFormat="1" ht="15">
      <c r="A7" s="172" t="s">
        <v>72</v>
      </c>
      <c r="B7" s="164"/>
      <c r="C7" s="171"/>
      <c r="D7" s="164"/>
      <c r="E7" s="165"/>
      <c r="F7" s="166"/>
      <c r="G7" s="171"/>
      <c r="H7" s="164"/>
      <c r="I7" s="165"/>
      <c r="J7" s="166"/>
      <c r="K7" s="171"/>
      <c r="L7" s="164"/>
      <c r="M7" s="165"/>
      <c r="N7" s="166"/>
      <c r="O7" s="171"/>
      <c r="P7" s="164"/>
      <c r="Q7" s="165"/>
      <c r="R7" s="166"/>
      <c r="S7" s="167"/>
      <c r="T7" s="168"/>
    </row>
    <row r="8" spans="1:19" ht="15">
      <c r="A8" s="145" t="s">
        <v>95</v>
      </c>
      <c r="B8" s="151">
        <v>2005</v>
      </c>
      <c r="C8" s="279">
        <f>'Attachment A - Load Impacts'!F8</f>
        <v>98903.9007</v>
      </c>
      <c r="D8" s="230" t="s">
        <v>16</v>
      </c>
      <c r="E8" s="230">
        <v>0.016</v>
      </c>
      <c r="F8" s="231">
        <f>(1/4)*C8*0.017+(3/4)*C8*E8</f>
        <v>1607.1883863750002</v>
      </c>
      <c r="G8" s="37">
        <f>'Attachment A - Load Impacts'!J8</f>
        <v>98903.9007</v>
      </c>
      <c r="H8" s="110" t="s">
        <v>16</v>
      </c>
      <c r="I8" s="162">
        <v>0.0161</v>
      </c>
      <c r="J8" s="3">
        <f>(1/3)*G8*E8+(2/3)*G8*I8</f>
        <v>1589.0560045799998</v>
      </c>
      <c r="K8" s="154">
        <f>'Attachment A - Load Impacts'!N8</f>
        <v>98903.9007</v>
      </c>
      <c r="L8" s="5" t="s">
        <v>16</v>
      </c>
      <c r="M8" s="163">
        <v>0.0161</v>
      </c>
      <c r="N8" s="6">
        <f>(1/3)*K8*I8+(2/3)*K8*M8</f>
        <v>1592.3528012699999</v>
      </c>
      <c r="O8" s="37">
        <f>'Attachment A - Load Impacts'!R8</f>
        <v>60415.22610000001</v>
      </c>
      <c r="P8" s="110" t="s">
        <v>16</v>
      </c>
      <c r="Q8" s="162">
        <v>0.0162</v>
      </c>
      <c r="R8" s="3">
        <f>(1/3)*O8*M8+(2/3)*O8*Q8</f>
        <v>976.71282195</v>
      </c>
      <c r="S8" s="6">
        <f>+F8+J8+N8+R8</f>
        <v>5765.310014175</v>
      </c>
    </row>
    <row r="9" spans="1:20" ht="15">
      <c r="A9" s="145" t="s">
        <v>98</v>
      </c>
      <c r="B9" s="152">
        <v>2007</v>
      </c>
      <c r="C9" s="154"/>
      <c r="D9" s="5"/>
      <c r="E9" s="223">
        <v>0.016</v>
      </c>
      <c r="F9" s="224"/>
      <c r="G9" s="37"/>
      <c r="H9" s="225"/>
      <c r="I9" s="226">
        <v>0.0161</v>
      </c>
      <c r="J9" s="227"/>
      <c r="K9" s="154">
        <f>'Attachment A - Load Impacts'!N18</f>
        <v>610740</v>
      </c>
      <c r="L9" s="5" t="s">
        <v>16</v>
      </c>
      <c r="M9" s="163">
        <v>0.0161</v>
      </c>
      <c r="N9" s="6">
        <f aca="true" t="shared" si="0" ref="N9:N34">(1/3)*K9*I9+(2/3)*K9*M9</f>
        <v>9832.914</v>
      </c>
      <c r="O9" s="37">
        <f>'Attachment A - Load Impacts'!R18</f>
        <v>252720</v>
      </c>
      <c r="P9" s="110" t="s">
        <v>16</v>
      </c>
      <c r="Q9" s="162">
        <v>0.0162</v>
      </c>
      <c r="R9" s="3">
        <f aca="true" t="shared" si="1" ref="R9:R34">(1/3)*O9*M9+(2/3)*O9*Q9</f>
        <v>4085.6399999999994</v>
      </c>
      <c r="S9" s="6">
        <f>+F9+J9+N9+R9</f>
        <v>13918.554</v>
      </c>
      <c r="T9" s="9"/>
    </row>
    <row r="10" spans="1:20" ht="15">
      <c r="A10" s="145" t="s">
        <v>102</v>
      </c>
      <c r="B10" s="152">
        <v>2008</v>
      </c>
      <c r="C10" s="154"/>
      <c r="D10" s="5"/>
      <c r="E10" s="223">
        <v>0.016</v>
      </c>
      <c r="F10" s="224"/>
      <c r="G10" s="37"/>
      <c r="H10" s="225"/>
      <c r="I10" s="226">
        <v>0.0161</v>
      </c>
      <c r="J10" s="227"/>
      <c r="K10" s="154"/>
      <c r="L10" s="5"/>
      <c r="M10" s="163"/>
      <c r="O10" s="37">
        <f>'Attachment A - Load Impacts'!R19</f>
        <v>32159.7</v>
      </c>
      <c r="P10" s="110" t="s">
        <v>16</v>
      </c>
      <c r="Q10" s="162">
        <v>0.0162</v>
      </c>
      <c r="R10" s="3">
        <f t="shared" si="1"/>
        <v>347.32475999999997</v>
      </c>
      <c r="S10" s="6">
        <f aca="true" t="shared" si="2" ref="S10:S34">+F10+J10+N10+R10</f>
        <v>347.32475999999997</v>
      </c>
      <c r="T10" s="9"/>
    </row>
    <row r="11" spans="1:20" ht="15">
      <c r="A11" s="153"/>
      <c r="B11" s="143"/>
      <c r="C11" s="154"/>
      <c r="D11" s="5"/>
      <c r="E11" s="5"/>
      <c r="G11" s="37"/>
      <c r="H11" s="110"/>
      <c r="I11" s="162"/>
      <c r="K11" s="154"/>
      <c r="L11" s="5"/>
      <c r="M11" s="163"/>
      <c r="O11" s="37"/>
      <c r="P11" s="110"/>
      <c r="Q11" s="162"/>
      <c r="S11" s="314">
        <f>SUM(S8:S10)</f>
        <v>20031.188774175</v>
      </c>
      <c r="T11" s="112"/>
    </row>
    <row r="12" spans="1:20" s="169" customFormat="1" ht="15">
      <c r="A12" s="185" t="s">
        <v>74</v>
      </c>
      <c r="B12" s="170"/>
      <c r="C12" s="171"/>
      <c r="D12" s="164"/>
      <c r="E12" s="164"/>
      <c r="F12" s="166"/>
      <c r="G12" s="171"/>
      <c r="H12" s="164"/>
      <c r="I12" s="165"/>
      <c r="J12" s="166"/>
      <c r="K12" s="171"/>
      <c r="L12" s="164"/>
      <c r="M12" s="165"/>
      <c r="N12" s="166"/>
      <c r="O12" s="171"/>
      <c r="P12" s="164"/>
      <c r="Q12" s="165"/>
      <c r="R12" s="166"/>
      <c r="S12" s="166"/>
      <c r="T12" s="177"/>
    </row>
    <row r="13" spans="1:20" ht="15">
      <c r="A13" s="148" t="s">
        <v>103</v>
      </c>
      <c r="B13" s="151">
        <v>2008</v>
      </c>
      <c r="C13" s="154"/>
      <c r="D13" s="223" t="s">
        <v>16</v>
      </c>
      <c r="E13" s="223">
        <v>0.015</v>
      </c>
      <c r="F13" s="224"/>
      <c r="G13" s="37"/>
      <c r="H13" s="110"/>
      <c r="I13" s="226">
        <v>0.0151</v>
      </c>
      <c r="K13" s="154"/>
      <c r="L13" s="5"/>
      <c r="M13" s="282">
        <v>0.0151</v>
      </c>
      <c r="O13" s="37">
        <f>'Attachment A - Load Impacts'!R22</f>
        <v>33600</v>
      </c>
      <c r="P13" s="110" t="s">
        <v>16</v>
      </c>
      <c r="Q13" s="162">
        <v>0.0152</v>
      </c>
      <c r="R13" s="3">
        <f>4*(1/3)*O13*M13+8*(2/3)*O13*Q13</f>
        <v>3400.32</v>
      </c>
      <c r="S13" s="6">
        <f t="shared" si="2"/>
        <v>3400.32</v>
      </c>
      <c r="T13" s="111"/>
    </row>
    <row r="14" spans="1:20" ht="15">
      <c r="A14" s="153"/>
      <c r="B14" s="143"/>
      <c r="C14" s="154"/>
      <c r="D14" s="5"/>
      <c r="E14" s="5"/>
      <c r="G14" s="37"/>
      <c r="H14" s="110"/>
      <c r="I14" s="162"/>
      <c r="K14" s="154"/>
      <c r="L14" s="5"/>
      <c r="M14" s="163"/>
      <c r="O14" s="37"/>
      <c r="P14" s="110"/>
      <c r="Q14" s="162"/>
      <c r="S14" s="314">
        <f>S13</f>
        <v>3400.32</v>
      </c>
      <c r="T14" s="9"/>
    </row>
    <row r="15" spans="1:20" s="169" customFormat="1" ht="15">
      <c r="A15" s="185" t="s">
        <v>76</v>
      </c>
      <c r="B15" s="170"/>
      <c r="C15" s="171"/>
      <c r="D15" s="164"/>
      <c r="E15" s="164"/>
      <c r="F15" s="166"/>
      <c r="G15" s="171"/>
      <c r="H15" s="164"/>
      <c r="I15" s="165"/>
      <c r="J15" s="166"/>
      <c r="K15" s="171"/>
      <c r="L15" s="164"/>
      <c r="M15" s="165"/>
      <c r="N15" s="166"/>
      <c r="O15" s="171"/>
      <c r="P15" s="164"/>
      <c r="Q15" s="165"/>
      <c r="R15" s="166"/>
      <c r="S15" s="166"/>
      <c r="T15" s="168"/>
    </row>
    <row r="16" spans="1:20" ht="15">
      <c r="A16" s="148" t="s">
        <v>99</v>
      </c>
      <c r="B16" s="151">
        <v>2007</v>
      </c>
      <c r="C16" s="154"/>
      <c r="D16" s="223"/>
      <c r="E16" s="223">
        <v>5.2842</v>
      </c>
      <c r="F16" s="224">
        <f>(1/4)*C16*3.4623+(3/4)*C16*E16</f>
        <v>0</v>
      </c>
      <c r="G16" s="37"/>
      <c r="H16" s="225"/>
      <c r="I16" s="226">
        <v>0.0151</v>
      </c>
      <c r="J16" s="227"/>
      <c r="K16" s="155">
        <f>'Attachment A - Load Impacts'!N25</f>
        <v>5244.38</v>
      </c>
      <c r="L16" s="5" t="s">
        <v>17</v>
      </c>
      <c r="M16" s="163">
        <v>0.0151</v>
      </c>
      <c r="N16" s="6">
        <f t="shared" si="0"/>
        <v>79.19013799999999</v>
      </c>
      <c r="O16" s="156">
        <f>'Attachment A - Load Impacts'!R25</f>
        <v>5244.38</v>
      </c>
      <c r="P16" s="110" t="s">
        <v>17</v>
      </c>
      <c r="Q16" s="162">
        <v>0.0152</v>
      </c>
      <c r="R16" s="3">
        <f t="shared" si="1"/>
        <v>79.53976333333333</v>
      </c>
      <c r="S16" s="6">
        <f t="shared" si="2"/>
        <v>158.72990133333332</v>
      </c>
      <c r="T16" s="111"/>
    </row>
    <row r="17" spans="1:20" ht="15">
      <c r="A17" s="153"/>
      <c r="B17" s="143"/>
      <c r="C17" s="154"/>
      <c r="D17" s="5"/>
      <c r="E17" s="5"/>
      <c r="G17" s="190"/>
      <c r="H17" s="110"/>
      <c r="I17" s="162"/>
      <c r="K17" s="155"/>
      <c r="L17" s="5"/>
      <c r="M17" s="163"/>
      <c r="O17" s="156"/>
      <c r="P17" s="110"/>
      <c r="Q17" s="162"/>
      <c r="S17" s="314">
        <f>S16</f>
        <v>158.72990133333332</v>
      </c>
      <c r="T17" s="111"/>
    </row>
    <row r="18" spans="1:20" ht="15">
      <c r="A18" s="280"/>
      <c r="B18" s="281"/>
      <c r="C18" s="182"/>
      <c r="D18" s="20"/>
      <c r="E18" s="20"/>
      <c r="F18" s="53"/>
      <c r="G18" s="180"/>
      <c r="H18" s="14"/>
      <c r="I18" s="181"/>
      <c r="J18" s="52"/>
      <c r="K18" s="182"/>
      <c r="L18" s="20"/>
      <c r="M18" s="183"/>
      <c r="N18" s="53"/>
      <c r="O18" s="184"/>
      <c r="P18" s="14"/>
      <c r="Q18" s="181"/>
      <c r="R18" s="52"/>
      <c r="S18" s="53"/>
      <c r="T18" s="111"/>
    </row>
    <row r="19" spans="1:20" ht="15">
      <c r="A19" s="76" t="s">
        <v>22</v>
      </c>
      <c r="C19" s="154"/>
      <c r="D19" s="5"/>
      <c r="E19" s="5"/>
      <c r="G19" s="157"/>
      <c r="H19" s="110"/>
      <c r="I19" s="162"/>
      <c r="K19" s="154"/>
      <c r="L19" s="5"/>
      <c r="M19" s="163"/>
      <c r="O19" s="37"/>
      <c r="P19" s="110"/>
      <c r="Q19" s="162"/>
      <c r="T19" s="111"/>
    </row>
    <row r="20" spans="1:20" s="169" customFormat="1" ht="15">
      <c r="A20" s="172" t="s">
        <v>68</v>
      </c>
      <c r="B20" s="170"/>
      <c r="C20" s="171"/>
      <c r="D20" s="164"/>
      <c r="E20" s="164"/>
      <c r="F20" s="166"/>
      <c r="G20" s="171"/>
      <c r="H20" s="164"/>
      <c r="I20" s="165"/>
      <c r="J20" s="166"/>
      <c r="K20" s="171"/>
      <c r="L20" s="164"/>
      <c r="M20" s="165"/>
      <c r="N20" s="166"/>
      <c r="O20" s="171"/>
      <c r="P20" s="164"/>
      <c r="Q20" s="165"/>
      <c r="R20" s="166"/>
      <c r="S20" s="166"/>
      <c r="T20" s="177"/>
    </row>
    <row r="21" spans="1:20" ht="15">
      <c r="A21" s="345" t="s">
        <v>30</v>
      </c>
      <c r="B21" s="160"/>
      <c r="C21" s="154">
        <f>'Attachment A - Load Impacts'!F30</f>
        <v>10200.162262508347</v>
      </c>
      <c r="D21" s="5" t="s">
        <v>16</v>
      </c>
      <c r="E21" s="230">
        <v>0.016</v>
      </c>
      <c r="F21" s="6">
        <f aca="true" t="shared" si="3" ref="F21:F29">(1/4)*C21*0.017+(3/4)*C21*E21</f>
        <v>165.75263676576066</v>
      </c>
      <c r="G21" s="157">
        <f>'Attachment A - Load Impacts'!J30</f>
        <v>10200.162262508347</v>
      </c>
      <c r="H21" s="110" t="s">
        <v>16</v>
      </c>
      <c r="I21" s="162">
        <v>0.0161</v>
      </c>
      <c r="J21" s="3">
        <f aca="true" t="shared" si="4" ref="J21:J34">(1/3)*G21*E21+(2/3)*G21*I21</f>
        <v>163.88260701763411</v>
      </c>
      <c r="K21" s="154">
        <f>'Attachment A - Load Impacts'!N30</f>
        <v>10200.162262508347</v>
      </c>
      <c r="L21" s="5" t="s">
        <v>16</v>
      </c>
      <c r="M21" s="163">
        <v>0.0161</v>
      </c>
      <c r="N21" s="6">
        <f t="shared" si="0"/>
        <v>164.2226124263844</v>
      </c>
      <c r="O21" s="37">
        <f>'Attachment A - Load Impacts'!R30</f>
        <v>10200.162262508347</v>
      </c>
      <c r="P21" s="110" t="s">
        <v>16</v>
      </c>
      <c r="Q21" s="162">
        <v>0.0162</v>
      </c>
      <c r="R21" s="3">
        <f t="shared" si="1"/>
        <v>164.90262324388493</v>
      </c>
      <c r="S21" s="6">
        <f t="shared" si="2"/>
        <v>658.7604794536642</v>
      </c>
      <c r="T21" s="111"/>
    </row>
    <row r="22" spans="1:20" ht="15">
      <c r="A22" s="345" t="s">
        <v>417</v>
      </c>
      <c r="B22" s="152"/>
      <c r="C22" s="154">
        <f>'Attachment A - Load Impacts'!F31</f>
        <v>25179.914512714266</v>
      </c>
      <c r="D22" s="5" t="s">
        <v>16</v>
      </c>
      <c r="E22" s="230">
        <v>0.016</v>
      </c>
      <c r="F22" s="6">
        <f t="shared" si="3"/>
        <v>409.1736108316068</v>
      </c>
      <c r="G22" s="157">
        <f>'Attachment A - Load Impacts'!J31</f>
        <v>66606.87874517523</v>
      </c>
      <c r="H22" s="110" t="s">
        <v>16</v>
      </c>
      <c r="I22" s="162">
        <v>0.0161</v>
      </c>
      <c r="J22" s="3">
        <f t="shared" si="4"/>
        <v>1070.1505185058154</v>
      </c>
      <c r="K22" s="154">
        <f>'Attachment A - Load Impacts'!N31</f>
        <v>66606.87874517523</v>
      </c>
      <c r="L22" s="5" t="s">
        <v>16</v>
      </c>
      <c r="M22" s="163">
        <v>0.0161</v>
      </c>
      <c r="N22" s="6">
        <f t="shared" si="0"/>
        <v>1072.3707477973212</v>
      </c>
      <c r="O22" s="37">
        <f>'Attachment A - Load Impacts'!R31</f>
        <v>66606.87874517523</v>
      </c>
      <c r="P22" s="110" t="s">
        <v>16</v>
      </c>
      <c r="Q22" s="162">
        <v>0.0162</v>
      </c>
      <c r="R22" s="3">
        <f t="shared" si="1"/>
        <v>1076.8112063803328</v>
      </c>
      <c r="S22" s="6">
        <f t="shared" si="2"/>
        <v>3628.506083515076</v>
      </c>
      <c r="T22" s="111"/>
    </row>
    <row r="23" spans="1:20" ht="15">
      <c r="A23" s="149" t="s">
        <v>29</v>
      </c>
      <c r="B23" s="151"/>
      <c r="C23" s="233">
        <f>'Attachment A - Load Impacts'!F32</f>
        <v>0</v>
      </c>
      <c r="D23" s="223" t="s">
        <v>16</v>
      </c>
      <c r="E23" s="223">
        <v>0.016</v>
      </c>
      <c r="F23" s="224">
        <f t="shared" si="3"/>
        <v>0</v>
      </c>
      <c r="G23" s="232">
        <f>'Attachment A - Load Impacts'!J32</f>
        <v>0</v>
      </c>
      <c r="H23" s="225" t="s">
        <v>16</v>
      </c>
      <c r="I23" s="226">
        <v>0.0161</v>
      </c>
      <c r="J23" s="227">
        <f t="shared" si="4"/>
        <v>0</v>
      </c>
      <c r="K23" s="154">
        <f>'Attachment A - Load Impacts'!N32</f>
        <v>44314.792406533794</v>
      </c>
      <c r="L23" s="5" t="s">
        <v>16</v>
      </c>
      <c r="M23" s="163">
        <v>0.0161</v>
      </c>
      <c r="N23" s="6">
        <f t="shared" si="0"/>
        <v>713.468157745194</v>
      </c>
      <c r="O23" s="37">
        <f>'Attachment A - Load Impacts'!R32</f>
        <v>113890.06699819965</v>
      </c>
      <c r="P23" s="110" t="s">
        <v>16</v>
      </c>
      <c r="Q23" s="162">
        <v>0.0162</v>
      </c>
      <c r="R23" s="3">
        <f t="shared" si="1"/>
        <v>1841.2227498042275</v>
      </c>
      <c r="S23" s="6">
        <f t="shared" si="2"/>
        <v>2554.6909075494214</v>
      </c>
      <c r="T23" s="111"/>
    </row>
    <row r="24" spans="1:20" ht="15">
      <c r="A24" s="345" t="s">
        <v>420</v>
      </c>
      <c r="B24" s="151"/>
      <c r="C24" s="154">
        <f>'Attachment A - Load Impacts'!F33</f>
        <v>653359.2398866761</v>
      </c>
      <c r="D24" s="5" t="s">
        <v>16</v>
      </c>
      <c r="E24" s="230">
        <v>0.016</v>
      </c>
      <c r="F24" s="6">
        <f t="shared" si="3"/>
        <v>10617.087648158487</v>
      </c>
      <c r="G24" s="157">
        <f>'Attachment A - Load Impacts'!J33</f>
        <v>901690.3174380063</v>
      </c>
      <c r="H24" s="110" t="s">
        <v>16</v>
      </c>
      <c r="I24" s="162">
        <v>0.0161</v>
      </c>
      <c r="J24" s="3">
        <f t="shared" si="4"/>
        <v>14487.1577668373</v>
      </c>
      <c r="K24" s="154">
        <f>'Attachment A - Load Impacts'!N33</f>
        <v>898653.2468422583</v>
      </c>
      <c r="L24" s="5" t="s">
        <v>16</v>
      </c>
      <c r="M24" s="163">
        <v>0.0161</v>
      </c>
      <c r="N24" s="6">
        <f t="shared" si="0"/>
        <v>14468.317274160356</v>
      </c>
      <c r="O24" s="37">
        <f>'Attachment A - Load Impacts'!R33</f>
        <v>898653.2468422583</v>
      </c>
      <c r="P24" s="110" t="s">
        <v>16</v>
      </c>
      <c r="Q24" s="162">
        <v>0.0162</v>
      </c>
      <c r="R24" s="3">
        <f t="shared" si="1"/>
        <v>14528.227490616506</v>
      </c>
      <c r="S24" s="6">
        <f t="shared" si="2"/>
        <v>54100.790179772644</v>
      </c>
      <c r="T24" s="111"/>
    </row>
    <row r="25" spans="1:20" ht="15">
      <c r="A25" s="346" t="s">
        <v>23</v>
      </c>
      <c r="B25" s="152"/>
      <c r="C25" s="233">
        <f>'Attachment A - Load Impacts'!F34</f>
        <v>0</v>
      </c>
      <c r="D25" s="223" t="s">
        <v>16</v>
      </c>
      <c r="E25" s="223">
        <v>0.016</v>
      </c>
      <c r="F25" s="224">
        <f t="shared" si="3"/>
        <v>0</v>
      </c>
      <c r="G25" s="157">
        <f>'Attachment A - Load Impacts'!J34</f>
        <v>41050.570805948875</v>
      </c>
      <c r="H25" s="110" t="s">
        <v>16</v>
      </c>
      <c r="I25" s="162">
        <v>0.0161</v>
      </c>
      <c r="J25" s="3">
        <f t="shared" si="4"/>
        <v>659.5458376155785</v>
      </c>
      <c r="K25" s="154">
        <f>'Attachment A - Load Impacts'!N34</f>
        <v>124156.88080594885</v>
      </c>
      <c r="L25" s="5" t="s">
        <v>16</v>
      </c>
      <c r="M25" s="163">
        <v>0.0161</v>
      </c>
      <c r="N25" s="6">
        <f t="shared" si="0"/>
        <v>1998.925780975776</v>
      </c>
      <c r="O25" s="37">
        <f>'Attachment A - Load Impacts'!R34</f>
        <v>194787.89224354885</v>
      </c>
      <c r="P25" s="110" t="s">
        <v>16</v>
      </c>
      <c r="Q25" s="162">
        <v>0.0162</v>
      </c>
      <c r="R25" s="3">
        <f t="shared" si="1"/>
        <v>3149.0709246040396</v>
      </c>
      <c r="S25" s="6">
        <f t="shared" si="2"/>
        <v>5807.542543195394</v>
      </c>
      <c r="T25" s="111"/>
    </row>
    <row r="26" spans="1:20" ht="15">
      <c r="A26" s="346" t="s">
        <v>24</v>
      </c>
      <c r="B26" s="152"/>
      <c r="C26" s="233">
        <f>'Attachment A - Load Impacts'!F35</f>
        <v>0</v>
      </c>
      <c r="D26" s="223" t="s">
        <v>16</v>
      </c>
      <c r="E26" s="223">
        <v>0.016</v>
      </c>
      <c r="F26" s="224">
        <f t="shared" si="3"/>
        <v>0</v>
      </c>
      <c r="G26" s="157">
        <f>'Attachment A - Load Impacts'!J35</f>
        <v>403.5714167293911</v>
      </c>
      <c r="H26" s="300" t="s">
        <v>16</v>
      </c>
      <c r="I26" s="301">
        <v>0.0161</v>
      </c>
      <c r="J26" s="302">
        <f t="shared" si="4"/>
        <v>6.4840474287855505</v>
      </c>
      <c r="K26" s="154">
        <f>'Attachment A - Load Impacts'!N35</f>
        <v>68.02294361958091</v>
      </c>
      <c r="L26" s="5" t="s">
        <v>16</v>
      </c>
      <c r="M26" s="163">
        <v>0.0161</v>
      </c>
      <c r="N26" s="6">
        <f t="shared" si="0"/>
        <v>1.0951693922752528</v>
      </c>
      <c r="O26" s="37">
        <f>'Attachment A - Load Impacts'!R35</f>
        <v>25.747779951588313</v>
      </c>
      <c r="P26" s="110" t="s">
        <v>16</v>
      </c>
      <c r="Q26" s="162">
        <v>0.0162</v>
      </c>
      <c r="R26" s="3">
        <f t="shared" si="1"/>
        <v>0.41625577588401097</v>
      </c>
      <c r="S26" s="6">
        <f t="shared" si="2"/>
        <v>7.995472596944814</v>
      </c>
      <c r="T26" s="112"/>
    </row>
    <row r="27" spans="1:20" ht="15">
      <c r="A27" s="346" t="s">
        <v>36</v>
      </c>
      <c r="B27" s="152"/>
      <c r="C27" s="233">
        <f>'Attachment A - Load Impacts'!F36</f>
        <v>0</v>
      </c>
      <c r="D27" s="223" t="s">
        <v>16</v>
      </c>
      <c r="E27" s="223">
        <v>0.016</v>
      </c>
      <c r="F27" s="224">
        <f t="shared" si="3"/>
        <v>0</v>
      </c>
      <c r="G27" s="157">
        <f>'Attachment A - Load Impacts'!J36</f>
        <v>22570.140785213218</v>
      </c>
      <c r="H27" s="300" t="s">
        <v>16</v>
      </c>
      <c r="I27" s="301">
        <v>0.0161</v>
      </c>
      <c r="J27" s="302">
        <f t="shared" si="4"/>
        <v>362.62692861575897</v>
      </c>
      <c r="K27" s="154">
        <f>'Attachment A - Load Impacts'!N36</f>
        <v>22570.140785213218</v>
      </c>
      <c r="L27" s="5" t="s">
        <v>16</v>
      </c>
      <c r="M27" s="163">
        <v>0.0161</v>
      </c>
      <c r="N27" s="6">
        <f t="shared" si="0"/>
        <v>363.37926664193276</v>
      </c>
      <c r="O27" s="37">
        <f>'Attachment A - Load Impacts'!R36</f>
        <v>22570.140785213218</v>
      </c>
      <c r="P27" s="110" t="s">
        <v>16</v>
      </c>
      <c r="Q27" s="162">
        <v>0.0162</v>
      </c>
      <c r="R27" s="3">
        <f t="shared" si="1"/>
        <v>364.88394269428034</v>
      </c>
      <c r="S27" s="6">
        <f t="shared" si="2"/>
        <v>1090.890137951972</v>
      </c>
      <c r="T27" s="111"/>
    </row>
    <row r="28" spans="1:20" ht="15">
      <c r="A28" s="346" t="s">
        <v>39</v>
      </c>
      <c r="B28" s="152"/>
      <c r="C28" s="233">
        <f>'Attachment A - Load Impacts'!F37</f>
        <v>0</v>
      </c>
      <c r="D28" s="223" t="s">
        <v>16</v>
      </c>
      <c r="E28" s="223">
        <v>0.016</v>
      </c>
      <c r="F28" s="224">
        <f t="shared" si="3"/>
        <v>0</v>
      </c>
      <c r="G28" s="232">
        <f>'Attachment A - Load Impacts'!J37</f>
        <v>0</v>
      </c>
      <c r="H28" s="225" t="s">
        <v>16</v>
      </c>
      <c r="I28" s="226">
        <v>0.0161</v>
      </c>
      <c r="J28" s="227">
        <f t="shared" si="4"/>
        <v>0</v>
      </c>
      <c r="K28" s="154">
        <f>'Attachment A - Load Impacts'!N37</f>
        <v>25.315142811552576</v>
      </c>
      <c r="L28" s="5" t="s">
        <v>16</v>
      </c>
      <c r="M28" s="163">
        <v>0.0161</v>
      </c>
      <c r="N28" s="6">
        <f t="shared" si="0"/>
        <v>0.40757379926599646</v>
      </c>
      <c r="O28" s="37">
        <f>'Attachment A - Load Impacts'!R37</f>
        <v>9.135054323195321</v>
      </c>
      <c r="P28" s="110" t="s">
        <v>16</v>
      </c>
      <c r="Q28" s="162">
        <v>0.0162</v>
      </c>
      <c r="R28" s="3">
        <f t="shared" si="1"/>
        <v>0.147683378224991</v>
      </c>
      <c r="S28" s="6">
        <f t="shared" si="2"/>
        <v>0.5552571774909875</v>
      </c>
      <c r="T28" s="111"/>
    </row>
    <row r="29" spans="1:20" ht="15">
      <c r="A29" s="347" t="s">
        <v>40</v>
      </c>
      <c r="B29" s="152"/>
      <c r="C29" s="233">
        <f>'Attachment A - Load Impacts'!F38</f>
        <v>0</v>
      </c>
      <c r="D29" s="223" t="s">
        <v>16</v>
      </c>
      <c r="E29" s="223">
        <v>0.016</v>
      </c>
      <c r="F29" s="224">
        <f t="shared" si="3"/>
        <v>0</v>
      </c>
      <c r="G29" s="232">
        <f>'Attachment A - Load Impacts'!J38</f>
        <v>0</v>
      </c>
      <c r="H29" s="225" t="s">
        <v>16</v>
      </c>
      <c r="I29" s="226">
        <v>0.0161</v>
      </c>
      <c r="J29" s="227">
        <f t="shared" si="4"/>
        <v>0</v>
      </c>
      <c r="K29" s="154">
        <f>'Attachment A - Load Impacts'!N38</f>
        <v>224952.9184064327</v>
      </c>
      <c r="L29" s="5" t="s">
        <v>16</v>
      </c>
      <c r="M29" s="163">
        <v>0.0161</v>
      </c>
      <c r="N29" s="6">
        <f t="shared" si="0"/>
        <v>3621.7419863435657</v>
      </c>
      <c r="O29" s="37">
        <f>'Attachment A - Load Impacts'!R38</f>
        <v>284150.33960085764</v>
      </c>
      <c r="P29" s="110" t="s">
        <v>16</v>
      </c>
      <c r="Q29" s="162">
        <v>0.0162</v>
      </c>
      <c r="R29" s="3">
        <f t="shared" si="1"/>
        <v>4593.763823547198</v>
      </c>
      <c r="S29" s="6">
        <f t="shared" si="2"/>
        <v>8215.505809890763</v>
      </c>
      <c r="T29" s="111"/>
    </row>
    <row r="30" spans="1:20" ht="15">
      <c r="A30" s="79"/>
      <c r="B30" s="152"/>
      <c r="C30" s="233"/>
      <c r="D30" s="223"/>
      <c r="E30" s="223"/>
      <c r="G30" s="37"/>
      <c r="H30" s="110"/>
      <c r="I30" s="162"/>
      <c r="K30" s="154"/>
      <c r="L30" s="5"/>
      <c r="M30" s="163"/>
      <c r="O30" s="37"/>
      <c r="P30" s="110"/>
      <c r="Q30" s="162"/>
      <c r="S30" s="314">
        <f>SUM(S21:S29)</f>
        <v>76065.23687110336</v>
      </c>
      <c r="T30" s="111"/>
    </row>
    <row r="31" spans="1:20" s="169" customFormat="1" ht="15">
      <c r="A31" s="172" t="s">
        <v>70</v>
      </c>
      <c r="B31" s="288"/>
      <c r="C31" s="289"/>
      <c r="D31" s="290"/>
      <c r="E31" s="290"/>
      <c r="F31" s="166"/>
      <c r="G31" s="291"/>
      <c r="H31" s="292"/>
      <c r="I31" s="293"/>
      <c r="J31" s="294"/>
      <c r="K31" s="171"/>
      <c r="L31" s="164"/>
      <c r="M31" s="165"/>
      <c r="N31" s="166"/>
      <c r="O31" s="171"/>
      <c r="P31" s="164"/>
      <c r="Q31" s="165"/>
      <c r="R31" s="166"/>
      <c r="S31" s="166"/>
      <c r="T31" s="295"/>
    </row>
    <row r="32" spans="1:20" ht="15">
      <c r="A32" s="144" t="s">
        <v>69</v>
      </c>
      <c r="B32" s="150"/>
      <c r="C32" s="233"/>
      <c r="D32" s="223"/>
      <c r="E32" s="223"/>
      <c r="G32" s="232"/>
      <c r="H32" s="225"/>
      <c r="I32" s="226"/>
      <c r="J32" s="227">
        <f t="shared" si="4"/>
        <v>0</v>
      </c>
      <c r="K32" s="154"/>
      <c r="L32" s="5"/>
      <c r="M32" s="163"/>
      <c r="O32" s="157"/>
      <c r="P32" s="110"/>
      <c r="Q32" s="162"/>
      <c r="T32" s="93"/>
    </row>
    <row r="33" spans="1:20" s="284" customFormat="1" ht="15">
      <c r="A33" s="77" t="s">
        <v>42</v>
      </c>
      <c r="B33" s="152"/>
      <c r="C33" s="303"/>
      <c r="D33" s="234" t="s">
        <v>16</v>
      </c>
      <c r="E33" s="234">
        <v>0.015</v>
      </c>
      <c r="F33" s="6"/>
      <c r="G33" s="304"/>
      <c r="H33" s="305" t="s">
        <v>16</v>
      </c>
      <c r="I33" s="308">
        <v>0.0151</v>
      </c>
      <c r="J33" s="227">
        <f t="shared" si="4"/>
        <v>0</v>
      </c>
      <c r="K33" s="31">
        <f>'Attachment A - Load Impacts'!N42</f>
        <v>132.8160754937319</v>
      </c>
      <c r="L33" s="142" t="s">
        <v>16</v>
      </c>
      <c r="M33" s="8">
        <v>0.0151</v>
      </c>
      <c r="N33" s="6">
        <f t="shared" si="0"/>
        <v>2.0055227399553512</v>
      </c>
      <c r="O33" s="38">
        <f>'Attachment A - Load Impacts'!R42</f>
        <v>4228.086383766314</v>
      </c>
      <c r="P33" s="140" t="s">
        <v>16</v>
      </c>
      <c r="Q33" s="54">
        <v>0.0152</v>
      </c>
      <c r="R33" s="3">
        <f t="shared" si="1"/>
        <v>64.12597682045575</v>
      </c>
      <c r="S33" s="6">
        <f t="shared" si="2"/>
        <v>66.1314995604111</v>
      </c>
      <c r="T33" s="93"/>
    </row>
    <row r="34" spans="1:20" ht="15">
      <c r="A34" s="77" t="s">
        <v>43</v>
      </c>
      <c r="B34" s="151"/>
      <c r="C34" s="303"/>
      <c r="D34" s="234" t="s">
        <v>16</v>
      </c>
      <c r="E34" s="234">
        <v>0.015</v>
      </c>
      <c r="G34" s="307"/>
      <c r="H34" s="305" t="s">
        <v>16</v>
      </c>
      <c r="I34" s="308">
        <v>0.0151</v>
      </c>
      <c r="J34" s="227">
        <f t="shared" si="4"/>
        <v>0</v>
      </c>
      <c r="K34" s="303">
        <f>'Attachment A - Load Impacts'!N43</f>
        <v>0</v>
      </c>
      <c r="L34" s="234" t="s">
        <v>16</v>
      </c>
      <c r="M34" s="616">
        <v>0.0151</v>
      </c>
      <c r="N34" s="224">
        <f t="shared" si="0"/>
        <v>0</v>
      </c>
      <c r="O34" s="35">
        <f>'Attachment A - Load Impacts'!R43</f>
        <v>1166362.2900000003</v>
      </c>
      <c r="P34" s="140" t="s">
        <v>16</v>
      </c>
      <c r="Q34" s="54">
        <v>0.0152</v>
      </c>
      <c r="R34" s="3">
        <f t="shared" si="1"/>
        <v>17689.828065</v>
      </c>
      <c r="S34" s="6">
        <f t="shared" si="2"/>
        <v>17689.828065</v>
      </c>
      <c r="T34" s="9"/>
    </row>
    <row r="35" spans="1:20" ht="15">
      <c r="A35" s="145"/>
      <c r="B35" s="152"/>
      <c r="C35" s="237"/>
      <c r="D35" s="234"/>
      <c r="E35" s="234"/>
      <c r="G35" s="309"/>
      <c r="H35" s="305"/>
      <c r="I35" s="308"/>
      <c r="J35" s="227"/>
      <c r="K35" s="41"/>
      <c r="L35" s="142"/>
      <c r="O35" s="40"/>
      <c r="P35" s="140"/>
      <c r="S35" s="314">
        <f>SUM(S33:S34)</f>
        <v>17755.959564560413</v>
      </c>
      <c r="T35" s="9"/>
    </row>
    <row r="36" spans="1:20" ht="15">
      <c r="A36" s="146"/>
      <c r="B36" s="152"/>
      <c r="C36" s="237"/>
      <c r="D36" s="234"/>
      <c r="E36" s="234"/>
      <c r="G36" s="309"/>
      <c r="H36" s="305"/>
      <c r="I36" s="308"/>
      <c r="J36" s="227"/>
      <c r="K36" s="41"/>
      <c r="L36" s="142"/>
      <c r="O36" s="40"/>
      <c r="P36" s="140"/>
      <c r="T36" s="9"/>
    </row>
    <row r="37" spans="1:20" s="169" customFormat="1" ht="15">
      <c r="A37" s="172" t="s">
        <v>71</v>
      </c>
      <c r="B37" s="173"/>
      <c r="C37" s="296"/>
      <c r="D37" s="297"/>
      <c r="E37" s="297"/>
      <c r="F37" s="166"/>
      <c r="G37" s="252"/>
      <c r="H37" s="174"/>
      <c r="I37" s="175"/>
      <c r="J37" s="166"/>
      <c r="K37" s="252"/>
      <c r="L37" s="174"/>
      <c r="M37" s="175"/>
      <c r="N37" s="166"/>
      <c r="O37" s="252"/>
      <c r="P37" s="174"/>
      <c r="Q37" s="175"/>
      <c r="R37" s="166"/>
      <c r="S37" s="166"/>
      <c r="T37" s="168"/>
    </row>
    <row r="38" spans="1:20" ht="15">
      <c r="A38" s="144" t="s">
        <v>69</v>
      </c>
      <c r="B38" s="151"/>
      <c r="D38" s="142"/>
      <c r="E38" s="142"/>
      <c r="K38" s="41"/>
      <c r="L38" s="142"/>
      <c r="T38" s="9"/>
    </row>
    <row r="39" spans="1:20" s="284" customFormat="1" ht="15">
      <c r="A39" s="346" t="s">
        <v>45</v>
      </c>
      <c r="B39" s="151"/>
      <c r="C39" s="41">
        <f>'Attachment A - Load Impacts'!G48</f>
        <v>107.65727727767519</v>
      </c>
      <c r="D39" s="142" t="s">
        <v>17</v>
      </c>
      <c r="E39" s="142">
        <v>5.2842</v>
      </c>
      <c r="F39" s="6">
        <f>4*(1/4)*C39*5.5782+8*(3/4)*C39*E39</f>
        <v>4013.8293316544755</v>
      </c>
      <c r="G39" s="287">
        <f>'Attachment A - Load Impacts'!K48</f>
        <v>136.292203098901</v>
      </c>
      <c r="H39" s="285" t="s">
        <v>17</v>
      </c>
      <c r="I39" s="286">
        <v>5.3318</v>
      </c>
      <c r="J39" s="3">
        <f>4*(1/3)*G39*E39+8*(2/3)*G39*I39</f>
        <v>4835.9017780614595</v>
      </c>
      <c r="K39" s="41">
        <f>'Attachment A - Load Impacts'!O48</f>
        <v>203.41221596958135</v>
      </c>
      <c r="L39" s="142" t="s">
        <v>17</v>
      </c>
      <c r="M39" s="8">
        <v>5.3158</v>
      </c>
      <c r="N39" s="6">
        <f>4*(1/3)*K39*I39+8*(2/3)*K39*M39</f>
        <v>7212.9971782813545</v>
      </c>
      <c r="O39" s="287">
        <f>'Attachment A - Load Impacts'!S48</f>
        <v>81.10110533197391</v>
      </c>
      <c r="P39" s="285" t="s">
        <v>17</v>
      </c>
      <c r="Q39" s="286">
        <v>5.3364</v>
      </c>
      <c r="R39" s="3">
        <f>4*(1/3)*O39*M39+8*(2/3)*O39*Q39</f>
        <v>2883.025346263852</v>
      </c>
      <c r="S39" s="6">
        <f>+F39+J39+N39+R39</f>
        <v>18945.753634261142</v>
      </c>
      <c r="T39" s="93"/>
    </row>
    <row r="40" spans="1:20" ht="15">
      <c r="A40" s="346" t="s">
        <v>422</v>
      </c>
      <c r="B40" s="151"/>
      <c r="C40" s="237">
        <f>'Attachment A - Load Impacts'!G49</f>
        <v>0</v>
      </c>
      <c r="D40" s="234" t="s">
        <v>17</v>
      </c>
      <c r="E40" s="234">
        <v>5.2842</v>
      </c>
      <c r="F40" s="224">
        <f>4*(1/4)*C40*5.5782+8*(3/4)*C40*E40</f>
        <v>0</v>
      </c>
      <c r="G40" s="615">
        <f>'Attachment A - Load Impacts'!K49</f>
        <v>0</v>
      </c>
      <c r="H40" s="310" t="s">
        <v>17</v>
      </c>
      <c r="I40" s="306">
        <v>5.3318</v>
      </c>
      <c r="J40" s="227">
        <f>4*(1/3)*G40*E40+8*(2/3)*G40*I40</f>
        <v>0</v>
      </c>
      <c r="K40" s="237">
        <f>'Attachment A - Load Impacts'!O49</f>
        <v>0</v>
      </c>
      <c r="L40" s="234" t="s">
        <v>17</v>
      </c>
      <c r="M40" s="616">
        <v>5.3158</v>
      </c>
      <c r="N40" s="224">
        <f>4*(1/3)*K40*I40+8*(2/3)*K40*M40</f>
        <v>0</v>
      </c>
      <c r="O40" s="287">
        <f>'Attachment A - Load Impacts'!S49</f>
        <v>70.80438867784312</v>
      </c>
      <c r="P40" s="285" t="s">
        <v>17</v>
      </c>
      <c r="Q40" s="286">
        <v>5.3364</v>
      </c>
      <c r="R40" s="3">
        <f>4*(1/3)*O40*M40+8*(2/3)*O40*Q40</f>
        <v>2516.9921710605954</v>
      </c>
      <c r="S40" s="6">
        <f>+F40+J40+N40+R40</f>
        <v>2516.9921710605954</v>
      </c>
      <c r="T40" s="9"/>
    </row>
    <row r="41" spans="1:19" s="9" customFormat="1" ht="15">
      <c r="A41" s="346" t="s">
        <v>46</v>
      </c>
      <c r="B41" s="283"/>
      <c r="C41" s="237">
        <f>'Attachment A - Load Impacts'!G50</f>
        <v>0</v>
      </c>
      <c r="D41" s="234" t="s">
        <v>17</v>
      </c>
      <c r="E41" s="234">
        <v>5.2842</v>
      </c>
      <c r="F41" s="224">
        <f>4*(1/4)*C41*5.5782+8*(3/4)*C41*E41</f>
        <v>0</v>
      </c>
      <c r="G41" s="615">
        <f>'Attachment A - Load Impacts'!K50</f>
        <v>0</v>
      </c>
      <c r="H41" s="310" t="s">
        <v>17</v>
      </c>
      <c r="I41" s="306">
        <v>5.3318</v>
      </c>
      <c r="J41" s="227">
        <f>4*(1/3)*G41*E41+8*(2/3)*G41*I41</f>
        <v>0</v>
      </c>
      <c r="K41" s="41">
        <f>'Attachment A - Load Impacts'!O50</f>
        <v>39.33577148769063</v>
      </c>
      <c r="L41" s="142" t="s">
        <v>17</v>
      </c>
      <c r="M41" s="8">
        <v>5.3158</v>
      </c>
      <c r="N41" s="6">
        <f>4*(1/3)*K41*I41+8*(2/3)*K41*M41</f>
        <v>1394.84645695351</v>
      </c>
      <c r="O41" s="287">
        <f>'Attachment A - Load Impacts'!S50</f>
        <v>78.67154297538126</v>
      </c>
      <c r="P41" s="285" t="s">
        <v>17</v>
      </c>
      <c r="Q41" s="286">
        <v>5.3364</v>
      </c>
      <c r="R41" s="3">
        <f>4*(1/3)*O41*M41+8*(2/3)*O41*Q41</f>
        <v>2796.6579678451067</v>
      </c>
      <c r="S41" s="6">
        <f>+F41+J41+N41+R41</f>
        <v>4191.504424798617</v>
      </c>
    </row>
    <row r="42" spans="1:19" s="9" customFormat="1" ht="15">
      <c r="A42" s="77" t="s">
        <v>421</v>
      </c>
      <c r="B42" s="17"/>
      <c r="C42" s="41">
        <f>'Attachment A - Load Impacts'!G51</f>
        <v>5.269369746271753</v>
      </c>
      <c r="D42" s="142" t="s">
        <v>17</v>
      </c>
      <c r="E42" s="142">
        <v>5.2842</v>
      </c>
      <c r="F42" s="6">
        <f>4*(1/4)*C42*5.5782+8*(3/4)*C42*E42</f>
        <v>196.46001999814828</v>
      </c>
      <c r="G42" s="287">
        <f>'Attachment A - Load Impacts'!K51</f>
        <v>11.0242634646435</v>
      </c>
      <c r="H42" s="285" t="s">
        <v>17</v>
      </c>
      <c r="I42" s="286">
        <v>5.3318</v>
      </c>
      <c r="J42" s="3">
        <f>4*(1/3)*G42*E42+8*(2/3)*G42*I42</f>
        <v>391.1614463506854</v>
      </c>
      <c r="K42" s="155">
        <f>'Attachment A - Load Impacts'!O51</f>
        <v>12.412584811267875</v>
      </c>
      <c r="L42" s="320" t="s">
        <v>17</v>
      </c>
      <c r="M42" s="319">
        <v>5.3158</v>
      </c>
      <c r="N42" s="6">
        <f>4*(1/3)*K42*I42+8*(2/3)*K42*M42</f>
        <v>440.1502574075588</v>
      </c>
      <c r="O42" s="287">
        <f>'Attachment A - Load Impacts'!S51</f>
        <v>13.712979139272706</v>
      </c>
      <c r="P42" s="285" t="s">
        <v>17</v>
      </c>
      <c r="Q42" s="286">
        <v>5.3364</v>
      </c>
      <c r="R42" s="3">
        <f>4*(1/3)*O42*M42+8*(2/3)*O42*Q42</f>
        <v>487.4762960317404</v>
      </c>
      <c r="S42" s="6">
        <f>+F42+J42+N42+R42</f>
        <v>1515.2480197881328</v>
      </c>
    </row>
    <row r="43" spans="1:19" s="9" customFormat="1" ht="15.75" thickBot="1">
      <c r="A43" s="298"/>
      <c r="B43" s="321"/>
      <c r="C43" s="311"/>
      <c r="D43" s="235"/>
      <c r="E43" s="235"/>
      <c r="F43" s="236"/>
      <c r="G43" s="312"/>
      <c r="H43" s="315"/>
      <c r="I43" s="316"/>
      <c r="J43" s="179"/>
      <c r="K43" s="313"/>
      <c r="L43" s="317"/>
      <c r="M43" s="318"/>
      <c r="N43" s="178"/>
      <c r="O43" s="312"/>
      <c r="P43" s="315"/>
      <c r="Q43" s="316"/>
      <c r="R43" s="179"/>
      <c r="S43" s="322">
        <f>SUM(S39:S42)</f>
        <v>27169.49824990849</v>
      </c>
    </row>
    <row r="44" spans="1:20" ht="15">
      <c r="A44" s="144"/>
      <c r="B44" s="138"/>
      <c r="S44" s="176">
        <f>S11+S14+S17+S30+S35+S43</f>
        <v>144580.9333610806</v>
      </c>
      <c r="T44" s="9"/>
    </row>
    <row r="45" spans="1:20" ht="15">
      <c r="A45" s="9"/>
      <c r="B45" s="138"/>
      <c r="S45" s="176"/>
      <c r="T45" s="9"/>
    </row>
    <row r="46" spans="1:20" ht="15">
      <c r="A46" s="9"/>
      <c r="B46" s="138"/>
      <c r="S46" s="176"/>
      <c r="T46" s="9"/>
    </row>
    <row r="47" spans="1:20" ht="15">
      <c r="A47" s="9"/>
      <c r="B47" s="138"/>
      <c r="S47" s="176"/>
      <c r="T47" s="9"/>
    </row>
    <row r="48" spans="1:20" ht="15">
      <c r="A48" s="9"/>
      <c r="B48" s="138"/>
      <c r="S48" s="176"/>
      <c r="T48" s="9"/>
    </row>
    <row r="49" spans="1:20" ht="15">
      <c r="A49" s="9"/>
      <c r="B49" s="138"/>
      <c r="S49" s="176"/>
      <c r="T49" s="9"/>
    </row>
    <row r="50" spans="1:20" ht="15">
      <c r="A50" s="9"/>
      <c r="B50" s="138"/>
      <c r="S50" s="176"/>
      <c r="T50" s="9"/>
    </row>
    <row r="51" spans="1:20" ht="15">
      <c r="A51" s="9"/>
      <c r="B51" s="138"/>
      <c r="S51" s="176"/>
      <c r="T51" s="9"/>
    </row>
    <row r="52" spans="1:20" ht="15">
      <c r="A52" s="9"/>
      <c r="B52" s="138"/>
      <c r="S52" s="176"/>
      <c r="T52" s="9"/>
    </row>
    <row r="53" spans="1:20" ht="15">
      <c r="A53" s="9"/>
      <c r="B53" s="138"/>
      <c r="S53" s="176"/>
      <c r="T53" s="9"/>
    </row>
    <row r="54" spans="1:20" ht="15">
      <c r="A54" s="9"/>
      <c r="B54" s="138"/>
      <c r="S54" s="176"/>
      <c r="T54" s="9"/>
    </row>
    <row r="55" spans="1:20" ht="15">
      <c r="A55" s="9"/>
      <c r="B55" s="138"/>
      <c r="S55" s="176"/>
      <c r="T55" s="9"/>
    </row>
    <row r="56" spans="1:20" ht="15">
      <c r="A56" s="9"/>
      <c r="B56" s="138"/>
      <c r="S56" s="176"/>
      <c r="T56" s="9"/>
    </row>
    <row r="57" spans="1:20" ht="15">
      <c r="A57" s="9"/>
      <c r="B57" s="138"/>
      <c r="S57" s="176"/>
      <c r="T57" s="9"/>
    </row>
    <row r="58" spans="1:20" ht="15">
      <c r="A58" s="9"/>
      <c r="B58" s="138"/>
      <c r="S58" s="176"/>
      <c r="T58" s="9"/>
    </row>
    <row r="59" spans="1:20" ht="15">
      <c r="A59" s="9"/>
      <c r="B59" s="138"/>
      <c r="S59" s="176"/>
      <c r="T59" s="9"/>
    </row>
    <row r="60" spans="1:20" ht="15">
      <c r="A60" s="9"/>
      <c r="B60" s="138"/>
      <c r="S60" s="176"/>
      <c r="T60" s="9"/>
    </row>
    <row r="61" spans="1:2" ht="15">
      <c r="A61" s="9"/>
      <c r="B61" s="138"/>
    </row>
    <row r="62" spans="1:2" ht="15">
      <c r="A62" s="9"/>
      <c r="B62" s="138"/>
    </row>
    <row r="63" spans="1:2" ht="15">
      <c r="A63" s="9"/>
      <c r="B63" s="138"/>
    </row>
    <row r="64" spans="1:2" ht="15">
      <c r="A64" s="9"/>
      <c r="B64" s="138"/>
    </row>
    <row r="65" spans="1:2" ht="15">
      <c r="A65" s="9"/>
      <c r="B65" s="138"/>
    </row>
    <row r="66" spans="1:2" ht="15">
      <c r="A66" s="9"/>
      <c r="B66" s="138"/>
    </row>
    <row r="67" spans="1:2" ht="15">
      <c r="A67" s="9"/>
      <c r="B67" s="138"/>
    </row>
    <row r="68" spans="1:2" ht="15">
      <c r="A68" s="9"/>
      <c r="B68" s="138"/>
    </row>
    <row r="69" spans="1:2" ht="15">
      <c r="A69" s="9"/>
      <c r="B69" s="138"/>
    </row>
    <row r="70" spans="1:2" ht="15">
      <c r="A70" s="9"/>
      <c r="B70" s="138"/>
    </row>
    <row r="71" spans="1:2" ht="15">
      <c r="A71" s="9"/>
      <c r="B71" s="138"/>
    </row>
    <row r="72" spans="1:2" ht="15">
      <c r="A72" s="9"/>
      <c r="B72" s="138"/>
    </row>
    <row r="73" spans="1:2" ht="15">
      <c r="A73" s="9"/>
      <c r="B73" s="138"/>
    </row>
    <row r="74" spans="1:2" ht="15">
      <c r="A74" s="9"/>
      <c r="B74" s="138"/>
    </row>
    <row r="75" spans="1:2" ht="15">
      <c r="A75" s="9"/>
      <c r="B75" s="138"/>
    </row>
    <row r="76" spans="1:2" ht="15">
      <c r="A76" s="9"/>
      <c r="B76" s="138"/>
    </row>
    <row r="77" spans="1:2" ht="15">
      <c r="A77" s="9"/>
      <c r="B77" s="138"/>
    </row>
    <row r="78" spans="1:2" ht="15">
      <c r="A78" s="9"/>
      <c r="B78" s="138"/>
    </row>
    <row r="79" spans="1:2" ht="15">
      <c r="A79" s="9"/>
      <c r="B79" s="138"/>
    </row>
    <row r="80" spans="1:2" ht="15">
      <c r="A80" s="9"/>
      <c r="B80" s="138"/>
    </row>
    <row r="81" spans="1:2" ht="15">
      <c r="A81" s="9"/>
      <c r="B81" s="138"/>
    </row>
    <row r="82" spans="1:2" ht="15">
      <c r="A82" s="9"/>
      <c r="B82" s="138"/>
    </row>
    <row r="83" spans="1:2" ht="15">
      <c r="A83" s="9"/>
      <c r="B83" s="138"/>
    </row>
    <row r="84" spans="1:2" ht="15">
      <c r="A84" s="9"/>
      <c r="B84" s="138"/>
    </row>
    <row r="85" spans="1:2" ht="15">
      <c r="A85" s="9"/>
      <c r="B85" s="138"/>
    </row>
    <row r="86" spans="1:2" ht="15">
      <c r="A86" s="9"/>
      <c r="B86" s="138"/>
    </row>
    <row r="87" spans="1:2" ht="15">
      <c r="A87" s="9"/>
      <c r="B87" s="138"/>
    </row>
    <row r="88" spans="1:2" ht="15">
      <c r="A88" s="9"/>
      <c r="B88" s="138"/>
    </row>
    <row r="89" spans="1:2" ht="15">
      <c r="A89" s="9"/>
      <c r="B89" s="138"/>
    </row>
    <row r="90" spans="1:2" ht="15">
      <c r="A90" s="9"/>
      <c r="B90" s="138"/>
    </row>
    <row r="91" spans="1:2" ht="15">
      <c r="A91" s="9"/>
      <c r="B91" s="138"/>
    </row>
    <row r="92" spans="1:2" ht="15">
      <c r="A92" s="9"/>
      <c r="B92" s="138"/>
    </row>
    <row r="93" spans="1:2" ht="15">
      <c r="A93" s="9"/>
      <c r="B93" s="138"/>
    </row>
    <row r="94" spans="1:2" ht="15">
      <c r="A94" s="9"/>
      <c r="B94" s="138"/>
    </row>
    <row r="95" spans="1:2" ht="15">
      <c r="A95" s="9"/>
      <c r="B95" s="138"/>
    </row>
    <row r="96" spans="1:2" ht="15">
      <c r="A96" s="9"/>
      <c r="B96" s="138"/>
    </row>
    <row r="97" spans="1:2" ht="15">
      <c r="A97" s="9"/>
      <c r="B97" s="138"/>
    </row>
  </sheetData>
  <sheetProtection/>
  <mergeCells count="22">
    <mergeCell ref="O4:O5"/>
    <mergeCell ref="P4:P5"/>
    <mergeCell ref="Q4:Q5"/>
    <mergeCell ref="R4:R5"/>
    <mergeCell ref="S4:S5"/>
    <mergeCell ref="C3:F3"/>
    <mergeCell ref="G3:J3"/>
    <mergeCell ref="K3:N3"/>
    <mergeCell ref="O3:R3"/>
    <mergeCell ref="I4:I5"/>
    <mergeCell ref="C4:C5"/>
    <mergeCell ref="B4:B5"/>
    <mergeCell ref="J4:J5"/>
    <mergeCell ref="K4:K5"/>
    <mergeCell ref="L4:L5"/>
    <mergeCell ref="M4:M5"/>
    <mergeCell ref="N4:N5"/>
    <mergeCell ref="D4:D5"/>
    <mergeCell ref="E4:E5"/>
    <mergeCell ref="F4:F5"/>
    <mergeCell ref="G4:G5"/>
    <mergeCell ref="H4:H5"/>
  </mergeCells>
  <printOptions/>
  <pageMargins left="0.25" right="0.25" top="0.75" bottom="0.75" header="0.3" footer="0.3"/>
  <pageSetup fitToHeight="1" fitToWidth="1" horizontalDpi="600" verticalDpi="600" orientation="landscape" scale="55" r:id="rId1"/>
  <headerFooter>
    <oddFooter xml:space="preserve">&amp;C© Burman Energy Consultants Group Inc 2010 - Wasaga Distribution LRAM/SSM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1">
      <selection activeCell="D56" sqref="D56"/>
    </sheetView>
  </sheetViews>
  <sheetFormatPr defaultColWidth="9.140625" defaultRowHeight="15"/>
  <cols>
    <col min="1" max="1" width="3.28125" style="9" customWidth="1"/>
    <col min="2" max="2" width="39.8515625" style="0" customWidth="1"/>
    <col min="3" max="3" width="14.57421875" style="0" customWidth="1"/>
    <col min="4" max="4" width="15.421875" style="0" customWidth="1"/>
    <col min="5" max="5" width="14.140625" style="0" customWidth="1"/>
    <col min="6" max="6" width="11.7109375" style="0" customWidth="1"/>
    <col min="7" max="7" width="14.8515625" style="0" customWidth="1"/>
  </cols>
  <sheetData>
    <row r="1" spans="1:2" ht="15">
      <c r="A1" s="337" t="s">
        <v>58</v>
      </c>
      <c r="B1" s="12"/>
    </row>
    <row r="2" spans="1:7" ht="15">
      <c r="A2" s="350" t="s">
        <v>80</v>
      </c>
      <c r="B2" s="1"/>
      <c r="C2" s="186"/>
      <c r="D2" s="187"/>
      <c r="E2" s="187"/>
      <c r="F2" s="188"/>
      <c r="G2" s="2"/>
    </row>
    <row r="3" spans="1:7" ht="15">
      <c r="A3" s="350"/>
      <c r="B3" s="1"/>
      <c r="C3" s="186"/>
      <c r="D3" s="187"/>
      <c r="E3" s="187"/>
      <c r="F3" s="188"/>
      <c r="G3" s="2"/>
    </row>
    <row r="4" spans="1:7" ht="15" customHeight="1">
      <c r="A4" s="560" t="s">
        <v>3</v>
      </c>
      <c r="B4" s="557"/>
      <c r="C4" s="657" t="s">
        <v>81</v>
      </c>
      <c r="D4" s="659" t="s">
        <v>82</v>
      </c>
      <c r="E4" s="661" t="s">
        <v>83</v>
      </c>
      <c r="F4" s="663" t="s">
        <v>84</v>
      </c>
      <c r="G4" s="661" t="s">
        <v>85</v>
      </c>
    </row>
    <row r="5" spans="1:7" ht="24" customHeight="1" thickBot="1">
      <c r="A5" s="561" t="s">
        <v>4</v>
      </c>
      <c r="B5" s="558"/>
      <c r="C5" s="658"/>
      <c r="D5" s="660"/>
      <c r="E5" s="662"/>
      <c r="F5" s="664"/>
      <c r="G5" s="662"/>
    </row>
    <row r="6" spans="1:7" ht="15.75" thickBot="1">
      <c r="A6" s="562" t="s">
        <v>5</v>
      </c>
      <c r="B6" s="553"/>
      <c r="C6" s="201"/>
      <c r="D6" s="199"/>
      <c r="E6" s="199"/>
      <c r="F6" s="202"/>
      <c r="G6" s="199"/>
    </row>
    <row r="7" spans="1:7" ht="15">
      <c r="A7" s="563" t="s">
        <v>72</v>
      </c>
      <c r="B7" s="554"/>
      <c r="C7" s="241"/>
      <c r="D7" s="242"/>
      <c r="E7" s="242"/>
      <c r="F7" s="243"/>
      <c r="G7" s="242"/>
    </row>
    <row r="8" spans="1:7" s="262" customFormat="1" ht="15">
      <c r="A8" s="324" t="s">
        <v>92</v>
      </c>
      <c r="B8" s="336"/>
      <c r="C8" s="565">
        <v>6235.03</v>
      </c>
      <c r="D8" s="566">
        <v>0</v>
      </c>
      <c r="E8" s="567">
        <f aca="true" t="shared" si="0" ref="E8:E24">D8-C8</f>
        <v>-6235.03</v>
      </c>
      <c r="F8" s="568">
        <f>D8/C8</f>
        <v>0</v>
      </c>
      <c r="G8" s="567">
        <f>E8*0.05</f>
        <v>-311.7515</v>
      </c>
    </row>
    <row r="9" spans="1:8" s="262" customFormat="1" ht="15">
      <c r="A9" s="324" t="s">
        <v>93</v>
      </c>
      <c r="B9" s="336"/>
      <c r="C9" s="569">
        <f>11806.57+61.19+5317.81</f>
        <v>17185.57</v>
      </c>
      <c r="D9" s="566">
        <v>0</v>
      </c>
      <c r="E9" s="567">
        <f t="shared" si="0"/>
        <v>-17185.57</v>
      </c>
      <c r="F9" s="568">
        <f>D9/C9</f>
        <v>0</v>
      </c>
      <c r="G9" s="567">
        <f>E9*0.05</f>
        <v>-859.2785</v>
      </c>
      <c r="H9" s="570"/>
    </row>
    <row r="10" spans="1:8" s="262" customFormat="1" ht="15">
      <c r="A10" s="324" t="s">
        <v>94</v>
      </c>
      <c r="B10" s="336"/>
      <c r="C10" s="569">
        <f>-'[11]NPV TRC'!$D$37</f>
        <v>7778.3</v>
      </c>
      <c r="D10" s="566">
        <f>'[11]NPV TRC'!$D$28</f>
        <v>46410.68583750264</v>
      </c>
      <c r="E10" s="567">
        <f t="shared" si="0"/>
        <v>38632.38583750264</v>
      </c>
      <c r="F10" s="568">
        <f aca="true" t="shared" si="1" ref="F10:F24">D10/C10</f>
        <v>5.9666875586571155</v>
      </c>
      <c r="G10" s="567">
        <f aca="true" t="shared" si="2" ref="G10:G31">E10*0.05</f>
        <v>1931.6192918751321</v>
      </c>
      <c r="H10" s="570"/>
    </row>
    <row r="11" spans="1:8" s="575" customFormat="1" ht="15">
      <c r="A11" s="149"/>
      <c r="B11" s="329" t="s">
        <v>104</v>
      </c>
      <c r="C11" s="275">
        <f>-'[17]NPV TRC'!$D$37</f>
        <v>1225.8</v>
      </c>
      <c r="D11" s="272">
        <f>'[17]NPV TRC'!$E$17+C11</f>
        <v>15483.951663039388</v>
      </c>
      <c r="E11" s="273">
        <f t="shared" si="0"/>
        <v>14258.151663039389</v>
      </c>
      <c r="F11" s="274">
        <f t="shared" si="1"/>
        <v>12.631711260433503</v>
      </c>
      <c r="G11" s="273">
        <f t="shared" si="2"/>
        <v>712.9075831519694</v>
      </c>
      <c r="H11" s="574"/>
    </row>
    <row r="12" spans="1:8" ht="15">
      <c r="A12" s="149"/>
      <c r="B12" s="329" t="s">
        <v>105</v>
      </c>
      <c r="C12" s="275">
        <f>-'[18]NPV TRC'!$D$37</f>
        <v>634.5</v>
      </c>
      <c r="D12" s="272">
        <f>'[18]NPV TRC'!$E$17+C12</f>
        <v>604.917672749125</v>
      </c>
      <c r="E12" s="273">
        <f t="shared" si="0"/>
        <v>-29.582327250874982</v>
      </c>
      <c r="F12" s="274">
        <f t="shared" si="1"/>
        <v>0.9533769468071316</v>
      </c>
      <c r="G12" s="273">
        <f t="shared" si="2"/>
        <v>-1.4791163625437491</v>
      </c>
      <c r="H12" s="93"/>
    </row>
    <row r="13" spans="1:8" ht="15">
      <c r="A13" s="149"/>
      <c r="B13" s="329" t="s">
        <v>106</v>
      </c>
      <c r="C13" s="275">
        <f>-'[20]NPV TRC'!$D$37</f>
        <v>1890</v>
      </c>
      <c r="D13" s="272">
        <f>'[20]NPV TRC'!$E$17+C13</f>
        <v>6814.531889816923</v>
      </c>
      <c r="E13" s="273">
        <f t="shared" si="0"/>
        <v>4924.531889816923</v>
      </c>
      <c r="F13" s="274">
        <f t="shared" si="1"/>
        <v>3.605572428474562</v>
      </c>
      <c r="G13" s="273">
        <f t="shared" si="2"/>
        <v>246.22659449084614</v>
      </c>
      <c r="H13" s="93"/>
    </row>
    <row r="14" spans="1:8" ht="15">
      <c r="A14" s="149"/>
      <c r="B14" s="329" t="s">
        <v>107</v>
      </c>
      <c r="C14" s="275">
        <f>-'[21]NPV TRC'!$D$37</f>
        <v>702</v>
      </c>
      <c r="D14" s="272">
        <f>'[21]NPV TRC'!$E$17+C14</f>
        <v>13161.996551516579</v>
      </c>
      <c r="E14" s="273">
        <f t="shared" si="0"/>
        <v>12459.996551516579</v>
      </c>
      <c r="F14" s="274">
        <f t="shared" si="1"/>
        <v>18.7492828369182</v>
      </c>
      <c r="G14" s="273">
        <f t="shared" si="2"/>
        <v>622.9998275758289</v>
      </c>
      <c r="H14" s="93"/>
    </row>
    <row r="15" spans="1:8" ht="15">
      <c r="A15" s="149"/>
      <c r="B15" s="329" t="s">
        <v>108</v>
      </c>
      <c r="C15" s="275">
        <f>-'[22]NPV TRC'!$D$37</f>
        <v>256.5</v>
      </c>
      <c r="D15" s="272">
        <f>'[22]NPV TRC'!$E$17+C15</f>
        <v>2644.162500723075</v>
      </c>
      <c r="E15" s="273">
        <f t="shared" si="0"/>
        <v>2387.662500723075</v>
      </c>
      <c r="F15" s="274">
        <f t="shared" si="1"/>
        <v>10.308625733813159</v>
      </c>
      <c r="G15" s="273">
        <f t="shared" si="2"/>
        <v>119.38312503615376</v>
      </c>
      <c r="H15" s="93"/>
    </row>
    <row r="16" spans="1:8" ht="15">
      <c r="A16" s="149"/>
      <c r="B16" s="329" t="s">
        <v>109</v>
      </c>
      <c r="C16" s="275">
        <f>-'[23]NPV TRC'!$D$37</f>
        <v>256.5</v>
      </c>
      <c r="D16" s="272">
        <f>'[23]NPV TRC'!$E$17+C16</f>
        <v>1011.9634262026584</v>
      </c>
      <c r="E16" s="273">
        <f t="shared" si="0"/>
        <v>755.4634262026584</v>
      </c>
      <c r="F16" s="274">
        <f t="shared" si="1"/>
        <v>3.9452765154099745</v>
      </c>
      <c r="G16" s="273">
        <f t="shared" si="2"/>
        <v>37.77317131013292</v>
      </c>
      <c r="H16" s="93"/>
    </row>
    <row r="17" spans="1:8" ht="15">
      <c r="A17" s="149"/>
      <c r="B17" s="329" t="s">
        <v>111</v>
      </c>
      <c r="C17" s="275">
        <f>-'[24]NPV TRC'!$D$37</f>
        <v>216</v>
      </c>
      <c r="D17" s="272">
        <f>'[24]NPV TRC'!$E$17+C17</f>
        <v>535.0928952641748</v>
      </c>
      <c r="E17" s="273">
        <f t="shared" si="0"/>
        <v>319.0928952641748</v>
      </c>
      <c r="F17" s="274">
        <f t="shared" si="1"/>
        <v>2.4772819225193277</v>
      </c>
      <c r="G17" s="273">
        <f t="shared" si="2"/>
        <v>15.95464476320874</v>
      </c>
      <c r="H17" s="93"/>
    </row>
    <row r="18" spans="1:8" ht="15">
      <c r="A18" s="149"/>
      <c r="B18" s="329" t="s">
        <v>112</v>
      </c>
      <c r="C18" s="275">
        <f>-'[25]NPV TRC'!$D$37</f>
        <v>72</v>
      </c>
      <c r="D18" s="272">
        <f>'[25]NPV TRC'!$E$17+C18</f>
        <v>392.7965579852889</v>
      </c>
      <c r="E18" s="273">
        <f t="shared" si="0"/>
        <v>320.7965579852889</v>
      </c>
      <c r="F18" s="274">
        <f t="shared" si="1"/>
        <v>5.45550774979568</v>
      </c>
      <c r="G18" s="273">
        <f t="shared" si="2"/>
        <v>16.03982789926445</v>
      </c>
      <c r="H18" s="93"/>
    </row>
    <row r="19" spans="1:8" ht="15">
      <c r="A19" s="149"/>
      <c r="B19" s="329" t="s">
        <v>110</v>
      </c>
      <c r="C19" s="275">
        <f>-'[19]NPV TRC'!$D$37</f>
        <v>468</v>
      </c>
      <c r="D19" s="272">
        <f>'[19]NPV TRC'!$E$17+C19</f>
        <v>5761.272680205419</v>
      </c>
      <c r="E19" s="273">
        <f t="shared" si="0"/>
        <v>5293.272680205419</v>
      </c>
      <c r="F19" s="274">
        <f t="shared" si="1"/>
        <v>12.31041170984064</v>
      </c>
      <c r="G19" s="273">
        <f t="shared" si="2"/>
        <v>264.663634010271</v>
      </c>
      <c r="H19" s="93"/>
    </row>
    <row r="20" spans="1:8" ht="15">
      <c r="A20" s="149"/>
      <c r="B20" s="329" t="s">
        <v>404</v>
      </c>
      <c r="C20" s="275">
        <f>-'[11]NPV TRC'!$D$31</f>
        <v>2057</v>
      </c>
      <c r="D20" s="272"/>
      <c r="E20" s="273">
        <f t="shared" si="0"/>
        <v>-2057</v>
      </c>
      <c r="F20" s="274">
        <f t="shared" si="1"/>
        <v>0</v>
      </c>
      <c r="G20" s="273">
        <f t="shared" si="2"/>
        <v>-102.85000000000001</v>
      </c>
      <c r="H20" s="93"/>
    </row>
    <row r="21" spans="1:9" s="262" customFormat="1" ht="15">
      <c r="A21" s="324" t="s">
        <v>96</v>
      </c>
      <c r="B21" s="336"/>
      <c r="C21" s="569">
        <v>1353.24</v>
      </c>
      <c r="D21" s="566">
        <v>0</v>
      </c>
      <c r="E21" s="567">
        <f t="shared" si="0"/>
        <v>-1353.24</v>
      </c>
      <c r="F21" s="568">
        <f t="shared" si="1"/>
        <v>0</v>
      </c>
      <c r="G21" s="567">
        <f t="shared" si="2"/>
        <v>-67.662</v>
      </c>
      <c r="H21" s="570"/>
      <c r="I21" s="258"/>
    </row>
    <row r="22" spans="1:9" s="262" customFormat="1" ht="15">
      <c r="A22" s="324" t="s">
        <v>97</v>
      </c>
      <c r="B22" s="336"/>
      <c r="C22" s="569">
        <f>-'[13]NPV TRC'!$D$33</f>
        <v>11700</v>
      </c>
      <c r="D22" s="566">
        <f>'[13]NPV TRC'!$E$17+C22</f>
        <v>147931.44652512786</v>
      </c>
      <c r="E22" s="567">
        <f t="shared" si="0"/>
        <v>136231.44652512786</v>
      </c>
      <c r="F22" s="568">
        <f t="shared" si="1"/>
        <v>12.643713378216056</v>
      </c>
      <c r="G22" s="567">
        <f t="shared" si="2"/>
        <v>6811.572326256393</v>
      </c>
      <c r="H22" s="571"/>
      <c r="I22" s="258"/>
    </row>
    <row r="23" spans="1:9" s="262" customFormat="1" ht="15">
      <c r="A23" s="572" t="s">
        <v>100</v>
      </c>
      <c r="B23" s="573"/>
      <c r="C23" s="569">
        <v>8140</v>
      </c>
      <c r="D23" s="566">
        <v>0</v>
      </c>
      <c r="E23" s="567">
        <f t="shared" si="0"/>
        <v>-8140</v>
      </c>
      <c r="F23" s="568">
        <f t="shared" si="1"/>
        <v>0</v>
      </c>
      <c r="G23" s="567">
        <f t="shared" si="2"/>
        <v>-407</v>
      </c>
      <c r="H23" s="571"/>
      <c r="I23" s="258"/>
    </row>
    <row r="24" spans="1:9" s="262" customFormat="1" ht="15">
      <c r="A24" s="324" t="s">
        <v>101</v>
      </c>
      <c r="B24" s="336"/>
      <c r="C24" s="569">
        <f>-'[15]NPV TRC'!$D$37</f>
        <v>3914.16</v>
      </c>
      <c r="D24" s="566">
        <f>'[15]NPV TRC'!$E$17+C24</f>
        <v>14561.299718732096</v>
      </c>
      <c r="E24" s="567">
        <f t="shared" si="0"/>
        <v>10647.139718732096</v>
      </c>
      <c r="F24" s="568">
        <f t="shared" si="1"/>
        <v>3.720159553705545</v>
      </c>
      <c r="G24" s="567">
        <f t="shared" si="2"/>
        <v>532.3569859366048</v>
      </c>
      <c r="H24" s="571"/>
      <c r="I24" s="258"/>
    </row>
    <row r="25" spans="1:9" ht="15">
      <c r="A25" s="345"/>
      <c r="B25" s="334"/>
      <c r="C25" s="275"/>
      <c r="D25" s="272"/>
      <c r="E25" s="273"/>
      <c r="F25" s="274"/>
      <c r="G25" s="273"/>
      <c r="H25" s="93"/>
      <c r="I25" s="9"/>
    </row>
    <row r="26" spans="1:9" ht="15">
      <c r="A26" s="342" t="s">
        <v>74</v>
      </c>
      <c r="B26" s="331"/>
      <c r="C26" s="276"/>
      <c r="D26" s="277"/>
      <c r="E26" s="277"/>
      <c r="F26" s="278"/>
      <c r="G26" s="277"/>
      <c r="H26" s="93"/>
      <c r="I26" s="9"/>
    </row>
    <row r="27" spans="1:9" ht="15">
      <c r="A27" s="564"/>
      <c r="B27" s="555"/>
      <c r="C27" s="275"/>
      <c r="D27" s="272"/>
      <c r="E27" s="273"/>
      <c r="F27" s="274"/>
      <c r="G27" s="273"/>
      <c r="H27" s="93"/>
      <c r="I27" s="9"/>
    </row>
    <row r="28" spans="1:9" s="262" customFormat="1" ht="15">
      <c r="A28" s="572" t="s">
        <v>103</v>
      </c>
      <c r="B28" s="573"/>
      <c r="C28" s="569">
        <f>-'[27]NPV TRC'!$D$37</f>
        <v>12933.34</v>
      </c>
      <c r="D28" s="566">
        <f>'[27]NPV TRC'!$E$17+C28</f>
        <v>25650.274937448674</v>
      </c>
      <c r="E28" s="567">
        <f>D28-C28</f>
        <v>12716.934937448674</v>
      </c>
      <c r="F28" s="568">
        <f>C28</f>
        <v>12933.34</v>
      </c>
      <c r="G28" s="567">
        <f>E28*0.05</f>
        <v>635.8467468724338</v>
      </c>
      <c r="H28" s="570"/>
      <c r="I28" s="258"/>
    </row>
    <row r="29" spans="1:9" ht="15">
      <c r="A29" s="342" t="s">
        <v>76</v>
      </c>
      <c r="B29" s="331"/>
      <c r="C29" s="276"/>
      <c r="D29" s="277"/>
      <c r="E29" s="277"/>
      <c r="F29" s="278"/>
      <c r="G29" s="277"/>
      <c r="H29" s="93"/>
      <c r="I29" s="9"/>
    </row>
    <row r="30" spans="1:9" ht="15">
      <c r="A30" s="343"/>
      <c r="B30" s="332"/>
      <c r="C30" s="275"/>
      <c r="D30" s="272"/>
      <c r="E30" s="273"/>
      <c r="F30" s="274"/>
      <c r="G30" s="273"/>
      <c r="H30" s="93"/>
      <c r="I30" s="9"/>
    </row>
    <row r="31" spans="1:9" s="262" customFormat="1" ht="15">
      <c r="A31" s="572" t="s">
        <v>99</v>
      </c>
      <c r="B31" s="573"/>
      <c r="C31" s="569">
        <f>-'[26]NPV TRC'!$D$37</f>
        <v>12976</v>
      </c>
      <c r="D31" s="566">
        <f>'[26]NPV TRC'!$E$17+C31</f>
        <v>1703.0734992570888</v>
      </c>
      <c r="E31" s="567">
        <f>D31-C31</f>
        <v>-11272.926500742911</v>
      </c>
      <c r="F31" s="568"/>
      <c r="G31" s="567">
        <f t="shared" si="2"/>
        <v>-563.6463250371456</v>
      </c>
      <c r="H31" s="570"/>
      <c r="I31" s="258"/>
    </row>
    <row r="32" spans="1:8" ht="15.75" thickBot="1">
      <c r="A32" s="149"/>
      <c r="B32" s="559"/>
      <c r="C32" s="244"/>
      <c r="D32" s="200"/>
      <c r="E32" s="245"/>
      <c r="F32" s="203"/>
      <c r="G32" s="246"/>
      <c r="H32" s="2"/>
    </row>
    <row r="33" spans="1:7" ht="15.75" thickBot="1">
      <c r="A33" s="576" t="s">
        <v>86</v>
      </c>
      <c r="B33" s="556"/>
      <c r="C33" s="247">
        <f>C8+C9+C10+C21+C22+C23+C24+C28+C31</f>
        <v>82215.64</v>
      </c>
      <c r="D33" s="247">
        <f>D8+D9+D10+D21+D22+D23+D24+D28+D31</f>
        <v>236256.78051806838</v>
      </c>
      <c r="E33" s="247">
        <f>E8+E9+E10+E21+E22+E23+E24+E28+E31</f>
        <v>154041.14051806837</v>
      </c>
      <c r="F33" s="248"/>
      <c r="G33" s="249">
        <f>G8+G9+G10+G21+G22+G23+G24+G28+G31</f>
        <v>7702.057025903419</v>
      </c>
    </row>
    <row r="34" ht="15.75" thickTop="1">
      <c r="H34" s="189"/>
    </row>
    <row r="35" ht="15">
      <c r="H35" s="9"/>
    </row>
    <row r="36" ht="15">
      <c r="H36" s="191"/>
    </row>
    <row r="37" ht="15">
      <c r="H37" s="9"/>
    </row>
  </sheetData>
  <sheetProtection/>
  <mergeCells count="5">
    <mergeCell ref="C4:C5"/>
    <mergeCell ref="D4:D5"/>
    <mergeCell ref="E4:E5"/>
    <mergeCell ref="F4:F5"/>
    <mergeCell ref="G4:G5"/>
  </mergeCells>
  <printOptions/>
  <pageMargins left="0.7" right="0.7" top="0.75" bottom="0.75" header="0.3" footer="0.3"/>
  <pageSetup horizontalDpi="600" verticalDpi="600" orientation="portrait" scale="76" r:id="rId1"/>
  <headerFooter>
    <oddFooter xml:space="preserve">&amp;C© Burman Energy Consultants Group Inc 2010 - Wasaga Distribution LRAM/SSM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D27" sqref="D27"/>
    </sheetView>
  </sheetViews>
  <sheetFormatPr defaultColWidth="9.140625" defaultRowHeight="15"/>
  <cols>
    <col min="1" max="1" width="32.7109375" style="0" bestFit="1" customWidth="1"/>
    <col min="2" max="2" width="13.00390625" style="187" customWidth="1"/>
    <col min="3" max="3" width="12.421875" style="187" customWidth="1"/>
    <col min="4" max="4" width="14.7109375" style="187" customWidth="1"/>
    <col min="5" max="5" width="13.421875" style="0" customWidth="1"/>
    <col min="6" max="6" width="10.7109375" style="0" customWidth="1"/>
    <col min="7" max="7" width="11.140625" style="0" bestFit="1" customWidth="1"/>
    <col min="9" max="9" width="10.8515625" style="0" bestFit="1" customWidth="1"/>
  </cols>
  <sheetData>
    <row r="1" ht="15">
      <c r="A1" s="12" t="s">
        <v>64</v>
      </c>
    </row>
    <row r="2" spans="1:5" ht="15">
      <c r="A2" s="4" t="s">
        <v>79</v>
      </c>
      <c r="B2" s="238"/>
      <c r="C2" s="238"/>
      <c r="D2" s="238"/>
      <c r="E2" s="4"/>
    </row>
    <row r="4" spans="1:5" ht="15">
      <c r="A4" s="10" t="s">
        <v>18</v>
      </c>
      <c r="B4" s="239"/>
      <c r="D4" s="240"/>
      <c r="E4" s="13"/>
    </row>
    <row r="5" spans="1:4" s="262" customFormat="1" ht="30.75" customHeight="1" thickBot="1">
      <c r="A5" s="269"/>
      <c r="B5" s="270" t="s">
        <v>19</v>
      </c>
      <c r="C5" s="271" t="s">
        <v>77</v>
      </c>
      <c r="D5" s="271" t="s">
        <v>78</v>
      </c>
    </row>
    <row r="6" spans="1:4" ht="15">
      <c r="A6" s="120" t="s">
        <v>5</v>
      </c>
      <c r="B6" s="15"/>
      <c r="C6" s="6"/>
      <c r="D6" s="6"/>
    </row>
    <row r="7" spans="1:4" ht="15">
      <c r="A7" s="122" t="s">
        <v>6</v>
      </c>
      <c r="B7" s="15">
        <f>'Attachment B - LRAM Amounts'!S11</f>
        <v>20031.188774175</v>
      </c>
      <c r="C7" s="6">
        <f>'Attachment C - SSM Amounts'!G8+'Attachment C - SSM Amounts'!G9+'Attachment C - SSM Amounts'!G10+'Attachment C - SSM Amounts'!G21+'Attachment C - SSM Amounts'!G22+'Attachment C - SSM Amounts'!G23+'Attachment C - SSM Amounts'!G24</f>
        <v>7629.856604068131</v>
      </c>
      <c r="D7" s="6">
        <f>B7+C7</f>
        <v>27661.04537824313</v>
      </c>
    </row>
    <row r="8" spans="1:4" ht="15">
      <c r="A8" s="122" t="s">
        <v>7</v>
      </c>
      <c r="B8" s="15">
        <f>'Attachment B - LRAM Amounts'!S14</f>
        <v>3400.32</v>
      </c>
      <c r="C8" s="6">
        <f>'Attachment C - SSM Amounts'!G28</f>
        <v>635.8467468724338</v>
      </c>
      <c r="D8" s="6">
        <f>B8+C8</f>
        <v>4036.166746872434</v>
      </c>
    </row>
    <row r="9" spans="1:4" ht="15">
      <c r="A9" s="122" t="s">
        <v>76</v>
      </c>
      <c r="B9" s="15">
        <f>'Attachment B - LRAM Amounts'!S17</f>
        <v>158.72990133333332</v>
      </c>
      <c r="C9" s="6">
        <f>'Attachment C - SSM Amounts'!G31</f>
        <v>-563.6463250371456</v>
      </c>
      <c r="D9" s="6">
        <f>B9+C9</f>
        <v>-404.9164237038123</v>
      </c>
    </row>
    <row r="10" spans="1:4" ht="15">
      <c r="A10" s="64"/>
      <c r="B10" s="15"/>
      <c r="C10" s="6"/>
      <c r="D10" s="6"/>
    </row>
    <row r="11" spans="1:4" ht="15">
      <c r="A11" s="65" t="s">
        <v>22</v>
      </c>
      <c r="B11" s="15"/>
      <c r="C11" s="6"/>
      <c r="D11" s="6"/>
    </row>
    <row r="12" spans="1:4" ht="15">
      <c r="A12" s="66" t="s">
        <v>6</v>
      </c>
      <c r="B12" s="6">
        <f>'Attachment B - LRAM Amounts'!S30</f>
        <v>76065.23687110336</v>
      </c>
      <c r="C12" s="6"/>
      <c r="D12" s="6">
        <f>B12+C12</f>
        <v>76065.23687110336</v>
      </c>
    </row>
    <row r="13" spans="1:4" ht="15">
      <c r="A13" s="66" t="s">
        <v>7</v>
      </c>
      <c r="B13" s="6">
        <f>'Attachment B - LRAM Amounts'!S35</f>
        <v>17755.959564560413</v>
      </c>
      <c r="C13" s="6"/>
      <c r="D13" s="6">
        <f>B13+C13</f>
        <v>17755.959564560413</v>
      </c>
    </row>
    <row r="14" spans="1:4" ht="15">
      <c r="A14" s="66" t="s">
        <v>8</v>
      </c>
      <c r="B14" s="6">
        <f>'Attachment B - LRAM Amounts'!S43</f>
        <v>27169.49824990849</v>
      </c>
      <c r="C14" s="6"/>
      <c r="D14" s="6">
        <f>B14+C14</f>
        <v>27169.49824990849</v>
      </c>
    </row>
    <row r="15" spans="1:4" ht="15.75" thickBot="1">
      <c r="A15" s="68"/>
      <c r="B15" s="49">
        <f>SUM(B7:B14)</f>
        <v>144580.9333610806</v>
      </c>
      <c r="C15" s="49">
        <f>SUM(C7:C14)</f>
        <v>7702.057025903419</v>
      </c>
      <c r="D15" s="49">
        <f>SUM(D7:D14)</f>
        <v>152282.99038698402</v>
      </c>
    </row>
    <row r="16" ht="15.7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 xml:space="preserve">&amp;C© Burman Energy Consultants Group Inc 2010 - Wasaga Distribution LRAM/SSM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B3" sqref="B3"/>
    </sheetView>
  </sheetViews>
  <sheetFormatPr defaultColWidth="9.140625" defaultRowHeight="15"/>
  <cols>
    <col min="1" max="1" width="3.28125" style="9" customWidth="1"/>
    <col min="2" max="2" width="39.8515625" style="0" customWidth="1"/>
    <col min="3" max="3" width="7.7109375" style="0" customWidth="1"/>
    <col min="4" max="4" width="8.140625" style="0" customWidth="1"/>
    <col min="5" max="5" width="7.421875" style="0" customWidth="1"/>
    <col min="6" max="7" width="8.28125" style="0" customWidth="1"/>
    <col min="8" max="8" width="8.00390625" style="0" customWidth="1"/>
    <col min="9" max="9" width="7.7109375" style="0" customWidth="1"/>
    <col min="10" max="11" width="7.421875" style="0" customWidth="1"/>
    <col min="12" max="12" width="7.7109375" style="0" customWidth="1"/>
  </cols>
  <sheetData>
    <row r="1" spans="1:2" ht="15">
      <c r="A1" s="12" t="s">
        <v>405</v>
      </c>
      <c r="B1" s="12"/>
    </row>
    <row r="2" spans="1:12" ht="15">
      <c r="A2" s="4" t="s">
        <v>406</v>
      </c>
      <c r="B2" s="1"/>
      <c r="C2" s="186"/>
      <c r="D2" s="186"/>
      <c r="E2" s="187"/>
      <c r="F2" s="187"/>
      <c r="G2" s="187"/>
      <c r="H2" s="187"/>
      <c r="I2" s="188"/>
      <c r="J2" s="188"/>
      <c r="K2" s="2"/>
      <c r="L2" s="2"/>
    </row>
    <row r="3" spans="1:12" ht="15">
      <c r="A3" s="350"/>
      <c r="B3" s="1"/>
      <c r="C3" s="186"/>
      <c r="D3" s="186"/>
      <c r="E3" s="187"/>
      <c r="F3" s="187"/>
      <c r="G3" s="187"/>
      <c r="H3" s="187"/>
      <c r="I3" s="188"/>
      <c r="J3" s="188"/>
      <c r="K3" s="2"/>
      <c r="L3" s="2"/>
    </row>
    <row r="4" spans="1:12" ht="15" customHeight="1">
      <c r="A4" s="560" t="s">
        <v>3</v>
      </c>
      <c r="B4" s="557"/>
      <c r="C4" s="665" t="s">
        <v>407</v>
      </c>
      <c r="D4" s="666"/>
      <c r="E4" s="667" t="s">
        <v>408</v>
      </c>
      <c r="F4" s="668"/>
      <c r="G4" s="669" t="s">
        <v>409</v>
      </c>
      <c r="H4" s="670"/>
      <c r="I4" s="671" t="s">
        <v>410</v>
      </c>
      <c r="J4" s="672"/>
      <c r="K4" s="669" t="s">
        <v>411</v>
      </c>
      <c r="L4" s="670"/>
    </row>
    <row r="5" spans="1:12" ht="24" customHeight="1" thickBot="1">
      <c r="A5" s="561" t="s">
        <v>4</v>
      </c>
      <c r="B5" s="558"/>
      <c r="C5" s="578" t="s">
        <v>412</v>
      </c>
      <c r="D5" s="578" t="s">
        <v>413</v>
      </c>
      <c r="E5" s="579" t="s">
        <v>412</v>
      </c>
      <c r="F5" s="579" t="s">
        <v>413</v>
      </c>
      <c r="G5" s="270" t="s">
        <v>412</v>
      </c>
      <c r="H5" s="270" t="s">
        <v>413</v>
      </c>
      <c r="I5" s="580" t="s">
        <v>412</v>
      </c>
      <c r="J5" s="580" t="s">
        <v>413</v>
      </c>
      <c r="K5" s="270" t="s">
        <v>412</v>
      </c>
      <c r="L5" s="581" t="s">
        <v>413</v>
      </c>
    </row>
    <row r="6" spans="1:12" ht="15.75" thickBot="1">
      <c r="A6" s="562" t="s">
        <v>5</v>
      </c>
      <c r="B6" s="553"/>
      <c r="C6" s="201"/>
      <c r="D6" s="201"/>
      <c r="E6" s="199"/>
      <c r="F6" s="199"/>
      <c r="G6" s="199"/>
      <c r="H6" s="199"/>
      <c r="I6" s="202"/>
      <c r="J6" s="577"/>
      <c r="K6" s="609"/>
      <c r="L6" s="610"/>
    </row>
    <row r="7" spans="1:12" ht="15">
      <c r="A7" s="563" t="s">
        <v>72</v>
      </c>
      <c r="B7" s="554"/>
      <c r="C7" s="601"/>
      <c r="D7" s="602"/>
      <c r="E7" s="593"/>
      <c r="F7" s="593"/>
      <c r="G7" s="603"/>
      <c r="H7" s="604"/>
      <c r="I7" s="594"/>
      <c r="J7" s="594"/>
      <c r="K7" s="603"/>
      <c r="L7" s="604"/>
    </row>
    <row r="8" spans="1:13" s="262" customFormat="1" ht="15">
      <c r="A8" s="324" t="s">
        <v>94</v>
      </c>
      <c r="B8" s="336"/>
      <c r="C8" s="590"/>
      <c r="D8" s="582"/>
      <c r="E8" s="595"/>
      <c r="F8" s="595"/>
      <c r="G8" s="605"/>
      <c r="H8" s="569"/>
      <c r="I8" s="596"/>
      <c r="J8" s="596"/>
      <c r="K8" s="611"/>
      <c r="L8" s="585"/>
      <c r="M8" s="570"/>
    </row>
    <row r="9" spans="1:13" s="575" customFormat="1" ht="15">
      <c r="A9" s="149"/>
      <c r="B9" s="329" t="s">
        <v>104</v>
      </c>
      <c r="C9" s="673">
        <f>[5]!FreeRideRate</f>
        <v>0.1</v>
      </c>
      <c r="D9" s="674"/>
      <c r="E9" s="675">
        <f>[2]!UnitsDelivered</f>
        <v>681</v>
      </c>
      <c r="F9" s="675"/>
      <c r="G9" s="606" t="s">
        <v>414</v>
      </c>
      <c r="H9" s="275" t="s">
        <v>415</v>
      </c>
      <c r="I9" s="676">
        <f>'[2]NPV TRC'!$B$17</f>
        <v>0.07675</v>
      </c>
      <c r="J9" s="676"/>
      <c r="K9" s="612">
        <f>[2]!NumberofYears</f>
        <v>8</v>
      </c>
      <c r="L9" s="586">
        <f>[17]!NumberofYears</f>
        <v>4</v>
      </c>
      <c r="M9" s="574"/>
    </row>
    <row r="10" spans="1:13" ht="15">
      <c r="A10" s="149"/>
      <c r="B10" s="329" t="s">
        <v>105</v>
      </c>
      <c r="C10" s="673">
        <f>[5]!FreeRideRate</f>
        <v>0.1</v>
      </c>
      <c r="D10" s="674"/>
      <c r="E10" s="675">
        <f>[3]!UnitsDelivered</f>
        <v>15</v>
      </c>
      <c r="F10" s="675"/>
      <c r="G10" s="606" t="s">
        <v>414</v>
      </c>
      <c r="H10" s="275" t="s">
        <v>414</v>
      </c>
      <c r="I10" s="676">
        <f>'[2]NPV TRC'!$B$17</f>
        <v>0.07675</v>
      </c>
      <c r="J10" s="676"/>
      <c r="K10" s="680">
        <f>[3]!NumberofYears</f>
        <v>10</v>
      </c>
      <c r="L10" s="681"/>
      <c r="M10" s="93"/>
    </row>
    <row r="11" spans="1:13" ht="15">
      <c r="A11" s="149"/>
      <c r="B11" s="329" t="s">
        <v>106</v>
      </c>
      <c r="C11" s="673">
        <f>[5]!FreeRideRate</f>
        <v>0.1</v>
      </c>
      <c r="D11" s="674"/>
      <c r="E11" s="675">
        <f>[4]!UnitsDelivered</f>
        <v>35</v>
      </c>
      <c r="F11" s="675"/>
      <c r="G11" s="606" t="s">
        <v>414</v>
      </c>
      <c r="H11" s="275" t="s">
        <v>414</v>
      </c>
      <c r="I11" s="676">
        <f>'[2]NPV TRC'!$B$17</f>
        <v>0.07675</v>
      </c>
      <c r="J11" s="676"/>
      <c r="K11" s="680">
        <f>[4]!NumberofYears</f>
        <v>18</v>
      </c>
      <c r="L11" s="681"/>
      <c r="M11" s="93"/>
    </row>
    <row r="12" spans="1:13" ht="15">
      <c r="A12" s="149"/>
      <c r="B12" s="329" t="s">
        <v>107</v>
      </c>
      <c r="C12" s="673">
        <f>[5]!FreeRideRate</f>
        <v>0.1</v>
      </c>
      <c r="D12" s="674"/>
      <c r="E12" s="675">
        <f>[5]!UnitsDelivered</f>
        <v>13</v>
      </c>
      <c r="F12" s="675"/>
      <c r="G12" s="606" t="s">
        <v>415</v>
      </c>
      <c r="H12" s="275" t="s">
        <v>415</v>
      </c>
      <c r="I12" s="676">
        <f>'[2]NPV TRC'!$B$17</f>
        <v>0.07675</v>
      </c>
      <c r="J12" s="676"/>
      <c r="K12" s="680">
        <f>[5]!NumberofYears</f>
        <v>18</v>
      </c>
      <c r="L12" s="681"/>
      <c r="M12" s="93"/>
    </row>
    <row r="13" spans="1:13" ht="15">
      <c r="A13" s="149"/>
      <c r="B13" s="329" t="s">
        <v>108</v>
      </c>
      <c r="C13" s="673">
        <f>[7]!FreeRideRate</f>
        <v>0.05</v>
      </c>
      <c r="D13" s="674"/>
      <c r="E13" s="675">
        <f>[6]!UnitsDelivered</f>
        <v>135</v>
      </c>
      <c r="F13" s="675"/>
      <c r="G13" s="606" t="s">
        <v>414</v>
      </c>
      <c r="H13" s="275" t="s">
        <v>415</v>
      </c>
      <c r="I13" s="676">
        <f>'[2]NPV TRC'!$B$17</f>
        <v>0.07675</v>
      </c>
      <c r="J13" s="676"/>
      <c r="K13" s="680">
        <f>[6]!NumberofYears</f>
        <v>30</v>
      </c>
      <c r="L13" s="681"/>
      <c r="M13" s="93"/>
    </row>
    <row r="14" spans="1:13" ht="15">
      <c r="A14" s="149"/>
      <c r="B14" s="329" t="s">
        <v>109</v>
      </c>
      <c r="C14" s="673">
        <f>[7]!FreeRideRate</f>
        <v>0.05</v>
      </c>
      <c r="D14" s="674"/>
      <c r="E14" s="675">
        <f>[7]!UnitsDelivered</f>
        <v>135</v>
      </c>
      <c r="F14" s="675"/>
      <c r="G14" s="606" t="s">
        <v>414</v>
      </c>
      <c r="H14" s="275" t="s">
        <v>415</v>
      </c>
      <c r="I14" s="676">
        <f>'[2]NPV TRC'!$B$17</f>
        <v>0.07675</v>
      </c>
      <c r="J14" s="676"/>
      <c r="K14" s="680">
        <f>[7]!NumberofYears</f>
        <v>30</v>
      </c>
      <c r="L14" s="681"/>
      <c r="M14" s="93"/>
    </row>
    <row r="15" spans="1:13" ht="15">
      <c r="A15" s="149"/>
      <c r="B15" s="329" t="s">
        <v>111</v>
      </c>
      <c r="C15" s="673">
        <f>[10]!FreeRideRate</f>
        <v>0.1</v>
      </c>
      <c r="D15" s="674"/>
      <c r="E15" s="675">
        <f>[8]!UnitsDelivered</f>
        <v>4</v>
      </c>
      <c r="F15" s="675"/>
      <c r="G15" s="606" t="s">
        <v>414</v>
      </c>
      <c r="H15" s="275" t="s">
        <v>415</v>
      </c>
      <c r="I15" s="676">
        <f>'[2]NPV TRC'!$B$17</f>
        <v>0.07675</v>
      </c>
      <c r="J15" s="676"/>
      <c r="K15" s="680">
        <f>[8]!NumberofYears</f>
        <v>10</v>
      </c>
      <c r="L15" s="681"/>
      <c r="M15" s="93"/>
    </row>
    <row r="16" spans="1:13" ht="15">
      <c r="A16" s="149"/>
      <c r="B16" s="329" t="s">
        <v>112</v>
      </c>
      <c r="C16" s="673">
        <f>[10]!FreeRideRate</f>
        <v>0.1</v>
      </c>
      <c r="D16" s="674"/>
      <c r="E16" s="675">
        <f>[9]!UnitsDelivered</f>
        <v>4</v>
      </c>
      <c r="F16" s="675"/>
      <c r="G16" s="606" t="s">
        <v>414</v>
      </c>
      <c r="H16" s="275" t="s">
        <v>415</v>
      </c>
      <c r="I16" s="676">
        <f>'[2]NPV TRC'!$B$17</f>
        <v>0.07675</v>
      </c>
      <c r="J16" s="676"/>
      <c r="K16" s="680">
        <f>[8]!NumberofYears</f>
        <v>10</v>
      </c>
      <c r="L16" s="681"/>
      <c r="M16" s="93"/>
    </row>
    <row r="17" spans="1:13" ht="15">
      <c r="A17" s="149"/>
      <c r="B17" s="329" t="s">
        <v>110</v>
      </c>
      <c r="C17" s="673">
        <f>[10]!FreeRideRate</f>
        <v>0.1</v>
      </c>
      <c r="D17" s="674"/>
      <c r="E17" s="675">
        <f>[10]!UnitsDelivered</f>
        <v>26</v>
      </c>
      <c r="F17" s="675"/>
      <c r="G17" s="606" t="s">
        <v>414</v>
      </c>
      <c r="H17" s="275" t="s">
        <v>415</v>
      </c>
      <c r="I17" s="676">
        <f>'[2]NPV TRC'!$B$17</f>
        <v>0.07675</v>
      </c>
      <c r="J17" s="676"/>
      <c r="K17" s="612">
        <f>[10]!NumberofYears</f>
        <v>10</v>
      </c>
      <c r="L17" s="586">
        <f>[19]!NumberofYears</f>
        <v>20</v>
      </c>
      <c r="M17" s="93"/>
    </row>
    <row r="18" spans="1:14" s="262" customFormat="1" ht="15">
      <c r="A18" s="324" t="s">
        <v>97</v>
      </c>
      <c r="B18" s="336"/>
      <c r="C18" s="673">
        <f>[12]!FreeRideRate</f>
        <v>0.1</v>
      </c>
      <c r="D18" s="674"/>
      <c r="E18" s="675">
        <f>[12]!UnitsDelivered</f>
        <v>6500</v>
      </c>
      <c r="F18" s="675"/>
      <c r="G18" s="606" t="s">
        <v>414</v>
      </c>
      <c r="H18" s="275" t="s">
        <v>415</v>
      </c>
      <c r="I18" s="676">
        <f>'[2]NPV TRC'!$B$17</f>
        <v>0.07675</v>
      </c>
      <c r="J18" s="676"/>
      <c r="K18" s="612">
        <f>[12]!NumberofYears</f>
        <v>8</v>
      </c>
      <c r="L18" s="586">
        <f>[13]!NumberofYears</f>
        <v>4</v>
      </c>
      <c r="M18" s="571"/>
      <c r="N18" s="258"/>
    </row>
    <row r="19" spans="1:14" s="262" customFormat="1" ht="15">
      <c r="A19" s="324" t="s">
        <v>101</v>
      </c>
      <c r="B19" s="336"/>
      <c r="C19" s="673">
        <f>[14]!FreeRideRate</f>
        <v>0.1</v>
      </c>
      <c r="D19" s="674"/>
      <c r="E19" s="675">
        <f>[14]!UnitsDelivered</f>
        <v>1290</v>
      </c>
      <c r="F19" s="675"/>
      <c r="G19" s="607" t="s">
        <v>414</v>
      </c>
      <c r="H19" s="275" t="s">
        <v>415</v>
      </c>
      <c r="I19" s="676">
        <f>'[2]NPV TRC'!$B$17</f>
        <v>0.07675</v>
      </c>
      <c r="J19" s="676"/>
      <c r="K19" s="612">
        <f>[14]!NumberofYears</f>
        <v>8</v>
      </c>
      <c r="L19" s="586">
        <f>[15]!NumberofYears</f>
        <v>3</v>
      </c>
      <c r="M19" s="571"/>
      <c r="N19" s="258"/>
    </row>
    <row r="20" spans="1:14" ht="15">
      <c r="A20" s="345"/>
      <c r="B20" s="334"/>
      <c r="C20" s="591"/>
      <c r="D20" s="583"/>
      <c r="E20" s="597"/>
      <c r="F20" s="597"/>
      <c r="G20" s="606"/>
      <c r="H20" s="275"/>
      <c r="I20" s="598"/>
      <c r="J20" s="598"/>
      <c r="K20" s="612"/>
      <c r="L20" s="586"/>
      <c r="M20" s="93"/>
      <c r="N20" s="9"/>
    </row>
    <row r="21" spans="1:14" ht="15">
      <c r="A21" s="342" t="s">
        <v>74</v>
      </c>
      <c r="B21" s="331"/>
      <c r="C21" s="592"/>
      <c r="D21" s="584"/>
      <c r="E21" s="599"/>
      <c r="F21" s="599"/>
      <c r="G21" s="608"/>
      <c r="H21" s="276"/>
      <c r="I21" s="600"/>
      <c r="J21" s="600"/>
      <c r="K21" s="613"/>
      <c r="L21" s="587"/>
      <c r="M21" s="93"/>
      <c r="N21" s="9"/>
    </row>
    <row r="22" spans="1:14" ht="15">
      <c r="A22" s="564"/>
      <c r="B22" s="555"/>
      <c r="C22" s="591"/>
      <c r="D22" s="583"/>
      <c r="E22" s="597"/>
      <c r="F22" s="597"/>
      <c r="G22" s="606"/>
      <c r="H22" s="275"/>
      <c r="I22" s="598"/>
      <c r="J22" s="598"/>
      <c r="K22" s="612"/>
      <c r="L22" s="586"/>
      <c r="M22" s="93"/>
      <c r="N22" s="9"/>
    </row>
    <row r="23" spans="1:14" s="262" customFormat="1" ht="15">
      <c r="A23" s="572" t="s">
        <v>103</v>
      </c>
      <c r="B23" s="573"/>
      <c r="C23" s="673">
        <f>[29]!FreeRideRate</f>
        <v>0.1</v>
      </c>
      <c r="D23" s="674"/>
      <c r="E23" s="675">
        <f>[29]!UnitsDelivered</f>
        <v>4</v>
      </c>
      <c r="F23" s="675"/>
      <c r="G23" s="687" t="s">
        <v>416</v>
      </c>
      <c r="H23" s="688"/>
      <c r="I23" s="676">
        <f>'[29]NPV TRC'!$B$17</f>
        <v>0.0759</v>
      </c>
      <c r="J23" s="676"/>
      <c r="K23" s="680">
        <f>[29]!NumberofYears</f>
        <v>14</v>
      </c>
      <c r="L23" s="681"/>
      <c r="M23" s="570"/>
      <c r="N23" s="258"/>
    </row>
    <row r="24" spans="1:14" ht="15">
      <c r="A24" s="342" t="s">
        <v>76</v>
      </c>
      <c r="B24" s="331"/>
      <c r="C24" s="592"/>
      <c r="D24" s="584"/>
      <c r="E24" s="599"/>
      <c r="F24" s="599"/>
      <c r="G24" s="608"/>
      <c r="H24" s="276"/>
      <c r="I24" s="600"/>
      <c r="J24" s="600"/>
      <c r="K24" s="613"/>
      <c r="L24" s="587"/>
      <c r="M24" s="93"/>
      <c r="N24" s="9"/>
    </row>
    <row r="25" spans="1:14" ht="15">
      <c r="A25" s="343"/>
      <c r="B25" s="332"/>
      <c r="C25" s="591"/>
      <c r="D25" s="583"/>
      <c r="E25" s="597"/>
      <c r="F25" s="597"/>
      <c r="G25" s="606"/>
      <c r="H25" s="275"/>
      <c r="I25" s="598"/>
      <c r="J25" s="598"/>
      <c r="K25" s="612"/>
      <c r="L25" s="586"/>
      <c r="M25" s="93"/>
      <c r="N25" s="9"/>
    </row>
    <row r="26" spans="1:14" s="262" customFormat="1" ht="15.75" thickBot="1">
      <c r="A26" s="588" t="s">
        <v>99</v>
      </c>
      <c r="B26" s="589"/>
      <c r="C26" s="684">
        <f>[28]!FreeRideRate</f>
        <v>0.1</v>
      </c>
      <c r="D26" s="685"/>
      <c r="E26" s="686">
        <f>[28]!UnitsDelivered</f>
        <v>19</v>
      </c>
      <c r="F26" s="686"/>
      <c r="G26" s="677" t="s">
        <v>416</v>
      </c>
      <c r="H26" s="678"/>
      <c r="I26" s="679">
        <f>'[28]NPV TRC'!$B$17</f>
        <v>0.07675</v>
      </c>
      <c r="J26" s="679"/>
      <c r="K26" s="682">
        <f>[28]!NumberofYears</f>
        <v>5</v>
      </c>
      <c r="L26" s="683"/>
      <c r="M26" s="570"/>
      <c r="N26" s="258"/>
    </row>
    <row r="27" ht="15">
      <c r="M27" s="189"/>
    </row>
    <row r="28" ht="15">
      <c r="M28" s="9"/>
    </row>
    <row r="29" ht="15">
      <c r="M29" s="191"/>
    </row>
    <row r="30" ht="15">
      <c r="M30" s="9"/>
    </row>
  </sheetData>
  <sheetProtection/>
  <mergeCells count="55">
    <mergeCell ref="K13:L13"/>
    <mergeCell ref="K14:L14"/>
    <mergeCell ref="K15:L15"/>
    <mergeCell ref="K16:L16"/>
    <mergeCell ref="C9:D9"/>
    <mergeCell ref="C10:D10"/>
    <mergeCell ref="C11:D11"/>
    <mergeCell ref="K10:L10"/>
    <mergeCell ref="K11:L11"/>
    <mergeCell ref="K12:L12"/>
    <mergeCell ref="K23:L23"/>
    <mergeCell ref="K26:L26"/>
    <mergeCell ref="C26:D26"/>
    <mergeCell ref="C23:D23"/>
    <mergeCell ref="C19:D19"/>
    <mergeCell ref="C18:D18"/>
    <mergeCell ref="I19:J19"/>
    <mergeCell ref="E26:F26"/>
    <mergeCell ref="E23:F23"/>
    <mergeCell ref="G23:H23"/>
    <mergeCell ref="G26:H26"/>
    <mergeCell ref="I23:J23"/>
    <mergeCell ref="I26:J26"/>
    <mergeCell ref="I13:J13"/>
    <mergeCell ref="I14:J14"/>
    <mergeCell ref="I15:J15"/>
    <mergeCell ref="I16:J16"/>
    <mergeCell ref="I17:J17"/>
    <mergeCell ref="I18:J18"/>
    <mergeCell ref="E14:F14"/>
    <mergeCell ref="E15:F15"/>
    <mergeCell ref="E16:F16"/>
    <mergeCell ref="E17:F17"/>
    <mergeCell ref="E18:F18"/>
    <mergeCell ref="E19:F19"/>
    <mergeCell ref="K4:L4"/>
    <mergeCell ref="E9:F9"/>
    <mergeCell ref="E10:F10"/>
    <mergeCell ref="E11:F11"/>
    <mergeCell ref="E12:F12"/>
    <mergeCell ref="E13:F13"/>
    <mergeCell ref="I9:J9"/>
    <mergeCell ref="I10:J10"/>
    <mergeCell ref="I11:J11"/>
    <mergeCell ref="I12:J12"/>
    <mergeCell ref="C4:D4"/>
    <mergeCell ref="E4:F4"/>
    <mergeCell ref="G4:H4"/>
    <mergeCell ref="I4:J4"/>
    <mergeCell ref="C17:D17"/>
    <mergeCell ref="C15:D15"/>
    <mergeCell ref="C16:D16"/>
    <mergeCell ref="C14:D14"/>
    <mergeCell ref="C13:D13"/>
    <mergeCell ref="C12:D12"/>
  </mergeCells>
  <printOptions/>
  <pageMargins left="0.7" right="0.7" top="0.75" bottom="0.75" header="0.3" footer="0.3"/>
  <pageSetup fitToHeight="1" fitToWidth="1" horizontalDpi="600" verticalDpi="600" orientation="portrait" scale="75" r:id="rId1"/>
  <headerFooter>
    <oddFooter xml:space="preserve">&amp;C© Burman Energy Consultants Group Inc 2010 - Wasaga Distribution LRAM/SSM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266"/>
  <sheetViews>
    <sheetView zoomScale="75" zoomScaleNormal="75" workbookViewId="0" topLeftCell="A1">
      <selection activeCell="A3" sqref="A3"/>
    </sheetView>
  </sheetViews>
  <sheetFormatPr defaultColWidth="9.140625" defaultRowHeight="15"/>
  <cols>
    <col min="1" max="1" width="7.7109375" style="366" bestFit="1" customWidth="1"/>
    <col min="2" max="3" width="35.7109375" style="366" customWidth="1"/>
    <col min="4" max="5" width="10.421875" style="366" customWidth="1"/>
    <col min="6" max="6" width="2.7109375" style="366" customWidth="1"/>
    <col min="7" max="7" width="3.7109375" style="366" customWidth="1"/>
    <col min="8" max="8" width="42.00390625" style="366" customWidth="1"/>
    <col min="9" max="9" width="2.7109375" style="366" customWidth="1"/>
    <col min="10" max="12" width="14.7109375" style="366" customWidth="1"/>
    <col min="13" max="13" width="2.7109375" style="366" customWidth="1"/>
    <col min="14" max="15" width="9.421875" style="366" bestFit="1" customWidth="1"/>
    <col min="16" max="16" width="12.7109375" style="366" customWidth="1"/>
    <col min="17" max="18" width="9.421875" style="366" bestFit="1" customWidth="1"/>
    <col min="19" max="19" width="12.57421875" style="366" customWidth="1"/>
    <col min="20" max="20" width="2.7109375" style="366" customWidth="1"/>
    <col min="21" max="21" width="11.28125" style="366" customWidth="1"/>
    <col min="22" max="16384" width="9.140625" style="366" customWidth="1"/>
  </cols>
  <sheetData>
    <row r="1" ht="23.25">
      <c r="A1" s="365" t="s">
        <v>113</v>
      </c>
    </row>
    <row r="2" ht="15.75">
      <c r="A2" s="367" t="s">
        <v>114</v>
      </c>
    </row>
    <row r="4" spans="1:2" ht="15.75">
      <c r="A4" s="368" t="s">
        <v>115</v>
      </c>
      <c r="B4" s="368" t="str">
        <f>'[16]Summary'!$B$20</f>
        <v>Wasaga Distribution Inc.</v>
      </c>
    </row>
    <row r="5" spans="1:21" ht="12.75" customHeight="1">
      <c r="A5" s="699" t="s">
        <v>116</v>
      </c>
      <c r="B5" s="699" t="s">
        <v>117</v>
      </c>
      <c r="C5" s="699" t="s">
        <v>118</v>
      </c>
      <c r="D5" s="701" t="s">
        <v>119</v>
      </c>
      <c r="E5" s="701" t="s">
        <v>120</v>
      </c>
      <c r="G5" s="689" t="s">
        <v>116</v>
      </c>
      <c r="H5" s="689" t="s">
        <v>121</v>
      </c>
      <c r="J5" s="694" t="s">
        <v>122</v>
      </c>
      <c r="K5" s="694"/>
      <c r="L5" s="695"/>
      <c r="N5" s="696" t="s">
        <v>123</v>
      </c>
      <c r="O5" s="697"/>
      <c r="P5" s="697"/>
      <c r="Q5" s="697"/>
      <c r="R5" s="697"/>
      <c r="S5" s="698"/>
      <c r="U5" s="689" t="s">
        <v>124</v>
      </c>
    </row>
    <row r="6" spans="1:21" ht="40.5" customHeight="1">
      <c r="A6" s="700"/>
      <c r="B6" s="700"/>
      <c r="C6" s="700"/>
      <c r="D6" s="702"/>
      <c r="E6" s="702"/>
      <c r="G6" s="690"/>
      <c r="H6" s="690"/>
      <c r="J6" s="689" t="s">
        <v>125</v>
      </c>
      <c r="K6" s="689" t="s">
        <v>126</v>
      </c>
      <c r="L6" s="689" t="s">
        <v>127</v>
      </c>
      <c r="N6" s="692" t="s">
        <v>128</v>
      </c>
      <c r="O6" s="692" t="s">
        <v>129</v>
      </c>
      <c r="P6" s="692" t="s">
        <v>130</v>
      </c>
      <c r="Q6" s="692" t="s">
        <v>131</v>
      </c>
      <c r="R6" s="692" t="s">
        <v>132</v>
      </c>
      <c r="S6" s="692" t="s">
        <v>133</v>
      </c>
      <c r="U6" s="690"/>
    </row>
    <row r="7" spans="1:21" ht="12.75" customHeight="1">
      <c r="A7" s="700"/>
      <c r="B7" s="700"/>
      <c r="C7" s="700"/>
      <c r="D7" s="703"/>
      <c r="E7" s="703"/>
      <c r="G7" s="690"/>
      <c r="H7" s="690"/>
      <c r="J7" s="691"/>
      <c r="K7" s="691"/>
      <c r="L7" s="691"/>
      <c r="N7" s="693"/>
      <c r="O7" s="693"/>
      <c r="P7" s="693"/>
      <c r="Q7" s="693"/>
      <c r="R7" s="693"/>
      <c r="S7" s="693"/>
      <c r="U7" s="690"/>
    </row>
    <row r="8" spans="1:5" ht="12.75">
      <c r="A8" s="369"/>
      <c r="B8" s="370"/>
      <c r="C8" s="370"/>
      <c r="D8" s="370"/>
      <c r="E8" s="370"/>
    </row>
    <row r="9" spans="1:21" ht="12.75">
      <c r="A9" s="371">
        <v>2006</v>
      </c>
      <c r="B9" s="372"/>
      <c r="C9" s="372"/>
      <c r="D9" s="372"/>
      <c r="E9" s="373"/>
      <c r="G9" s="371"/>
      <c r="H9" s="373"/>
      <c r="J9" s="371"/>
      <c r="K9" s="372"/>
      <c r="L9" s="373"/>
      <c r="N9" s="371"/>
      <c r="O9" s="372"/>
      <c r="P9" s="372"/>
      <c r="Q9" s="372"/>
      <c r="R9" s="372"/>
      <c r="S9" s="373"/>
      <c r="U9" s="373"/>
    </row>
    <row r="10" spans="1:21" ht="12.75">
      <c r="A10" s="374">
        <v>1</v>
      </c>
      <c r="B10" s="375" t="s">
        <v>134</v>
      </c>
      <c r="C10" s="375" t="s">
        <v>135</v>
      </c>
      <c r="D10" s="375">
        <v>2006</v>
      </c>
      <c r="E10" s="376" t="s">
        <v>136</v>
      </c>
      <c r="G10" s="374">
        <v>1</v>
      </c>
      <c r="H10" s="377" t="s">
        <v>137</v>
      </c>
      <c r="I10" s="378"/>
      <c r="J10" s="379">
        <v>0</v>
      </c>
      <c r="K10" s="380">
        <v>104.4</v>
      </c>
      <c r="L10" s="377">
        <v>4</v>
      </c>
      <c r="M10" s="378"/>
      <c r="N10" s="381">
        <v>0.9</v>
      </c>
      <c r="O10" s="382">
        <v>1</v>
      </c>
      <c r="P10" s="382">
        <v>1</v>
      </c>
      <c r="Q10" s="382">
        <v>1</v>
      </c>
      <c r="R10" s="382">
        <v>1</v>
      </c>
      <c r="S10" s="383">
        <v>0.9</v>
      </c>
      <c r="T10" s="378"/>
      <c r="U10" s="384">
        <v>2442.8960125972008</v>
      </c>
    </row>
    <row r="11" spans="1:21" ht="12.75">
      <c r="A11" s="385">
        <f>A10</f>
        <v>1</v>
      </c>
      <c r="B11" s="386" t="s">
        <v>134</v>
      </c>
      <c r="C11" s="386" t="s">
        <v>135</v>
      </c>
      <c r="D11" s="386">
        <v>2006</v>
      </c>
      <c r="E11" s="387" t="s">
        <v>136</v>
      </c>
      <c r="G11" s="385">
        <f>G10+1</f>
        <v>2</v>
      </c>
      <c r="H11" s="388" t="s">
        <v>138</v>
      </c>
      <c r="I11" s="378"/>
      <c r="J11" s="389">
        <v>0</v>
      </c>
      <c r="K11" s="390">
        <v>183</v>
      </c>
      <c r="L11" s="388">
        <v>20</v>
      </c>
      <c r="M11" s="378"/>
      <c r="N11" s="391">
        <v>0.9</v>
      </c>
      <c r="O11" s="392">
        <v>1</v>
      </c>
      <c r="P11" s="392">
        <v>1</v>
      </c>
      <c r="Q11" s="392">
        <v>1</v>
      </c>
      <c r="R11" s="392">
        <v>1</v>
      </c>
      <c r="S11" s="393">
        <v>0.9</v>
      </c>
      <c r="T11" s="378"/>
      <c r="U11" s="394">
        <v>68.48557192643945</v>
      </c>
    </row>
    <row r="12" spans="1:21" ht="12.75">
      <c r="A12" s="395">
        <f>A11</f>
        <v>1</v>
      </c>
      <c r="B12" s="396" t="s">
        <v>134</v>
      </c>
      <c r="C12" s="396" t="s">
        <v>135</v>
      </c>
      <c r="D12" s="396">
        <v>2006</v>
      </c>
      <c r="E12" s="397" t="s">
        <v>136</v>
      </c>
      <c r="G12" s="395">
        <f>G11+1</f>
        <v>3</v>
      </c>
      <c r="H12" s="398" t="s">
        <v>139</v>
      </c>
      <c r="I12" s="378"/>
      <c r="J12" s="399">
        <v>0.05</v>
      </c>
      <c r="K12" s="400">
        <v>216</v>
      </c>
      <c r="L12" s="398">
        <v>15</v>
      </c>
      <c r="M12" s="378"/>
      <c r="N12" s="401">
        <v>0.9</v>
      </c>
      <c r="O12" s="402">
        <v>1</v>
      </c>
      <c r="P12" s="402">
        <v>1</v>
      </c>
      <c r="Q12" s="402">
        <v>1</v>
      </c>
      <c r="R12" s="402">
        <v>1</v>
      </c>
      <c r="S12" s="403">
        <v>0.9</v>
      </c>
      <c r="T12" s="378"/>
      <c r="U12" s="404">
        <v>29.79062140411247</v>
      </c>
    </row>
    <row r="13" spans="1:21" ht="12.75">
      <c r="A13" s="405">
        <f>A12</f>
        <v>1</v>
      </c>
      <c r="B13" s="406" t="s">
        <v>134</v>
      </c>
      <c r="C13" s="406" t="s">
        <v>135</v>
      </c>
      <c r="D13" s="406">
        <v>2006</v>
      </c>
      <c r="E13" s="407" t="s">
        <v>136</v>
      </c>
      <c r="G13" s="405">
        <f>G12+1</f>
        <v>4</v>
      </c>
      <c r="H13" s="408" t="s">
        <v>140</v>
      </c>
      <c r="I13" s="409"/>
      <c r="J13" s="410">
        <v>0.014</v>
      </c>
      <c r="K13" s="411">
        <v>141</v>
      </c>
      <c r="L13" s="408">
        <v>20</v>
      </c>
      <c r="M13" s="378"/>
      <c r="N13" s="412">
        <v>0.9</v>
      </c>
      <c r="O13" s="413">
        <v>1</v>
      </c>
      <c r="P13" s="413">
        <v>1</v>
      </c>
      <c r="Q13" s="413">
        <v>1</v>
      </c>
      <c r="R13" s="413">
        <v>1</v>
      </c>
      <c r="S13" s="414">
        <v>0.9</v>
      </c>
      <c r="T13" s="378"/>
      <c r="U13" s="415">
        <v>22.662412054660315</v>
      </c>
    </row>
    <row r="14" spans="1:21" ht="12.75">
      <c r="A14" s="395">
        <f>A10+1</f>
        <v>2</v>
      </c>
      <c r="B14" s="396" t="s">
        <v>141</v>
      </c>
      <c r="C14" s="396" t="s">
        <v>135</v>
      </c>
      <c r="D14" s="396">
        <v>2006</v>
      </c>
      <c r="E14" s="397" t="s">
        <v>136</v>
      </c>
      <c r="G14" s="395">
        <v>1</v>
      </c>
      <c r="H14" s="398" t="s">
        <v>142</v>
      </c>
      <c r="I14" s="378"/>
      <c r="J14" s="399">
        <v>0.359</v>
      </c>
      <c r="K14" s="400">
        <v>351</v>
      </c>
      <c r="L14" s="398">
        <v>14</v>
      </c>
      <c r="M14" s="378"/>
      <c r="N14" s="401">
        <v>0.9</v>
      </c>
      <c r="O14" s="402">
        <v>1</v>
      </c>
      <c r="P14" s="402">
        <v>1</v>
      </c>
      <c r="Q14" s="402">
        <v>1</v>
      </c>
      <c r="R14" s="402">
        <v>1</v>
      </c>
      <c r="S14" s="403">
        <v>0.9</v>
      </c>
      <c r="T14" s="378"/>
      <c r="U14" s="404">
        <v>26.27306457533032</v>
      </c>
    </row>
    <row r="15" spans="1:21" ht="12.75">
      <c r="A15" s="416">
        <f>A14</f>
        <v>2</v>
      </c>
      <c r="B15" s="417" t="s">
        <v>141</v>
      </c>
      <c r="C15" s="417" t="s">
        <v>135</v>
      </c>
      <c r="D15" s="417">
        <v>2006</v>
      </c>
      <c r="E15" s="418" t="s">
        <v>136</v>
      </c>
      <c r="G15" s="416">
        <f>G14+1</f>
        <v>2</v>
      </c>
      <c r="H15" s="419" t="s">
        <v>139</v>
      </c>
      <c r="I15" s="378"/>
      <c r="J15" s="420">
        <v>0.163</v>
      </c>
      <c r="K15" s="421">
        <v>159</v>
      </c>
      <c r="L15" s="419">
        <v>18</v>
      </c>
      <c r="M15" s="378"/>
      <c r="N15" s="422">
        <v>0.9</v>
      </c>
      <c r="O15" s="423">
        <v>1</v>
      </c>
      <c r="P15" s="423">
        <v>1</v>
      </c>
      <c r="Q15" s="423">
        <v>1</v>
      </c>
      <c r="R15" s="423">
        <v>1</v>
      </c>
      <c r="S15" s="424">
        <v>0.9</v>
      </c>
      <c r="T15" s="378"/>
      <c r="U15" s="425">
        <v>20.015573755888067</v>
      </c>
    </row>
    <row r="16" spans="1:21" ht="12.75">
      <c r="A16" s="426">
        <f>A15</f>
        <v>2</v>
      </c>
      <c r="B16" s="427" t="s">
        <v>141</v>
      </c>
      <c r="C16" s="427" t="s">
        <v>135</v>
      </c>
      <c r="D16" s="427">
        <v>2006</v>
      </c>
      <c r="E16" s="428" t="s">
        <v>136</v>
      </c>
      <c r="G16" s="426">
        <f>G15+1</f>
        <v>3</v>
      </c>
      <c r="H16" s="429" t="s">
        <v>143</v>
      </c>
      <c r="I16" s="378"/>
      <c r="J16" s="430">
        <v>0.0378</v>
      </c>
      <c r="K16" s="431">
        <v>369</v>
      </c>
      <c r="L16" s="429">
        <v>8</v>
      </c>
      <c r="M16" s="378"/>
      <c r="N16" s="432">
        <v>0.9</v>
      </c>
      <c r="O16" s="433">
        <v>1</v>
      </c>
      <c r="P16" s="433">
        <v>1</v>
      </c>
      <c r="Q16" s="433">
        <v>1</v>
      </c>
      <c r="R16" s="433">
        <v>1</v>
      </c>
      <c r="S16" s="434">
        <v>0.9</v>
      </c>
      <c r="T16" s="378"/>
      <c r="U16" s="435">
        <v>17.91818257982647</v>
      </c>
    </row>
    <row r="17" spans="1:21" ht="12.75">
      <c r="A17" s="436">
        <f>A14+1</f>
        <v>3</v>
      </c>
      <c r="B17" s="437" t="s">
        <v>144</v>
      </c>
      <c r="C17" s="437" t="s">
        <v>135</v>
      </c>
      <c r="D17" s="437">
        <v>2006</v>
      </c>
      <c r="E17" s="438" t="s">
        <v>136</v>
      </c>
      <c r="G17" s="436">
        <v>1</v>
      </c>
      <c r="H17" s="439" t="s">
        <v>145</v>
      </c>
      <c r="I17" s="378"/>
      <c r="J17" s="440">
        <v>0.272</v>
      </c>
      <c r="K17" s="441">
        <v>1200</v>
      </c>
      <c r="L17" s="439">
        <v>6</v>
      </c>
      <c r="M17" s="378"/>
      <c r="N17" s="442">
        <v>0.9</v>
      </c>
      <c r="O17" s="443">
        <v>1</v>
      </c>
      <c r="P17" s="443">
        <v>1</v>
      </c>
      <c r="Q17" s="443">
        <v>1</v>
      </c>
      <c r="R17" s="443">
        <v>1</v>
      </c>
      <c r="S17" s="444">
        <v>0.9</v>
      </c>
      <c r="T17" s="378"/>
      <c r="U17" s="445">
        <v>9.159885919475268</v>
      </c>
    </row>
    <row r="18" spans="1:21" ht="12.75">
      <c r="A18" s="446">
        <v>3</v>
      </c>
      <c r="B18" s="447" t="s">
        <v>144</v>
      </c>
      <c r="C18" s="447" t="s">
        <v>135</v>
      </c>
      <c r="D18" s="447">
        <v>2006</v>
      </c>
      <c r="E18" s="448" t="s">
        <v>136</v>
      </c>
      <c r="G18" s="446">
        <f>G17+1</f>
        <v>2</v>
      </c>
      <c r="H18" s="449" t="s">
        <v>146</v>
      </c>
      <c r="I18" s="378"/>
      <c r="J18" s="450">
        <v>0.204</v>
      </c>
      <c r="K18" s="451">
        <v>900</v>
      </c>
      <c r="L18" s="449">
        <v>6</v>
      </c>
      <c r="M18" s="378"/>
      <c r="N18" s="452">
        <v>0.9</v>
      </c>
      <c r="O18" s="453">
        <v>1</v>
      </c>
      <c r="P18" s="453">
        <v>1</v>
      </c>
      <c r="Q18" s="453">
        <v>1</v>
      </c>
      <c r="R18" s="453">
        <v>1</v>
      </c>
      <c r="S18" s="454">
        <v>0.9</v>
      </c>
      <c r="T18" s="378"/>
      <c r="U18" s="455">
        <v>0.39611304195419156</v>
      </c>
    </row>
    <row r="19" spans="1:21" ht="12.75">
      <c r="A19" s="385">
        <f>A17+1</f>
        <v>4</v>
      </c>
      <c r="B19" s="386" t="s">
        <v>147</v>
      </c>
      <c r="C19" s="386" t="s">
        <v>135</v>
      </c>
      <c r="D19" s="386">
        <v>2006</v>
      </c>
      <c r="E19" s="387" t="s">
        <v>136</v>
      </c>
      <c r="G19" s="436">
        <v>1</v>
      </c>
      <c r="H19" s="439" t="s">
        <v>137</v>
      </c>
      <c r="I19" s="378"/>
      <c r="J19" s="440">
        <v>0</v>
      </c>
      <c r="K19" s="441">
        <v>104.4</v>
      </c>
      <c r="L19" s="439">
        <v>4</v>
      </c>
      <c r="M19" s="378"/>
      <c r="N19" s="442">
        <v>0.9</v>
      </c>
      <c r="O19" s="443">
        <v>1</v>
      </c>
      <c r="P19" s="443">
        <v>1</v>
      </c>
      <c r="Q19" s="443">
        <v>1</v>
      </c>
      <c r="R19" s="443">
        <v>1</v>
      </c>
      <c r="S19" s="444">
        <v>0.9</v>
      </c>
      <c r="T19" s="378"/>
      <c r="U19" s="445">
        <v>3622.092411354099</v>
      </c>
    </row>
    <row r="20" spans="1:21" ht="12.75">
      <c r="A20" s="456">
        <f>A19</f>
        <v>4</v>
      </c>
      <c r="B20" s="457" t="s">
        <v>147</v>
      </c>
      <c r="C20" s="457" t="s">
        <v>135</v>
      </c>
      <c r="D20" s="457">
        <v>2006</v>
      </c>
      <c r="E20" s="458" t="s">
        <v>136</v>
      </c>
      <c r="G20" s="456">
        <f>G19+1</f>
        <v>2</v>
      </c>
      <c r="H20" s="459" t="s">
        <v>148</v>
      </c>
      <c r="I20" s="378"/>
      <c r="J20" s="460">
        <v>0</v>
      </c>
      <c r="K20" s="461">
        <v>30.75</v>
      </c>
      <c r="L20" s="459">
        <v>30</v>
      </c>
      <c r="M20" s="378"/>
      <c r="N20" s="462">
        <v>0.9</v>
      </c>
      <c r="O20" s="463">
        <v>1</v>
      </c>
      <c r="P20" s="463">
        <v>1</v>
      </c>
      <c r="Q20" s="463">
        <v>1</v>
      </c>
      <c r="R20" s="463">
        <v>1</v>
      </c>
      <c r="S20" s="464">
        <v>0.9</v>
      </c>
      <c r="T20" s="378"/>
      <c r="U20" s="465">
        <v>871.8356783125591</v>
      </c>
    </row>
    <row r="21" spans="1:21" ht="12.75">
      <c r="A21" s="416">
        <f>A20</f>
        <v>4</v>
      </c>
      <c r="B21" s="417" t="s">
        <v>147</v>
      </c>
      <c r="C21" s="417" t="s">
        <v>135</v>
      </c>
      <c r="D21" s="417">
        <v>2006</v>
      </c>
      <c r="E21" s="418" t="s">
        <v>136</v>
      </c>
      <c r="G21" s="416">
        <f>G20+1</f>
        <v>3</v>
      </c>
      <c r="H21" s="419" t="s">
        <v>139</v>
      </c>
      <c r="I21" s="378"/>
      <c r="J21" s="420">
        <v>0.11773545292847161</v>
      </c>
      <c r="K21" s="421">
        <v>522.0945425361156</v>
      </c>
      <c r="L21" s="419">
        <v>18</v>
      </c>
      <c r="M21" s="378"/>
      <c r="N21" s="422">
        <v>0.9</v>
      </c>
      <c r="O21" s="423">
        <v>1</v>
      </c>
      <c r="P21" s="423">
        <v>1</v>
      </c>
      <c r="Q21" s="423">
        <v>1</v>
      </c>
      <c r="R21" s="423">
        <v>1</v>
      </c>
      <c r="S21" s="424">
        <v>0.9</v>
      </c>
      <c r="T21" s="378"/>
      <c r="U21" s="425">
        <v>57.47094236288823</v>
      </c>
    </row>
    <row r="22" spans="1:21" ht="12.75">
      <c r="A22" s="456">
        <f>A21</f>
        <v>4</v>
      </c>
      <c r="B22" s="457" t="s">
        <v>147</v>
      </c>
      <c r="C22" s="457" t="s">
        <v>135</v>
      </c>
      <c r="D22" s="457">
        <v>2006</v>
      </c>
      <c r="E22" s="458" t="s">
        <v>136</v>
      </c>
      <c r="G22" s="456">
        <f>G21+1</f>
        <v>4</v>
      </c>
      <c r="H22" s="459" t="s">
        <v>149</v>
      </c>
      <c r="I22" s="378"/>
      <c r="J22" s="460">
        <v>0</v>
      </c>
      <c r="K22" s="461">
        <v>139</v>
      </c>
      <c r="L22" s="459">
        <v>10</v>
      </c>
      <c r="M22" s="378"/>
      <c r="N22" s="462">
        <v>0.9</v>
      </c>
      <c r="O22" s="463">
        <v>1</v>
      </c>
      <c r="P22" s="463">
        <v>1</v>
      </c>
      <c r="Q22" s="463">
        <v>1</v>
      </c>
      <c r="R22" s="463">
        <v>1</v>
      </c>
      <c r="S22" s="464">
        <v>0.9</v>
      </c>
      <c r="T22" s="378"/>
      <c r="U22" s="465">
        <v>45.44347548133456</v>
      </c>
    </row>
    <row r="23" spans="1:21" ht="12.75">
      <c r="A23" s="416">
        <f>A22</f>
        <v>4</v>
      </c>
      <c r="B23" s="417" t="s">
        <v>147</v>
      </c>
      <c r="C23" s="417" t="s">
        <v>135</v>
      </c>
      <c r="D23" s="417">
        <v>2006</v>
      </c>
      <c r="E23" s="418" t="s">
        <v>136</v>
      </c>
      <c r="G23" s="416">
        <f>G22+1</f>
        <v>5</v>
      </c>
      <c r="H23" s="419" t="s">
        <v>150</v>
      </c>
      <c r="I23" s="378"/>
      <c r="J23" s="420">
        <v>0</v>
      </c>
      <c r="K23" s="421">
        <v>209</v>
      </c>
      <c r="L23" s="419">
        <v>20</v>
      </c>
      <c r="M23" s="378"/>
      <c r="N23" s="422">
        <v>0.9</v>
      </c>
      <c r="O23" s="423">
        <v>1</v>
      </c>
      <c r="P23" s="423">
        <v>1</v>
      </c>
      <c r="Q23" s="423">
        <v>1</v>
      </c>
      <c r="R23" s="423">
        <v>1</v>
      </c>
      <c r="S23" s="424">
        <v>0.9</v>
      </c>
      <c r="T23" s="378"/>
      <c r="U23" s="425">
        <v>16.306349326160337</v>
      </c>
    </row>
    <row r="24" spans="1:21" ht="12.75">
      <c r="A24" s="426">
        <f>A23</f>
        <v>4</v>
      </c>
      <c r="B24" s="427" t="s">
        <v>147</v>
      </c>
      <c r="C24" s="427" t="s">
        <v>135</v>
      </c>
      <c r="D24" s="427">
        <v>2006</v>
      </c>
      <c r="E24" s="428" t="s">
        <v>136</v>
      </c>
      <c r="G24" s="446">
        <f>G23+1</f>
        <v>6</v>
      </c>
      <c r="H24" s="449" t="s">
        <v>151</v>
      </c>
      <c r="I24" s="378"/>
      <c r="J24" s="450">
        <v>0</v>
      </c>
      <c r="K24" s="451">
        <v>1466.3</v>
      </c>
      <c r="L24" s="449">
        <v>18</v>
      </c>
      <c r="M24" s="378"/>
      <c r="N24" s="452">
        <v>0.9</v>
      </c>
      <c r="O24" s="453">
        <v>1</v>
      </c>
      <c r="P24" s="453">
        <v>1</v>
      </c>
      <c r="Q24" s="453">
        <v>1</v>
      </c>
      <c r="R24" s="453">
        <v>1</v>
      </c>
      <c r="S24" s="454">
        <v>0.9</v>
      </c>
      <c r="T24" s="378"/>
      <c r="U24" s="455">
        <v>3.423092082601833</v>
      </c>
    </row>
    <row r="25" spans="1:21" ht="12.75">
      <c r="A25" s="466">
        <v>6</v>
      </c>
      <c r="B25" s="467" t="s">
        <v>152</v>
      </c>
      <c r="C25" s="467" t="s">
        <v>153</v>
      </c>
      <c r="D25" s="467">
        <v>2006</v>
      </c>
      <c r="E25" s="468" t="s">
        <v>136</v>
      </c>
      <c r="G25" s="405">
        <v>1</v>
      </c>
      <c r="H25" s="408" t="s">
        <v>154</v>
      </c>
      <c r="I25" s="378"/>
      <c r="J25" s="469" t="s">
        <v>155</v>
      </c>
      <c r="K25" s="470" t="s">
        <v>155</v>
      </c>
      <c r="L25" s="408">
        <v>3</v>
      </c>
      <c r="M25" s="378"/>
      <c r="N25" s="412">
        <v>1</v>
      </c>
      <c r="O25" s="413">
        <v>1</v>
      </c>
      <c r="P25" s="413">
        <v>1</v>
      </c>
      <c r="Q25" s="413">
        <v>1</v>
      </c>
      <c r="R25" s="413">
        <v>1</v>
      </c>
      <c r="S25" s="414">
        <v>1</v>
      </c>
      <c r="T25" s="378"/>
      <c r="U25" s="471" t="s">
        <v>156</v>
      </c>
    </row>
    <row r="26" spans="1:5" ht="12.75">
      <c r="A26" s="370"/>
      <c r="B26" s="370"/>
      <c r="C26" s="370"/>
      <c r="D26" s="370"/>
      <c r="E26" s="472"/>
    </row>
    <row r="27" spans="1:21" ht="12.75">
      <c r="A27" s="371">
        <v>2007</v>
      </c>
      <c r="B27" s="372"/>
      <c r="C27" s="372"/>
      <c r="D27" s="372"/>
      <c r="E27" s="373"/>
      <c r="G27" s="371"/>
      <c r="H27" s="373"/>
      <c r="J27" s="371"/>
      <c r="K27" s="372"/>
      <c r="L27" s="373"/>
      <c r="N27" s="371"/>
      <c r="O27" s="372"/>
      <c r="P27" s="372"/>
      <c r="Q27" s="372"/>
      <c r="R27" s="372"/>
      <c r="S27" s="373"/>
      <c r="U27" s="373"/>
    </row>
    <row r="28" spans="1:21" ht="12.75">
      <c r="A28" s="374">
        <v>7</v>
      </c>
      <c r="B28" s="375" t="s">
        <v>157</v>
      </c>
      <c r="C28" s="375" t="s">
        <v>135</v>
      </c>
      <c r="D28" s="375">
        <v>2007</v>
      </c>
      <c r="E28" s="377" t="s">
        <v>136</v>
      </c>
      <c r="G28" s="374">
        <v>1</v>
      </c>
      <c r="H28" s="377" t="s">
        <v>158</v>
      </c>
      <c r="J28" s="379">
        <v>0.07062500631923577</v>
      </c>
      <c r="K28" s="380">
        <v>744.7</v>
      </c>
      <c r="L28" s="377">
        <v>9</v>
      </c>
      <c r="N28" s="381">
        <v>0.482470900220673</v>
      </c>
      <c r="O28" s="382">
        <v>1</v>
      </c>
      <c r="P28" s="382">
        <v>1</v>
      </c>
      <c r="Q28" s="382">
        <v>0.812218137254902</v>
      </c>
      <c r="R28" s="382">
        <v>1</v>
      </c>
      <c r="S28" s="383">
        <v>0.3918716158569307</v>
      </c>
      <c r="U28" s="384">
        <v>117</v>
      </c>
    </row>
    <row r="29" spans="1:21" ht="12.75">
      <c r="A29" s="416">
        <f>A28</f>
        <v>7</v>
      </c>
      <c r="B29" s="417" t="s">
        <v>157</v>
      </c>
      <c r="C29" s="417" t="s">
        <v>135</v>
      </c>
      <c r="D29" s="417">
        <v>2007</v>
      </c>
      <c r="E29" s="419" t="s">
        <v>136</v>
      </c>
      <c r="G29" s="416">
        <f>G28+1</f>
        <v>2</v>
      </c>
      <c r="H29" s="419" t="s">
        <v>159</v>
      </c>
      <c r="J29" s="420">
        <v>0.06598225274361627</v>
      </c>
      <c r="K29" s="421">
        <v>515.4</v>
      </c>
      <c r="L29" s="419">
        <v>8</v>
      </c>
      <c r="N29" s="422">
        <v>0.5006475428426603</v>
      </c>
      <c r="O29" s="423">
        <v>1</v>
      </c>
      <c r="P29" s="423">
        <v>1</v>
      </c>
      <c r="Q29" s="423">
        <v>0.9124583333333334</v>
      </c>
      <c r="R29" s="423">
        <v>1</v>
      </c>
      <c r="S29" s="424">
        <v>0.45682002252964243</v>
      </c>
      <c r="U29" s="425">
        <v>26</v>
      </c>
    </row>
    <row r="30" spans="1:21" ht="12.75">
      <c r="A30" s="456">
        <f>A29</f>
        <v>7</v>
      </c>
      <c r="B30" s="457" t="s">
        <v>157</v>
      </c>
      <c r="C30" s="457" t="s">
        <v>135</v>
      </c>
      <c r="D30" s="457">
        <v>2007</v>
      </c>
      <c r="E30" s="459" t="s">
        <v>136</v>
      </c>
      <c r="G30" s="456">
        <f aca="true" t="shared" si="0" ref="G30:G93">G29+1</f>
        <v>3</v>
      </c>
      <c r="H30" s="459" t="s">
        <v>160</v>
      </c>
      <c r="J30" s="460">
        <v>0.04524414467326041</v>
      </c>
      <c r="K30" s="461">
        <v>490</v>
      </c>
      <c r="L30" s="459">
        <v>9</v>
      </c>
      <c r="N30" s="462">
        <v>0.3815679531911056</v>
      </c>
      <c r="O30" s="463">
        <v>1</v>
      </c>
      <c r="P30" s="463">
        <v>1</v>
      </c>
      <c r="Q30" s="463">
        <v>0.7878061224489796</v>
      </c>
      <c r="R30" s="463">
        <v>1</v>
      </c>
      <c r="S30" s="464">
        <v>0.30060156965427864</v>
      </c>
      <c r="U30" s="465">
        <v>2</v>
      </c>
    </row>
    <row r="31" spans="1:21" ht="12.75">
      <c r="A31" s="416">
        <f>A30</f>
        <v>7</v>
      </c>
      <c r="B31" s="417" t="s">
        <v>157</v>
      </c>
      <c r="C31" s="417" t="s">
        <v>135</v>
      </c>
      <c r="D31" s="417">
        <v>2007</v>
      </c>
      <c r="E31" s="419" t="s">
        <v>136</v>
      </c>
      <c r="G31" s="416">
        <f t="shared" si="0"/>
        <v>4</v>
      </c>
      <c r="H31" s="419" t="s">
        <v>161</v>
      </c>
      <c r="J31" s="420">
        <v>0.042497044139956246</v>
      </c>
      <c r="K31" s="421">
        <v>338.5</v>
      </c>
      <c r="L31" s="419">
        <v>8</v>
      </c>
      <c r="N31" s="422">
        <v>0.3815679531911056</v>
      </c>
      <c r="O31" s="423">
        <v>1</v>
      </c>
      <c r="P31" s="423">
        <v>1</v>
      </c>
      <c r="Q31" s="423">
        <v>0.7878061224489796</v>
      </c>
      <c r="R31" s="423">
        <v>1</v>
      </c>
      <c r="S31" s="424">
        <v>0.30060156965427864</v>
      </c>
      <c r="U31" s="425">
        <v>1</v>
      </c>
    </row>
    <row r="32" spans="1:21" ht="12.75">
      <c r="A32" s="446">
        <f>A31</f>
        <v>7</v>
      </c>
      <c r="B32" s="447" t="s">
        <v>157</v>
      </c>
      <c r="C32" s="447" t="s">
        <v>135</v>
      </c>
      <c r="D32" s="447">
        <v>2007</v>
      </c>
      <c r="E32" s="449" t="s">
        <v>136</v>
      </c>
      <c r="G32" s="446">
        <f t="shared" si="0"/>
        <v>5</v>
      </c>
      <c r="H32" s="449" t="s">
        <v>162</v>
      </c>
      <c r="J32" s="450">
        <v>0.5615721339540527</v>
      </c>
      <c r="K32" s="451">
        <v>240.2</v>
      </c>
      <c r="L32" s="449">
        <v>5</v>
      </c>
      <c r="N32" s="452">
        <v>0.4314470272483283</v>
      </c>
      <c r="O32" s="453">
        <v>1</v>
      </c>
      <c r="P32" s="453">
        <v>1</v>
      </c>
      <c r="Q32" s="453">
        <v>1</v>
      </c>
      <c r="R32" s="453">
        <v>1</v>
      </c>
      <c r="S32" s="454">
        <v>0.4314470272483283</v>
      </c>
      <c r="U32" s="455">
        <v>0</v>
      </c>
    </row>
    <row r="33" spans="1:21" ht="12.75">
      <c r="A33" s="385">
        <f>A28+1</f>
        <v>8</v>
      </c>
      <c r="B33" s="386" t="s">
        <v>163</v>
      </c>
      <c r="C33" s="386" t="s">
        <v>135</v>
      </c>
      <c r="D33" s="386">
        <v>2007</v>
      </c>
      <c r="E33" s="388" t="s">
        <v>136</v>
      </c>
      <c r="G33" s="385">
        <v>1</v>
      </c>
      <c r="H33" s="388" t="s">
        <v>164</v>
      </c>
      <c r="J33" s="389">
        <v>0.16618150370938362</v>
      </c>
      <c r="K33" s="390">
        <v>152.19548972336963</v>
      </c>
      <c r="L33" s="388">
        <v>18</v>
      </c>
      <c r="N33" s="391">
        <v>0.52</v>
      </c>
      <c r="O33" s="392">
        <v>0.052000000000000005</v>
      </c>
      <c r="P33" s="392">
        <v>1</v>
      </c>
      <c r="Q33" s="392">
        <v>1</v>
      </c>
      <c r="R33" s="392">
        <v>1</v>
      </c>
      <c r="S33" s="393">
        <v>0.5720000000000001</v>
      </c>
      <c r="U33" s="394">
        <v>62.97322900581448</v>
      </c>
    </row>
    <row r="34" spans="1:21" ht="12.75">
      <c r="A34" s="456">
        <f>A33</f>
        <v>8</v>
      </c>
      <c r="B34" s="457" t="s">
        <v>163</v>
      </c>
      <c r="C34" s="457" t="s">
        <v>135</v>
      </c>
      <c r="D34" s="457">
        <v>2007</v>
      </c>
      <c r="E34" s="459" t="s">
        <v>136</v>
      </c>
      <c r="G34" s="456">
        <f t="shared" si="0"/>
        <v>2</v>
      </c>
      <c r="H34" s="459" t="s">
        <v>165</v>
      </c>
      <c r="J34" s="460">
        <v>0.029131163061685242</v>
      </c>
      <c r="K34" s="461">
        <v>54.62093074065982</v>
      </c>
      <c r="L34" s="459">
        <v>15</v>
      </c>
      <c r="N34" s="462">
        <v>0.46</v>
      </c>
      <c r="O34" s="463">
        <v>0</v>
      </c>
      <c r="P34" s="463">
        <v>0.597</v>
      </c>
      <c r="Q34" s="463">
        <v>1</v>
      </c>
      <c r="R34" s="463">
        <v>1</v>
      </c>
      <c r="S34" s="464">
        <v>0.27462</v>
      </c>
      <c r="U34" s="465">
        <v>89.1870835419319</v>
      </c>
    </row>
    <row r="35" spans="1:21" ht="12.75">
      <c r="A35" s="416">
        <f>A34</f>
        <v>8</v>
      </c>
      <c r="B35" s="417" t="s">
        <v>163</v>
      </c>
      <c r="C35" s="417" t="s">
        <v>135</v>
      </c>
      <c r="D35" s="417">
        <v>2007</v>
      </c>
      <c r="E35" s="419" t="s">
        <v>136</v>
      </c>
      <c r="G35" s="416">
        <f t="shared" si="0"/>
        <v>3</v>
      </c>
      <c r="H35" s="419" t="s">
        <v>166</v>
      </c>
      <c r="J35" s="420">
        <v>0.4933594219114764</v>
      </c>
      <c r="K35" s="421">
        <v>831.8539716573113</v>
      </c>
      <c r="L35" s="419">
        <v>15</v>
      </c>
      <c r="N35" s="422">
        <v>0.542</v>
      </c>
      <c r="O35" s="423">
        <v>0.049000000000000016</v>
      </c>
      <c r="P35" s="423">
        <v>1</v>
      </c>
      <c r="Q35" s="423">
        <v>1</v>
      </c>
      <c r="R35" s="423">
        <v>1</v>
      </c>
      <c r="S35" s="424">
        <v>0.5910000000000001</v>
      </c>
      <c r="U35" s="425">
        <v>98.6791903072004</v>
      </c>
    </row>
    <row r="36" spans="1:21" ht="12.75">
      <c r="A36" s="446">
        <f>A35</f>
        <v>8</v>
      </c>
      <c r="B36" s="447" t="s">
        <v>163</v>
      </c>
      <c r="C36" s="447" t="s">
        <v>135</v>
      </c>
      <c r="D36" s="447">
        <v>2007</v>
      </c>
      <c r="E36" s="449" t="s">
        <v>136</v>
      </c>
      <c r="G36" s="446">
        <f t="shared" si="0"/>
        <v>4</v>
      </c>
      <c r="H36" s="449" t="s">
        <v>167</v>
      </c>
      <c r="J36" s="450">
        <v>0.25669883720745024</v>
      </c>
      <c r="K36" s="451">
        <v>235.48130469371517</v>
      </c>
      <c r="L36" s="449">
        <v>5</v>
      </c>
      <c r="N36" s="452">
        <v>0.41900000000000004</v>
      </c>
      <c r="O36" s="453">
        <v>0</v>
      </c>
      <c r="P36" s="453">
        <v>0.375</v>
      </c>
      <c r="Q36" s="453">
        <v>1</v>
      </c>
      <c r="R36" s="453">
        <v>1</v>
      </c>
      <c r="S36" s="454">
        <v>0.15712500000000001</v>
      </c>
      <c r="U36" s="455">
        <v>53.23627485547907</v>
      </c>
    </row>
    <row r="37" spans="1:21" ht="12.75">
      <c r="A37" s="473">
        <f>A33+1</f>
        <v>9</v>
      </c>
      <c r="B37" s="474" t="s">
        <v>168</v>
      </c>
      <c r="C37" s="474" t="s">
        <v>135</v>
      </c>
      <c r="D37" s="474">
        <v>2007</v>
      </c>
      <c r="E37" s="475" t="s">
        <v>136</v>
      </c>
      <c r="G37" s="473">
        <v>1</v>
      </c>
      <c r="H37" s="475" t="s">
        <v>169</v>
      </c>
      <c r="J37" s="476">
        <v>0.043478260869565216</v>
      </c>
      <c r="K37" s="477">
        <v>900</v>
      </c>
      <c r="L37" s="475">
        <v>4</v>
      </c>
      <c r="N37" s="478">
        <v>1</v>
      </c>
      <c r="O37" s="479">
        <v>1</v>
      </c>
      <c r="P37" s="479">
        <v>1</v>
      </c>
      <c r="Q37" s="479">
        <v>1</v>
      </c>
      <c r="R37" s="479">
        <v>1</v>
      </c>
      <c r="S37" s="480">
        <v>1</v>
      </c>
      <c r="U37" s="481">
        <v>0</v>
      </c>
    </row>
    <row r="38" spans="1:21" ht="12.75">
      <c r="A38" s="456">
        <f>A37+1</f>
        <v>10</v>
      </c>
      <c r="B38" s="457" t="s">
        <v>170</v>
      </c>
      <c r="C38" s="457" t="s">
        <v>135</v>
      </c>
      <c r="D38" s="457">
        <v>2007</v>
      </c>
      <c r="E38" s="459" t="s">
        <v>136</v>
      </c>
      <c r="G38" s="456">
        <v>1</v>
      </c>
      <c r="H38" s="459" t="s">
        <v>171</v>
      </c>
      <c r="J38" s="460">
        <v>0.0013</v>
      </c>
      <c r="K38" s="461">
        <v>43</v>
      </c>
      <c r="L38" s="459">
        <v>8</v>
      </c>
      <c r="N38" s="462">
        <v>0.78</v>
      </c>
      <c r="O38" s="463">
        <v>1</v>
      </c>
      <c r="P38" s="463">
        <v>1</v>
      </c>
      <c r="Q38" s="463">
        <v>1</v>
      </c>
      <c r="R38" s="463">
        <v>1</v>
      </c>
      <c r="S38" s="464">
        <v>0.78</v>
      </c>
      <c r="U38" s="465">
        <v>4509.847781630976</v>
      </c>
    </row>
    <row r="39" spans="1:21" ht="12.75">
      <c r="A39" s="416">
        <f aca="true" t="shared" si="1" ref="A39:A51">A38</f>
        <v>10</v>
      </c>
      <c r="B39" s="417" t="s">
        <v>170</v>
      </c>
      <c r="C39" s="417" t="s">
        <v>135</v>
      </c>
      <c r="D39" s="417">
        <v>2007</v>
      </c>
      <c r="E39" s="419" t="s">
        <v>136</v>
      </c>
      <c r="G39" s="416">
        <f t="shared" si="0"/>
        <v>2</v>
      </c>
      <c r="H39" s="419" t="s">
        <v>172</v>
      </c>
      <c r="J39" s="420">
        <v>0.0019</v>
      </c>
      <c r="K39" s="421">
        <v>62.1</v>
      </c>
      <c r="L39" s="419">
        <v>8</v>
      </c>
      <c r="N39" s="422">
        <v>0.78</v>
      </c>
      <c r="O39" s="423">
        <v>1</v>
      </c>
      <c r="P39" s="423">
        <v>1</v>
      </c>
      <c r="Q39" s="423">
        <v>1</v>
      </c>
      <c r="R39" s="423">
        <v>1</v>
      </c>
      <c r="S39" s="424">
        <v>0.78</v>
      </c>
      <c r="U39" s="425">
        <v>734.1606488100559</v>
      </c>
    </row>
    <row r="40" spans="1:21" ht="12.75">
      <c r="A40" s="456">
        <f t="shared" si="1"/>
        <v>10</v>
      </c>
      <c r="B40" s="457" t="s">
        <v>170</v>
      </c>
      <c r="C40" s="457" t="s">
        <v>135</v>
      </c>
      <c r="D40" s="457">
        <v>2007</v>
      </c>
      <c r="E40" s="459" t="s">
        <v>136</v>
      </c>
      <c r="F40" s="378"/>
      <c r="G40" s="456">
        <f t="shared" si="0"/>
        <v>3</v>
      </c>
      <c r="H40" s="459" t="s">
        <v>173</v>
      </c>
      <c r="I40" s="378"/>
      <c r="J40" s="460">
        <v>0.0013</v>
      </c>
      <c r="K40" s="461">
        <v>43</v>
      </c>
      <c r="L40" s="459">
        <v>8</v>
      </c>
      <c r="M40" s="378"/>
      <c r="N40" s="462">
        <v>0.76</v>
      </c>
      <c r="O40" s="463">
        <v>1</v>
      </c>
      <c r="P40" s="463">
        <v>1</v>
      </c>
      <c r="Q40" s="463">
        <v>1</v>
      </c>
      <c r="R40" s="463">
        <v>1</v>
      </c>
      <c r="S40" s="464">
        <v>0.76</v>
      </c>
      <c r="T40" s="378"/>
      <c r="U40" s="465">
        <v>949.0208723523793</v>
      </c>
    </row>
    <row r="41" spans="1:21" ht="12.75">
      <c r="A41" s="416">
        <f t="shared" si="1"/>
        <v>10</v>
      </c>
      <c r="B41" s="417" t="s">
        <v>170</v>
      </c>
      <c r="C41" s="417" t="s">
        <v>135</v>
      </c>
      <c r="D41" s="417">
        <v>2007</v>
      </c>
      <c r="E41" s="419" t="s">
        <v>136</v>
      </c>
      <c r="G41" s="416">
        <f t="shared" si="0"/>
        <v>4</v>
      </c>
      <c r="H41" s="419" t="s">
        <v>174</v>
      </c>
      <c r="J41" s="420">
        <v>0.0028</v>
      </c>
      <c r="K41" s="421">
        <v>89.8</v>
      </c>
      <c r="L41" s="419">
        <v>10</v>
      </c>
      <c r="N41" s="422">
        <v>0.55</v>
      </c>
      <c r="O41" s="423">
        <v>1</v>
      </c>
      <c r="P41" s="423">
        <v>1</v>
      </c>
      <c r="Q41" s="423">
        <v>1</v>
      </c>
      <c r="R41" s="423">
        <v>1</v>
      </c>
      <c r="S41" s="424">
        <v>0.55</v>
      </c>
      <c r="U41" s="425">
        <v>36.37786807901141</v>
      </c>
    </row>
    <row r="42" spans="1:21" ht="12.75">
      <c r="A42" s="482">
        <f t="shared" si="1"/>
        <v>10</v>
      </c>
      <c r="B42" s="483" t="s">
        <v>170</v>
      </c>
      <c r="C42" s="483" t="s">
        <v>135</v>
      </c>
      <c r="D42" s="483">
        <v>2007</v>
      </c>
      <c r="E42" s="484" t="s">
        <v>136</v>
      </c>
      <c r="G42" s="482">
        <f t="shared" si="0"/>
        <v>5</v>
      </c>
      <c r="H42" s="484" t="s">
        <v>175</v>
      </c>
      <c r="J42" s="485">
        <v>0.0112</v>
      </c>
      <c r="K42" s="486">
        <v>37.7</v>
      </c>
      <c r="L42" s="484">
        <v>1</v>
      </c>
      <c r="N42" s="487">
        <v>0.55</v>
      </c>
      <c r="O42" s="488">
        <v>1</v>
      </c>
      <c r="P42" s="488">
        <v>1</v>
      </c>
      <c r="Q42" s="488">
        <v>1</v>
      </c>
      <c r="R42" s="488">
        <v>1</v>
      </c>
      <c r="S42" s="489">
        <v>0.55</v>
      </c>
      <c r="U42" s="490">
        <v>146.5781717765697</v>
      </c>
    </row>
    <row r="43" spans="1:21" ht="12.75">
      <c r="A43" s="416">
        <f t="shared" si="1"/>
        <v>10</v>
      </c>
      <c r="B43" s="417" t="s">
        <v>170</v>
      </c>
      <c r="C43" s="417" t="s">
        <v>135</v>
      </c>
      <c r="D43" s="417">
        <v>2007</v>
      </c>
      <c r="E43" s="419" t="s">
        <v>136</v>
      </c>
      <c r="G43" s="416">
        <f t="shared" si="0"/>
        <v>6</v>
      </c>
      <c r="H43" s="419" t="s">
        <v>176</v>
      </c>
      <c r="J43" s="420">
        <v>0</v>
      </c>
      <c r="K43" s="421">
        <v>32.8</v>
      </c>
      <c r="L43" s="419">
        <v>5</v>
      </c>
      <c r="N43" s="422">
        <v>0.13</v>
      </c>
      <c r="O43" s="423">
        <v>1</v>
      </c>
      <c r="P43" s="423">
        <v>1</v>
      </c>
      <c r="Q43" s="423">
        <v>1</v>
      </c>
      <c r="R43" s="423">
        <v>1</v>
      </c>
      <c r="S43" s="424">
        <v>0.13</v>
      </c>
      <c r="U43" s="425">
        <v>578.9938381386972</v>
      </c>
    </row>
    <row r="44" spans="1:21" ht="12.75">
      <c r="A44" s="456">
        <f t="shared" si="1"/>
        <v>10</v>
      </c>
      <c r="B44" s="457" t="s">
        <v>170</v>
      </c>
      <c r="C44" s="457" t="s">
        <v>135</v>
      </c>
      <c r="D44" s="457">
        <v>2007</v>
      </c>
      <c r="E44" s="459" t="s">
        <v>136</v>
      </c>
      <c r="G44" s="456">
        <f t="shared" si="0"/>
        <v>7</v>
      </c>
      <c r="H44" s="459" t="s">
        <v>177</v>
      </c>
      <c r="J44" s="460">
        <v>0</v>
      </c>
      <c r="K44" s="461">
        <v>159.8</v>
      </c>
      <c r="L44" s="459">
        <v>10</v>
      </c>
      <c r="N44" s="462">
        <v>0.55</v>
      </c>
      <c r="O44" s="463">
        <v>1</v>
      </c>
      <c r="P44" s="463">
        <v>1</v>
      </c>
      <c r="Q44" s="463">
        <v>1</v>
      </c>
      <c r="R44" s="463">
        <v>1</v>
      </c>
      <c r="S44" s="464">
        <v>0.55</v>
      </c>
      <c r="U44" s="465">
        <v>57.92064188141041</v>
      </c>
    </row>
    <row r="45" spans="1:21" ht="12.75">
      <c r="A45" s="416">
        <f t="shared" si="1"/>
        <v>10</v>
      </c>
      <c r="B45" s="417" t="s">
        <v>170</v>
      </c>
      <c r="C45" s="417" t="s">
        <v>135</v>
      </c>
      <c r="D45" s="417">
        <v>2007</v>
      </c>
      <c r="E45" s="419" t="s">
        <v>136</v>
      </c>
      <c r="G45" s="416">
        <f t="shared" si="0"/>
        <v>8</v>
      </c>
      <c r="H45" s="419" t="s">
        <v>178</v>
      </c>
      <c r="J45" s="420">
        <v>0.0007</v>
      </c>
      <c r="K45" s="421">
        <v>23.7</v>
      </c>
      <c r="L45" s="419">
        <v>10</v>
      </c>
      <c r="N45" s="422">
        <v>0.55</v>
      </c>
      <c r="O45" s="423">
        <v>1</v>
      </c>
      <c r="P45" s="423">
        <v>1</v>
      </c>
      <c r="Q45" s="423">
        <v>1</v>
      </c>
      <c r="R45" s="423">
        <v>1</v>
      </c>
      <c r="S45" s="424">
        <v>0.55</v>
      </c>
      <c r="U45" s="425">
        <v>36.80302942982527</v>
      </c>
    </row>
    <row r="46" spans="1:21" ht="12.75">
      <c r="A46" s="456">
        <f t="shared" si="1"/>
        <v>10</v>
      </c>
      <c r="B46" s="457" t="s">
        <v>170</v>
      </c>
      <c r="C46" s="457" t="s">
        <v>135</v>
      </c>
      <c r="D46" s="457">
        <v>2007</v>
      </c>
      <c r="E46" s="459" t="s">
        <v>136</v>
      </c>
      <c r="G46" s="456">
        <f t="shared" si="0"/>
        <v>9</v>
      </c>
      <c r="H46" s="459" t="s">
        <v>179</v>
      </c>
      <c r="J46" s="460">
        <v>0.0056</v>
      </c>
      <c r="K46" s="461">
        <v>122.9</v>
      </c>
      <c r="L46" s="459">
        <v>16</v>
      </c>
      <c r="N46" s="462">
        <v>0.55</v>
      </c>
      <c r="O46" s="463">
        <v>1</v>
      </c>
      <c r="P46" s="463">
        <v>1</v>
      </c>
      <c r="Q46" s="463">
        <v>1</v>
      </c>
      <c r="R46" s="463">
        <v>1</v>
      </c>
      <c r="S46" s="464">
        <v>0.55</v>
      </c>
      <c r="U46" s="465">
        <v>17.517027261880216</v>
      </c>
    </row>
    <row r="47" spans="1:21" ht="12.75">
      <c r="A47" s="416">
        <f t="shared" si="1"/>
        <v>10</v>
      </c>
      <c r="B47" s="417" t="s">
        <v>170</v>
      </c>
      <c r="C47" s="417" t="s">
        <v>135</v>
      </c>
      <c r="D47" s="417">
        <v>2007</v>
      </c>
      <c r="E47" s="419" t="s">
        <v>136</v>
      </c>
      <c r="G47" s="416">
        <f t="shared" si="0"/>
        <v>10</v>
      </c>
      <c r="H47" s="419" t="s">
        <v>180</v>
      </c>
      <c r="J47" s="420">
        <v>0</v>
      </c>
      <c r="K47" s="421">
        <v>13.7</v>
      </c>
      <c r="L47" s="419">
        <v>5</v>
      </c>
      <c r="N47" s="422">
        <v>0.49</v>
      </c>
      <c r="O47" s="423">
        <v>1</v>
      </c>
      <c r="P47" s="423">
        <v>1</v>
      </c>
      <c r="Q47" s="423">
        <v>1</v>
      </c>
      <c r="R47" s="423">
        <v>1</v>
      </c>
      <c r="S47" s="424">
        <v>0.49</v>
      </c>
      <c r="U47" s="425">
        <v>1194.813482208156</v>
      </c>
    </row>
    <row r="48" spans="1:21" ht="12.75">
      <c r="A48" s="456">
        <f t="shared" si="1"/>
        <v>10</v>
      </c>
      <c r="B48" s="457" t="s">
        <v>170</v>
      </c>
      <c r="C48" s="457" t="s">
        <v>135</v>
      </c>
      <c r="D48" s="457">
        <v>2007</v>
      </c>
      <c r="E48" s="459" t="s">
        <v>136</v>
      </c>
      <c r="G48" s="456">
        <f t="shared" si="0"/>
        <v>11</v>
      </c>
      <c r="H48" s="459" t="s">
        <v>181</v>
      </c>
      <c r="J48" s="460">
        <v>0.0012</v>
      </c>
      <c r="K48" s="461">
        <v>37.2</v>
      </c>
      <c r="L48" s="459">
        <v>18</v>
      </c>
      <c r="N48" s="462">
        <v>0.77</v>
      </c>
      <c r="O48" s="463">
        <v>1</v>
      </c>
      <c r="P48" s="463">
        <v>1</v>
      </c>
      <c r="Q48" s="463">
        <v>1</v>
      </c>
      <c r="R48" s="463">
        <v>1</v>
      </c>
      <c r="S48" s="464">
        <v>0.77</v>
      </c>
      <c r="U48" s="465">
        <v>34.331779078219675</v>
      </c>
    </row>
    <row r="49" spans="1:21" ht="12.75">
      <c r="A49" s="416">
        <f t="shared" si="1"/>
        <v>10</v>
      </c>
      <c r="B49" s="417" t="s">
        <v>170</v>
      </c>
      <c r="C49" s="417" t="s">
        <v>135</v>
      </c>
      <c r="D49" s="417">
        <v>2007</v>
      </c>
      <c r="E49" s="419" t="s">
        <v>136</v>
      </c>
      <c r="G49" s="416">
        <f t="shared" si="0"/>
        <v>12</v>
      </c>
      <c r="H49" s="419" t="s">
        <v>165</v>
      </c>
      <c r="J49" s="420">
        <v>0</v>
      </c>
      <c r="K49" s="421">
        <v>75.1</v>
      </c>
      <c r="L49" s="419">
        <v>15</v>
      </c>
      <c r="N49" s="422">
        <v>0.55</v>
      </c>
      <c r="O49" s="423">
        <v>1</v>
      </c>
      <c r="P49" s="423">
        <v>1</v>
      </c>
      <c r="Q49" s="423">
        <v>1</v>
      </c>
      <c r="R49" s="423">
        <v>1</v>
      </c>
      <c r="S49" s="424">
        <v>0.55</v>
      </c>
      <c r="U49" s="425">
        <v>35.36621182908377</v>
      </c>
    </row>
    <row r="50" spans="1:21" ht="12.75">
      <c r="A50" s="456">
        <f t="shared" si="1"/>
        <v>10</v>
      </c>
      <c r="B50" s="457" t="s">
        <v>170</v>
      </c>
      <c r="C50" s="457" t="s">
        <v>135</v>
      </c>
      <c r="D50" s="457">
        <v>2007</v>
      </c>
      <c r="E50" s="459" t="s">
        <v>136</v>
      </c>
      <c r="G50" s="456">
        <f t="shared" si="0"/>
        <v>13</v>
      </c>
      <c r="H50" s="459" t="s">
        <v>182</v>
      </c>
      <c r="J50" s="460">
        <v>0.0063</v>
      </c>
      <c r="K50" s="461">
        <v>72.4</v>
      </c>
      <c r="L50" s="459">
        <v>10</v>
      </c>
      <c r="N50" s="462">
        <v>0.77</v>
      </c>
      <c r="O50" s="463">
        <v>1</v>
      </c>
      <c r="P50" s="463">
        <v>1</v>
      </c>
      <c r="Q50" s="463">
        <v>1</v>
      </c>
      <c r="R50" s="463">
        <v>1</v>
      </c>
      <c r="S50" s="464">
        <v>0.77</v>
      </c>
      <c r="U50" s="465">
        <v>16.023268408797573</v>
      </c>
    </row>
    <row r="51" spans="1:21" ht="12.75">
      <c r="A51" s="473">
        <f t="shared" si="1"/>
        <v>10</v>
      </c>
      <c r="B51" s="474" t="s">
        <v>170</v>
      </c>
      <c r="C51" s="474" t="s">
        <v>135</v>
      </c>
      <c r="D51" s="474">
        <v>2007</v>
      </c>
      <c r="E51" s="475" t="s">
        <v>136</v>
      </c>
      <c r="G51" s="473">
        <f t="shared" si="0"/>
        <v>14</v>
      </c>
      <c r="H51" s="475" t="s">
        <v>183</v>
      </c>
      <c r="J51" s="476">
        <v>0.0185</v>
      </c>
      <c r="K51" s="477">
        <v>72.2</v>
      </c>
      <c r="L51" s="475">
        <v>10</v>
      </c>
      <c r="N51" s="478">
        <v>0.55</v>
      </c>
      <c r="O51" s="479">
        <v>1</v>
      </c>
      <c r="P51" s="479">
        <v>1</v>
      </c>
      <c r="Q51" s="479">
        <v>1</v>
      </c>
      <c r="R51" s="479">
        <v>1</v>
      </c>
      <c r="S51" s="480">
        <v>0.55</v>
      </c>
      <c r="U51" s="481">
        <v>185.5183962109325</v>
      </c>
    </row>
    <row r="52" spans="1:21" ht="12.75">
      <c r="A52" s="456">
        <f>A38+1</f>
        <v>11</v>
      </c>
      <c r="B52" s="457" t="s">
        <v>184</v>
      </c>
      <c r="C52" s="457" t="s">
        <v>185</v>
      </c>
      <c r="D52" s="457">
        <v>2007</v>
      </c>
      <c r="E52" s="459" t="s">
        <v>136</v>
      </c>
      <c r="F52" s="378"/>
      <c r="G52" s="456">
        <v>1</v>
      </c>
      <c r="H52" s="459" t="s">
        <v>186</v>
      </c>
      <c r="I52" s="378"/>
      <c r="J52" s="460">
        <v>0.63</v>
      </c>
      <c r="K52" s="461">
        <v>0</v>
      </c>
      <c r="L52" s="459">
        <v>12</v>
      </c>
      <c r="M52" s="378"/>
      <c r="N52" s="462">
        <v>0.9</v>
      </c>
      <c r="O52" s="463">
        <v>1</v>
      </c>
      <c r="P52" s="463">
        <v>1</v>
      </c>
      <c r="Q52" s="463">
        <v>1</v>
      </c>
      <c r="R52" s="463">
        <v>1</v>
      </c>
      <c r="S52" s="464">
        <v>0.9</v>
      </c>
      <c r="T52" s="378"/>
      <c r="U52" s="465">
        <v>0</v>
      </c>
    </row>
    <row r="53" spans="1:21" ht="12.75">
      <c r="A53" s="416">
        <f>A52</f>
        <v>11</v>
      </c>
      <c r="B53" s="417" t="s">
        <v>184</v>
      </c>
      <c r="C53" s="417" t="s">
        <v>185</v>
      </c>
      <c r="D53" s="417">
        <v>2007</v>
      </c>
      <c r="E53" s="419" t="s">
        <v>136</v>
      </c>
      <c r="G53" s="416">
        <f t="shared" si="0"/>
        <v>2</v>
      </c>
      <c r="H53" s="419" t="s">
        <v>187</v>
      </c>
      <c r="J53" s="420">
        <v>0.63</v>
      </c>
      <c r="K53" s="421">
        <v>0</v>
      </c>
      <c r="L53" s="419">
        <v>12</v>
      </c>
      <c r="N53" s="422">
        <v>0.9</v>
      </c>
      <c r="O53" s="423">
        <v>1</v>
      </c>
      <c r="P53" s="423">
        <v>1</v>
      </c>
      <c r="Q53" s="423">
        <v>1</v>
      </c>
      <c r="R53" s="423">
        <v>1</v>
      </c>
      <c r="S53" s="424">
        <v>0.9</v>
      </c>
      <c r="U53" s="425">
        <v>0</v>
      </c>
    </row>
    <row r="54" spans="1:21" ht="12.75">
      <c r="A54" s="456">
        <f>A53</f>
        <v>11</v>
      </c>
      <c r="B54" s="457" t="s">
        <v>184</v>
      </c>
      <c r="C54" s="457" t="s">
        <v>185</v>
      </c>
      <c r="D54" s="457">
        <v>2007</v>
      </c>
      <c r="E54" s="459" t="s">
        <v>136</v>
      </c>
      <c r="G54" s="456">
        <f t="shared" si="0"/>
        <v>3</v>
      </c>
      <c r="H54" s="459" t="s">
        <v>188</v>
      </c>
      <c r="J54" s="460">
        <v>0.3</v>
      </c>
      <c r="K54" s="461">
        <v>0</v>
      </c>
      <c r="L54" s="459">
        <v>12</v>
      </c>
      <c r="N54" s="462">
        <v>0.9</v>
      </c>
      <c r="O54" s="463">
        <v>1</v>
      </c>
      <c r="P54" s="463">
        <v>1</v>
      </c>
      <c r="Q54" s="463">
        <v>1</v>
      </c>
      <c r="R54" s="463">
        <v>1</v>
      </c>
      <c r="S54" s="464">
        <v>0.9</v>
      </c>
      <c r="U54" s="465">
        <v>0</v>
      </c>
    </row>
    <row r="55" spans="1:21" ht="12.75">
      <c r="A55" s="416">
        <f>A54</f>
        <v>11</v>
      </c>
      <c r="B55" s="417" t="s">
        <v>184</v>
      </c>
      <c r="C55" s="417" t="s">
        <v>185</v>
      </c>
      <c r="D55" s="417">
        <v>2007</v>
      </c>
      <c r="E55" s="419" t="s">
        <v>136</v>
      </c>
      <c r="G55" s="416">
        <f t="shared" si="0"/>
        <v>4</v>
      </c>
      <c r="H55" s="419" t="s">
        <v>189</v>
      </c>
      <c r="J55" s="420">
        <v>4</v>
      </c>
      <c r="K55" s="421">
        <v>0</v>
      </c>
      <c r="L55" s="419">
        <v>12</v>
      </c>
      <c r="N55" s="422">
        <v>0.9</v>
      </c>
      <c r="O55" s="423">
        <v>1</v>
      </c>
      <c r="P55" s="423">
        <v>1</v>
      </c>
      <c r="Q55" s="423">
        <v>1</v>
      </c>
      <c r="R55" s="423">
        <v>1</v>
      </c>
      <c r="S55" s="424">
        <v>0.9</v>
      </c>
      <c r="U55" s="425">
        <v>0</v>
      </c>
    </row>
    <row r="56" spans="1:21" ht="12.75">
      <c r="A56" s="456">
        <f>A55</f>
        <v>11</v>
      </c>
      <c r="B56" s="457" t="s">
        <v>184</v>
      </c>
      <c r="C56" s="457" t="s">
        <v>185</v>
      </c>
      <c r="D56" s="457">
        <v>2007</v>
      </c>
      <c r="E56" s="459" t="s">
        <v>136</v>
      </c>
      <c r="G56" s="456">
        <f t="shared" si="0"/>
        <v>5</v>
      </c>
      <c r="H56" s="459" t="s">
        <v>190</v>
      </c>
      <c r="J56" s="460">
        <v>4</v>
      </c>
      <c r="K56" s="461">
        <v>0</v>
      </c>
      <c r="L56" s="459">
        <v>12</v>
      </c>
      <c r="N56" s="462">
        <v>0.9</v>
      </c>
      <c r="O56" s="463">
        <v>1</v>
      </c>
      <c r="P56" s="463">
        <v>1</v>
      </c>
      <c r="Q56" s="463">
        <v>1</v>
      </c>
      <c r="R56" s="463">
        <v>1</v>
      </c>
      <c r="S56" s="464">
        <v>0.9</v>
      </c>
      <c r="U56" s="465">
        <v>0</v>
      </c>
    </row>
    <row r="57" spans="1:21" ht="12.75">
      <c r="A57" s="473">
        <f>A56</f>
        <v>11</v>
      </c>
      <c r="B57" s="474" t="s">
        <v>184</v>
      </c>
      <c r="C57" s="474" t="s">
        <v>185</v>
      </c>
      <c r="D57" s="474">
        <v>2007</v>
      </c>
      <c r="E57" s="475" t="s">
        <v>136</v>
      </c>
      <c r="G57" s="473">
        <f t="shared" si="0"/>
        <v>6</v>
      </c>
      <c r="H57" s="475" t="s">
        <v>191</v>
      </c>
      <c r="J57" s="476">
        <v>0.3</v>
      </c>
      <c r="K57" s="477">
        <v>0</v>
      </c>
      <c r="L57" s="475">
        <v>12</v>
      </c>
      <c r="N57" s="478">
        <v>0.9</v>
      </c>
      <c r="O57" s="479">
        <v>1</v>
      </c>
      <c r="P57" s="479">
        <v>1</v>
      </c>
      <c r="Q57" s="479">
        <v>1</v>
      </c>
      <c r="R57" s="479">
        <v>1</v>
      </c>
      <c r="S57" s="480">
        <v>0.9</v>
      </c>
      <c r="U57" s="481">
        <v>0</v>
      </c>
    </row>
    <row r="58" spans="1:21" ht="12.75">
      <c r="A58" s="446">
        <f>A52+1</f>
        <v>12</v>
      </c>
      <c r="B58" s="447" t="s">
        <v>192</v>
      </c>
      <c r="C58" s="447" t="s">
        <v>135</v>
      </c>
      <c r="D58" s="447">
        <v>2007</v>
      </c>
      <c r="E58" s="449" t="s">
        <v>136</v>
      </c>
      <c r="G58" s="446">
        <v>1</v>
      </c>
      <c r="H58" s="449" t="s">
        <v>193</v>
      </c>
      <c r="J58" s="450">
        <v>0.4370430714687794</v>
      </c>
      <c r="K58" s="451">
        <v>786.6775286438029</v>
      </c>
      <c r="L58" s="449">
        <v>2</v>
      </c>
      <c r="N58" s="452">
        <v>0.12</v>
      </c>
      <c r="O58" s="453">
        <v>1</v>
      </c>
      <c r="P58" s="453">
        <v>1</v>
      </c>
      <c r="Q58" s="453">
        <v>1</v>
      </c>
      <c r="R58" s="453">
        <v>1</v>
      </c>
      <c r="S58" s="454">
        <v>0.12</v>
      </c>
      <c r="U58" s="455">
        <v>4274.707639074307</v>
      </c>
    </row>
    <row r="59" spans="1:21" ht="12.75">
      <c r="A59" s="416">
        <f>A58+1</f>
        <v>13</v>
      </c>
      <c r="B59" s="417" t="s">
        <v>194</v>
      </c>
      <c r="C59" s="417" t="s">
        <v>135</v>
      </c>
      <c r="D59" s="417">
        <v>2007</v>
      </c>
      <c r="E59" s="419" t="s">
        <v>136</v>
      </c>
      <c r="G59" s="416">
        <v>1</v>
      </c>
      <c r="H59" s="419" t="s">
        <v>195</v>
      </c>
      <c r="J59" s="420">
        <v>0.013</v>
      </c>
      <c r="K59" s="421">
        <v>30.16</v>
      </c>
      <c r="L59" s="419">
        <v>14</v>
      </c>
      <c r="N59" s="422">
        <v>1</v>
      </c>
      <c r="O59" s="423">
        <v>1</v>
      </c>
      <c r="P59" s="423">
        <v>1</v>
      </c>
      <c r="Q59" s="423">
        <v>1</v>
      </c>
      <c r="R59" s="423">
        <v>1</v>
      </c>
      <c r="S59" s="424">
        <v>1</v>
      </c>
      <c r="U59" s="425">
        <v>0</v>
      </c>
    </row>
    <row r="60" spans="1:21" ht="12.75">
      <c r="A60" s="456">
        <f aca="true" t="shared" si="2" ref="A60:A88">A59</f>
        <v>13</v>
      </c>
      <c r="B60" s="457" t="s">
        <v>194</v>
      </c>
      <c r="C60" s="457" t="s">
        <v>135</v>
      </c>
      <c r="D60" s="457">
        <v>2007</v>
      </c>
      <c r="E60" s="459" t="s">
        <v>136</v>
      </c>
      <c r="G60" s="456">
        <f t="shared" si="0"/>
        <v>2</v>
      </c>
      <c r="H60" s="459" t="s">
        <v>196</v>
      </c>
      <c r="J60" s="460">
        <v>0.02</v>
      </c>
      <c r="K60" s="461">
        <v>46.4</v>
      </c>
      <c r="L60" s="459">
        <v>14</v>
      </c>
      <c r="N60" s="462">
        <v>1</v>
      </c>
      <c r="O60" s="463">
        <v>1</v>
      </c>
      <c r="P60" s="463">
        <v>1</v>
      </c>
      <c r="Q60" s="463">
        <v>1</v>
      </c>
      <c r="R60" s="463">
        <v>1</v>
      </c>
      <c r="S60" s="464">
        <v>1</v>
      </c>
      <c r="U60" s="465">
        <v>0</v>
      </c>
    </row>
    <row r="61" spans="1:21" ht="12.75">
      <c r="A61" s="416">
        <f t="shared" si="2"/>
        <v>13</v>
      </c>
      <c r="B61" s="417" t="s">
        <v>194</v>
      </c>
      <c r="C61" s="417" t="s">
        <v>135</v>
      </c>
      <c r="D61" s="417">
        <v>2007</v>
      </c>
      <c r="E61" s="419" t="s">
        <v>136</v>
      </c>
      <c r="G61" s="416">
        <f t="shared" si="0"/>
        <v>3</v>
      </c>
      <c r="H61" s="419" t="s">
        <v>197</v>
      </c>
      <c r="J61" s="420">
        <v>6.078690000000001</v>
      </c>
      <c r="K61" s="421">
        <v>4437</v>
      </c>
      <c r="L61" s="419">
        <v>14</v>
      </c>
      <c r="N61" s="422">
        <v>1</v>
      </c>
      <c r="O61" s="423">
        <v>1</v>
      </c>
      <c r="P61" s="423">
        <v>1</v>
      </c>
      <c r="Q61" s="423">
        <v>1</v>
      </c>
      <c r="R61" s="423">
        <v>1</v>
      </c>
      <c r="S61" s="424">
        <v>1</v>
      </c>
      <c r="U61" s="425">
        <v>0</v>
      </c>
    </row>
    <row r="62" spans="1:21" ht="12.75">
      <c r="A62" s="456">
        <f t="shared" si="2"/>
        <v>13</v>
      </c>
      <c r="B62" s="457" t="s">
        <v>194</v>
      </c>
      <c r="C62" s="457" t="s">
        <v>135</v>
      </c>
      <c r="D62" s="457">
        <v>2007</v>
      </c>
      <c r="E62" s="459" t="s">
        <v>136</v>
      </c>
      <c r="G62" s="456">
        <f t="shared" si="0"/>
        <v>4</v>
      </c>
      <c r="H62" s="459" t="s">
        <v>198</v>
      </c>
      <c r="J62" s="460">
        <v>0</v>
      </c>
      <c r="K62" s="461">
        <v>18565</v>
      </c>
      <c r="L62" s="459">
        <v>14</v>
      </c>
      <c r="N62" s="462">
        <v>1</v>
      </c>
      <c r="O62" s="463">
        <v>1</v>
      </c>
      <c r="P62" s="463">
        <v>1</v>
      </c>
      <c r="Q62" s="463">
        <v>1</v>
      </c>
      <c r="R62" s="463">
        <v>1</v>
      </c>
      <c r="S62" s="464">
        <v>1</v>
      </c>
      <c r="U62" s="465">
        <v>0</v>
      </c>
    </row>
    <row r="63" spans="1:21" ht="12.75">
      <c r="A63" s="416">
        <f t="shared" si="2"/>
        <v>13</v>
      </c>
      <c r="B63" s="417" t="s">
        <v>194</v>
      </c>
      <c r="C63" s="417" t="s">
        <v>135</v>
      </c>
      <c r="D63" s="417">
        <v>2007</v>
      </c>
      <c r="E63" s="419" t="s">
        <v>136</v>
      </c>
      <c r="G63" s="416">
        <f t="shared" si="0"/>
        <v>5</v>
      </c>
      <c r="H63" s="419" t="s">
        <v>199</v>
      </c>
      <c r="J63" s="420">
        <v>0.01122</v>
      </c>
      <c r="K63" s="421">
        <v>17</v>
      </c>
      <c r="L63" s="419">
        <v>14</v>
      </c>
      <c r="N63" s="422">
        <v>1</v>
      </c>
      <c r="O63" s="423">
        <v>1</v>
      </c>
      <c r="P63" s="423">
        <v>1</v>
      </c>
      <c r="Q63" s="423">
        <v>1</v>
      </c>
      <c r="R63" s="423">
        <v>1</v>
      </c>
      <c r="S63" s="424">
        <v>1</v>
      </c>
      <c r="U63" s="425">
        <v>0</v>
      </c>
    </row>
    <row r="64" spans="1:21" ht="12.75">
      <c r="A64" s="456">
        <f t="shared" si="2"/>
        <v>13</v>
      </c>
      <c r="B64" s="457" t="s">
        <v>194</v>
      </c>
      <c r="C64" s="457" t="s">
        <v>135</v>
      </c>
      <c r="D64" s="457">
        <v>2007</v>
      </c>
      <c r="E64" s="459" t="s">
        <v>136</v>
      </c>
      <c r="G64" s="456">
        <f t="shared" si="0"/>
        <v>6</v>
      </c>
      <c r="H64" s="459" t="s">
        <v>200</v>
      </c>
      <c r="J64" s="460">
        <v>0.00462</v>
      </c>
      <c r="K64" s="461">
        <v>7</v>
      </c>
      <c r="L64" s="459">
        <v>14</v>
      </c>
      <c r="N64" s="462">
        <v>1</v>
      </c>
      <c r="O64" s="463">
        <v>1</v>
      </c>
      <c r="P64" s="463">
        <v>1</v>
      </c>
      <c r="Q64" s="463">
        <v>1</v>
      </c>
      <c r="R64" s="463">
        <v>1</v>
      </c>
      <c r="S64" s="464">
        <v>1</v>
      </c>
      <c r="U64" s="465">
        <v>0</v>
      </c>
    </row>
    <row r="65" spans="1:21" ht="12.75">
      <c r="A65" s="416">
        <f t="shared" si="2"/>
        <v>13</v>
      </c>
      <c r="B65" s="417" t="s">
        <v>194</v>
      </c>
      <c r="C65" s="417" t="s">
        <v>135</v>
      </c>
      <c r="D65" s="417">
        <v>2007</v>
      </c>
      <c r="E65" s="419" t="s">
        <v>136</v>
      </c>
      <c r="G65" s="416">
        <f t="shared" si="0"/>
        <v>7</v>
      </c>
      <c r="H65" s="419" t="s">
        <v>201</v>
      </c>
      <c r="J65" s="420">
        <v>0.00462</v>
      </c>
      <c r="K65" s="421">
        <v>7</v>
      </c>
      <c r="L65" s="419">
        <v>14</v>
      </c>
      <c r="N65" s="422">
        <v>1</v>
      </c>
      <c r="O65" s="423">
        <v>1</v>
      </c>
      <c r="P65" s="423">
        <v>1</v>
      </c>
      <c r="Q65" s="423">
        <v>1</v>
      </c>
      <c r="R65" s="423">
        <v>1</v>
      </c>
      <c r="S65" s="424">
        <v>1</v>
      </c>
      <c r="U65" s="425">
        <v>0</v>
      </c>
    </row>
    <row r="66" spans="1:21" ht="12.75">
      <c r="A66" s="456">
        <f t="shared" si="2"/>
        <v>13</v>
      </c>
      <c r="B66" s="457" t="s">
        <v>194</v>
      </c>
      <c r="C66" s="457" t="s">
        <v>135</v>
      </c>
      <c r="D66" s="457">
        <v>2007</v>
      </c>
      <c r="E66" s="459" t="s">
        <v>136</v>
      </c>
      <c r="G66" s="456">
        <f t="shared" si="0"/>
        <v>8</v>
      </c>
      <c r="H66" s="459" t="s">
        <v>202</v>
      </c>
      <c r="J66" s="460">
        <v>1.07331</v>
      </c>
      <c r="K66" s="461">
        <v>807</v>
      </c>
      <c r="L66" s="459">
        <v>14</v>
      </c>
      <c r="N66" s="462">
        <v>1</v>
      </c>
      <c r="O66" s="463">
        <v>1</v>
      </c>
      <c r="P66" s="463">
        <v>1</v>
      </c>
      <c r="Q66" s="463">
        <v>1</v>
      </c>
      <c r="R66" s="463">
        <v>1</v>
      </c>
      <c r="S66" s="464">
        <v>1</v>
      </c>
      <c r="U66" s="465">
        <v>0</v>
      </c>
    </row>
    <row r="67" spans="1:21" ht="12.75">
      <c r="A67" s="416">
        <f t="shared" si="2"/>
        <v>13</v>
      </c>
      <c r="B67" s="417" t="s">
        <v>194</v>
      </c>
      <c r="C67" s="417" t="s">
        <v>135</v>
      </c>
      <c r="D67" s="417">
        <v>2007</v>
      </c>
      <c r="E67" s="419" t="s">
        <v>136</v>
      </c>
      <c r="G67" s="416">
        <f t="shared" si="0"/>
        <v>9</v>
      </c>
      <c r="H67" s="419" t="s">
        <v>203</v>
      </c>
      <c r="J67" s="420">
        <v>1.93648</v>
      </c>
      <c r="K67" s="421">
        <v>1456</v>
      </c>
      <c r="L67" s="419">
        <v>14</v>
      </c>
      <c r="N67" s="422">
        <v>1</v>
      </c>
      <c r="O67" s="423">
        <v>1</v>
      </c>
      <c r="P67" s="423">
        <v>1</v>
      </c>
      <c r="Q67" s="423">
        <v>1</v>
      </c>
      <c r="R67" s="423">
        <v>1</v>
      </c>
      <c r="S67" s="424">
        <v>1</v>
      </c>
      <c r="U67" s="425">
        <v>0</v>
      </c>
    </row>
    <row r="68" spans="1:21" ht="12.75">
      <c r="A68" s="482">
        <f t="shared" si="2"/>
        <v>13</v>
      </c>
      <c r="B68" s="483" t="s">
        <v>194</v>
      </c>
      <c r="C68" s="483" t="s">
        <v>135</v>
      </c>
      <c r="D68" s="483">
        <v>2007</v>
      </c>
      <c r="E68" s="484" t="s">
        <v>136</v>
      </c>
      <c r="G68" s="482">
        <f t="shared" si="0"/>
        <v>10</v>
      </c>
      <c r="H68" s="484" t="s">
        <v>204</v>
      </c>
      <c r="J68" s="485">
        <v>0.005399999999999999</v>
      </c>
      <c r="K68" s="486">
        <v>180</v>
      </c>
      <c r="L68" s="484">
        <v>14</v>
      </c>
      <c r="N68" s="487">
        <v>1</v>
      </c>
      <c r="O68" s="488">
        <v>1</v>
      </c>
      <c r="P68" s="488">
        <v>1</v>
      </c>
      <c r="Q68" s="488">
        <v>1</v>
      </c>
      <c r="R68" s="488">
        <v>1</v>
      </c>
      <c r="S68" s="489">
        <v>1</v>
      </c>
      <c r="U68" s="490">
        <v>0</v>
      </c>
    </row>
    <row r="69" spans="1:21" ht="12.75">
      <c r="A69" s="416">
        <f t="shared" si="2"/>
        <v>13</v>
      </c>
      <c r="B69" s="417" t="s">
        <v>194</v>
      </c>
      <c r="C69" s="417" t="s">
        <v>135</v>
      </c>
      <c r="D69" s="417">
        <v>2007</v>
      </c>
      <c r="E69" s="419" t="s">
        <v>136</v>
      </c>
      <c r="G69" s="416">
        <f t="shared" si="0"/>
        <v>11</v>
      </c>
      <c r="H69" s="419" t="s">
        <v>205</v>
      </c>
      <c r="J69" s="420">
        <v>0.009</v>
      </c>
      <c r="K69" s="421">
        <v>300</v>
      </c>
      <c r="L69" s="419">
        <v>14</v>
      </c>
      <c r="N69" s="422">
        <v>1</v>
      </c>
      <c r="O69" s="423">
        <v>1</v>
      </c>
      <c r="P69" s="423">
        <v>1</v>
      </c>
      <c r="Q69" s="423">
        <v>1</v>
      </c>
      <c r="R69" s="423">
        <v>1</v>
      </c>
      <c r="S69" s="424">
        <v>1</v>
      </c>
      <c r="U69" s="425">
        <v>0</v>
      </c>
    </row>
    <row r="70" spans="1:21" ht="12.75">
      <c r="A70" s="456">
        <f t="shared" si="2"/>
        <v>13</v>
      </c>
      <c r="B70" s="457" t="s">
        <v>194</v>
      </c>
      <c r="C70" s="457" t="s">
        <v>135</v>
      </c>
      <c r="D70" s="457">
        <v>2007</v>
      </c>
      <c r="E70" s="459" t="s">
        <v>136</v>
      </c>
      <c r="G70" s="456">
        <f t="shared" si="0"/>
        <v>12</v>
      </c>
      <c r="H70" s="459" t="s">
        <v>178</v>
      </c>
      <c r="J70" s="460">
        <v>0.004</v>
      </c>
      <c r="K70" s="461">
        <v>139</v>
      </c>
      <c r="L70" s="459">
        <v>14</v>
      </c>
      <c r="N70" s="462">
        <v>1</v>
      </c>
      <c r="O70" s="463">
        <v>1</v>
      </c>
      <c r="P70" s="463">
        <v>1</v>
      </c>
      <c r="Q70" s="463">
        <v>1</v>
      </c>
      <c r="R70" s="463">
        <v>1</v>
      </c>
      <c r="S70" s="464">
        <v>1</v>
      </c>
      <c r="U70" s="465">
        <v>0</v>
      </c>
    </row>
    <row r="71" spans="1:21" ht="12.75">
      <c r="A71" s="416">
        <f t="shared" si="2"/>
        <v>13</v>
      </c>
      <c r="B71" s="417" t="s">
        <v>194</v>
      </c>
      <c r="C71" s="417" t="s">
        <v>135</v>
      </c>
      <c r="D71" s="417">
        <v>2007</v>
      </c>
      <c r="E71" s="419" t="s">
        <v>136</v>
      </c>
      <c r="G71" s="416">
        <f t="shared" si="0"/>
        <v>13</v>
      </c>
      <c r="H71" s="419" t="s">
        <v>206</v>
      </c>
      <c r="J71" s="420">
        <v>0.028700000000000003</v>
      </c>
      <c r="K71" s="421">
        <v>287</v>
      </c>
      <c r="L71" s="419">
        <v>14</v>
      </c>
      <c r="N71" s="422">
        <v>1</v>
      </c>
      <c r="O71" s="423">
        <v>1</v>
      </c>
      <c r="P71" s="423">
        <v>1</v>
      </c>
      <c r="Q71" s="423">
        <v>1</v>
      </c>
      <c r="R71" s="423">
        <v>1</v>
      </c>
      <c r="S71" s="424">
        <v>1</v>
      </c>
      <c r="U71" s="425">
        <v>0</v>
      </c>
    </row>
    <row r="72" spans="1:21" ht="12.75">
      <c r="A72" s="456">
        <f t="shared" si="2"/>
        <v>13</v>
      </c>
      <c r="B72" s="457" t="s">
        <v>194</v>
      </c>
      <c r="C72" s="457" t="s">
        <v>135</v>
      </c>
      <c r="D72" s="457">
        <v>2007</v>
      </c>
      <c r="E72" s="459" t="s">
        <v>136</v>
      </c>
      <c r="G72" s="456">
        <f t="shared" si="0"/>
        <v>14</v>
      </c>
      <c r="H72" s="459" t="s">
        <v>207</v>
      </c>
      <c r="J72" s="460">
        <v>0.00952</v>
      </c>
      <c r="K72" s="461">
        <v>136</v>
      </c>
      <c r="L72" s="459">
        <v>14</v>
      </c>
      <c r="N72" s="462">
        <v>1</v>
      </c>
      <c r="O72" s="463">
        <v>1</v>
      </c>
      <c r="P72" s="463">
        <v>1</v>
      </c>
      <c r="Q72" s="463">
        <v>1</v>
      </c>
      <c r="R72" s="463">
        <v>1</v>
      </c>
      <c r="S72" s="464">
        <v>1</v>
      </c>
      <c r="U72" s="465">
        <v>0</v>
      </c>
    </row>
    <row r="73" spans="1:21" ht="12.75">
      <c r="A73" s="416">
        <f t="shared" si="2"/>
        <v>13</v>
      </c>
      <c r="B73" s="417" t="s">
        <v>194</v>
      </c>
      <c r="C73" s="417" t="s">
        <v>135</v>
      </c>
      <c r="D73" s="417">
        <v>2007</v>
      </c>
      <c r="E73" s="419" t="s">
        <v>136</v>
      </c>
      <c r="G73" s="416">
        <f t="shared" si="0"/>
        <v>15</v>
      </c>
      <c r="H73" s="419" t="s">
        <v>208</v>
      </c>
      <c r="J73" s="420">
        <v>0.006900000000000001</v>
      </c>
      <c r="K73" s="421">
        <v>69</v>
      </c>
      <c r="L73" s="419">
        <v>14</v>
      </c>
      <c r="N73" s="422">
        <v>1</v>
      </c>
      <c r="O73" s="423">
        <v>1</v>
      </c>
      <c r="P73" s="423">
        <v>1</v>
      </c>
      <c r="Q73" s="423">
        <v>1</v>
      </c>
      <c r="R73" s="423">
        <v>1</v>
      </c>
      <c r="S73" s="424">
        <v>1</v>
      </c>
      <c r="U73" s="425">
        <v>0</v>
      </c>
    </row>
    <row r="74" spans="1:21" ht="12.75">
      <c r="A74" s="456">
        <f t="shared" si="2"/>
        <v>13</v>
      </c>
      <c r="B74" s="457" t="s">
        <v>194</v>
      </c>
      <c r="C74" s="457" t="s">
        <v>135</v>
      </c>
      <c r="D74" s="457">
        <v>2007</v>
      </c>
      <c r="E74" s="459" t="s">
        <v>136</v>
      </c>
      <c r="G74" s="456">
        <f t="shared" si="0"/>
        <v>16</v>
      </c>
      <c r="H74" s="459" t="s">
        <v>209</v>
      </c>
      <c r="J74" s="460">
        <v>0.013000000000000001</v>
      </c>
      <c r="K74" s="461">
        <v>128</v>
      </c>
      <c r="L74" s="459">
        <v>14</v>
      </c>
      <c r="N74" s="462">
        <v>1</v>
      </c>
      <c r="O74" s="463">
        <v>1</v>
      </c>
      <c r="P74" s="463">
        <v>1</v>
      </c>
      <c r="Q74" s="463">
        <v>1</v>
      </c>
      <c r="R74" s="463">
        <v>1</v>
      </c>
      <c r="S74" s="464">
        <v>1</v>
      </c>
      <c r="U74" s="465">
        <v>0</v>
      </c>
    </row>
    <row r="75" spans="1:21" ht="12.75">
      <c r="A75" s="416">
        <f t="shared" si="2"/>
        <v>13</v>
      </c>
      <c r="B75" s="417" t="s">
        <v>194</v>
      </c>
      <c r="C75" s="417" t="s">
        <v>135</v>
      </c>
      <c r="D75" s="417">
        <v>2007</v>
      </c>
      <c r="E75" s="419" t="s">
        <v>136</v>
      </c>
      <c r="G75" s="416">
        <f t="shared" si="0"/>
        <v>17</v>
      </c>
      <c r="H75" s="419" t="s">
        <v>210</v>
      </c>
      <c r="J75" s="420">
        <v>0.11080000000000001</v>
      </c>
      <c r="K75" s="421">
        <v>1108</v>
      </c>
      <c r="L75" s="419">
        <v>14</v>
      </c>
      <c r="N75" s="422">
        <v>1</v>
      </c>
      <c r="O75" s="423">
        <v>1</v>
      </c>
      <c r="P75" s="423">
        <v>1</v>
      </c>
      <c r="Q75" s="423">
        <v>1</v>
      </c>
      <c r="R75" s="423">
        <v>1</v>
      </c>
      <c r="S75" s="424">
        <v>1</v>
      </c>
      <c r="U75" s="425">
        <v>0</v>
      </c>
    </row>
    <row r="76" spans="1:21" ht="12.75">
      <c r="A76" s="456">
        <f t="shared" si="2"/>
        <v>13</v>
      </c>
      <c r="B76" s="457" t="s">
        <v>194</v>
      </c>
      <c r="C76" s="457" t="s">
        <v>135</v>
      </c>
      <c r="D76" s="457">
        <v>2007</v>
      </c>
      <c r="E76" s="459" t="s">
        <v>136</v>
      </c>
      <c r="G76" s="456">
        <f t="shared" si="0"/>
        <v>18</v>
      </c>
      <c r="H76" s="459" t="s">
        <v>211</v>
      </c>
      <c r="J76" s="460">
        <v>0.0165</v>
      </c>
      <c r="K76" s="461">
        <v>25</v>
      </c>
      <c r="L76" s="459">
        <v>14</v>
      </c>
      <c r="N76" s="462">
        <v>1</v>
      </c>
      <c r="O76" s="463">
        <v>1</v>
      </c>
      <c r="P76" s="463">
        <v>1</v>
      </c>
      <c r="Q76" s="463">
        <v>1</v>
      </c>
      <c r="R76" s="463">
        <v>1</v>
      </c>
      <c r="S76" s="464">
        <v>1</v>
      </c>
      <c r="U76" s="465">
        <v>0</v>
      </c>
    </row>
    <row r="77" spans="1:21" ht="12.75">
      <c r="A77" s="416">
        <f t="shared" si="2"/>
        <v>13</v>
      </c>
      <c r="B77" s="417" t="s">
        <v>194</v>
      </c>
      <c r="C77" s="417" t="s">
        <v>135</v>
      </c>
      <c r="D77" s="417">
        <v>2007</v>
      </c>
      <c r="E77" s="419" t="s">
        <v>136</v>
      </c>
      <c r="G77" s="416">
        <f t="shared" si="0"/>
        <v>19</v>
      </c>
      <c r="H77" s="419" t="s">
        <v>212</v>
      </c>
      <c r="J77" s="420">
        <v>0.029700000000000004</v>
      </c>
      <c r="K77" s="421">
        <v>45</v>
      </c>
      <c r="L77" s="419">
        <v>14</v>
      </c>
      <c r="N77" s="422">
        <v>1</v>
      </c>
      <c r="O77" s="423">
        <v>1</v>
      </c>
      <c r="P77" s="423">
        <v>1</v>
      </c>
      <c r="Q77" s="423">
        <v>1</v>
      </c>
      <c r="R77" s="423">
        <v>1</v>
      </c>
      <c r="S77" s="424">
        <v>1</v>
      </c>
      <c r="U77" s="425">
        <v>0</v>
      </c>
    </row>
    <row r="78" spans="1:21" ht="12.75">
      <c r="A78" s="456">
        <f t="shared" si="2"/>
        <v>13</v>
      </c>
      <c r="B78" s="457" t="s">
        <v>194</v>
      </c>
      <c r="C78" s="457" t="s">
        <v>135</v>
      </c>
      <c r="D78" s="457">
        <v>2007</v>
      </c>
      <c r="E78" s="459" t="s">
        <v>136</v>
      </c>
      <c r="G78" s="456">
        <f t="shared" si="0"/>
        <v>20</v>
      </c>
      <c r="H78" s="459" t="s">
        <v>213</v>
      </c>
      <c r="J78" s="460">
        <v>4.71485</v>
      </c>
      <c r="K78" s="461">
        <v>3545</v>
      </c>
      <c r="L78" s="459">
        <v>14</v>
      </c>
      <c r="N78" s="462">
        <v>1</v>
      </c>
      <c r="O78" s="463">
        <v>1</v>
      </c>
      <c r="P78" s="463">
        <v>1</v>
      </c>
      <c r="Q78" s="463">
        <v>1</v>
      </c>
      <c r="R78" s="463">
        <v>1</v>
      </c>
      <c r="S78" s="464">
        <v>1</v>
      </c>
      <c r="U78" s="465">
        <v>0</v>
      </c>
    </row>
    <row r="79" spans="1:21" ht="12.75">
      <c r="A79" s="416">
        <f t="shared" si="2"/>
        <v>13</v>
      </c>
      <c r="B79" s="417" t="s">
        <v>194</v>
      </c>
      <c r="C79" s="417" t="s">
        <v>135</v>
      </c>
      <c r="D79" s="417">
        <v>2007</v>
      </c>
      <c r="E79" s="419" t="s">
        <v>136</v>
      </c>
      <c r="G79" s="416">
        <f t="shared" si="0"/>
        <v>21</v>
      </c>
      <c r="H79" s="419" t="s">
        <v>214</v>
      </c>
      <c r="J79" s="420">
        <v>0.08549999999999999</v>
      </c>
      <c r="K79" s="421">
        <v>748.98</v>
      </c>
      <c r="L79" s="419">
        <v>14</v>
      </c>
      <c r="N79" s="422">
        <v>1</v>
      </c>
      <c r="O79" s="423">
        <v>1</v>
      </c>
      <c r="P79" s="423">
        <v>1</v>
      </c>
      <c r="Q79" s="423">
        <v>1</v>
      </c>
      <c r="R79" s="423">
        <v>1</v>
      </c>
      <c r="S79" s="424">
        <v>1</v>
      </c>
      <c r="U79" s="425">
        <v>0</v>
      </c>
    </row>
    <row r="80" spans="1:21" ht="12.75">
      <c r="A80" s="456">
        <f t="shared" si="2"/>
        <v>13</v>
      </c>
      <c r="B80" s="457" t="s">
        <v>194</v>
      </c>
      <c r="C80" s="457" t="s">
        <v>135</v>
      </c>
      <c r="D80" s="457">
        <v>2007</v>
      </c>
      <c r="E80" s="459" t="s">
        <v>136</v>
      </c>
      <c r="G80" s="456">
        <f t="shared" si="0"/>
        <v>22</v>
      </c>
      <c r="H80" s="459" t="s">
        <v>215</v>
      </c>
      <c r="J80" s="460">
        <v>0</v>
      </c>
      <c r="K80" s="461">
        <v>209</v>
      </c>
      <c r="L80" s="459">
        <v>14</v>
      </c>
      <c r="N80" s="462">
        <v>1</v>
      </c>
      <c r="O80" s="463">
        <v>1</v>
      </c>
      <c r="P80" s="463">
        <v>1</v>
      </c>
      <c r="Q80" s="463">
        <v>1</v>
      </c>
      <c r="R80" s="463">
        <v>1</v>
      </c>
      <c r="S80" s="464">
        <v>1</v>
      </c>
      <c r="U80" s="465">
        <v>0</v>
      </c>
    </row>
    <row r="81" spans="1:21" ht="12.75">
      <c r="A81" s="416">
        <f t="shared" si="2"/>
        <v>13</v>
      </c>
      <c r="B81" s="417" t="s">
        <v>194</v>
      </c>
      <c r="C81" s="417" t="s">
        <v>135</v>
      </c>
      <c r="D81" s="417">
        <v>2007</v>
      </c>
      <c r="E81" s="419" t="s">
        <v>136</v>
      </c>
      <c r="G81" s="416">
        <f t="shared" si="0"/>
        <v>23</v>
      </c>
      <c r="H81" s="419" t="s">
        <v>216</v>
      </c>
      <c r="J81" s="420">
        <v>0</v>
      </c>
      <c r="K81" s="421">
        <v>209</v>
      </c>
      <c r="L81" s="419">
        <v>14</v>
      </c>
      <c r="N81" s="422">
        <v>1</v>
      </c>
      <c r="O81" s="423">
        <v>1</v>
      </c>
      <c r="P81" s="423">
        <v>1</v>
      </c>
      <c r="Q81" s="423">
        <v>1</v>
      </c>
      <c r="R81" s="423">
        <v>1</v>
      </c>
      <c r="S81" s="424">
        <v>1</v>
      </c>
      <c r="U81" s="425">
        <v>0</v>
      </c>
    </row>
    <row r="82" spans="1:21" ht="12.75">
      <c r="A82" s="456">
        <f t="shared" si="2"/>
        <v>13</v>
      </c>
      <c r="B82" s="457" t="s">
        <v>194</v>
      </c>
      <c r="C82" s="457" t="s">
        <v>135</v>
      </c>
      <c r="D82" s="457">
        <v>2007</v>
      </c>
      <c r="E82" s="459" t="s">
        <v>136</v>
      </c>
      <c r="G82" s="456">
        <f t="shared" si="0"/>
        <v>24</v>
      </c>
      <c r="H82" s="459" t="s">
        <v>217</v>
      </c>
      <c r="J82" s="460">
        <v>0.0114825</v>
      </c>
      <c r="K82" s="461">
        <v>382.75</v>
      </c>
      <c r="L82" s="459">
        <v>14</v>
      </c>
      <c r="N82" s="462">
        <v>1</v>
      </c>
      <c r="O82" s="463">
        <v>1</v>
      </c>
      <c r="P82" s="463">
        <v>1</v>
      </c>
      <c r="Q82" s="463">
        <v>1</v>
      </c>
      <c r="R82" s="463">
        <v>1</v>
      </c>
      <c r="S82" s="464">
        <v>1</v>
      </c>
      <c r="U82" s="465">
        <v>0</v>
      </c>
    </row>
    <row r="83" spans="1:21" ht="12.75">
      <c r="A83" s="416">
        <f t="shared" si="2"/>
        <v>13</v>
      </c>
      <c r="B83" s="417" t="s">
        <v>194</v>
      </c>
      <c r="C83" s="417" t="s">
        <v>135</v>
      </c>
      <c r="D83" s="417">
        <v>2007</v>
      </c>
      <c r="E83" s="419" t="s">
        <v>136</v>
      </c>
      <c r="G83" s="416">
        <f t="shared" si="0"/>
        <v>25</v>
      </c>
      <c r="H83" s="419" t="s">
        <v>218</v>
      </c>
      <c r="J83" s="420">
        <v>0.013</v>
      </c>
      <c r="K83" s="421">
        <v>160</v>
      </c>
      <c r="L83" s="419">
        <v>14</v>
      </c>
      <c r="N83" s="422">
        <v>1</v>
      </c>
      <c r="O83" s="423">
        <v>1</v>
      </c>
      <c r="P83" s="423">
        <v>1</v>
      </c>
      <c r="Q83" s="423">
        <v>1</v>
      </c>
      <c r="R83" s="423">
        <v>1</v>
      </c>
      <c r="S83" s="424">
        <v>1</v>
      </c>
      <c r="U83" s="425">
        <v>0</v>
      </c>
    </row>
    <row r="84" spans="1:21" ht="12.75">
      <c r="A84" s="456">
        <f t="shared" si="2"/>
        <v>13</v>
      </c>
      <c r="B84" s="457" t="s">
        <v>194</v>
      </c>
      <c r="C84" s="457" t="s">
        <v>135</v>
      </c>
      <c r="D84" s="457">
        <v>2007</v>
      </c>
      <c r="E84" s="459" t="s">
        <v>136</v>
      </c>
      <c r="G84" s="456">
        <f t="shared" si="0"/>
        <v>26</v>
      </c>
      <c r="H84" s="459" t="s">
        <v>219</v>
      </c>
      <c r="J84" s="460">
        <v>0.0505</v>
      </c>
      <c r="K84" s="461">
        <v>442.38</v>
      </c>
      <c r="L84" s="459">
        <v>14</v>
      </c>
      <c r="N84" s="462">
        <v>1</v>
      </c>
      <c r="O84" s="463">
        <v>1</v>
      </c>
      <c r="P84" s="463">
        <v>1</v>
      </c>
      <c r="Q84" s="463">
        <v>1</v>
      </c>
      <c r="R84" s="463">
        <v>1</v>
      </c>
      <c r="S84" s="464">
        <v>1</v>
      </c>
      <c r="U84" s="465">
        <v>0</v>
      </c>
    </row>
    <row r="85" spans="1:21" ht="12.75">
      <c r="A85" s="416">
        <f t="shared" si="2"/>
        <v>13</v>
      </c>
      <c r="B85" s="417" t="s">
        <v>194</v>
      </c>
      <c r="C85" s="417" t="s">
        <v>135</v>
      </c>
      <c r="D85" s="417">
        <v>2007</v>
      </c>
      <c r="E85" s="419" t="s">
        <v>136</v>
      </c>
      <c r="G85" s="416">
        <f t="shared" si="0"/>
        <v>27</v>
      </c>
      <c r="H85" s="419" t="s">
        <v>220</v>
      </c>
      <c r="J85" s="420">
        <v>0</v>
      </c>
      <c r="K85" s="421">
        <v>292</v>
      </c>
      <c r="L85" s="419">
        <v>14</v>
      </c>
      <c r="N85" s="422">
        <v>1</v>
      </c>
      <c r="O85" s="423">
        <v>1</v>
      </c>
      <c r="P85" s="423">
        <v>1</v>
      </c>
      <c r="Q85" s="423">
        <v>1</v>
      </c>
      <c r="R85" s="423">
        <v>1</v>
      </c>
      <c r="S85" s="424">
        <v>1</v>
      </c>
      <c r="U85" s="425">
        <v>0</v>
      </c>
    </row>
    <row r="86" spans="1:21" ht="12.75">
      <c r="A86" s="456">
        <f t="shared" si="2"/>
        <v>13</v>
      </c>
      <c r="B86" s="457" t="s">
        <v>194</v>
      </c>
      <c r="C86" s="457" t="s">
        <v>135</v>
      </c>
      <c r="D86" s="457">
        <v>2007</v>
      </c>
      <c r="E86" s="459" t="s">
        <v>136</v>
      </c>
      <c r="G86" s="456">
        <f t="shared" si="0"/>
        <v>28</v>
      </c>
      <c r="H86" s="459" t="s">
        <v>165</v>
      </c>
      <c r="J86" s="460">
        <v>0.013</v>
      </c>
      <c r="K86" s="461">
        <v>631</v>
      </c>
      <c r="L86" s="459">
        <v>14</v>
      </c>
      <c r="N86" s="462">
        <v>1</v>
      </c>
      <c r="O86" s="463">
        <v>1</v>
      </c>
      <c r="P86" s="463">
        <v>1</v>
      </c>
      <c r="Q86" s="463">
        <v>1</v>
      </c>
      <c r="R86" s="463">
        <v>1</v>
      </c>
      <c r="S86" s="464">
        <v>1</v>
      </c>
      <c r="U86" s="465">
        <v>0</v>
      </c>
    </row>
    <row r="87" spans="1:21" ht="12.75">
      <c r="A87" s="416">
        <f t="shared" si="2"/>
        <v>13</v>
      </c>
      <c r="B87" s="417" t="s">
        <v>194</v>
      </c>
      <c r="C87" s="417" t="s">
        <v>135</v>
      </c>
      <c r="D87" s="417">
        <v>2007</v>
      </c>
      <c r="E87" s="419" t="s">
        <v>136</v>
      </c>
      <c r="G87" s="416">
        <f t="shared" si="0"/>
        <v>29</v>
      </c>
      <c r="H87" s="419" t="s">
        <v>221</v>
      </c>
      <c r="J87" s="420">
        <v>0</v>
      </c>
      <c r="K87" s="421">
        <v>292</v>
      </c>
      <c r="L87" s="419">
        <v>14</v>
      </c>
      <c r="N87" s="422">
        <v>1</v>
      </c>
      <c r="O87" s="423">
        <v>1</v>
      </c>
      <c r="P87" s="423">
        <v>1</v>
      </c>
      <c r="Q87" s="423">
        <v>1</v>
      </c>
      <c r="R87" s="423">
        <v>1</v>
      </c>
      <c r="S87" s="424">
        <v>1</v>
      </c>
      <c r="U87" s="425">
        <v>0</v>
      </c>
    </row>
    <row r="88" spans="1:21" ht="12.75">
      <c r="A88" s="446">
        <f t="shared" si="2"/>
        <v>13</v>
      </c>
      <c r="B88" s="447" t="s">
        <v>194</v>
      </c>
      <c r="C88" s="447" t="s">
        <v>135</v>
      </c>
      <c r="D88" s="447">
        <v>2007</v>
      </c>
      <c r="E88" s="449" t="s">
        <v>136</v>
      </c>
      <c r="G88" s="446">
        <f t="shared" si="0"/>
        <v>30</v>
      </c>
      <c r="H88" s="449" t="s">
        <v>222</v>
      </c>
      <c r="J88" s="450">
        <v>0.0012000000000000001</v>
      </c>
      <c r="K88" s="451">
        <v>12</v>
      </c>
      <c r="L88" s="449">
        <v>14</v>
      </c>
      <c r="N88" s="452">
        <v>1</v>
      </c>
      <c r="O88" s="453">
        <v>1</v>
      </c>
      <c r="P88" s="453">
        <v>1</v>
      </c>
      <c r="Q88" s="453">
        <v>1</v>
      </c>
      <c r="R88" s="453">
        <v>1</v>
      </c>
      <c r="S88" s="454">
        <v>1</v>
      </c>
      <c r="U88" s="455">
        <v>0</v>
      </c>
    </row>
    <row r="89" spans="1:21" ht="12.75">
      <c r="A89" s="473">
        <f>A59+1</f>
        <v>14</v>
      </c>
      <c r="B89" s="474" t="s">
        <v>223</v>
      </c>
      <c r="C89" s="474" t="s">
        <v>135</v>
      </c>
      <c r="D89" s="474">
        <v>2007</v>
      </c>
      <c r="E89" s="475" t="s">
        <v>136</v>
      </c>
      <c r="G89" s="473">
        <v>1</v>
      </c>
      <c r="H89" s="475" t="s">
        <v>224</v>
      </c>
      <c r="J89" s="491" t="s">
        <v>155</v>
      </c>
      <c r="K89" s="492" t="s">
        <v>155</v>
      </c>
      <c r="L89" s="475">
        <v>10</v>
      </c>
      <c r="N89" s="478">
        <v>1</v>
      </c>
      <c r="O89" s="479">
        <v>1</v>
      </c>
      <c r="P89" s="479">
        <v>1</v>
      </c>
      <c r="Q89" s="479">
        <v>1</v>
      </c>
      <c r="R89" s="479">
        <v>1</v>
      </c>
      <c r="S89" s="480">
        <v>1</v>
      </c>
      <c r="U89" s="481">
        <v>18.373044088742063</v>
      </c>
    </row>
    <row r="90" spans="1:21" ht="12.75">
      <c r="A90" s="446">
        <f>A89+1</f>
        <v>15</v>
      </c>
      <c r="B90" s="447" t="s">
        <v>225</v>
      </c>
      <c r="C90" s="447" t="s">
        <v>135</v>
      </c>
      <c r="D90" s="447">
        <v>2007</v>
      </c>
      <c r="E90" s="449" t="s">
        <v>136</v>
      </c>
      <c r="G90" s="446">
        <v>1</v>
      </c>
      <c r="H90" s="449" t="s">
        <v>224</v>
      </c>
      <c r="J90" s="493" t="s">
        <v>155</v>
      </c>
      <c r="K90" s="494" t="s">
        <v>155</v>
      </c>
      <c r="L90" s="449">
        <v>19</v>
      </c>
      <c r="N90" s="452">
        <v>1</v>
      </c>
      <c r="O90" s="453">
        <v>1</v>
      </c>
      <c r="P90" s="453">
        <v>1</v>
      </c>
      <c r="Q90" s="453">
        <v>1</v>
      </c>
      <c r="R90" s="453">
        <v>1</v>
      </c>
      <c r="S90" s="454">
        <v>1</v>
      </c>
      <c r="U90" s="455">
        <v>0</v>
      </c>
    </row>
    <row r="91" spans="1:21" ht="12.75">
      <c r="A91" s="416">
        <f>A90+1</f>
        <v>16</v>
      </c>
      <c r="B91" s="417" t="s">
        <v>226</v>
      </c>
      <c r="C91" s="417" t="s">
        <v>227</v>
      </c>
      <c r="D91" s="417">
        <v>2007</v>
      </c>
      <c r="E91" s="419" t="s">
        <v>136</v>
      </c>
      <c r="G91" s="416">
        <v>1</v>
      </c>
      <c r="H91" s="419" t="s">
        <v>228</v>
      </c>
      <c r="J91" s="495" t="s">
        <v>155</v>
      </c>
      <c r="K91" s="496" t="s">
        <v>155</v>
      </c>
      <c r="L91" s="419">
        <v>5</v>
      </c>
      <c r="N91" s="422">
        <v>0.9</v>
      </c>
      <c r="O91" s="423">
        <v>1</v>
      </c>
      <c r="P91" s="423">
        <v>1</v>
      </c>
      <c r="Q91" s="423">
        <v>1</v>
      </c>
      <c r="R91" s="423">
        <v>1</v>
      </c>
      <c r="S91" s="424">
        <v>0.9</v>
      </c>
      <c r="U91" s="425">
        <v>0</v>
      </c>
    </row>
    <row r="92" spans="1:21" ht="12.75">
      <c r="A92" s="456">
        <f>A91</f>
        <v>16</v>
      </c>
      <c r="B92" s="457" t="s">
        <v>226</v>
      </c>
      <c r="C92" s="457" t="s">
        <v>227</v>
      </c>
      <c r="D92" s="457">
        <v>2007</v>
      </c>
      <c r="E92" s="459" t="s">
        <v>136</v>
      </c>
      <c r="G92" s="456">
        <f t="shared" si="0"/>
        <v>2</v>
      </c>
      <c r="H92" s="459" t="s">
        <v>229</v>
      </c>
      <c r="J92" s="497" t="s">
        <v>155</v>
      </c>
      <c r="K92" s="498" t="s">
        <v>155</v>
      </c>
      <c r="L92" s="459">
        <v>5</v>
      </c>
      <c r="N92" s="462">
        <v>0.9</v>
      </c>
      <c r="O92" s="463">
        <v>1</v>
      </c>
      <c r="P92" s="463">
        <v>1</v>
      </c>
      <c r="Q92" s="463">
        <v>1</v>
      </c>
      <c r="R92" s="463">
        <v>1</v>
      </c>
      <c r="S92" s="464">
        <v>0.9</v>
      </c>
      <c r="U92" s="465">
        <v>0</v>
      </c>
    </row>
    <row r="93" spans="1:21" ht="12.75">
      <c r="A93" s="473">
        <f>A92</f>
        <v>16</v>
      </c>
      <c r="B93" s="474" t="s">
        <v>226</v>
      </c>
      <c r="C93" s="474" t="s">
        <v>227</v>
      </c>
      <c r="D93" s="474">
        <v>2007</v>
      </c>
      <c r="E93" s="475" t="s">
        <v>136</v>
      </c>
      <c r="G93" s="473">
        <f t="shared" si="0"/>
        <v>3</v>
      </c>
      <c r="H93" s="475" t="s">
        <v>230</v>
      </c>
      <c r="J93" s="491" t="s">
        <v>155</v>
      </c>
      <c r="K93" s="492" t="s">
        <v>155</v>
      </c>
      <c r="L93" s="475">
        <v>5</v>
      </c>
      <c r="N93" s="478">
        <v>0.9</v>
      </c>
      <c r="O93" s="479">
        <v>1</v>
      </c>
      <c r="P93" s="479">
        <v>1</v>
      </c>
      <c r="Q93" s="479">
        <v>1</v>
      </c>
      <c r="R93" s="479">
        <v>1</v>
      </c>
      <c r="S93" s="480">
        <v>0.9</v>
      </c>
      <c r="U93" s="481">
        <v>0</v>
      </c>
    </row>
    <row r="94" spans="1:21" ht="12.75">
      <c r="A94" s="446">
        <f>A91+1</f>
        <v>17</v>
      </c>
      <c r="B94" s="447" t="s">
        <v>231</v>
      </c>
      <c r="C94" s="447" t="s">
        <v>227</v>
      </c>
      <c r="D94" s="447">
        <v>2007</v>
      </c>
      <c r="E94" s="449" t="s">
        <v>136</v>
      </c>
      <c r="G94" s="446">
        <v>1</v>
      </c>
      <c r="H94" s="449" t="s">
        <v>224</v>
      </c>
      <c r="J94" s="493" t="s">
        <v>155</v>
      </c>
      <c r="K94" s="494" t="s">
        <v>155</v>
      </c>
      <c r="L94" s="449">
        <v>5</v>
      </c>
      <c r="N94" s="452">
        <v>0.9</v>
      </c>
      <c r="O94" s="453">
        <v>1</v>
      </c>
      <c r="P94" s="453">
        <v>1</v>
      </c>
      <c r="Q94" s="453">
        <v>1</v>
      </c>
      <c r="R94" s="453">
        <v>1</v>
      </c>
      <c r="S94" s="454">
        <v>0.9</v>
      </c>
      <c r="U94" s="499" t="s">
        <v>156</v>
      </c>
    </row>
    <row r="95" spans="1:21" ht="12.75">
      <c r="A95" s="473">
        <f>A94+1</f>
        <v>18</v>
      </c>
      <c r="B95" s="474" t="s">
        <v>232</v>
      </c>
      <c r="C95" s="474" t="s">
        <v>153</v>
      </c>
      <c r="D95" s="474">
        <v>2007</v>
      </c>
      <c r="E95" s="475" t="s">
        <v>136</v>
      </c>
      <c r="G95" s="473">
        <v>1</v>
      </c>
      <c r="H95" s="475" t="s">
        <v>154</v>
      </c>
      <c r="J95" s="491" t="s">
        <v>155</v>
      </c>
      <c r="K95" s="492" t="s">
        <v>155</v>
      </c>
      <c r="L95" s="475">
        <v>2</v>
      </c>
      <c r="N95" s="478">
        <v>1</v>
      </c>
      <c r="O95" s="479">
        <v>1</v>
      </c>
      <c r="P95" s="479">
        <v>1</v>
      </c>
      <c r="Q95" s="479">
        <v>1</v>
      </c>
      <c r="R95" s="479">
        <v>1</v>
      </c>
      <c r="S95" s="480">
        <v>1</v>
      </c>
      <c r="U95" s="500" t="s">
        <v>156</v>
      </c>
    </row>
    <row r="96" spans="1:21" ht="12.75">
      <c r="A96" s="456">
        <f>A95+1</f>
        <v>19</v>
      </c>
      <c r="B96" s="457" t="s">
        <v>233</v>
      </c>
      <c r="C96" s="457" t="s">
        <v>153</v>
      </c>
      <c r="D96" s="457">
        <v>2007</v>
      </c>
      <c r="E96" s="459" t="s">
        <v>136</v>
      </c>
      <c r="G96" s="456">
        <v>1</v>
      </c>
      <c r="H96" s="459" t="s">
        <v>234</v>
      </c>
      <c r="J96" s="497" t="s">
        <v>155</v>
      </c>
      <c r="K96" s="498" t="s">
        <v>155</v>
      </c>
      <c r="L96" s="459">
        <v>2</v>
      </c>
      <c r="N96" s="462">
        <v>1</v>
      </c>
      <c r="O96" s="463">
        <v>1</v>
      </c>
      <c r="P96" s="463">
        <v>1</v>
      </c>
      <c r="Q96" s="463">
        <v>1</v>
      </c>
      <c r="R96" s="463">
        <v>1</v>
      </c>
      <c r="S96" s="464">
        <v>1</v>
      </c>
      <c r="U96" s="501" t="s">
        <v>156</v>
      </c>
    </row>
    <row r="97" spans="1:21" ht="12.75">
      <c r="A97" s="473">
        <f>A96</f>
        <v>19</v>
      </c>
      <c r="B97" s="474" t="s">
        <v>233</v>
      </c>
      <c r="C97" s="474" t="s">
        <v>153</v>
      </c>
      <c r="D97" s="474">
        <v>2007</v>
      </c>
      <c r="E97" s="475" t="s">
        <v>136</v>
      </c>
      <c r="G97" s="473">
        <f>G96+1</f>
        <v>2</v>
      </c>
      <c r="H97" s="475" t="s">
        <v>235</v>
      </c>
      <c r="J97" s="491" t="s">
        <v>155</v>
      </c>
      <c r="K97" s="492" t="s">
        <v>155</v>
      </c>
      <c r="L97" s="475">
        <v>2</v>
      </c>
      <c r="N97" s="478">
        <v>1</v>
      </c>
      <c r="O97" s="479">
        <v>1</v>
      </c>
      <c r="P97" s="479">
        <v>1</v>
      </c>
      <c r="Q97" s="479">
        <v>1</v>
      </c>
      <c r="R97" s="479">
        <v>1</v>
      </c>
      <c r="S97" s="480">
        <v>1</v>
      </c>
      <c r="U97" s="500" t="s">
        <v>156</v>
      </c>
    </row>
    <row r="98" spans="1:21" ht="12.75">
      <c r="A98" s="456">
        <f>A96+1</f>
        <v>20</v>
      </c>
      <c r="B98" s="457" t="s">
        <v>236</v>
      </c>
      <c r="C98" s="457" t="s">
        <v>237</v>
      </c>
      <c r="D98" s="457">
        <v>2007</v>
      </c>
      <c r="E98" s="459" t="s">
        <v>136</v>
      </c>
      <c r="G98" s="456">
        <v>1</v>
      </c>
      <c r="H98" s="459" t="s">
        <v>238</v>
      </c>
      <c r="J98" s="497" t="s">
        <v>155</v>
      </c>
      <c r="K98" s="498" t="s">
        <v>155</v>
      </c>
      <c r="L98" s="459">
        <v>20</v>
      </c>
      <c r="N98" s="462">
        <v>1</v>
      </c>
      <c r="O98" s="463">
        <v>1</v>
      </c>
      <c r="P98" s="463">
        <v>1</v>
      </c>
      <c r="Q98" s="463">
        <v>1</v>
      </c>
      <c r="R98" s="463">
        <v>1</v>
      </c>
      <c r="S98" s="464">
        <v>1</v>
      </c>
      <c r="U98" s="465">
        <v>0</v>
      </c>
    </row>
    <row r="99" spans="1:21" ht="12.75">
      <c r="A99" s="416">
        <f>A98</f>
        <v>20</v>
      </c>
      <c r="B99" s="417" t="s">
        <v>236</v>
      </c>
      <c r="C99" s="417" t="s">
        <v>237</v>
      </c>
      <c r="D99" s="417">
        <v>2007</v>
      </c>
      <c r="E99" s="419" t="s">
        <v>136</v>
      </c>
      <c r="G99" s="416">
        <f>G98+1</f>
        <v>2</v>
      </c>
      <c r="H99" s="419" t="s">
        <v>239</v>
      </c>
      <c r="J99" s="495" t="s">
        <v>155</v>
      </c>
      <c r="K99" s="496" t="s">
        <v>155</v>
      </c>
      <c r="L99" s="419">
        <v>20</v>
      </c>
      <c r="N99" s="422">
        <v>1</v>
      </c>
      <c r="O99" s="423">
        <v>1</v>
      </c>
      <c r="P99" s="423">
        <v>1</v>
      </c>
      <c r="Q99" s="423">
        <v>1</v>
      </c>
      <c r="R99" s="423">
        <v>1</v>
      </c>
      <c r="S99" s="424">
        <v>1</v>
      </c>
      <c r="U99" s="425">
        <v>0</v>
      </c>
    </row>
    <row r="100" spans="1:21" ht="12.75">
      <c r="A100" s="456">
        <f>A99</f>
        <v>20</v>
      </c>
      <c r="B100" s="457" t="s">
        <v>236</v>
      </c>
      <c r="C100" s="457" t="s">
        <v>237</v>
      </c>
      <c r="D100" s="457">
        <v>2007</v>
      </c>
      <c r="E100" s="459" t="s">
        <v>136</v>
      </c>
      <c r="G100" s="456">
        <f>G99+1</f>
        <v>3</v>
      </c>
      <c r="H100" s="459" t="s">
        <v>240</v>
      </c>
      <c r="J100" s="497" t="s">
        <v>155</v>
      </c>
      <c r="K100" s="498" t="s">
        <v>155</v>
      </c>
      <c r="L100" s="459">
        <v>20</v>
      </c>
      <c r="N100" s="462">
        <v>1</v>
      </c>
      <c r="O100" s="463">
        <v>1</v>
      </c>
      <c r="P100" s="463">
        <v>1</v>
      </c>
      <c r="Q100" s="463">
        <v>1</v>
      </c>
      <c r="R100" s="463">
        <v>1</v>
      </c>
      <c r="S100" s="464">
        <v>1</v>
      </c>
      <c r="U100" s="465">
        <v>0</v>
      </c>
    </row>
    <row r="101" spans="1:21" ht="12.75">
      <c r="A101" s="502">
        <f>A100</f>
        <v>20</v>
      </c>
      <c r="B101" s="503" t="s">
        <v>236</v>
      </c>
      <c r="C101" s="503" t="s">
        <v>237</v>
      </c>
      <c r="D101" s="503">
        <v>2007</v>
      </c>
      <c r="E101" s="504" t="s">
        <v>136</v>
      </c>
      <c r="G101" s="502">
        <f>G100+1</f>
        <v>4</v>
      </c>
      <c r="H101" s="504" t="s">
        <v>241</v>
      </c>
      <c r="J101" s="505" t="s">
        <v>155</v>
      </c>
      <c r="K101" s="506" t="s">
        <v>155</v>
      </c>
      <c r="L101" s="504">
        <v>20</v>
      </c>
      <c r="N101" s="507">
        <v>1</v>
      </c>
      <c r="O101" s="508">
        <v>1</v>
      </c>
      <c r="P101" s="508">
        <v>1</v>
      </c>
      <c r="Q101" s="508">
        <v>1</v>
      </c>
      <c r="R101" s="508">
        <v>1</v>
      </c>
      <c r="S101" s="509">
        <v>1</v>
      </c>
      <c r="U101" s="510">
        <v>0</v>
      </c>
    </row>
    <row r="102" spans="1:21" ht="12.75">
      <c r="A102" s="511"/>
      <c r="B102" s="511"/>
      <c r="C102" s="511"/>
      <c r="D102" s="511"/>
      <c r="E102" s="512"/>
      <c r="G102" s="511"/>
      <c r="H102" s="511"/>
      <c r="J102" s="511"/>
      <c r="K102" s="511"/>
      <c r="L102" s="511"/>
      <c r="N102" s="511"/>
      <c r="O102" s="511"/>
      <c r="P102" s="511"/>
      <c r="Q102" s="511"/>
      <c r="R102" s="511"/>
      <c r="S102" s="511"/>
      <c r="U102" s="511"/>
    </row>
    <row r="103" spans="1:21" ht="12.75">
      <c r="A103" s="371">
        <v>2008</v>
      </c>
      <c r="B103" s="372"/>
      <c r="C103" s="372"/>
      <c r="D103" s="372"/>
      <c r="E103" s="373"/>
      <c r="G103" s="371"/>
      <c r="H103" s="373"/>
      <c r="J103" s="371"/>
      <c r="K103" s="372"/>
      <c r="L103" s="373"/>
      <c r="N103" s="371"/>
      <c r="O103" s="372"/>
      <c r="P103" s="372"/>
      <c r="Q103" s="372"/>
      <c r="R103" s="372"/>
      <c r="S103" s="373"/>
      <c r="U103" s="373"/>
    </row>
    <row r="104" spans="1:21" ht="12.75">
      <c r="A104" s="374">
        <f>A98+1</f>
        <v>21</v>
      </c>
      <c r="B104" s="375" t="s">
        <v>242</v>
      </c>
      <c r="C104" s="375" t="s">
        <v>135</v>
      </c>
      <c r="D104" s="375">
        <v>2008</v>
      </c>
      <c r="E104" s="377" t="s">
        <v>136</v>
      </c>
      <c r="F104" s="378"/>
      <c r="G104" s="374">
        <v>1</v>
      </c>
      <c r="H104" s="377" t="s">
        <v>158</v>
      </c>
      <c r="J104" s="379">
        <v>0.07938695</v>
      </c>
      <c r="K104" s="380">
        <v>775</v>
      </c>
      <c r="L104" s="377">
        <v>9</v>
      </c>
      <c r="M104" s="378"/>
      <c r="N104" s="381">
        <v>0.55</v>
      </c>
      <c r="O104" s="382">
        <v>1</v>
      </c>
      <c r="P104" s="382">
        <v>1</v>
      </c>
      <c r="Q104" s="382">
        <v>1</v>
      </c>
      <c r="R104" s="382">
        <v>1</v>
      </c>
      <c r="S104" s="383">
        <v>0.55</v>
      </c>
      <c r="T104" s="378"/>
      <c r="U104" s="384">
        <v>171</v>
      </c>
    </row>
    <row r="105" spans="1:21" ht="12.75">
      <c r="A105" s="416">
        <f>A104</f>
        <v>21</v>
      </c>
      <c r="B105" s="417" t="s">
        <v>242</v>
      </c>
      <c r="C105" s="417" t="s">
        <v>135</v>
      </c>
      <c r="D105" s="417">
        <v>2008</v>
      </c>
      <c r="E105" s="419" t="s">
        <v>136</v>
      </c>
      <c r="F105" s="378"/>
      <c r="G105" s="416">
        <f>G104+1</f>
        <v>2</v>
      </c>
      <c r="H105" s="419" t="s">
        <v>159</v>
      </c>
      <c r="J105" s="420">
        <v>0.084635893</v>
      </c>
      <c r="K105" s="421">
        <v>740</v>
      </c>
      <c r="L105" s="419">
        <v>8</v>
      </c>
      <c r="M105" s="378"/>
      <c r="N105" s="422">
        <v>0.52</v>
      </c>
      <c r="O105" s="423">
        <v>1</v>
      </c>
      <c r="P105" s="423">
        <v>1</v>
      </c>
      <c r="Q105" s="423">
        <v>1</v>
      </c>
      <c r="R105" s="423">
        <v>1</v>
      </c>
      <c r="S105" s="424">
        <v>0.52</v>
      </c>
      <c r="T105" s="378"/>
      <c r="U105" s="425">
        <v>26</v>
      </c>
    </row>
    <row r="106" spans="1:21" ht="12.75">
      <c r="A106" s="426">
        <f>A105</f>
        <v>21</v>
      </c>
      <c r="B106" s="427" t="s">
        <v>242</v>
      </c>
      <c r="C106" s="427" t="s">
        <v>135</v>
      </c>
      <c r="D106" s="427">
        <v>2008</v>
      </c>
      <c r="E106" s="429" t="s">
        <v>136</v>
      </c>
      <c r="F106" s="378"/>
      <c r="G106" s="426">
        <f>G105+1</f>
        <v>3</v>
      </c>
      <c r="H106" s="429" t="s">
        <v>243</v>
      </c>
      <c r="J106" s="430">
        <v>0.199462508</v>
      </c>
      <c r="K106" s="431">
        <v>197</v>
      </c>
      <c r="L106" s="429">
        <v>4.5</v>
      </c>
      <c r="M106" s="378"/>
      <c r="N106" s="432">
        <v>0.36</v>
      </c>
      <c r="O106" s="433">
        <v>1</v>
      </c>
      <c r="P106" s="433">
        <v>1</v>
      </c>
      <c r="Q106" s="433">
        <v>1</v>
      </c>
      <c r="R106" s="433">
        <v>1</v>
      </c>
      <c r="S106" s="434">
        <v>0.36</v>
      </c>
      <c r="T106" s="378"/>
      <c r="U106" s="435">
        <v>3</v>
      </c>
    </row>
    <row r="107" spans="1:21" ht="12.75">
      <c r="A107" s="436">
        <f>A104+1</f>
        <v>22</v>
      </c>
      <c r="B107" s="437" t="s">
        <v>244</v>
      </c>
      <c r="C107" s="437" t="s">
        <v>135</v>
      </c>
      <c r="D107" s="437">
        <v>2008</v>
      </c>
      <c r="E107" s="439" t="s">
        <v>136</v>
      </c>
      <c r="F107" s="378"/>
      <c r="G107" s="436">
        <v>1</v>
      </c>
      <c r="H107" s="439" t="s">
        <v>245</v>
      </c>
      <c r="J107" s="440">
        <v>0.4961424085145361</v>
      </c>
      <c r="K107" s="441">
        <v>836.6963002703083</v>
      </c>
      <c r="L107" s="439">
        <v>15</v>
      </c>
      <c r="M107" s="378"/>
      <c r="N107" s="442">
        <v>0.542</v>
      </c>
      <c r="O107" s="443">
        <v>1</v>
      </c>
      <c r="P107" s="443">
        <v>1</v>
      </c>
      <c r="Q107" s="443">
        <v>1</v>
      </c>
      <c r="R107" s="443">
        <v>0.049000000000000016</v>
      </c>
      <c r="S107" s="444">
        <v>1</v>
      </c>
      <c r="T107" s="378"/>
      <c r="U107" s="445">
        <v>17.549822382089598</v>
      </c>
    </row>
    <row r="108" spans="1:21" ht="12.75">
      <c r="A108" s="456">
        <f aca="true" t="shared" si="3" ref="A108:A113">A107</f>
        <v>22</v>
      </c>
      <c r="B108" s="457" t="s">
        <v>244</v>
      </c>
      <c r="C108" s="457" t="s">
        <v>135</v>
      </c>
      <c r="D108" s="457">
        <v>2008</v>
      </c>
      <c r="E108" s="459" t="s">
        <v>136</v>
      </c>
      <c r="F108" s="378"/>
      <c r="G108" s="456">
        <f aca="true" t="shared" si="4" ref="G108:G113">G107+1</f>
        <v>2</v>
      </c>
      <c r="H108" s="459" t="s">
        <v>246</v>
      </c>
      <c r="J108" s="460">
        <v>0.16977191012806261</v>
      </c>
      <c r="K108" s="461">
        <v>155.25539980767175</v>
      </c>
      <c r="L108" s="459">
        <v>18</v>
      </c>
      <c r="M108" s="378"/>
      <c r="N108" s="462">
        <v>0.52</v>
      </c>
      <c r="O108" s="463">
        <v>1</v>
      </c>
      <c r="P108" s="463">
        <v>1</v>
      </c>
      <c r="Q108" s="463">
        <v>1</v>
      </c>
      <c r="R108" s="463">
        <v>0.052000000000000005</v>
      </c>
      <c r="S108" s="464">
        <v>1</v>
      </c>
      <c r="T108" s="378"/>
      <c r="U108" s="465">
        <v>8.430135692613826</v>
      </c>
    </row>
    <row r="109" spans="1:21" ht="12.75">
      <c r="A109" s="416">
        <f t="shared" si="3"/>
        <v>22</v>
      </c>
      <c r="B109" s="417" t="s">
        <v>244</v>
      </c>
      <c r="C109" s="417" t="s">
        <v>135</v>
      </c>
      <c r="D109" s="417">
        <v>2008</v>
      </c>
      <c r="E109" s="419" t="s">
        <v>136</v>
      </c>
      <c r="F109" s="378"/>
      <c r="G109" s="416">
        <f t="shared" si="4"/>
        <v>3</v>
      </c>
      <c r="H109" s="419" t="s">
        <v>247</v>
      </c>
      <c r="J109" s="420">
        <v>0.027696949702093167</v>
      </c>
      <c r="K109" s="421">
        <v>53.707079081811976</v>
      </c>
      <c r="L109" s="419">
        <v>15</v>
      </c>
      <c r="M109" s="378"/>
      <c r="N109" s="422">
        <v>0.46</v>
      </c>
      <c r="O109" s="423">
        <v>1</v>
      </c>
      <c r="P109" s="423">
        <v>1</v>
      </c>
      <c r="Q109" s="423">
        <v>1</v>
      </c>
      <c r="R109" s="423">
        <v>0</v>
      </c>
      <c r="S109" s="424">
        <v>0.597</v>
      </c>
      <c r="T109" s="378"/>
      <c r="U109" s="425">
        <v>13.661729125327275</v>
      </c>
    </row>
    <row r="110" spans="1:21" ht="12.75">
      <c r="A110" s="456">
        <f t="shared" si="3"/>
        <v>22</v>
      </c>
      <c r="B110" s="457" t="s">
        <v>244</v>
      </c>
      <c r="C110" s="457" t="s">
        <v>135</v>
      </c>
      <c r="D110" s="457">
        <v>2008</v>
      </c>
      <c r="E110" s="459" t="s">
        <v>136</v>
      </c>
      <c r="F110" s="378"/>
      <c r="G110" s="456">
        <f t="shared" si="4"/>
        <v>4</v>
      </c>
      <c r="H110" s="459" t="s">
        <v>248</v>
      </c>
      <c r="J110" s="460">
        <v>0.2569412749981461</v>
      </c>
      <c r="K110" s="461">
        <v>234.97126436781627</v>
      </c>
      <c r="L110" s="459">
        <v>5</v>
      </c>
      <c r="M110" s="378"/>
      <c r="N110" s="462">
        <v>0.15712500000000001</v>
      </c>
      <c r="O110" s="463">
        <v>1</v>
      </c>
      <c r="P110" s="463">
        <v>1</v>
      </c>
      <c r="Q110" s="463">
        <v>1</v>
      </c>
      <c r="R110" s="463">
        <v>0</v>
      </c>
      <c r="S110" s="464">
        <v>1</v>
      </c>
      <c r="T110" s="378"/>
      <c r="U110" s="465">
        <v>0</v>
      </c>
    </row>
    <row r="111" spans="1:21" ht="12.75">
      <c r="A111" s="416">
        <f t="shared" si="3"/>
        <v>22</v>
      </c>
      <c r="B111" s="417" t="s">
        <v>244</v>
      </c>
      <c r="C111" s="417" t="s">
        <v>135</v>
      </c>
      <c r="D111" s="417">
        <v>2008</v>
      </c>
      <c r="E111" s="419" t="s">
        <v>136</v>
      </c>
      <c r="F111" s="378"/>
      <c r="G111" s="416">
        <f t="shared" si="4"/>
        <v>5</v>
      </c>
      <c r="H111" s="419" t="s">
        <v>249</v>
      </c>
      <c r="J111" s="420">
        <v>0.48529261680008257</v>
      </c>
      <c r="K111" s="421">
        <v>819.222282111076</v>
      </c>
      <c r="L111" s="419">
        <v>18</v>
      </c>
      <c r="M111" s="378"/>
      <c r="N111" s="422">
        <v>0.542</v>
      </c>
      <c r="O111" s="423">
        <v>1</v>
      </c>
      <c r="P111" s="423">
        <v>1</v>
      </c>
      <c r="Q111" s="423">
        <v>1</v>
      </c>
      <c r="R111" s="423">
        <v>0.049000000000000016</v>
      </c>
      <c r="S111" s="424">
        <v>1</v>
      </c>
      <c r="T111" s="378"/>
      <c r="U111" s="425">
        <v>62.85781994763801</v>
      </c>
    </row>
    <row r="112" spans="1:21" ht="12.75">
      <c r="A112" s="456">
        <f t="shared" si="3"/>
        <v>22</v>
      </c>
      <c r="B112" s="457" t="s">
        <v>244</v>
      </c>
      <c r="C112" s="457" t="s">
        <v>135</v>
      </c>
      <c r="D112" s="457">
        <v>2008</v>
      </c>
      <c r="E112" s="459" t="s">
        <v>136</v>
      </c>
      <c r="F112" s="378"/>
      <c r="G112" s="456">
        <f t="shared" si="4"/>
        <v>6</v>
      </c>
      <c r="H112" s="459" t="s">
        <v>250</v>
      </c>
      <c r="J112" s="460">
        <v>0.13696688492345646</v>
      </c>
      <c r="K112" s="461">
        <v>125.25539980767175</v>
      </c>
      <c r="L112" s="459">
        <v>18</v>
      </c>
      <c r="M112" s="378"/>
      <c r="N112" s="462">
        <v>0.52</v>
      </c>
      <c r="O112" s="463">
        <v>1</v>
      </c>
      <c r="P112" s="463">
        <v>1</v>
      </c>
      <c r="Q112" s="463">
        <v>1</v>
      </c>
      <c r="R112" s="463">
        <v>0.052000000000000005</v>
      </c>
      <c r="S112" s="464">
        <v>1</v>
      </c>
      <c r="T112" s="378"/>
      <c r="U112" s="465">
        <v>41.67473837284377</v>
      </c>
    </row>
    <row r="113" spans="1:21" ht="12.75">
      <c r="A113" s="473">
        <f t="shared" si="3"/>
        <v>22</v>
      </c>
      <c r="B113" s="474" t="s">
        <v>244</v>
      </c>
      <c r="C113" s="474" t="s">
        <v>135</v>
      </c>
      <c r="D113" s="474">
        <v>2008</v>
      </c>
      <c r="E113" s="475" t="s">
        <v>136</v>
      </c>
      <c r="F113" s="378"/>
      <c r="G113" s="473">
        <f t="shared" si="4"/>
        <v>7</v>
      </c>
      <c r="H113" s="475" t="s">
        <v>251</v>
      </c>
      <c r="J113" s="476">
        <v>0.027696949702093167</v>
      </c>
      <c r="K113" s="477">
        <v>53.707079081811976</v>
      </c>
      <c r="L113" s="475">
        <v>18</v>
      </c>
      <c r="M113" s="378"/>
      <c r="N113" s="478">
        <v>0.46</v>
      </c>
      <c r="O113" s="479">
        <v>1</v>
      </c>
      <c r="P113" s="479">
        <v>1</v>
      </c>
      <c r="Q113" s="479">
        <v>1</v>
      </c>
      <c r="R113" s="479">
        <v>0</v>
      </c>
      <c r="S113" s="480">
        <v>0.597</v>
      </c>
      <c r="T113" s="378"/>
      <c r="U113" s="481">
        <v>53.412095558559045</v>
      </c>
    </row>
    <row r="114" spans="1:21" s="378" customFormat="1" ht="12.75">
      <c r="A114" s="446">
        <f>A107+1</f>
        <v>23</v>
      </c>
      <c r="B114" s="447" t="s">
        <v>252</v>
      </c>
      <c r="C114" s="447" t="s">
        <v>135</v>
      </c>
      <c r="D114" s="447">
        <v>2008</v>
      </c>
      <c r="E114" s="449" t="s">
        <v>136</v>
      </c>
      <c r="G114" s="446">
        <v>1</v>
      </c>
      <c r="H114" s="449" t="s">
        <v>253</v>
      </c>
      <c r="J114" s="450">
        <v>1.6</v>
      </c>
      <c r="K114" s="451">
        <v>2820</v>
      </c>
      <c r="L114" s="449">
        <v>10</v>
      </c>
      <c r="N114" s="452">
        <v>1</v>
      </c>
      <c r="O114" s="453">
        <v>1</v>
      </c>
      <c r="P114" s="453">
        <v>1</v>
      </c>
      <c r="Q114" s="453">
        <v>1</v>
      </c>
      <c r="R114" s="453">
        <v>1</v>
      </c>
      <c r="S114" s="454">
        <v>1</v>
      </c>
      <c r="U114" s="455">
        <v>0</v>
      </c>
    </row>
    <row r="115" spans="1:21" ht="12.75">
      <c r="A115" s="473">
        <f>A114+1</f>
        <v>24</v>
      </c>
      <c r="B115" s="474" t="s">
        <v>254</v>
      </c>
      <c r="C115" s="474" t="s">
        <v>135</v>
      </c>
      <c r="D115" s="474">
        <v>2008</v>
      </c>
      <c r="E115" s="475" t="s">
        <v>136</v>
      </c>
      <c r="F115" s="378"/>
      <c r="G115" s="473">
        <v>1</v>
      </c>
      <c r="H115" s="475" t="s">
        <v>255</v>
      </c>
      <c r="J115" s="476">
        <v>0.19512055414401033</v>
      </c>
      <c r="K115" s="477">
        <v>768.1809887362783</v>
      </c>
      <c r="L115" s="475">
        <v>1</v>
      </c>
      <c r="M115" s="378"/>
      <c r="N115" s="478">
        <v>0.78</v>
      </c>
      <c r="O115" s="479">
        <v>1</v>
      </c>
      <c r="P115" s="479">
        <v>1</v>
      </c>
      <c r="Q115" s="479">
        <v>1</v>
      </c>
      <c r="R115" s="479">
        <v>1</v>
      </c>
      <c r="S115" s="480">
        <v>0.78</v>
      </c>
      <c r="T115" s="378"/>
      <c r="U115" s="481">
        <v>167</v>
      </c>
    </row>
    <row r="116" spans="1:21" ht="12.75">
      <c r="A116" s="482">
        <f>A115+1</f>
        <v>25</v>
      </c>
      <c r="B116" s="483" t="s">
        <v>256</v>
      </c>
      <c r="C116" s="483" t="s">
        <v>135</v>
      </c>
      <c r="D116" s="483">
        <v>2008</v>
      </c>
      <c r="E116" s="484" t="s">
        <v>136</v>
      </c>
      <c r="F116" s="378"/>
      <c r="G116" s="482">
        <v>1</v>
      </c>
      <c r="H116" s="484" t="s">
        <v>257</v>
      </c>
      <c r="J116" s="485">
        <v>0.021</v>
      </c>
      <c r="K116" s="486">
        <v>37.7</v>
      </c>
      <c r="L116" s="484">
        <v>1</v>
      </c>
      <c r="M116" s="378"/>
      <c r="N116" s="487">
        <v>0.3508771929824561</v>
      </c>
      <c r="O116" s="488">
        <v>1</v>
      </c>
      <c r="P116" s="488">
        <v>1</v>
      </c>
      <c r="Q116" s="488">
        <v>1</v>
      </c>
      <c r="R116" s="488">
        <v>1</v>
      </c>
      <c r="S116" s="489">
        <v>1</v>
      </c>
      <c r="T116" s="378"/>
      <c r="U116" s="490">
        <v>74.03226799147856</v>
      </c>
    </row>
    <row r="117" spans="1:21" ht="12.75">
      <c r="A117" s="416">
        <f aca="true" t="shared" si="5" ref="A117:A126">A116</f>
        <v>25</v>
      </c>
      <c r="B117" s="417" t="s">
        <v>256</v>
      </c>
      <c r="C117" s="417" t="s">
        <v>135</v>
      </c>
      <c r="D117" s="417">
        <v>2008</v>
      </c>
      <c r="E117" s="419" t="s">
        <v>136</v>
      </c>
      <c r="F117" s="378"/>
      <c r="G117" s="416">
        <f>G116+1</f>
        <v>2</v>
      </c>
      <c r="H117" s="419" t="s">
        <v>258</v>
      </c>
      <c r="J117" s="420">
        <v>0.002761515953995422</v>
      </c>
      <c r="K117" s="421">
        <v>87.6192151705331</v>
      </c>
      <c r="L117" s="419">
        <v>7</v>
      </c>
      <c r="M117" s="378"/>
      <c r="N117" s="422">
        <v>0.37467787114845935</v>
      </c>
      <c r="O117" s="423">
        <v>1</v>
      </c>
      <c r="P117" s="423">
        <v>1</v>
      </c>
      <c r="Q117" s="423">
        <v>1</v>
      </c>
      <c r="R117" s="423">
        <v>1</v>
      </c>
      <c r="S117" s="424">
        <v>1</v>
      </c>
      <c r="T117" s="378"/>
      <c r="U117" s="425">
        <v>803.2794215547038</v>
      </c>
    </row>
    <row r="118" spans="1:21" ht="12.75">
      <c r="A118" s="456">
        <f t="shared" si="5"/>
        <v>25</v>
      </c>
      <c r="B118" s="457" t="s">
        <v>256</v>
      </c>
      <c r="C118" s="457" t="s">
        <v>135</v>
      </c>
      <c r="D118" s="457">
        <v>2008</v>
      </c>
      <c r="E118" s="459" t="s">
        <v>136</v>
      </c>
      <c r="F118" s="378"/>
      <c r="G118" s="456">
        <f aca="true" t="shared" si="6" ref="G118:G137">G117+1</f>
        <v>3</v>
      </c>
      <c r="H118" s="459" t="s">
        <v>259</v>
      </c>
      <c r="J118" s="460">
        <v>0.004206822768547546</v>
      </c>
      <c r="K118" s="461">
        <v>133.47687121212124</v>
      </c>
      <c r="L118" s="459">
        <v>16</v>
      </c>
      <c r="M118" s="378"/>
      <c r="N118" s="462">
        <v>0.33374325552753503</v>
      </c>
      <c r="O118" s="463">
        <v>1</v>
      </c>
      <c r="P118" s="463">
        <v>1</v>
      </c>
      <c r="Q118" s="463">
        <v>1</v>
      </c>
      <c r="R118" s="463">
        <v>1</v>
      </c>
      <c r="S118" s="464">
        <v>1</v>
      </c>
      <c r="T118" s="378"/>
      <c r="U118" s="465">
        <v>1246.6206975288785</v>
      </c>
    </row>
    <row r="119" spans="1:21" ht="12.75">
      <c r="A119" s="416">
        <f t="shared" si="5"/>
        <v>25</v>
      </c>
      <c r="B119" s="417" t="s">
        <v>256</v>
      </c>
      <c r="C119" s="417" t="s">
        <v>135</v>
      </c>
      <c r="D119" s="417">
        <v>2008</v>
      </c>
      <c r="E119" s="419" t="s">
        <v>136</v>
      </c>
      <c r="F119" s="378"/>
      <c r="G119" s="416">
        <f t="shared" si="6"/>
        <v>4</v>
      </c>
      <c r="H119" s="419" t="s">
        <v>260</v>
      </c>
      <c r="J119" s="420">
        <v>0.01728113895136762</v>
      </c>
      <c r="K119" s="421">
        <v>301.20090777954067</v>
      </c>
      <c r="L119" s="419">
        <v>10</v>
      </c>
      <c r="M119" s="378"/>
      <c r="N119" s="422">
        <v>0.3326835607537362</v>
      </c>
      <c r="O119" s="423">
        <v>1</v>
      </c>
      <c r="P119" s="423">
        <v>1</v>
      </c>
      <c r="Q119" s="423">
        <v>1</v>
      </c>
      <c r="R119" s="423">
        <v>1</v>
      </c>
      <c r="S119" s="424">
        <v>1</v>
      </c>
      <c r="T119" s="378"/>
      <c r="U119" s="425">
        <v>28.21650737915212</v>
      </c>
    </row>
    <row r="120" spans="1:21" ht="12.75">
      <c r="A120" s="456">
        <f t="shared" si="5"/>
        <v>25</v>
      </c>
      <c r="B120" s="457" t="s">
        <v>256</v>
      </c>
      <c r="C120" s="457" t="s">
        <v>135</v>
      </c>
      <c r="D120" s="457">
        <v>2008</v>
      </c>
      <c r="E120" s="459" t="s">
        <v>136</v>
      </c>
      <c r="F120" s="378"/>
      <c r="G120" s="456">
        <f t="shared" si="6"/>
        <v>5</v>
      </c>
      <c r="H120" s="459" t="s">
        <v>261</v>
      </c>
      <c r="J120" s="460">
        <v>0.001</v>
      </c>
      <c r="K120" s="461">
        <v>37.2</v>
      </c>
      <c r="L120" s="459">
        <v>16</v>
      </c>
      <c r="M120" s="378"/>
      <c r="N120" s="462">
        <v>0.32847349228611494</v>
      </c>
      <c r="O120" s="463">
        <v>1</v>
      </c>
      <c r="P120" s="463">
        <v>1</v>
      </c>
      <c r="Q120" s="463">
        <v>1</v>
      </c>
      <c r="R120" s="463">
        <v>1</v>
      </c>
      <c r="S120" s="464">
        <v>1</v>
      </c>
      <c r="T120" s="378"/>
      <c r="U120" s="465">
        <v>226.81107208117626</v>
      </c>
    </row>
    <row r="121" spans="1:21" ht="12.75">
      <c r="A121" s="416">
        <f t="shared" si="5"/>
        <v>25</v>
      </c>
      <c r="B121" s="417" t="s">
        <v>256</v>
      </c>
      <c r="C121" s="417" t="s">
        <v>135</v>
      </c>
      <c r="D121" s="417">
        <v>2008</v>
      </c>
      <c r="E121" s="419" t="s">
        <v>136</v>
      </c>
      <c r="F121" s="378"/>
      <c r="G121" s="416">
        <f t="shared" si="6"/>
        <v>6</v>
      </c>
      <c r="H121" s="419" t="s">
        <v>262</v>
      </c>
      <c r="J121" s="420">
        <v>0.0009574199385283738</v>
      </c>
      <c r="K121" s="421">
        <v>30.37765669291339</v>
      </c>
      <c r="L121" s="419">
        <v>4</v>
      </c>
      <c r="M121" s="378"/>
      <c r="N121" s="422">
        <v>0.38567493112947654</v>
      </c>
      <c r="O121" s="423">
        <v>1</v>
      </c>
      <c r="P121" s="423">
        <v>1</v>
      </c>
      <c r="Q121" s="423">
        <v>1</v>
      </c>
      <c r="R121" s="423">
        <v>1</v>
      </c>
      <c r="S121" s="424">
        <v>1</v>
      </c>
      <c r="T121" s="378"/>
      <c r="U121" s="425">
        <v>2893.2892301375455</v>
      </c>
    </row>
    <row r="122" spans="1:21" ht="12.75">
      <c r="A122" s="456">
        <f t="shared" si="5"/>
        <v>25</v>
      </c>
      <c r="B122" s="457" t="s">
        <v>256</v>
      </c>
      <c r="C122" s="457" t="s">
        <v>135</v>
      </c>
      <c r="D122" s="457">
        <v>2008</v>
      </c>
      <c r="E122" s="459" t="s">
        <v>136</v>
      </c>
      <c r="F122" s="378"/>
      <c r="G122" s="456">
        <f t="shared" si="6"/>
        <v>7</v>
      </c>
      <c r="H122" s="459" t="s">
        <v>263</v>
      </c>
      <c r="J122" s="460">
        <v>0.00308224471774191</v>
      </c>
      <c r="K122" s="461">
        <v>97.79551073798183</v>
      </c>
      <c r="L122" s="459">
        <v>6</v>
      </c>
      <c r="M122" s="378"/>
      <c r="N122" s="462">
        <v>0.3767123287671233</v>
      </c>
      <c r="O122" s="463">
        <v>1</v>
      </c>
      <c r="P122" s="463">
        <v>1</v>
      </c>
      <c r="Q122" s="463">
        <v>1</v>
      </c>
      <c r="R122" s="463">
        <v>1</v>
      </c>
      <c r="S122" s="464">
        <v>1</v>
      </c>
      <c r="T122" s="378"/>
      <c r="U122" s="465">
        <v>186.53011107357497</v>
      </c>
    </row>
    <row r="123" spans="1:21" ht="12.75">
      <c r="A123" s="416">
        <f t="shared" si="5"/>
        <v>25</v>
      </c>
      <c r="B123" s="417" t="s">
        <v>256</v>
      </c>
      <c r="C123" s="417" t="s">
        <v>135</v>
      </c>
      <c r="D123" s="417">
        <v>2008</v>
      </c>
      <c r="E123" s="419" t="s">
        <v>136</v>
      </c>
      <c r="F123" s="378"/>
      <c r="G123" s="416">
        <f t="shared" si="6"/>
        <v>8</v>
      </c>
      <c r="H123" s="419" t="s">
        <v>264</v>
      </c>
      <c r="J123" s="420">
        <v>0.004156019368502316</v>
      </c>
      <c r="K123" s="421">
        <v>53.3039104477612</v>
      </c>
      <c r="L123" s="419">
        <v>10</v>
      </c>
      <c r="M123" s="378"/>
      <c r="N123" s="422">
        <v>0.40740740740740733</v>
      </c>
      <c r="O123" s="423">
        <v>1</v>
      </c>
      <c r="P123" s="423">
        <v>1</v>
      </c>
      <c r="Q123" s="423">
        <v>1</v>
      </c>
      <c r="R123" s="423">
        <v>1</v>
      </c>
      <c r="S123" s="424">
        <v>1</v>
      </c>
      <c r="T123" s="378"/>
      <c r="U123" s="425">
        <v>13.373367840157986</v>
      </c>
    </row>
    <row r="124" spans="1:21" ht="12.75">
      <c r="A124" s="456">
        <f t="shared" si="5"/>
        <v>25</v>
      </c>
      <c r="B124" s="457" t="s">
        <v>256</v>
      </c>
      <c r="C124" s="457" t="s">
        <v>135</v>
      </c>
      <c r="D124" s="457">
        <v>2008</v>
      </c>
      <c r="E124" s="459" t="s">
        <v>136</v>
      </c>
      <c r="F124" s="378"/>
      <c r="G124" s="456">
        <f t="shared" si="6"/>
        <v>9</v>
      </c>
      <c r="H124" s="459" t="s">
        <v>265</v>
      </c>
      <c r="J124" s="460">
        <v>0</v>
      </c>
      <c r="K124" s="461">
        <v>63.658120980035164</v>
      </c>
      <c r="L124" s="459">
        <v>15</v>
      </c>
      <c r="M124" s="378"/>
      <c r="N124" s="462">
        <v>0.4651162790697675</v>
      </c>
      <c r="O124" s="463">
        <v>1</v>
      </c>
      <c r="P124" s="463">
        <v>1</v>
      </c>
      <c r="Q124" s="463">
        <v>1</v>
      </c>
      <c r="R124" s="463">
        <v>1</v>
      </c>
      <c r="S124" s="464">
        <v>1</v>
      </c>
      <c r="T124" s="378"/>
      <c r="U124" s="465">
        <v>78.66117377183299</v>
      </c>
    </row>
    <row r="125" spans="1:21" ht="12.75">
      <c r="A125" s="416">
        <f t="shared" si="5"/>
        <v>25</v>
      </c>
      <c r="B125" s="417" t="s">
        <v>256</v>
      </c>
      <c r="C125" s="417" t="s">
        <v>135</v>
      </c>
      <c r="D125" s="417">
        <v>2008</v>
      </c>
      <c r="E125" s="419" t="s">
        <v>136</v>
      </c>
      <c r="F125" s="378"/>
      <c r="G125" s="416">
        <f t="shared" si="6"/>
        <v>10</v>
      </c>
      <c r="H125" s="419" t="s">
        <v>266</v>
      </c>
      <c r="J125" s="495" t="s">
        <v>156</v>
      </c>
      <c r="K125" s="496" t="s">
        <v>156</v>
      </c>
      <c r="L125" s="513" t="s">
        <v>156</v>
      </c>
      <c r="M125" s="378"/>
      <c r="N125" s="422">
        <v>0</v>
      </c>
      <c r="O125" s="423">
        <v>1</v>
      </c>
      <c r="P125" s="423">
        <v>1</v>
      </c>
      <c r="Q125" s="423">
        <v>1</v>
      </c>
      <c r="R125" s="423">
        <v>1</v>
      </c>
      <c r="S125" s="424">
        <v>1</v>
      </c>
      <c r="T125" s="378"/>
      <c r="U125" s="514" t="s">
        <v>156</v>
      </c>
    </row>
    <row r="126" spans="1:21" s="378" customFormat="1" ht="12.75">
      <c r="A126" s="426">
        <f t="shared" si="5"/>
        <v>25</v>
      </c>
      <c r="B126" s="427" t="s">
        <v>256</v>
      </c>
      <c r="C126" s="427" t="s">
        <v>135</v>
      </c>
      <c r="D126" s="427">
        <v>2008</v>
      </c>
      <c r="E126" s="429" t="s">
        <v>136</v>
      </c>
      <c r="G126" s="426">
        <f t="shared" si="6"/>
        <v>11</v>
      </c>
      <c r="H126" s="429" t="s">
        <v>267</v>
      </c>
      <c r="J126" s="430">
        <v>0.0022000000000000006</v>
      </c>
      <c r="K126" s="431">
        <v>52.96</v>
      </c>
      <c r="L126" s="429">
        <v>8</v>
      </c>
      <c r="N126" s="432">
        <v>0.5225560737286253</v>
      </c>
      <c r="O126" s="433">
        <v>1</v>
      </c>
      <c r="P126" s="433">
        <v>1</v>
      </c>
      <c r="Q126" s="433">
        <v>1</v>
      </c>
      <c r="R126" s="433">
        <v>1</v>
      </c>
      <c r="S126" s="434">
        <v>1</v>
      </c>
      <c r="U126" s="435">
        <v>1712.6385839298534</v>
      </c>
    </row>
    <row r="127" spans="1:21" s="378" customFormat="1" ht="12.75">
      <c r="A127" s="515">
        <v>25</v>
      </c>
      <c r="B127" s="516" t="s">
        <v>256</v>
      </c>
      <c r="C127" s="516" t="s">
        <v>135</v>
      </c>
      <c r="D127" s="516">
        <v>2008</v>
      </c>
      <c r="E127" s="517" t="s">
        <v>136</v>
      </c>
      <c r="G127" s="515">
        <f t="shared" si="6"/>
        <v>12</v>
      </c>
      <c r="H127" s="517" t="s">
        <v>183</v>
      </c>
      <c r="J127" s="518">
        <v>0.0030000000000000005</v>
      </c>
      <c r="K127" s="519">
        <v>102.23333333333333</v>
      </c>
      <c r="L127" s="517">
        <v>10</v>
      </c>
      <c r="N127" s="520">
        <v>0.4536459632493556</v>
      </c>
      <c r="O127" s="521">
        <v>1</v>
      </c>
      <c r="P127" s="521">
        <v>1</v>
      </c>
      <c r="Q127" s="521">
        <v>1</v>
      </c>
      <c r="R127" s="521">
        <v>1</v>
      </c>
      <c r="S127" s="522">
        <v>1</v>
      </c>
      <c r="U127" s="523">
        <v>243.80160339861337</v>
      </c>
    </row>
    <row r="128" spans="1:21" s="378" customFormat="1" ht="12.75">
      <c r="A128" s="426">
        <v>25</v>
      </c>
      <c r="B128" s="427" t="s">
        <v>256</v>
      </c>
      <c r="C128" s="427" t="s">
        <v>135</v>
      </c>
      <c r="D128" s="427">
        <v>2008</v>
      </c>
      <c r="E128" s="429" t="s">
        <v>136</v>
      </c>
      <c r="G128" s="426">
        <f t="shared" si="6"/>
        <v>13</v>
      </c>
      <c r="H128" s="429" t="s">
        <v>268</v>
      </c>
      <c r="J128" s="430">
        <v>0</v>
      </c>
      <c r="K128" s="431">
        <v>0</v>
      </c>
      <c r="L128" s="524" t="s">
        <v>156</v>
      </c>
      <c r="N128" s="432">
        <v>0</v>
      </c>
      <c r="O128" s="433">
        <v>1</v>
      </c>
      <c r="P128" s="433">
        <v>1</v>
      </c>
      <c r="Q128" s="433">
        <v>1</v>
      </c>
      <c r="R128" s="433">
        <v>1</v>
      </c>
      <c r="S128" s="434">
        <v>1</v>
      </c>
      <c r="U128" s="435">
        <v>53.79174294249703</v>
      </c>
    </row>
    <row r="129" spans="1:21" s="378" customFormat="1" ht="12.75">
      <c r="A129" s="515">
        <v>25</v>
      </c>
      <c r="B129" s="516" t="s">
        <v>256</v>
      </c>
      <c r="C129" s="516" t="s">
        <v>135</v>
      </c>
      <c r="D129" s="516">
        <v>2008</v>
      </c>
      <c r="E129" s="517" t="s">
        <v>136</v>
      </c>
      <c r="G129" s="515">
        <f t="shared" si="6"/>
        <v>14</v>
      </c>
      <c r="H129" s="517" t="s">
        <v>269</v>
      </c>
      <c r="J129" s="518">
        <v>0</v>
      </c>
      <c r="K129" s="519">
        <v>0</v>
      </c>
      <c r="L129" s="525" t="s">
        <v>156</v>
      </c>
      <c r="N129" s="520">
        <v>0</v>
      </c>
      <c r="O129" s="521">
        <v>1</v>
      </c>
      <c r="P129" s="521">
        <v>1</v>
      </c>
      <c r="Q129" s="521">
        <v>1</v>
      </c>
      <c r="R129" s="521">
        <v>1</v>
      </c>
      <c r="S129" s="522">
        <v>1</v>
      </c>
      <c r="U129" s="523">
        <v>867.5593659245693</v>
      </c>
    </row>
    <row r="130" spans="1:21" s="378" customFormat="1" ht="12.75">
      <c r="A130" s="426">
        <v>25</v>
      </c>
      <c r="B130" s="427" t="s">
        <v>256</v>
      </c>
      <c r="C130" s="427" t="s">
        <v>135</v>
      </c>
      <c r="D130" s="427">
        <v>2008</v>
      </c>
      <c r="E130" s="429" t="s">
        <v>136</v>
      </c>
      <c r="G130" s="426">
        <f t="shared" si="6"/>
        <v>15</v>
      </c>
      <c r="H130" s="429" t="s">
        <v>270</v>
      </c>
      <c r="J130" s="430">
        <v>0</v>
      </c>
      <c r="K130" s="431">
        <v>0</v>
      </c>
      <c r="L130" s="524" t="s">
        <v>156</v>
      </c>
      <c r="N130" s="432">
        <v>0</v>
      </c>
      <c r="O130" s="433">
        <v>1</v>
      </c>
      <c r="P130" s="433">
        <v>1</v>
      </c>
      <c r="Q130" s="433">
        <v>1</v>
      </c>
      <c r="R130" s="433">
        <v>1</v>
      </c>
      <c r="S130" s="434">
        <v>1</v>
      </c>
      <c r="U130" s="435">
        <v>26.594325131668132</v>
      </c>
    </row>
    <row r="131" spans="1:21" s="378" customFormat="1" ht="12.75">
      <c r="A131" s="515">
        <v>25</v>
      </c>
      <c r="B131" s="516" t="s">
        <v>256</v>
      </c>
      <c r="C131" s="516" t="s">
        <v>135</v>
      </c>
      <c r="D131" s="516">
        <v>2008</v>
      </c>
      <c r="E131" s="517" t="s">
        <v>136</v>
      </c>
      <c r="G131" s="515">
        <f t="shared" si="6"/>
        <v>16</v>
      </c>
      <c r="H131" s="517" t="s">
        <v>271</v>
      </c>
      <c r="J131" s="518">
        <v>0.003</v>
      </c>
      <c r="K131" s="519">
        <v>38</v>
      </c>
      <c r="L131" s="517">
        <v>6</v>
      </c>
      <c r="N131" s="520">
        <v>0.4682325760492876</v>
      </c>
      <c r="O131" s="521">
        <v>1</v>
      </c>
      <c r="P131" s="521">
        <v>1</v>
      </c>
      <c r="Q131" s="521">
        <v>1</v>
      </c>
      <c r="R131" s="521">
        <v>1</v>
      </c>
      <c r="S131" s="522">
        <v>1</v>
      </c>
      <c r="U131" s="523">
        <v>1597.6327568436593</v>
      </c>
    </row>
    <row r="132" spans="1:21" s="378" customFormat="1" ht="12.75">
      <c r="A132" s="426">
        <v>25</v>
      </c>
      <c r="B132" s="427" t="s">
        <v>256</v>
      </c>
      <c r="C132" s="427" t="s">
        <v>135</v>
      </c>
      <c r="D132" s="427">
        <v>2008</v>
      </c>
      <c r="E132" s="429" t="s">
        <v>136</v>
      </c>
      <c r="G132" s="426">
        <f t="shared" si="6"/>
        <v>17</v>
      </c>
      <c r="H132" s="429" t="s">
        <v>272</v>
      </c>
      <c r="J132" s="430">
        <v>0</v>
      </c>
      <c r="K132" s="431">
        <v>0</v>
      </c>
      <c r="L132" s="524" t="s">
        <v>156</v>
      </c>
      <c r="N132" s="432">
        <v>0</v>
      </c>
      <c r="O132" s="433">
        <v>1</v>
      </c>
      <c r="P132" s="433">
        <v>1</v>
      </c>
      <c r="Q132" s="433">
        <v>1</v>
      </c>
      <c r="R132" s="433">
        <v>1</v>
      </c>
      <c r="S132" s="434">
        <v>1</v>
      </c>
      <c r="U132" s="435">
        <v>208.99584771851735</v>
      </c>
    </row>
    <row r="133" spans="1:21" s="378" customFormat="1" ht="12.75">
      <c r="A133" s="515">
        <v>25</v>
      </c>
      <c r="B133" s="516" t="s">
        <v>256</v>
      </c>
      <c r="C133" s="516" t="s">
        <v>135</v>
      </c>
      <c r="D133" s="516">
        <v>2008</v>
      </c>
      <c r="E133" s="517" t="s">
        <v>136</v>
      </c>
      <c r="G133" s="515">
        <f t="shared" si="6"/>
        <v>18</v>
      </c>
      <c r="H133" s="517" t="s">
        <v>273</v>
      </c>
      <c r="J133" s="518">
        <v>0.29</v>
      </c>
      <c r="K133" s="519">
        <v>499.8</v>
      </c>
      <c r="L133" s="517">
        <v>12</v>
      </c>
      <c r="N133" s="520">
        <v>0.35</v>
      </c>
      <c r="O133" s="521">
        <v>1</v>
      </c>
      <c r="P133" s="521">
        <v>1</v>
      </c>
      <c r="Q133" s="521">
        <v>1</v>
      </c>
      <c r="R133" s="521">
        <v>1</v>
      </c>
      <c r="S133" s="522">
        <v>1</v>
      </c>
      <c r="U133" s="523">
        <v>0.49856570511251025</v>
      </c>
    </row>
    <row r="134" spans="1:21" s="378" customFormat="1" ht="12.75">
      <c r="A134" s="426">
        <v>25</v>
      </c>
      <c r="B134" s="427" t="s">
        <v>256</v>
      </c>
      <c r="C134" s="427" t="s">
        <v>135</v>
      </c>
      <c r="D134" s="427">
        <v>2008</v>
      </c>
      <c r="E134" s="429" t="s">
        <v>136</v>
      </c>
      <c r="G134" s="426">
        <f t="shared" si="6"/>
        <v>19</v>
      </c>
      <c r="H134" s="429" t="s">
        <v>274</v>
      </c>
      <c r="J134" s="430">
        <v>0.142</v>
      </c>
      <c r="K134" s="431">
        <v>140.7</v>
      </c>
      <c r="L134" s="429">
        <v>9</v>
      </c>
      <c r="N134" s="432">
        <v>0.42</v>
      </c>
      <c r="O134" s="433">
        <v>1</v>
      </c>
      <c r="P134" s="433">
        <v>1</v>
      </c>
      <c r="Q134" s="433">
        <v>1</v>
      </c>
      <c r="R134" s="433">
        <v>1</v>
      </c>
      <c r="S134" s="434">
        <v>1</v>
      </c>
      <c r="U134" s="435">
        <v>0.5592276920463518</v>
      </c>
    </row>
    <row r="135" spans="1:21" s="378" customFormat="1" ht="12.75">
      <c r="A135" s="515">
        <v>25</v>
      </c>
      <c r="B135" s="516" t="s">
        <v>256</v>
      </c>
      <c r="C135" s="516" t="s">
        <v>135</v>
      </c>
      <c r="D135" s="516">
        <v>2008</v>
      </c>
      <c r="E135" s="517" t="s">
        <v>136</v>
      </c>
      <c r="G135" s="515">
        <f t="shared" si="6"/>
        <v>20</v>
      </c>
      <c r="H135" s="517" t="s">
        <v>275</v>
      </c>
      <c r="J135" s="518">
        <v>0.29</v>
      </c>
      <c r="K135" s="519">
        <v>499.8</v>
      </c>
      <c r="L135" s="517">
        <v>12</v>
      </c>
      <c r="N135" s="520">
        <v>0.44</v>
      </c>
      <c r="O135" s="521">
        <v>1</v>
      </c>
      <c r="P135" s="521">
        <v>1</v>
      </c>
      <c r="Q135" s="521">
        <v>1</v>
      </c>
      <c r="R135" s="521">
        <v>1</v>
      </c>
      <c r="S135" s="522">
        <v>1</v>
      </c>
      <c r="U135" s="523">
        <v>14.970240963017085</v>
      </c>
    </row>
    <row r="136" spans="1:21" s="378" customFormat="1" ht="12.75">
      <c r="A136" s="426">
        <v>25</v>
      </c>
      <c r="B136" s="427" t="s">
        <v>256</v>
      </c>
      <c r="C136" s="427" t="s">
        <v>135</v>
      </c>
      <c r="D136" s="427">
        <v>2008</v>
      </c>
      <c r="E136" s="429" t="s">
        <v>136</v>
      </c>
      <c r="G136" s="426">
        <f t="shared" si="6"/>
        <v>21</v>
      </c>
      <c r="H136" s="429" t="s">
        <v>276</v>
      </c>
      <c r="J136" s="430">
        <v>0.142</v>
      </c>
      <c r="K136" s="431">
        <v>140.7</v>
      </c>
      <c r="L136" s="429">
        <v>9</v>
      </c>
      <c r="N136" s="432">
        <v>0.44</v>
      </c>
      <c r="O136" s="433">
        <v>1</v>
      </c>
      <c r="P136" s="433">
        <v>1</v>
      </c>
      <c r="Q136" s="433">
        <v>1</v>
      </c>
      <c r="R136" s="433">
        <v>1</v>
      </c>
      <c r="S136" s="434">
        <v>1</v>
      </c>
      <c r="U136" s="435">
        <v>16.179689327510552</v>
      </c>
    </row>
    <row r="137" spans="1:21" s="378" customFormat="1" ht="12.75">
      <c r="A137" s="473">
        <v>25</v>
      </c>
      <c r="B137" s="474" t="s">
        <v>256</v>
      </c>
      <c r="C137" s="474" t="s">
        <v>135</v>
      </c>
      <c r="D137" s="474">
        <v>2008</v>
      </c>
      <c r="E137" s="475" t="s">
        <v>136</v>
      </c>
      <c r="G137" s="473">
        <f t="shared" si="6"/>
        <v>22</v>
      </c>
      <c r="H137" s="475" t="s">
        <v>277</v>
      </c>
      <c r="J137" s="476">
        <v>0.009</v>
      </c>
      <c r="K137" s="477">
        <v>275.2</v>
      </c>
      <c r="L137" s="475">
        <v>16</v>
      </c>
      <c r="N137" s="478">
        <v>0.48</v>
      </c>
      <c r="O137" s="479">
        <v>1</v>
      </c>
      <c r="P137" s="479">
        <v>1</v>
      </c>
      <c r="Q137" s="479">
        <v>1</v>
      </c>
      <c r="R137" s="479">
        <v>1</v>
      </c>
      <c r="S137" s="480">
        <v>1</v>
      </c>
      <c r="U137" s="481">
        <v>12.905837720174791</v>
      </c>
    </row>
    <row r="138" spans="1:21" ht="12.75">
      <c r="A138" s="395">
        <f>A116+1</f>
        <v>26</v>
      </c>
      <c r="B138" s="396" t="s">
        <v>278</v>
      </c>
      <c r="C138" s="396" t="s">
        <v>185</v>
      </c>
      <c r="D138" s="396">
        <v>2008</v>
      </c>
      <c r="E138" s="398" t="s">
        <v>136</v>
      </c>
      <c r="F138" s="378"/>
      <c r="G138" s="395">
        <v>1</v>
      </c>
      <c r="H138" s="398" t="s">
        <v>186</v>
      </c>
      <c r="J138" s="399">
        <v>0.865</v>
      </c>
      <c r="K138" s="400">
        <v>17.3</v>
      </c>
      <c r="L138" s="398">
        <v>13</v>
      </c>
      <c r="M138" s="378"/>
      <c r="N138" s="401">
        <v>0.9</v>
      </c>
      <c r="O138" s="402">
        <v>1</v>
      </c>
      <c r="P138" s="402">
        <v>1</v>
      </c>
      <c r="Q138" s="402">
        <v>1</v>
      </c>
      <c r="R138" s="402">
        <v>1</v>
      </c>
      <c r="S138" s="403">
        <v>0.9</v>
      </c>
      <c r="T138" s="378"/>
      <c r="U138" s="404">
        <v>0</v>
      </c>
    </row>
    <row r="139" spans="1:21" ht="12.75">
      <c r="A139" s="416">
        <f>A138</f>
        <v>26</v>
      </c>
      <c r="B139" s="417" t="s">
        <v>278</v>
      </c>
      <c r="C139" s="417" t="s">
        <v>185</v>
      </c>
      <c r="D139" s="417">
        <v>2008</v>
      </c>
      <c r="E139" s="419" t="s">
        <v>136</v>
      </c>
      <c r="F139" s="378"/>
      <c r="G139" s="416">
        <f>G138+1</f>
        <v>2</v>
      </c>
      <c r="H139" s="419" t="s">
        <v>187</v>
      </c>
      <c r="J139" s="420">
        <v>0.865</v>
      </c>
      <c r="K139" s="421">
        <v>17.3</v>
      </c>
      <c r="L139" s="419">
        <v>13</v>
      </c>
      <c r="M139" s="378"/>
      <c r="N139" s="422">
        <v>0.9</v>
      </c>
      <c r="O139" s="423">
        <v>1</v>
      </c>
      <c r="P139" s="423">
        <v>1</v>
      </c>
      <c r="Q139" s="423">
        <v>1</v>
      </c>
      <c r="R139" s="423">
        <v>1</v>
      </c>
      <c r="S139" s="424">
        <v>0.9</v>
      </c>
      <c r="T139" s="378"/>
      <c r="U139" s="425">
        <v>0</v>
      </c>
    </row>
    <row r="140" spans="1:21" ht="12.75">
      <c r="A140" s="456">
        <f>A139</f>
        <v>26</v>
      </c>
      <c r="B140" s="457" t="s">
        <v>278</v>
      </c>
      <c r="C140" s="457" t="s">
        <v>185</v>
      </c>
      <c r="D140" s="457">
        <v>2008</v>
      </c>
      <c r="E140" s="459" t="s">
        <v>136</v>
      </c>
      <c r="F140" s="378"/>
      <c r="G140" s="456">
        <f>G139+1</f>
        <v>3</v>
      </c>
      <c r="H140" s="459" t="s">
        <v>188</v>
      </c>
      <c r="J140" s="460">
        <v>0.3</v>
      </c>
      <c r="K140" s="461">
        <v>6</v>
      </c>
      <c r="L140" s="459">
        <v>13</v>
      </c>
      <c r="M140" s="378"/>
      <c r="N140" s="462">
        <v>0.9</v>
      </c>
      <c r="O140" s="463">
        <v>1</v>
      </c>
      <c r="P140" s="463">
        <v>1</v>
      </c>
      <c r="Q140" s="463">
        <v>1</v>
      </c>
      <c r="R140" s="463">
        <v>1</v>
      </c>
      <c r="S140" s="464">
        <v>0.9</v>
      </c>
      <c r="T140" s="378"/>
      <c r="U140" s="465">
        <v>0</v>
      </c>
    </row>
    <row r="141" spans="1:21" ht="12.75">
      <c r="A141" s="416">
        <f>A140</f>
        <v>26</v>
      </c>
      <c r="B141" s="417" t="s">
        <v>278</v>
      </c>
      <c r="C141" s="417" t="s">
        <v>185</v>
      </c>
      <c r="D141" s="417">
        <v>2008</v>
      </c>
      <c r="E141" s="419" t="s">
        <v>136</v>
      </c>
      <c r="F141" s="378"/>
      <c r="G141" s="416">
        <f>G140+1</f>
        <v>4</v>
      </c>
      <c r="H141" s="419" t="s">
        <v>189</v>
      </c>
      <c r="J141" s="420">
        <v>3.7</v>
      </c>
      <c r="K141" s="421">
        <v>74</v>
      </c>
      <c r="L141" s="419">
        <v>13</v>
      </c>
      <c r="M141" s="378"/>
      <c r="N141" s="422">
        <v>0.9</v>
      </c>
      <c r="O141" s="423">
        <v>1</v>
      </c>
      <c r="P141" s="423">
        <v>1</v>
      </c>
      <c r="Q141" s="423">
        <v>1</v>
      </c>
      <c r="R141" s="423">
        <v>1</v>
      </c>
      <c r="S141" s="424">
        <v>0.9</v>
      </c>
      <c r="T141" s="378"/>
      <c r="U141" s="425">
        <v>0</v>
      </c>
    </row>
    <row r="142" spans="1:21" ht="12.75">
      <c r="A142" s="456">
        <f>A141</f>
        <v>26</v>
      </c>
      <c r="B142" s="457" t="s">
        <v>278</v>
      </c>
      <c r="C142" s="457" t="s">
        <v>185</v>
      </c>
      <c r="D142" s="457">
        <v>2008</v>
      </c>
      <c r="E142" s="459" t="s">
        <v>136</v>
      </c>
      <c r="F142" s="378"/>
      <c r="G142" s="456">
        <f>G141+1</f>
        <v>5</v>
      </c>
      <c r="H142" s="459" t="s">
        <v>190</v>
      </c>
      <c r="J142" s="460">
        <v>3.7</v>
      </c>
      <c r="K142" s="461">
        <v>74</v>
      </c>
      <c r="L142" s="459">
        <v>13</v>
      </c>
      <c r="M142" s="378"/>
      <c r="N142" s="462">
        <v>0.9</v>
      </c>
      <c r="O142" s="463">
        <v>1</v>
      </c>
      <c r="P142" s="463">
        <v>1</v>
      </c>
      <c r="Q142" s="463">
        <v>1</v>
      </c>
      <c r="R142" s="463">
        <v>1</v>
      </c>
      <c r="S142" s="464">
        <v>0.9</v>
      </c>
      <c r="T142" s="378"/>
      <c r="U142" s="465">
        <v>0</v>
      </c>
    </row>
    <row r="143" spans="1:21" s="378" customFormat="1" ht="12.75">
      <c r="A143" s="473">
        <f>A142</f>
        <v>26</v>
      </c>
      <c r="B143" s="474" t="s">
        <v>278</v>
      </c>
      <c r="C143" s="474" t="s">
        <v>185</v>
      </c>
      <c r="D143" s="474">
        <v>2008</v>
      </c>
      <c r="E143" s="475" t="s">
        <v>136</v>
      </c>
      <c r="G143" s="473">
        <f>G142+1</f>
        <v>6</v>
      </c>
      <c r="H143" s="475" t="s">
        <v>191</v>
      </c>
      <c r="J143" s="476">
        <v>1.85</v>
      </c>
      <c r="K143" s="477">
        <v>37</v>
      </c>
      <c r="L143" s="475">
        <v>13</v>
      </c>
      <c r="N143" s="478">
        <v>0.9</v>
      </c>
      <c r="O143" s="479">
        <v>1</v>
      </c>
      <c r="P143" s="479">
        <v>1</v>
      </c>
      <c r="Q143" s="479">
        <v>1</v>
      </c>
      <c r="R143" s="479">
        <v>1</v>
      </c>
      <c r="S143" s="480">
        <v>0.9</v>
      </c>
      <c r="U143" s="481">
        <v>0</v>
      </c>
    </row>
    <row r="144" spans="1:21" ht="12.75">
      <c r="A144" s="456">
        <f>A138+1</f>
        <v>27</v>
      </c>
      <c r="B144" s="457" t="s">
        <v>279</v>
      </c>
      <c r="C144" s="457" t="s">
        <v>227</v>
      </c>
      <c r="D144" s="457">
        <v>2008</v>
      </c>
      <c r="E144" s="459" t="s">
        <v>136</v>
      </c>
      <c r="F144" s="378"/>
      <c r="G144" s="456">
        <v>1</v>
      </c>
      <c r="H144" s="459" t="s">
        <v>280</v>
      </c>
      <c r="J144" s="497" t="s">
        <v>156</v>
      </c>
      <c r="K144" s="498" t="s">
        <v>156</v>
      </c>
      <c r="L144" s="526" t="s">
        <v>156</v>
      </c>
      <c r="M144" s="378"/>
      <c r="N144" s="527" t="s">
        <v>156</v>
      </c>
      <c r="O144" s="528" t="s">
        <v>156</v>
      </c>
      <c r="P144" s="528" t="s">
        <v>156</v>
      </c>
      <c r="Q144" s="528" t="s">
        <v>156</v>
      </c>
      <c r="R144" s="528" t="s">
        <v>156</v>
      </c>
      <c r="S144" s="529" t="s">
        <v>156</v>
      </c>
      <c r="T144" s="378"/>
      <c r="U144" s="501" t="s">
        <v>156</v>
      </c>
    </row>
    <row r="145" spans="1:21" ht="12.75">
      <c r="A145" s="416">
        <f>A144</f>
        <v>27</v>
      </c>
      <c r="B145" s="417" t="s">
        <v>279</v>
      </c>
      <c r="C145" s="417" t="s">
        <v>227</v>
      </c>
      <c r="D145" s="417">
        <v>2008</v>
      </c>
      <c r="E145" s="419" t="s">
        <v>136</v>
      </c>
      <c r="F145" s="378"/>
      <c r="G145" s="416">
        <f>G144+1</f>
        <v>2</v>
      </c>
      <c r="H145" s="419" t="s">
        <v>281</v>
      </c>
      <c r="J145" s="495" t="s">
        <v>156</v>
      </c>
      <c r="K145" s="496" t="s">
        <v>156</v>
      </c>
      <c r="L145" s="513" t="s">
        <v>156</v>
      </c>
      <c r="M145" s="378"/>
      <c r="N145" s="530" t="s">
        <v>156</v>
      </c>
      <c r="O145" s="531" t="s">
        <v>156</v>
      </c>
      <c r="P145" s="531" t="s">
        <v>156</v>
      </c>
      <c r="Q145" s="531" t="s">
        <v>156</v>
      </c>
      <c r="R145" s="531" t="s">
        <v>156</v>
      </c>
      <c r="S145" s="532" t="s">
        <v>156</v>
      </c>
      <c r="T145" s="378"/>
      <c r="U145" s="514" t="s">
        <v>156</v>
      </c>
    </row>
    <row r="146" spans="1:21" ht="12.75">
      <c r="A146" s="456">
        <f aca="true" t="shared" si="7" ref="A146:A209">A145</f>
        <v>27</v>
      </c>
      <c r="B146" s="457" t="s">
        <v>279</v>
      </c>
      <c r="C146" s="457" t="s">
        <v>227</v>
      </c>
      <c r="D146" s="457">
        <v>2008</v>
      </c>
      <c r="E146" s="459" t="s">
        <v>136</v>
      </c>
      <c r="F146" s="378"/>
      <c r="G146" s="456">
        <f aca="true" t="shared" si="8" ref="G146:G209">G145+1</f>
        <v>3</v>
      </c>
      <c r="H146" s="459" t="s">
        <v>282</v>
      </c>
      <c r="J146" s="497" t="s">
        <v>156</v>
      </c>
      <c r="K146" s="498" t="s">
        <v>156</v>
      </c>
      <c r="L146" s="526" t="s">
        <v>156</v>
      </c>
      <c r="M146" s="378"/>
      <c r="N146" s="527" t="s">
        <v>156</v>
      </c>
      <c r="O146" s="528" t="s">
        <v>156</v>
      </c>
      <c r="P146" s="528" t="s">
        <v>156</v>
      </c>
      <c r="Q146" s="528" t="s">
        <v>156</v>
      </c>
      <c r="R146" s="528" t="s">
        <v>156</v>
      </c>
      <c r="S146" s="529" t="s">
        <v>156</v>
      </c>
      <c r="T146" s="378"/>
      <c r="U146" s="501" t="s">
        <v>156</v>
      </c>
    </row>
    <row r="147" spans="1:21" ht="12.75">
      <c r="A147" s="416">
        <f t="shared" si="7"/>
        <v>27</v>
      </c>
      <c r="B147" s="417" t="s">
        <v>279</v>
      </c>
      <c r="C147" s="417" t="s">
        <v>227</v>
      </c>
      <c r="D147" s="417">
        <v>2008</v>
      </c>
      <c r="E147" s="419" t="s">
        <v>136</v>
      </c>
      <c r="F147" s="378"/>
      <c r="G147" s="416">
        <f t="shared" si="8"/>
        <v>4</v>
      </c>
      <c r="H147" s="419" t="s">
        <v>283</v>
      </c>
      <c r="J147" s="495" t="s">
        <v>156</v>
      </c>
      <c r="K147" s="496" t="s">
        <v>156</v>
      </c>
      <c r="L147" s="513" t="s">
        <v>156</v>
      </c>
      <c r="M147" s="378"/>
      <c r="N147" s="530" t="s">
        <v>156</v>
      </c>
      <c r="O147" s="531" t="s">
        <v>156</v>
      </c>
      <c r="P147" s="531" t="s">
        <v>156</v>
      </c>
      <c r="Q147" s="531" t="s">
        <v>156</v>
      </c>
      <c r="R147" s="531" t="s">
        <v>156</v>
      </c>
      <c r="S147" s="532" t="s">
        <v>156</v>
      </c>
      <c r="T147" s="378"/>
      <c r="U147" s="514" t="s">
        <v>156</v>
      </c>
    </row>
    <row r="148" spans="1:21" ht="12.75">
      <c r="A148" s="456">
        <f t="shared" si="7"/>
        <v>27</v>
      </c>
      <c r="B148" s="457" t="s">
        <v>279</v>
      </c>
      <c r="C148" s="457" t="s">
        <v>227</v>
      </c>
      <c r="D148" s="457">
        <v>2008</v>
      </c>
      <c r="E148" s="459" t="s">
        <v>136</v>
      </c>
      <c r="F148" s="378"/>
      <c r="G148" s="456">
        <f t="shared" si="8"/>
        <v>5</v>
      </c>
      <c r="H148" s="459" t="s">
        <v>284</v>
      </c>
      <c r="J148" s="497" t="s">
        <v>156</v>
      </c>
      <c r="K148" s="498" t="s">
        <v>156</v>
      </c>
      <c r="L148" s="526" t="s">
        <v>156</v>
      </c>
      <c r="M148" s="378"/>
      <c r="N148" s="527" t="s">
        <v>156</v>
      </c>
      <c r="O148" s="528" t="s">
        <v>156</v>
      </c>
      <c r="P148" s="528" t="s">
        <v>156</v>
      </c>
      <c r="Q148" s="528" t="s">
        <v>156</v>
      </c>
      <c r="R148" s="528" t="s">
        <v>156</v>
      </c>
      <c r="S148" s="529" t="s">
        <v>156</v>
      </c>
      <c r="T148" s="378"/>
      <c r="U148" s="501" t="s">
        <v>156</v>
      </c>
    </row>
    <row r="149" spans="1:21" ht="12.75">
      <c r="A149" s="416">
        <f t="shared" si="7"/>
        <v>27</v>
      </c>
      <c r="B149" s="417" t="s">
        <v>279</v>
      </c>
      <c r="C149" s="417" t="s">
        <v>227</v>
      </c>
      <c r="D149" s="417">
        <v>2008</v>
      </c>
      <c r="E149" s="419" t="s">
        <v>136</v>
      </c>
      <c r="F149" s="378"/>
      <c r="G149" s="416">
        <f t="shared" si="8"/>
        <v>6</v>
      </c>
      <c r="H149" s="419" t="s">
        <v>285</v>
      </c>
      <c r="J149" s="495" t="s">
        <v>156</v>
      </c>
      <c r="K149" s="496" t="s">
        <v>156</v>
      </c>
      <c r="L149" s="513" t="s">
        <v>156</v>
      </c>
      <c r="M149" s="378"/>
      <c r="N149" s="530" t="s">
        <v>156</v>
      </c>
      <c r="O149" s="531" t="s">
        <v>156</v>
      </c>
      <c r="P149" s="531" t="s">
        <v>156</v>
      </c>
      <c r="Q149" s="531" t="s">
        <v>156</v>
      </c>
      <c r="R149" s="531" t="s">
        <v>156</v>
      </c>
      <c r="S149" s="532" t="s">
        <v>156</v>
      </c>
      <c r="T149" s="378"/>
      <c r="U149" s="514" t="s">
        <v>156</v>
      </c>
    </row>
    <row r="150" spans="1:21" ht="12.75">
      <c r="A150" s="456">
        <f t="shared" si="7"/>
        <v>27</v>
      </c>
      <c r="B150" s="457" t="s">
        <v>279</v>
      </c>
      <c r="C150" s="457" t="s">
        <v>227</v>
      </c>
      <c r="D150" s="457">
        <v>2008</v>
      </c>
      <c r="E150" s="459" t="s">
        <v>136</v>
      </c>
      <c r="F150" s="378"/>
      <c r="G150" s="456">
        <f t="shared" si="8"/>
        <v>7</v>
      </c>
      <c r="H150" s="459" t="s">
        <v>286</v>
      </c>
      <c r="J150" s="497" t="s">
        <v>156</v>
      </c>
      <c r="K150" s="498" t="s">
        <v>156</v>
      </c>
      <c r="L150" s="526" t="s">
        <v>156</v>
      </c>
      <c r="M150" s="378"/>
      <c r="N150" s="527" t="s">
        <v>156</v>
      </c>
      <c r="O150" s="528" t="s">
        <v>156</v>
      </c>
      <c r="P150" s="528" t="s">
        <v>156</v>
      </c>
      <c r="Q150" s="528" t="s">
        <v>156</v>
      </c>
      <c r="R150" s="528" t="s">
        <v>156</v>
      </c>
      <c r="S150" s="529" t="s">
        <v>156</v>
      </c>
      <c r="T150" s="378"/>
      <c r="U150" s="501" t="s">
        <v>156</v>
      </c>
    </row>
    <row r="151" spans="1:21" ht="12.75">
      <c r="A151" s="416">
        <f t="shared" si="7"/>
        <v>27</v>
      </c>
      <c r="B151" s="417" t="s">
        <v>279</v>
      </c>
      <c r="C151" s="417" t="s">
        <v>227</v>
      </c>
      <c r="D151" s="417">
        <v>2008</v>
      </c>
      <c r="E151" s="419" t="s">
        <v>136</v>
      </c>
      <c r="F151" s="378"/>
      <c r="G151" s="416">
        <f t="shared" si="8"/>
        <v>8</v>
      </c>
      <c r="H151" s="419" t="s">
        <v>287</v>
      </c>
      <c r="J151" s="495" t="s">
        <v>156</v>
      </c>
      <c r="K151" s="496" t="s">
        <v>156</v>
      </c>
      <c r="L151" s="513" t="s">
        <v>156</v>
      </c>
      <c r="M151" s="378"/>
      <c r="N151" s="530" t="s">
        <v>156</v>
      </c>
      <c r="O151" s="531" t="s">
        <v>156</v>
      </c>
      <c r="P151" s="531" t="s">
        <v>156</v>
      </c>
      <c r="Q151" s="531" t="s">
        <v>156</v>
      </c>
      <c r="R151" s="531" t="s">
        <v>156</v>
      </c>
      <c r="S151" s="532" t="s">
        <v>156</v>
      </c>
      <c r="T151" s="378"/>
      <c r="U151" s="514" t="s">
        <v>156</v>
      </c>
    </row>
    <row r="152" spans="1:21" ht="12.75">
      <c r="A152" s="456">
        <f t="shared" si="7"/>
        <v>27</v>
      </c>
      <c r="B152" s="457" t="s">
        <v>279</v>
      </c>
      <c r="C152" s="457" t="s">
        <v>227</v>
      </c>
      <c r="D152" s="457">
        <v>2008</v>
      </c>
      <c r="E152" s="459" t="s">
        <v>136</v>
      </c>
      <c r="F152" s="378"/>
      <c r="G152" s="456">
        <f t="shared" si="8"/>
        <v>9</v>
      </c>
      <c r="H152" s="459" t="s">
        <v>288</v>
      </c>
      <c r="J152" s="497" t="s">
        <v>156</v>
      </c>
      <c r="K152" s="498" t="s">
        <v>156</v>
      </c>
      <c r="L152" s="526" t="s">
        <v>156</v>
      </c>
      <c r="M152" s="378"/>
      <c r="N152" s="527" t="s">
        <v>156</v>
      </c>
      <c r="O152" s="528" t="s">
        <v>156</v>
      </c>
      <c r="P152" s="528" t="s">
        <v>156</v>
      </c>
      <c r="Q152" s="528" t="s">
        <v>156</v>
      </c>
      <c r="R152" s="528" t="s">
        <v>156</v>
      </c>
      <c r="S152" s="529" t="s">
        <v>156</v>
      </c>
      <c r="T152" s="378"/>
      <c r="U152" s="501" t="s">
        <v>156</v>
      </c>
    </row>
    <row r="153" spans="1:21" ht="12.75">
      <c r="A153" s="416">
        <f t="shared" si="7"/>
        <v>27</v>
      </c>
      <c r="B153" s="417" t="s">
        <v>279</v>
      </c>
      <c r="C153" s="417" t="s">
        <v>227</v>
      </c>
      <c r="D153" s="417">
        <v>2008</v>
      </c>
      <c r="E153" s="419" t="s">
        <v>136</v>
      </c>
      <c r="F153" s="378"/>
      <c r="G153" s="416">
        <f t="shared" si="8"/>
        <v>10</v>
      </c>
      <c r="H153" s="419" t="s">
        <v>289</v>
      </c>
      <c r="J153" s="495" t="s">
        <v>156</v>
      </c>
      <c r="K153" s="496" t="s">
        <v>156</v>
      </c>
      <c r="L153" s="513" t="s">
        <v>156</v>
      </c>
      <c r="M153" s="378"/>
      <c r="N153" s="530" t="s">
        <v>156</v>
      </c>
      <c r="O153" s="531" t="s">
        <v>156</v>
      </c>
      <c r="P153" s="531" t="s">
        <v>156</v>
      </c>
      <c r="Q153" s="531" t="s">
        <v>156</v>
      </c>
      <c r="R153" s="531" t="s">
        <v>156</v>
      </c>
      <c r="S153" s="532" t="s">
        <v>156</v>
      </c>
      <c r="T153" s="378"/>
      <c r="U153" s="514" t="s">
        <v>156</v>
      </c>
    </row>
    <row r="154" spans="1:21" ht="12.75">
      <c r="A154" s="456">
        <f t="shared" si="7"/>
        <v>27</v>
      </c>
      <c r="B154" s="457" t="s">
        <v>279</v>
      </c>
      <c r="C154" s="457" t="s">
        <v>227</v>
      </c>
      <c r="D154" s="457">
        <v>2008</v>
      </c>
      <c r="E154" s="459" t="s">
        <v>136</v>
      </c>
      <c r="F154" s="378"/>
      <c r="G154" s="456">
        <f t="shared" si="8"/>
        <v>11</v>
      </c>
      <c r="H154" s="459" t="s">
        <v>290</v>
      </c>
      <c r="J154" s="497" t="s">
        <v>156</v>
      </c>
      <c r="K154" s="498" t="s">
        <v>156</v>
      </c>
      <c r="L154" s="526" t="s">
        <v>156</v>
      </c>
      <c r="M154" s="378"/>
      <c r="N154" s="527" t="s">
        <v>156</v>
      </c>
      <c r="O154" s="528" t="s">
        <v>156</v>
      </c>
      <c r="P154" s="528" t="s">
        <v>156</v>
      </c>
      <c r="Q154" s="528" t="s">
        <v>156</v>
      </c>
      <c r="R154" s="528" t="s">
        <v>156</v>
      </c>
      <c r="S154" s="529" t="s">
        <v>156</v>
      </c>
      <c r="T154" s="378"/>
      <c r="U154" s="501" t="s">
        <v>156</v>
      </c>
    </row>
    <row r="155" spans="1:21" ht="12.75">
      <c r="A155" s="416">
        <f t="shared" si="7"/>
        <v>27</v>
      </c>
      <c r="B155" s="417" t="s">
        <v>279</v>
      </c>
      <c r="C155" s="417" t="s">
        <v>227</v>
      </c>
      <c r="D155" s="417">
        <v>2008</v>
      </c>
      <c r="E155" s="419" t="s">
        <v>136</v>
      </c>
      <c r="F155" s="378"/>
      <c r="G155" s="416">
        <f t="shared" si="8"/>
        <v>12</v>
      </c>
      <c r="H155" s="419" t="s">
        <v>291</v>
      </c>
      <c r="J155" s="495" t="s">
        <v>156</v>
      </c>
      <c r="K155" s="496" t="s">
        <v>156</v>
      </c>
      <c r="L155" s="513" t="s">
        <v>156</v>
      </c>
      <c r="M155" s="378"/>
      <c r="N155" s="530" t="s">
        <v>156</v>
      </c>
      <c r="O155" s="531" t="s">
        <v>156</v>
      </c>
      <c r="P155" s="531" t="s">
        <v>156</v>
      </c>
      <c r="Q155" s="531" t="s">
        <v>156</v>
      </c>
      <c r="R155" s="531" t="s">
        <v>156</v>
      </c>
      <c r="S155" s="532" t="s">
        <v>156</v>
      </c>
      <c r="T155" s="378"/>
      <c r="U155" s="514" t="s">
        <v>156</v>
      </c>
    </row>
    <row r="156" spans="1:21" ht="12.75">
      <c r="A156" s="456">
        <f t="shared" si="7"/>
        <v>27</v>
      </c>
      <c r="B156" s="457" t="s">
        <v>279</v>
      </c>
      <c r="C156" s="457" t="s">
        <v>227</v>
      </c>
      <c r="D156" s="457">
        <v>2008</v>
      </c>
      <c r="E156" s="459" t="s">
        <v>136</v>
      </c>
      <c r="F156" s="378"/>
      <c r="G156" s="456">
        <f t="shared" si="8"/>
        <v>13</v>
      </c>
      <c r="H156" s="459" t="s">
        <v>292</v>
      </c>
      <c r="J156" s="497" t="s">
        <v>156</v>
      </c>
      <c r="K156" s="498" t="s">
        <v>156</v>
      </c>
      <c r="L156" s="526" t="s">
        <v>156</v>
      </c>
      <c r="M156" s="378"/>
      <c r="N156" s="527" t="s">
        <v>156</v>
      </c>
      <c r="O156" s="528" t="s">
        <v>156</v>
      </c>
      <c r="P156" s="528" t="s">
        <v>156</v>
      </c>
      <c r="Q156" s="528" t="s">
        <v>156</v>
      </c>
      <c r="R156" s="528" t="s">
        <v>156</v>
      </c>
      <c r="S156" s="529" t="s">
        <v>156</v>
      </c>
      <c r="T156" s="378"/>
      <c r="U156" s="501" t="s">
        <v>156</v>
      </c>
    </row>
    <row r="157" spans="1:21" ht="12.75">
      <c r="A157" s="416">
        <f t="shared" si="7"/>
        <v>27</v>
      </c>
      <c r="B157" s="417" t="s">
        <v>279</v>
      </c>
      <c r="C157" s="417" t="s">
        <v>227</v>
      </c>
      <c r="D157" s="417">
        <v>2008</v>
      </c>
      <c r="E157" s="419" t="s">
        <v>136</v>
      </c>
      <c r="F157" s="378"/>
      <c r="G157" s="416">
        <f t="shared" si="8"/>
        <v>14</v>
      </c>
      <c r="H157" s="419" t="s">
        <v>293</v>
      </c>
      <c r="J157" s="495" t="s">
        <v>156</v>
      </c>
      <c r="K157" s="496" t="s">
        <v>156</v>
      </c>
      <c r="L157" s="513" t="s">
        <v>156</v>
      </c>
      <c r="M157" s="378"/>
      <c r="N157" s="530" t="s">
        <v>156</v>
      </c>
      <c r="O157" s="531" t="s">
        <v>156</v>
      </c>
      <c r="P157" s="531" t="s">
        <v>156</v>
      </c>
      <c r="Q157" s="531" t="s">
        <v>156</v>
      </c>
      <c r="R157" s="531" t="s">
        <v>156</v>
      </c>
      <c r="S157" s="532" t="s">
        <v>156</v>
      </c>
      <c r="T157" s="378"/>
      <c r="U157" s="514" t="s">
        <v>156</v>
      </c>
    </row>
    <row r="158" spans="1:21" ht="12.75">
      <c r="A158" s="456">
        <f t="shared" si="7"/>
        <v>27</v>
      </c>
      <c r="B158" s="457" t="s">
        <v>279</v>
      </c>
      <c r="C158" s="457" t="s">
        <v>227</v>
      </c>
      <c r="D158" s="457">
        <v>2008</v>
      </c>
      <c r="E158" s="459" t="s">
        <v>136</v>
      </c>
      <c r="F158" s="378"/>
      <c r="G158" s="456">
        <f t="shared" si="8"/>
        <v>15</v>
      </c>
      <c r="H158" s="459" t="s">
        <v>294</v>
      </c>
      <c r="J158" s="497" t="s">
        <v>156</v>
      </c>
      <c r="K158" s="498" t="s">
        <v>156</v>
      </c>
      <c r="L158" s="526" t="s">
        <v>156</v>
      </c>
      <c r="M158" s="378"/>
      <c r="N158" s="527" t="s">
        <v>156</v>
      </c>
      <c r="O158" s="528" t="s">
        <v>156</v>
      </c>
      <c r="P158" s="528" t="s">
        <v>156</v>
      </c>
      <c r="Q158" s="528" t="s">
        <v>156</v>
      </c>
      <c r="R158" s="528" t="s">
        <v>156</v>
      </c>
      <c r="S158" s="529" t="s">
        <v>156</v>
      </c>
      <c r="T158" s="378"/>
      <c r="U158" s="501" t="s">
        <v>156</v>
      </c>
    </row>
    <row r="159" spans="1:21" ht="12.75">
      <c r="A159" s="416">
        <f t="shared" si="7"/>
        <v>27</v>
      </c>
      <c r="B159" s="417" t="s">
        <v>279</v>
      </c>
      <c r="C159" s="417" t="s">
        <v>227</v>
      </c>
      <c r="D159" s="417">
        <v>2008</v>
      </c>
      <c r="E159" s="419" t="s">
        <v>136</v>
      </c>
      <c r="F159" s="378"/>
      <c r="G159" s="416">
        <f t="shared" si="8"/>
        <v>16</v>
      </c>
      <c r="H159" s="419" t="s">
        <v>295</v>
      </c>
      <c r="J159" s="495" t="s">
        <v>156</v>
      </c>
      <c r="K159" s="496" t="s">
        <v>156</v>
      </c>
      <c r="L159" s="513" t="s">
        <v>156</v>
      </c>
      <c r="M159" s="378"/>
      <c r="N159" s="530" t="s">
        <v>156</v>
      </c>
      <c r="O159" s="531" t="s">
        <v>156</v>
      </c>
      <c r="P159" s="531" t="s">
        <v>156</v>
      </c>
      <c r="Q159" s="531" t="s">
        <v>156</v>
      </c>
      <c r="R159" s="531" t="s">
        <v>156</v>
      </c>
      <c r="S159" s="532" t="s">
        <v>156</v>
      </c>
      <c r="T159" s="378"/>
      <c r="U159" s="514" t="s">
        <v>156</v>
      </c>
    </row>
    <row r="160" spans="1:21" ht="12.75">
      <c r="A160" s="456">
        <f t="shared" si="7"/>
        <v>27</v>
      </c>
      <c r="B160" s="457" t="s">
        <v>279</v>
      </c>
      <c r="C160" s="457" t="s">
        <v>227</v>
      </c>
      <c r="D160" s="457">
        <v>2008</v>
      </c>
      <c r="E160" s="459" t="s">
        <v>136</v>
      </c>
      <c r="F160" s="378"/>
      <c r="G160" s="456">
        <f t="shared" si="8"/>
        <v>17</v>
      </c>
      <c r="H160" s="459" t="s">
        <v>296</v>
      </c>
      <c r="J160" s="497" t="s">
        <v>156</v>
      </c>
      <c r="K160" s="498" t="s">
        <v>156</v>
      </c>
      <c r="L160" s="526" t="s">
        <v>156</v>
      </c>
      <c r="M160" s="378"/>
      <c r="N160" s="527" t="s">
        <v>156</v>
      </c>
      <c r="O160" s="528" t="s">
        <v>156</v>
      </c>
      <c r="P160" s="528" t="s">
        <v>156</v>
      </c>
      <c r="Q160" s="528" t="s">
        <v>156</v>
      </c>
      <c r="R160" s="528" t="s">
        <v>156</v>
      </c>
      <c r="S160" s="529" t="s">
        <v>156</v>
      </c>
      <c r="T160" s="378"/>
      <c r="U160" s="501" t="s">
        <v>156</v>
      </c>
    </row>
    <row r="161" spans="1:21" ht="12.75">
      <c r="A161" s="416">
        <f t="shared" si="7"/>
        <v>27</v>
      </c>
      <c r="B161" s="417" t="s">
        <v>279</v>
      </c>
      <c r="C161" s="417" t="s">
        <v>227</v>
      </c>
      <c r="D161" s="417">
        <v>2008</v>
      </c>
      <c r="E161" s="419" t="s">
        <v>136</v>
      </c>
      <c r="F161" s="378"/>
      <c r="G161" s="416">
        <f t="shared" si="8"/>
        <v>18</v>
      </c>
      <c r="H161" s="419" t="s">
        <v>297</v>
      </c>
      <c r="J161" s="495" t="s">
        <v>156</v>
      </c>
      <c r="K161" s="496" t="s">
        <v>156</v>
      </c>
      <c r="L161" s="513" t="s">
        <v>156</v>
      </c>
      <c r="M161" s="378"/>
      <c r="N161" s="530" t="s">
        <v>156</v>
      </c>
      <c r="O161" s="531" t="s">
        <v>156</v>
      </c>
      <c r="P161" s="531" t="s">
        <v>156</v>
      </c>
      <c r="Q161" s="531" t="s">
        <v>156</v>
      </c>
      <c r="R161" s="531" t="s">
        <v>156</v>
      </c>
      <c r="S161" s="532" t="s">
        <v>156</v>
      </c>
      <c r="T161" s="378"/>
      <c r="U161" s="514" t="s">
        <v>156</v>
      </c>
    </row>
    <row r="162" spans="1:21" ht="12.75">
      <c r="A162" s="456">
        <f t="shared" si="7"/>
        <v>27</v>
      </c>
      <c r="B162" s="457" t="s">
        <v>279</v>
      </c>
      <c r="C162" s="457" t="s">
        <v>227</v>
      </c>
      <c r="D162" s="457">
        <v>2008</v>
      </c>
      <c r="E162" s="459" t="s">
        <v>136</v>
      </c>
      <c r="F162" s="378"/>
      <c r="G162" s="456">
        <f t="shared" si="8"/>
        <v>19</v>
      </c>
      <c r="H162" s="459" t="s">
        <v>298</v>
      </c>
      <c r="J162" s="497" t="s">
        <v>156</v>
      </c>
      <c r="K162" s="498" t="s">
        <v>156</v>
      </c>
      <c r="L162" s="526" t="s">
        <v>156</v>
      </c>
      <c r="M162" s="378"/>
      <c r="N162" s="527" t="s">
        <v>156</v>
      </c>
      <c r="O162" s="528" t="s">
        <v>156</v>
      </c>
      <c r="P162" s="528" t="s">
        <v>156</v>
      </c>
      <c r="Q162" s="528" t="s">
        <v>156</v>
      </c>
      <c r="R162" s="528" t="s">
        <v>156</v>
      </c>
      <c r="S162" s="529" t="s">
        <v>156</v>
      </c>
      <c r="T162" s="378"/>
      <c r="U162" s="501" t="s">
        <v>156</v>
      </c>
    </row>
    <row r="163" spans="1:21" ht="12.75">
      <c r="A163" s="416">
        <f t="shared" si="7"/>
        <v>27</v>
      </c>
      <c r="B163" s="417" t="s">
        <v>279</v>
      </c>
      <c r="C163" s="417" t="s">
        <v>227</v>
      </c>
      <c r="D163" s="417">
        <v>2008</v>
      </c>
      <c r="E163" s="419" t="s">
        <v>136</v>
      </c>
      <c r="F163" s="378"/>
      <c r="G163" s="416">
        <f t="shared" si="8"/>
        <v>20</v>
      </c>
      <c r="H163" s="419" t="s">
        <v>299</v>
      </c>
      <c r="J163" s="495" t="s">
        <v>156</v>
      </c>
      <c r="K163" s="496" t="s">
        <v>156</v>
      </c>
      <c r="L163" s="513" t="s">
        <v>156</v>
      </c>
      <c r="M163" s="378"/>
      <c r="N163" s="530" t="s">
        <v>156</v>
      </c>
      <c r="O163" s="531" t="s">
        <v>156</v>
      </c>
      <c r="P163" s="531" t="s">
        <v>156</v>
      </c>
      <c r="Q163" s="531" t="s">
        <v>156</v>
      </c>
      <c r="R163" s="531" t="s">
        <v>156</v>
      </c>
      <c r="S163" s="532" t="s">
        <v>156</v>
      </c>
      <c r="T163" s="378"/>
      <c r="U163" s="514" t="s">
        <v>156</v>
      </c>
    </row>
    <row r="164" spans="1:21" ht="12.75">
      <c r="A164" s="456">
        <f t="shared" si="7"/>
        <v>27</v>
      </c>
      <c r="B164" s="457" t="s">
        <v>279</v>
      </c>
      <c r="C164" s="457" t="s">
        <v>227</v>
      </c>
      <c r="D164" s="457">
        <v>2008</v>
      </c>
      <c r="E164" s="459" t="s">
        <v>136</v>
      </c>
      <c r="F164" s="378"/>
      <c r="G164" s="456">
        <f t="shared" si="8"/>
        <v>21</v>
      </c>
      <c r="H164" s="459" t="s">
        <v>300</v>
      </c>
      <c r="J164" s="497" t="s">
        <v>156</v>
      </c>
      <c r="K164" s="498" t="s">
        <v>156</v>
      </c>
      <c r="L164" s="526" t="s">
        <v>156</v>
      </c>
      <c r="M164" s="378"/>
      <c r="N164" s="527" t="s">
        <v>156</v>
      </c>
      <c r="O164" s="528" t="s">
        <v>156</v>
      </c>
      <c r="P164" s="528" t="s">
        <v>156</v>
      </c>
      <c r="Q164" s="528" t="s">
        <v>156</v>
      </c>
      <c r="R164" s="528" t="s">
        <v>156</v>
      </c>
      <c r="S164" s="529" t="s">
        <v>156</v>
      </c>
      <c r="T164" s="378"/>
      <c r="U164" s="501" t="s">
        <v>156</v>
      </c>
    </row>
    <row r="165" spans="1:21" ht="12.75">
      <c r="A165" s="416">
        <f t="shared" si="7"/>
        <v>27</v>
      </c>
      <c r="B165" s="417" t="s">
        <v>279</v>
      </c>
      <c r="C165" s="417" t="s">
        <v>227</v>
      </c>
      <c r="D165" s="417">
        <v>2008</v>
      </c>
      <c r="E165" s="419" t="s">
        <v>136</v>
      </c>
      <c r="F165" s="378"/>
      <c r="G165" s="416">
        <f t="shared" si="8"/>
        <v>22</v>
      </c>
      <c r="H165" s="419" t="s">
        <v>301</v>
      </c>
      <c r="J165" s="495" t="s">
        <v>156</v>
      </c>
      <c r="K165" s="496" t="s">
        <v>156</v>
      </c>
      <c r="L165" s="513" t="s">
        <v>156</v>
      </c>
      <c r="M165" s="378"/>
      <c r="N165" s="530" t="s">
        <v>156</v>
      </c>
      <c r="O165" s="531" t="s">
        <v>156</v>
      </c>
      <c r="P165" s="531" t="s">
        <v>156</v>
      </c>
      <c r="Q165" s="531" t="s">
        <v>156</v>
      </c>
      <c r="R165" s="531" t="s">
        <v>156</v>
      </c>
      <c r="S165" s="532" t="s">
        <v>156</v>
      </c>
      <c r="T165" s="378"/>
      <c r="U165" s="514" t="s">
        <v>156</v>
      </c>
    </row>
    <row r="166" spans="1:21" ht="12.75">
      <c r="A166" s="456">
        <f t="shared" si="7"/>
        <v>27</v>
      </c>
      <c r="B166" s="457" t="s">
        <v>279</v>
      </c>
      <c r="C166" s="457" t="s">
        <v>227</v>
      </c>
      <c r="D166" s="457">
        <v>2008</v>
      </c>
      <c r="E166" s="459" t="s">
        <v>136</v>
      </c>
      <c r="F166" s="378"/>
      <c r="G166" s="456">
        <f t="shared" si="8"/>
        <v>23</v>
      </c>
      <c r="H166" s="459" t="s">
        <v>302</v>
      </c>
      <c r="J166" s="497" t="s">
        <v>156</v>
      </c>
      <c r="K166" s="498" t="s">
        <v>156</v>
      </c>
      <c r="L166" s="526" t="s">
        <v>156</v>
      </c>
      <c r="M166" s="378"/>
      <c r="N166" s="527" t="s">
        <v>156</v>
      </c>
      <c r="O166" s="528" t="s">
        <v>156</v>
      </c>
      <c r="P166" s="528" t="s">
        <v>156</v>
      </c>
      <c r="Q166" s="528" t="s">
        <v>156</v>
      </c>
      <c r="R166" s="528" t="s">
        <v>156</v>
      </c>
      <c r="S166" s="529" t="s">
        <v>156</v>
      </c>
      <c r="T166" s="378"/>
      <c r="U166" s="501" t="s">
        <v>156</v>
      </c>
    </row>
    <row r="167" spans="1:21" ht="12.75">
      <c r="A167" s="416">
        <f t="shared" si="7"/>
        <v>27</v>
      </c>
      <c r="B167" s="417" t="s">
        <v>279</v>
      </c>
      <c r="C167" s="417" t="s">
        <v>227</v>
      </c>
      <c r="D167" s="417">
        <v>2008</v>
      </c>
      <c r="E167" s="419" t="s">
        <v>136</v>
      </c>
      <c r="F167" s="378"/>
      <c r="G167" s="416">
        <f t="shared" si="8"/>
        <v>24</v>
      </c>
      <c r="H167" s="419" t="s">
        <v>303</v>
      </c>
      <c r="J167" s="495" t="s">
        <v>156</v>
      </c>
      <c r="K167" s="496" t="s">
        <v>156</v>
      </c>
      <c r="L167" s="513" t="s">
        <v>156</v>
      </c>
      <c r="M167" s="378"/>
      <c r="N167" s="530" t="s">
        <v>156</v>
      </c>
      <c r="O167" s="531" t="s">
        <v>156</v>
      </c>
      <c r="P167" s="531" t="s">
        <v>156</v>
      </c>
      <c r="Q167" s="531" t="s">
        <v>156</v>
      </c>
      <c r="R167" s="531" t="s">
        <v>156</v>
      </c>
      <c r="S167" s="532" t="s">
        <v>156</v>
      </c>
      <c r="T167" s="378"/>
      <c r="U167" s="514" t="s">
        <v>156</v>
      </c>
    </row>
    <row r="168" spans="1:21" ht="12.75">
      <c r="A168" s="456">
        <f t="shared" si="7"/>
        <v>27</v>
      </c>
      <c r="B168" s="457" t="s">
        <v>279</v>
      </c>
      <c r="C168" s="457" t="s">
        <v>227</v>
      </c>
      <c r="D168" s="457">
        <v>2008</v>
      </c>
      <c r="E168" s="459" t="s">
        <v>136</v>
      </c>
      <c r="F168" s="378"/>
      <c r="G168" s="456">
        <f t="shared" si="8"/>
        <v>25</v>
      </c>
      <c r="H168" s="459" t="s">
        <v>304</v>
      </c>
      <c r="J168" s="497" t="s">
        <v>156</v>
      </c>
      <c r="K168" s="498" t="s">
        <v>156</v>
      </c>
      <c r="L168" s="526" t="s">
        <v>156</v>
      </c>
      <c r="M168" s="378"/>
      <c r="N168" s="527" t="s">
        <v>156</v>
      </c>
      <c r="O168" s="528" t="s">
        <v>156</v>
      </c>
      <c r="P168" s="528" t="s">
        <v>156</v>
      </c>
      <c r="Q168" s="528" t="s">
        <v>156</v>
      </c>
      <c r="R168" s="528" t="s">
        <v>156</v>
      </c>
      <c r="S168" s="529" t="s">
        <v>156</v>
      </c>
      <c r="T168" s="378"/>
      <c r="U168" s="501" t="s">
        <v>156</v>
      </c>
    </row>
    <row r="169" spans="1:21" ht="12.75">
      <c r="A169" s="416">
        <f t="shared" si="7"/>
        <v>27</v>
      </c>
      <c r="B169" s="417" t="s">
        <v>279</v>
      </c>
      <c r="C169" s="417" t="s">
        <v>227</v>
      </c>
      <c r="D169" s="417">
        <v>2008</v>
      </c>
      <c r="E169" s="419" t="s">
        <v>136</v>
      </c>
      <c r="F169" s="378"/>
      <c r="G169" s="416">
        <f t="shared" si="8"/>
        <v>26</v>
      </c>
      <c r="H169" s="419" t="s">
        <v>305</v>
      </c>
      <c r="J169" s="495" t="s">
        <v>156</v>
      </c>
      <c r="K169" s="496" t="s">
        <v>156</v>
      </c>
      <c r="L169" s="513" t="s">
        <v>156</v>
      </c>
      <c r="M169" s="378"/>
      <c r="N169" s="530" t="s">
        <v>156</v>
      </c>
      <c r="O169" s="531" t="s">
        <v>156</v>
      </c>
      <c r="P169" s="531" t="s">
        <v>156</v>
      </c>
      <c r="Q169" s="531" t="s">
        <v>156</v>
      </c>
      <c r="R169" s="531" t="s">
        <v>156</v>
      </c>
      <c r="S169" s="532" t="s">
        <v>156</v>
      </c>
      <c r="T169" s="378"/>
      <c r="U169" s="514" t="s">
        <v>156</v>
      </c>
    </row>
    <row r="170" spans="1:21" ht="12.75">
      <c r="A170" s="456">
        <f t="shared" si="7"/>
        <v>27</v>
      </c>
      <c r="B170" s="457" t="s">
        <v>279</v>
      </c>
      <c r="C170" s="457" t="s">
        <v>227</v>
      </c>
      <c r="D170" s="457">
        <v>2008</v>
      </c>
      <c r="E170" s="459" t="s">
        <v>136</v>
      </c>
      <c r="F170" s="378"/>
      <c r="G170" s="456">
        <f t="shared" si="8"/>
        <v>27</v>
      </c>
      <c r="H170" s="459" t="s">
        <v>306</v>
      </c>
      <c r="J170" s="497" t="s">
        <v>156</v>
      </c>
      <c r="K170" s="498" t="s">
        <v>156</v>
      </c>
      <c r="L170" s="526" t="s">
        <v>156</v>
      </c>
      <c r="M170" s="378"/>
      <c r="N170" s="527" t="s">
        <v>156</v>
      </c>
      <c r="O170" s="528" t="s">
        <v>156</v>
      </c>
      <c r="P170" s="528" t="s">
        <v>156</v>
      </c>
      <c r="Q170" s="528" t="s">
        <v>156</v>
      </c>
      <c r="R170" s="528" t="s">
        <v>156</v>
      </c>
      <c r="S170" s="529" t="s">
        <v>156</v>
      </c>
      <c r="T170" s="378"/>
      <c r="U170" s="501" t="s">
        <v>156</v>
      </c>
    </row>
    <row r="171" spans="1:21" ht="12.75">
      <c r="A171" s="416">
        <f t="shared" si="7"/>
        <v>27</v>
      </c>
      <c r="B171" s="417" t="s">
        <v>279</v>
      </c>
      <c r="C171" s="417" t="s">
        <v>227</v>
      </c>
      <c r="D171" s="417">
        <v>2008</v>
      </c>
      <c r="E171" s="419" t="s">
        <v>136</v>
      </c>
      <c r="F171" s="378"/>
      <c r="G171" s="416">
        <f t="shared" si="8"/>
        <v>28</v>
      </c>
      <c r="H171" s="419" t="s">
        <v>307</v>
      </c>
      <c r="J171" s="495" t="s">
        <v>156</v>
      </c>
      <c r="K171" s="496" t="s">
        <v>156</v>
      </c>
      <c r="L171" s="513" t="s">
        <v>156</v>
      </c>
      <c r="M171" s="378"/>
      <c r="N171" s="530" t="s">
        <v>156</v>
      </c>
      <c r="O171" s="531" t="s">
        <v>156</v>
      </c>
      <c r="P171" s="531" t="s">
        <v>156</v>
      </c>
      <c r="Q171" s="531" t="s">
        <v>156</v>
      </c>
      <c r="R171" s="531" t="s">
        <v>156</v>
      </c>
      <c r="S171" s="532" t="s">
        <v>156</v>
      </c>
      <c r="T171" s="378"/>
      <c r="U171" s="514" t="s">
        <v>156</v>
      </c>
    </row>
    <row r="172" spans="1:21" ht="12.75">
      <c r="A172" s="456">
        <f t="shared" si="7"/>
        <v>27</v>
      </c>
      <c r="B172" s="457" t="s">
        <v>279</v>
      </c>
      <c r="C172" s="457" t="s">
        <v>227</v>
      </c>
      <c r="D172" s="457">
        <v>2008</v>
      </c>
      <c r="E172" s="459" t="s">
        <v>136</v>
      </c>
      <c r="F172" s="378"/>
      <c r="G172" s="456">
        <f t="shared" si="8"/>
        <v>29</v>
      </c>
      <c r="H172" s="459" t="s">
        <v>308</v>
      </c>
      <c r="J172" s="497" t="s">
        <v>156</v>
      </c>
      <c r="K172" s="498" t="s">
        <v>156</v>
      </c>
      <c r="L172" s="526" t="s">
        <v>156</v>
      </c>
      <c r="M172" s="378"/>
      <c r="N172" s="527" t="s">
        <v>156</v>
      </c>
      <c r="O172" s="528" t="s">
        <v>156</v>
      </c>
      <c r="P172" s="528" t="s">
        <v>156</v>
      </c>
      <c r="Q172" s="528" t="s">
        <v>156</v>
      </c>
      <c r="R172" s="528" t="s">
        <v>156</v>
      </c>
      <c r="S172" s="529" t="s">
        <v>156</v>
      </c>
      <c r="T172" s="378"/>
      <c r="U172" s="501" t="s">
        <v>156</v>
      </c>
    </row>
    <row r="173" spans="1:21" ht="12.75">
      <c r="A173" s="416">
        <f t="shared" si="7"/>
        <v>27</v>
      </c>
      <c r="B173" s="417" t="s">
        <v>279</v>
      </c>
      <c r="C173" s="417" t="s">
        <v>227</v>
      </c>
      <c r="D173" s="417">
        <v>2008</v>
      </c>
      <c r="E173" s="419" t="s">
        <v>136</v>
      </c>
      <c r="F173" s="378"/>
      <c r="G173" s="416">
        <f t="shared" si="8"/>
        <v>30</v>
      </c>
      <c r="H173" s="419" t="s">
        <v>309</v>
      </c>
      <c r="J173" s="495" t="s">
        <v>156</v>
      </c>
      <c r="K173" s="496" t="s">
        <v>156</v>
      </c>
      <c r="L173" s="513" t="s">
        <v>156</v>
      </c>
      <c r="M173" s="378"/>
      <c r="N173" s="530" t="s">
        <v>156</v>
      </c>
      <c r="O173" s="531" t="s">
        <v>156</v>
      </c>
      <c r="P173" s="531" t="s">
        <v>156</v>
      </c>
      <c r="Q173" s="531" t="s">
        <v>156</v>
      </c>
      <c r="R173" s="531" t="s">
        <v>156</v>
      </c>
      <c r="S173" s="532" t="s">
        <v>156</v>
      </c>
      <c r="T173" s="378"/>
      <c r="U173" s="514" t="s">
        <v>156</v>
      </c>
    </row>
    <row r="174" spans="1:21" ht="12.75">
      <c r="A174" s="456">
        <f t="shared" si="7"/>
        <v>27</v>
      </c>
      <c r="B174" s="457" t="s">
        <v>279</v>
      </c>
      <c r="C174" s="457" t="s">
        <v>227</v>
      </c>
      <c r="D174" s="457">
        <v>2008</v>
      </c>
      <c r="E174" s="459" t="s">
        <v>136</v>
      </c>
      <c r="F174" s="378"/>
      <c r="G174" s="456">
        <f t="shared" si="8"/>
        <v>31</v>
      </c>
      <c r="H174" s="459" t="s">
        <v>310</v>
      </c>
      <c r="J174" s="497" t="s">
        <v>156</v>
      </c>
      <c r="K174" s="498" t="s">
        <v>156</v>
      </c>
      <c r="L174" s="526" t="s">
        <v>156</v>
      </c>
      <c r="M174" s="378"/>
      <c r="N174" s="527" t="s">
        <v>156</v>
      </c>
      <c r="O174" s="528" t="s">
        <v>156</v>
      </c>
      <c r="P174" s="528" t="s">
        <v>156</v>
      </c>
      <c r="Q174" s="528" t="s">
        <v>156</v>
      </c>
      <c r="R174" s="528" t="s">
        <v>156</v>
      </c>
      <c r="S174" s="529" t="s">
        <v>156</v>
      </c>
      <c r="T174" s="378"/>
      <c r="U174" s="501" t="s">
        <v>156</v>
      </c>
    </row>
    <row r="175" spans="1:21" ht="12.75">
      <c r="A175" s="416">
        <f t="shared" si="7"/>
        <v>27</v>
      </c>
      <c r="B175" s="417" t="s">
        <v>279</v>
      </c>
      <c r="C175" s="417" t="s">
        <v>227</v>
      </c>
      <c r="D175" s="417">
        <v>2008</v>
      </c>
      <c r="E175" s="419" t="s">
        <v>136</v>
      </c>
      <c r="F175" s="378"/>
      <c r="G175" s="416">
        <f t="shared" si="8"/>
        <v>32</v>
      </c>
      <c r="H175" s="419" t="s">
        <v>311</v>
      </c>
      <c r="J175" s="495" t="s">
        <v>156</v>
      </c>
      <c r="K175" s="496" t="s">
        <v>156</v>
      </c>
      <c r="L175" s="513" t="s">
        <v>156</v>
      </c>
      <c r="M175" s="378"/>
      <c r="N175" s="530" t="s">
        <v>156</v>
      </c>
      <c r="O175" s="531" t="s">
        <v>156</v>
      </c>
      <c r="P175" s="531" t="s">
        <v>156</v>
      </c>
      <c r="Q175" s="531" t="s">
        <v>156</v>
      </c>
      <c r="R175" s="531" t="s">
        <v>156</v>
      </c>
      <c r="S175" s="532" t="s">
        <v>156</v>
      </c>
      <c r="T175" s="378"/>
      <c r="U175" s="514" t="s">
        <v>156</v>
      </c>
    </row>
    <row r="176" spans="1:21" ht="12.75">
      <c r="A176" s="456">
        <f t="shared" si="7"/>
        <v>27</v>
      </c>
      <c r="B176" s="457" t="s">
        <v>279</v>
      </c>
      <c r="C176" s="457" t="s">
        <v>227</v>
      </c>
      <c r="D176" s="457">
        <v>2008</v>
      </c>
      <c r="E176" s="459" t="s">
        <v>136</v>
      </c>
      <c r="F176" s="378"/>
      <c r="G176" s="456">
        <f t="shared" si="8"/>
        <v>33</v>
      </c>
      <c r="H176" s="459" t="s">
        <v>312</v>
      </c>
      <c r="J176" s="497" t="s">
        <v>156</v>
      </c>
      <c r="K176" s="498" t="s">
        <v>156</v>
      </c>
      <c r="L176" s="526" t="s">
        <v>156</v>
      </c>
      <c r="M176" s="378"/>
      <c r="N176" s="527" t="s">
        <v>156</v>
      </c>
      <c r="O176" s="528" t="s">
        <v>156</v>
      </c>
      <c r="P176" s="528" t="s">
        <v>156</v>
      </c>
      <c r="Q176" s="528" t="s">
        <v>156</v>
      </c>
      <c r="R176" s="528" t="s">
        <v>156</v>
      </c>
      <c r="S176" s="529" t="s">
        <v>156</v>
      </c>
      <c r="T176" s="378"/>
      <c r="U176" s="501" t="s">
        <v>156</v>
      </c>
    </row>
    <row r="177" spans="1:21" ht="12.75">
      <c r="A177" s="416">
        <f t="shared" si="7"/>
        <v>27</v>
      </c>
      <c r="B177" s="417" t="s">
        <v>279</v>
      </c>
      <c r="C177" s="417" t="s">
        <v>227</v>
      </c>
      <c r="D177" s="417">
        <v>2008</v>
      </c>
      <c r="E177" s="419" t="s">
        <v>136</v>
      </c>
      <c r="F177" s="378"/>
      <c r="G177" s="416">
        <f t="shared" si="8"/>
        <v>34</v>
      </c>
      <c r="H177" s="419" t="s">
        <v>313</v>
      </c>
      <c r="J177" s="495" t="s">
        <v>156</v>
      </c>
      <c r="K177" s="496" t="s">
        <v>156</v>
      </c>
      <c r="L177" s="513" t="s">
        <v>156</v>
      </c>
      <c r="M177" s="378"/>
      <c r="N177" s="530" t="s">
        <v>156</v>
      </c>
      <c r="O177" s="531" t="s">
        <v>156</v>
      </c>
      <c r="P177" s="531" t="s">
        <v>156</v>
      </c>
      <c r="Q177" s="531" t="s">
        <v>156</v>
      </c>
      <c r="R177" s="531" t="s">
        <v>156</v>
      </c>
      <c r="S177" s="532" t="s">
        <v>156</v>
      </c>
      <c r="T177" s="378"/>
      <c r="U177" s="514" t="s">
        <v>156</v>
      </c>
    </row>
    <row r="178" spans="1:21" ht="12.75">
      <c r="A178" s="456">
        <f t="shared" si="7"/>
        <v>27</v>
      </c>
      <c r="B178" s="457" t="s">
        <v>279</v>
      </c>
      <c r="C178" s="457" t="s">
        <v>227</v>
      </c>
      <c r="D178" s="457">
        <v>2008</v>
      </c>
      <c r="E178" s="459" t="s">
        <v>136</v>
      </c>
      <c r="F178" s="378"/>
      <c r="G178" s="456">
        <f t="shared" si="8"/>
        <v>35</v>
      </c>
      <c r="H178" s="459" t="s">
        <v>314</v>
      </c>
      <c r="J178" s="497" t="s">
        <v>156</v>
      </c>
      <c r="K178" s="498" t="s">
        <v>156</v>
      </c>
      <c r="L178" s="526" t="s">
        <v>156</v>
      </c>
      <c r="M178" s="378"/>
      <c r="N178" s="527" t="s">
        <v>156</v>
      </c>
      <c r="O178" s="528" t="s">
        <v>156</v>
      </c>
      <c r="P178" s="528" t="s">
        <v>156</v>
      </c>
      <c r="Q178" s="528" t="s">
        <v>156</v>
      </c>
      <c r="R178" s="528" t="s">
        <v>156</v>
      </c>
      <c r="S178" s="529" t="s">
        <v>156</v>
      </c>
      <c r="T178" s="378"/>
      <c r="U178" s="501" t="s">
        <v>156</v>
      </c>
    </row>
    <row r="179" spans="1:21" ht="12.75">
      <c r="A179" s="416">
        <f t="shared" si="7"/>
        <v>27</v>
      </c>
      <c r="B179" s="417" t="s">
        <v>279</v>
      </c>
      <c r="C179" s="417" t="s">
        <v>227</v>
      </c>
      <c r="D179" s="417">
        <v>2008</v>
      </c>
      <c r="E179" s="419" t="s">
        <v>136</v>
      </c>
      <c r="F179" s="378"/>
      <c r="G179" s="416">
        <f t="shared" si="8"/>
        <v>36</v>
      </c>
      <c r="H179" s="419" t="s">
        <v>315</v>
      </c>
      <c r="J179" s="495" t="s">
        <v>156</v>
      </c>
      <c r="K179" s="496" t="s">
        <v>156</v>
      </c>
      <c r="L179" s="513" t="s">
        <v>156</v>
      </c>
      <c r="M179" s="378"/>
      <c r="N179" s="530" t="s">
        <v>156</v>
      </c>
      <c r="O179" s="531" t="s">
        <v>156</v>
      </c>
      <c r="P179" s="531" t="s">
        <v>156</v>
      </c>
      <c r="Q179" s="531" t="s">
        <v>156</v>
      </c>
      <c r="R179" s="531" t="s">
        <v>156</v>
      </c>
      <c r="S179" s="532" t="s">
        <v>156</v>
      </c>
      <c r="T179" s="378"/>
      <c r="U179" s="514" t="s">
        <v>156</v>
      </c>
    </row>
    <row r="180" spans="1:21" ht="12.75">
      <c r="A180" s="456">
        <f t="shared" si="7"/>
        <v>27</v>
      </c>
      <c r="B180" s="457" t="s">
        <v>279</v>
      </c>
      <c r="C180" s="457" t="s">
        <v>227</v>
      </c>
      <c r="D180" s="457">
        <v>2008</v>
      </c>
      <c r="E180" s="459" t="s">
        <v>136</v>
      </c>
      <c r="F180" s="378"/>
      <c r="G180" s="456">
        <f t="shared" si="8"/>
        <v>37</v>
      </c>
      <c r="H180" s="459" t="s">
        <v>316</v>
      </c>
      <c r="J180" s="497" t="s">
        <v>156</v>
      </c>
      <c r="K180" s="498" t="s">
        <v>156</v>
      </c>
      <c r="L180" s="526" t="s">
        <v>156</v>
      </c>
      <c r="M180" s="378"/>
      <c r="N180" s="527" t="s">
        <v>156</v>
      </c>
      <c r="O180" s="528" t="s">
        <v>156</v>
      </c>
      <c r="P180" s="528" t="s">
        <v>156</v>
      </c>
      <c r="Q180" s="528" t="s">
        <v>156</v>
      </c>
      <c r="R180" s="528" t="s">
        <v>156</v>
      </c>
      <c r="S180" s="529" t="s">
        <v>156</v>
      </c>
      <c r="T180" s="378"/>
      <c r="U180" s="501" t="s">
        <v>156</v>
      </c>
    </row>
    <row r="181" spans="1:21" ht="12.75">
      <c r="A181" s="416">
        <f t="shared" si="7"/>
        <v>27</v>
      </c>
      <c r="B181" s="417" t="s">
        <v>279</v>
      </c>
      <c r="C181" s="417" t="s">
        <v>227</v>
      </c>
      <c r="D181" s="417">
        <v>2008</v>
      </c>
      <c r="E181" s="419" t="s">
        <v>136</v>
      </c>
      <c r="F181" s="378"/>
      <c r="G181" s="416">
        <f t="shared" si="8"/>
        <v>38</v>
      </c>
      <c r="H181" s="419" t="s">
        <v>317</v>
      </c>
      <c r="J181" s="495" t="s">
        <v>156</v>
      </c>
      <c r="K181" s="496" t="s">
        <v>156</v>
      </c>
      <c r="L181" s="513" t="s">
        <v>156</v>
      </c>
      <c r="M181" s="378"/>
      <c r="N181" s="530" t="s">
        <v>156</v>
      </c>
      <c r="O181" s="531" t="s">
        <v>156</v>
      </c>
      <c r="P181" s="531" t="s">
        <v>156</v>
      </c>
      <c r="Q181" s="531" t="s">
        <v>156</v>
      </c>
      <c r="R181" s="531" t="s">
        <v>156</v>
      </c>
      <c r="S181" s="532" t="s">
        <v>156</v>
      </c>
      <c r="T181" s="378"/>
      <c r="U181" s="514" t="s">
        <v>156</v>
      </c>
    </row>
    <row r="182" spans="1:21" ht="12.75">
      <c r="A182" s="456">
        <f t="shared" si="7"/>
        <v>27</v>
      </c>
      <c r="B182" s="457" t="s">
        <v>279</v>
      </c>
      <c r="C182" s="457" t="s">
        <v>227</v>
      </c>
      <c r="D182" s="457">
        <v>2008</v>
      </c>
      <c r="E182" s="459" t="s">
        <v>136</v>
      </c>
      <c r="F182" s="378"/>
      <c r="G182" s="456">
        <f t="shared" si="8"/>
        <v>39</v>
      </c>
      <c r="H182" s="459" t="s">
        <v>318</v>
      </c>
      <c r="J182" s="497" t="s">
        <v>156</v>
      </c>
      <c r="K182" s="498" t="s">
        <v>156</v>
      </c>
      <c r="L182" s="526" t="s">
        <v>156</v>
      </c>
      <c r="M182" s="378"/>
      <c r="N182" s="527" t="s">
        <v>156</v>
      </c>
      <c r="O182" s="528" t="s">
        <v>156</v>
      </c>
      <c r="P182" s="528" t="s">
        <v>156</v>
      </c>
      <c r="Q182" s="528" t="s">
        <v>156</v>
      </c>
      <c r="R182" s="528" t="s">
        <v>156</v>
      </c>
      <c r="S182" s="529" t="s">
        <v>156</v>
      </c>
      <c r="T182" s="378"/>
      <c r="U182" s="501" t="s">
        <v>156</v>
      </c>
    </row>
    <row r="183" spans="1:21" ht="12.75">
      <c r="A183" s="416">
        <f t="shared" si="7"/>
        <v>27</v>
      </c>
      <c r="B183" s="417" t="s">
        <v>279</v>
      </c>
      <c r="C183" s="417" t="s">
        <v>227</v>
      </c>
      <c r="D183" s="417">
        <v>2008</v>
      </c>
      <c r="E183" s="419" t="s">
        <v>136</v>
      </c>
      <c r="F183" s="378"/>
      <c r="G183" s="416">
        <f t="shared" si="8"/>
        <v>40</v>
      </c>
      <c r="H183" s="419" t="s">
        <v>319</v>
      </c>
      <c r="J183" s="495" t="s">
        <v>156</v>
      </c>
      <c r="K183" s="496" t="s">
        <v>156</v>
      </c>
      <c r="L183" s="513" t="s">
        <v>156</v>
      </c>
      <c r="M183" s="378"/>
      <c r="N183" s="530" t="s">
        <v>156</v>
      </c>
      <c r="O183" s="531" t="s">
        <v>156</v>
      </c>
      <c r="P183" s="531" t="s">
        <v>156</v>
      </c>
      <c r="Q183" s="531" t="s">
        <v>156</v>
      </c>
      <c r="R183" s="531" t="s">
        <v>156</v>
      </c>
      <c r="S183" s="532" t="s">
        <v>156</v>
      </c>
      <c r="T183" s="378"/>
      <c r="U183" s="514" t="s">
        <v>156</v>
      </c>
    </row>
    <row r="184" spans="1:21" ht="12.75">
      <c r="A184" s="456">
        <f t="shared" si="7"/>
        <v>27</v>
      </c>
      <c r="B184" s="457" t="s">
        <v>279</v>
      </c>
      <c r="C184" s="457" t="s">
        <v>227</v>
      </c>
      <c r="D184" s="457">
        <v>2008</v>
      </c>
      <c r="E184" s="459" t="s">
        <v>136</v>
      </c>
      <c r="F184" s="378"/>
      <c r="G184" s="456">
        <f t="shared" si="8"/>
        <v>41</v>
      </c>
      <c r="H184" s="459" t="s">
        <v>320</v>
      </c>
      <c r="J184" s="497" t="s">
        <v>156</v>
      </c>
      <c r="K184" s="498" t="s">
        <v>156</v>
      </c>
      <c r="L184" s="526" t="s">
        <v>156</v>
      </c>
      <c r="M184" s="378"/>
      <c r="N184" s="527" t="s">
        <v>156</v>
      </c>
      <c r="O184" s="528" t="s">
        <v>156</v>
      </c>
      <c r="P184" s="528" t="s">
        <v>156</v>
      </c>
      <c r="Q184" s="528" t="s">
        <v>156</v>
      </c>
      <c r="R184" s="528" t="s">
        <v>156</v>
      </c>
      <c r="S184" s="529" t="s">
        <v>156</v>
      </c>
      <c r="T184" s="378"/>
      <c r="U184" s="501" t="s">
        <v>156</v>
      </c>
    </row>
    <row r="185" spans="1:21" ht="12.75">
      <c r="A185" s="416">
        <f t="shared" si="7"/>
        <v>27</v>
      </c>
      <c r="B185" s="417" t="s">
        <v>279</v>
      </c>
      <c r="C185" s="417" t="s">
        <v>227</v>
      </c>
      <c r="D185" s="417">
        <v>2008</v>
      </c>
      <c r="E185" s="419" t="s">
        <v>136</v>
      </c>
      <c r="F185" s="378"/>
      <c r="G185" s="416">
        <f t="shared" si="8"/>
        <v>42</v>
      </c>
      <c r="H185" s="419" t="s">
        <v>321</v>
      </c>
      <c r="J185" s="495" t="s">
        <v>156</v>
      </c>
      <c r="K185" s="496" t="s">
        <v>156</v>
      </c>
      <c r="L185" s="513" t="s">
        <v>156</v>
      </c>
      <c r="M185" s="378"/>
      <c r="N185" s="530" t="s">
        <v>156</v>
      </c>
      <c r="O185" s="531" t="s">
        <v>156</v>
      </c>
      <c r="P185" s="531" t="s">
        <v>156</v>
      </c>
      <c r="Q185" s="531" t="s">
        <v>156</v>
      </c>
      <c r="R185" s="531" t="s">
        <v>156</v>
      </c>
      <c r="S185" s="532" t="s">
        <v>156</v>
      </c>
      <c r="T185" s="378"/>
      <c r="U185" s="514" t="s">
        <v>156</v>
      </c>
    </row>
    <row r="186" spans="1:21" ht="12.75">
      <c r="A186" s="456">
        <f t="shared" si="7"/>
        <v>27</v>
      </c>
      <c r="B186" s="457" t="s">
        <v>279</v>
      </c>
      <c r="C186" s="457" t="s">
        <v>227</v>
      </c>
      <c r="D186" s="457">
        <v>2008</v>
      </c>
      <c r="E186" s="459" t="s">
        <v>136</v>
      </c>
      <c r="F186" s="378"/>
      <c r="G186" s="456">
        <f t="shared" si="8"/>
        <v>43</v>
      </c>
      <c r="H186" s="459" t="s">
        <v>322</v>
      </c>
      <c r="J186" s="497" t="s">
        <v>156</v>
      </c>
      <c r="K186" s="498" t="s">
        <v>156</v>
      </c>
      <c r="L186" s="526" t="s">
        <v>156</v>
      </c>
      <c r="M186" s="378"/>
      <c r="N186" s="527" t="s">
        <v>156</v>
      </c>
      <c r="O186" s="528" t="s">
        <v>156</v>
      </c>
      <c r="P186" s="528" t="s">
        <v>156</v>
      </c>
      <c r="Q186" s="528" t="s">
        <v>156</v>
      </c>
      <c r="R186" s="528" t="s">
        <v>156</v>
      </c>
      <c r="S186" s="529" t="s">
        <v>156</v>
      </c>
      <c r="T186" s="378"/>
      <c r="U186" s="501" t="s">
        <v>156</v>
      </c>
    </row>
    <row r="187" spans="1:21" ht="12.75">
      <c r="A187" s="416">
        <f t="shared" si="7"/>
        <v>27</v>
      </c>
      <c r="B187" s="417" t="s">
        <v>279</v>
      </c>
      <c r="C187" s="417" t="s">
        <v>227</v>
      </c>
      <c r="D187" s="417">
        <v>2008</v>
      </c>
      <c r="E187" s="419" t="s">
        <v>136</v>
      </c>
      <c r="F187" s="378"/>
      <c r="G187" s="416">
        <f t="shared" si="8"/>
        <v>44</v>
      </c>
      <c r="H187" s="419" t="s">
        <v>323</v>
      </c>
      <c r="J187" s="495" t="s">
        <v>156</v>
      </c>
      <c r="K187" s="496" t="s">
        <v>156</v>
      </c>
      <c r="L187" s="513" t="s">
        <v>156</v>
      </c>
      <c r="M187" s="378"/>
      <c r="N187" s="530" t="s">
        <v>156</v>
      </c>
      <c r="O187" s="531" t="s">
        <v>156</v>
      </c>
      <c r="P187" s="531" t="s">
        <v>156</v>
      </c>
      <c r="Q187" s="531" t="s">
        <v>156</v>
      </c>
      <c r="R187" s="531" t="s">
        <v>156</v>
      </c>
      <c r="S187" s="532" t="s">
        <v>156</v>
      </c>
      <c r="T187" s="378"/>
      <c r="U187" s="514" t="s">
        <v>156</v>
      </c>
    </row>
    <row r="188" spans="1:21" ht="12.75">
      <c r="A188" s="456">
        <f t="shared" si="7"/>
        <v>27</v>
      </c>
      <c r="B188" s="457" t="s">
        <v>279</v>
      </c>
      <c r="C188" s="457" t="s">
        <v>227</v>
      </c>
      <c r="D188" s="457">
        <v>2008</v>
      </c>
      <c r="E188" s="459" t="s">
        <v>136</v>
      </c>
      <c r="F188" s="378"/>
      <c r="G188" s="456">
        <f t="shared" si="8"/>
        <v>45</v>
      </c>
      <c r="H188" s="459" t="s">
        <v>324</v>
      </c>
      <c r="J188" s="497" t="s">
        <v>156</v>
      </c>
      <c r="K188" s="498" t="s">
        <v>156</v>
      </c>
      <c r="L188" s="526" t="s">
        <v>156</v>
      </c>
      <c r="M188" s="378"/>
      <c r="N188" s="527" t="s">
        <v>156</v>
      </c>
      <c r="O188" s="528" t="s">
        <v>156</v>
      </c>
      <c r="P188" s="528" t="s">
        <v>156</v>
      </c>
      <c r="Q188" s="528" t="s">
        <v>156</v>
      </c>
      <c r="R188" s="528" t="s">
        <v>156</v>
      </c>
      <c r="S188" s="529" t="s">
        <v>156</v>
      </c>
      <c r="T188" s="378"/>
      <c r="U188" s="501" t="s">
        <v>156</v>
      </c>
    </row>
    <row r="189" spans="1:21" ht="12.75">
      <c r="A189" s="416">
        <f t="shared" si="7"/>
        <v>27</v>
      </c>
      <c r="B189" s="417" t="s">
        <v>279</v>
      </c>
      <c r="C189" s="417" t="s">
        <v>227</v>
      </c>
      <c r="D189" s="417">
        <v>2008</v>
      </c>
      <c r="E189" s="419" t="s">
        <v>136</v>
      </c>
      <c r="F189" s="378"/>
      <c r="G189" s="416">
        <f t="shared" si="8"/>
        <v>46</v>
      </c>
      <c r="H189" s="419" t="s">
        <v>325</v>
      </c>
      <c r="J189" s="495" t="s">
        <v>156</v>
      </c>
      <c r="K189" s="496" t="s">
        <v>156</v>
      </c>
      <c r="L189" s="513" t="s">
        <v>156</v>
      </c>
      <c r="M189" s="378"/>
      <c r="N189" s="530" t="s">
        <v>156</v>
      </c>
      <c r="O189" s="531" t="s">
        <v>156</v>
      </c>
      <c r="P189" s="531" t="s">
        <v>156</v>
      </c>
      <c r="Q189" s="531" t="s">
        <v>156</v>
      </c>
      <c r="R189" s="531" t="s">
        <v>156</v>
      </c>
      <c r="S189" s="532" t="s">
        <v>156</v>
      </c>
      <c r="T189" s="378"/>
      <c r="U189" s="514" t="s">
        <v>156</v>
      </c>
    </row>
    <row r="190" spans="1:21" ht="12.75">
      <c r="A190" s="456">
        <f t="shared" si="7"/>
        <v>27</v>
      </c>
      <c r="B190" s="457" t="s">
        <v>279</v>
      </c>
      <c r="C190" s="457" t="s">
        <v>227</v>
      </c>
      <c r="D190" s="457">
        <v>2008</v>
      </c>
      <c r="E190" s="459" t="s">
        <v>136</v>
      </c>
      <c r="F190" s="378"/>
      <c r="G190" s="456">
        <f t="shared" si="8"/>
        <v>47</v>
      </c>
      <c r="H190" s="459" t="s">
        <v>326</v>
      </c>
      <c r="J190" s="497" t="s">
        <v>156</v>
      </c>
      <c r="K190" s="498" t="s">
        <v>156</v>
      </c>
      <c r="L190" s="526" t="s">
        <v>156</v>
      </c>
      <c r="M190" s="378"/>
      <c r="N190" s="527" t="s">
        <v>156</v>
      </c>
      <c r="O190" s="528" t="s">
        <v>156</v>
      </c>
      <c r="P190" s="528" t="s">
        <v>156</v>
      </c>
      <c r="Q190" s="528" t="s">
        <v>156</v>
      </c>
      <c r="R190" s="528" t="s">
        <v>156</v>
      </c>
      <c r="S190" s="529" t="s">
        <v>156</v>
      </c>
      <c r="T190" s="378"/>
      <c r="U190" s="501" t="s">
        <v>156</v>
      </c>
    </row>
    <row r="191" spans="1:21" ht="12.75">
      <c r="A191" s="416">
        <f t="shared" si="7"/>
        <v>27</v>
      </c>
      <c r="B191" s="417" t="s">
        <v>279</v>
      </c>
      <c r="C191" s="417" t="s">
        <v>227</v>
      </c>
      <c r="D191" s="417">
        <v>2008</v>
      </c>
      <c r="E191" s="419" t="s">
        <v>136</v>
      </c>
      <c r="F191" s="378"/>
      <c r="G191" s="416">
        <f t="shared" si="8"/>
        <v>48</v>
      </c>
      <c r="H191" s="419" t="s">
        <v>327</v>
      </c>
      <c r="J191" s="495" t="s">
        <v>156</v>
      </c>
      <c r="K191" s="496" t="s">
        <v>156</v>
      </c>
      <c r="L191" s="513" t="s">
        <v>156</v>
      </c>
      <c r="M191" s="378"/>
      <c r="N191" s="530" t="s">
        <v>156</v>
      </c>
      <c r="O191" s="531" t="s">
        <v>156</v>
      </c>
      <c r="P191" s="531" t="s">
        <v>156</v>
      </c>
      <c r="Q191" s="531" t="s">
        <v>156</v>
      </c>
      <c r="R191" s="531" t="s">
        <v>156</v>
      </c>
      <c r="S191" s="532" t="s">
        <v>156</v>
      </c>
      <c r="T191" s="378"/>
      <c r="U191" s="514" t="s">
        <v>156</v>
      </c>
    </row>
    <row r="192" spans="1:21" ht="12.75">
      <c r="A192" s="456">
        <f t="shared" si="7"/>
        <v>27</v>
      </c>
      <c r="B192" s="457" t="s">
        <v>279</v>
      </c>
      <c r="C192" s="457" t="s">
        <v>227</v>
      </c>
      <c r="D192" s="457">
        <v>2008</v>
      </c>
      <c r="E192" s="459" t="s">
        <v>136</v>
      </c>
      <c r="F192" s="378"/>
      <c r="G192" s="456">
        <f t="shared" si="8"/>
        <v>49</v>
      </c>
      <c r="H192" s="459" t="s">
        <v>328</v>
      </c>
      <c r="J192" s="497" t="s">
        <v>156</v>
      </c>
      <c r="K192" s="498" t="s">
        <v>156</v>
      </c>
      <c r="L192" s="526" t="s">
        <v>156</v>
      </c>
      <c r="M192" s="378"/>
      <c r="N192" s="527" t="s">
        <v>156</v>
      </c>
      <c r="O192" s="528" t="s">
        <v>156</v>
      </c>
      <c r="P192" s="528" t="s">
        <v>156</v>
      </c>
      <c r="Q192" s="528" t="s">
        <v>156</v>
      </c>
      <c r="R192" s="528" t="s">
        <v>156</v>
      </c>
      <c r="S192" s="529" t="s">
        <v>156</v>
      </c>
      <c r="T192" s="378"/>
      <c r="U192" s="501" t="s">
        <v>156</v>
      </c>
    </row>
    <row r="193" spans="1:21" ht="12.75">
      <c r="A193" s="416">
        <f t="shared" si="7"/>
        <v>27</v>
      </c>
      <c r="B193" s="417" t="s">
        <v>279</v>
      </c>
      <c r="C193" s="417" t="s">
        <v>227</v>
      </c>
      <c r="D193" s="417">
        <v>2008</v>
      </c>
      <c r="E193" s="419" t="s">
        <v>136</v>
      </c>
      <c r="F193" s="378"/>
      <c r="G193" s="416">
        <f t="shared" si="8"/>
        <v>50</v>
      </c>
      <c r="H193" s="419" t="s">
        <v>329</v>
      </c>
      <c r="J193" s="495" t="s">
        <v>156</v>
      </c>
      <c r="K193" s="496" t="s">
        <v>156</v>
      </c>
      <c r="L193" s="513" t="s">
        <v>156</v>
      </c>
      <c r="M193" s="378"/>
      <c r="N193" s="530" t="s">
        <v>156</v>
      </c>
      <c r="O193" s="531" t="s">
        <v>156</v>
      </c>
      <c r="P193" s="531" t="s">
        <v>156</v>
      </c>
      <c r="Q193" s="531" t="s">
        <v>156</v>
      </c>
      <c r="R193" s="531" t="s">
        <v>156</v>
      </c>
      <c r="S193" s="532" t="s">
        <v>156</v>
      </c>
      <c r="T193" s="378"/>
      <c r="U193" s="514" t="s">
        <v>156</v>
      </c>
    </row>
    <row r="194" spans="1:21" ht="12.75">
      <c r="A194" s="456">
        <f t="shared" si="7"/>
        <v>27</v>
      </c>
      <c r="B194" s="457" t="s">
        <v>279</v>
      </c>
      <c r="C194" s="457" t="s">
        <v>227</v>
      </c>
      <c r="D194" s="457">
        <v>2008</v>
      </c>
      <c r="E194" s="459" t="s">
        <v>136</v>
      </c>
      <c r="F194" s="378"/>
      <c r="G194" s="456">
        <f t="shared" si="8"/>
        <v>51</v>
      </c>
      <c r="H194" s="459" t="s">
        <v>330</v>
      </c>
      <c r="J194" s="497" t="s">
        <v>156</v>
      </c>
      <c r="K194" s="498" t="s">
        <v>156</v>
      </c>
      <c r="L194" s="526" t="s">
        <v>156</v>
      </c>
      <c r="M194" s="378"/>
      <c r="N194" s="527" t="s">
        <v>156</v>
      </c>
      <c r="O194" s="528" t="s">
        <v>156</v>
      </c>
      <c r="P194" s="528" t="s">
        <v>156</v>
      </c>
      <c r="Q194" s="528" t="s">
        <v>156</v>
      </c>
      <c r="R194" s="528" t="s">
        <v>156</v>
      </c>
      <c r="S194" s="529" t="s">
        <v>156</v>
      </c>
      <c r="T194" s="378"/>
      <c r="U194" s="501" t="s">
        <v>156</v>
      </c>
    </row>
    <row r="195" spans="1:21" ht="12.75">
      <c r="A195" s="416">
        <f t="shared" si="7"/>
        <v>27</v>
      </c>
      <c r="B195" s="417" t="s">
        <v>279</v>
      </c>
      <c r="C195" s="417" t="s">
        <v>227</v>
      </c>
      <c r="D195" s="417">
        <v>2008</v>
      </c>
      <c r="E195" s="419" t="s">
        <v>136</v>
      </c>
      <c r="F195" s="378"/>
      <c r="G195" s="416">
        <f t="shared" si="8"/>
        <v>52</v>
      </c>
      <c r="H195" s="419" t="s">
        <v>331</v>
      </c>
      <c r="J195" s="495" t="s">
        <v>156</v>
      </c>
      <c r="K195" s="496" t="s">
        <v>156</v>
      </c>
      <c r="L195" s="513" t="s">
        <v>156</v>
      </c>
      <c r="M195" s="378"/>
      <c r="N195" s="530" t="s">
        <v>156</v>
      </c>
      <c r="O195" s="531" t="s">
        <v>156</v>
      </c>
      <c r="P195" s="531" t="s">
        <v>156</v>
      </c>
      <c r="Q195" s="531" t="s">
        <v>156</v>
      </c>
      <c r="R195" s="531" t="s">
        <v>156</v>
      </c>
      <c r="S195" s="532" t="s">
        <v>156</v>
      </c>
      <c r="T195" s="378"/>
      <c r="U195" s="514" t="s">
        <v>156</v>
      </c>
    </row>
    <row r="196" spans="1:21" ht="12.75">
      <c r="A196" s="456">
        <f t="shared" si="7"/>
        <v>27</v>
      </c>
      <c r="B196" s="457" t="s">
        <v>279</v>
      </c>
      <c r="C196" s="457" t="s">
        <v>227</v>
      </c>
      <c r="D196" s="457">
        <v>2008</v>
      </c>
      <c r="E196" s="459" t="s">
        <v>136</v>
      </c>
      <c r="F196" s="378"/>
      <c r="G196" s="456">
        <f t="shared" si="8"/>
        <v>53</v>
      </c>
      <c r="H196" s="459" t="s">
        <v>332</v>
      </c>
      <c r="J196" s="497" t="s">
        <v>156</v>
      </c>
      <c r="K196" s="498" t="s">
        <v>156</v>
      </c>
      <c r="L196" s="526" t="s">
        <v>156</v>
      </c>
      <c r="M196" s="378"/>
      <c r="N196" s="527" t="s">
        <v>156</v>
      </c>
      <c r="O196" s="528" t="s">
        <v>156</v>
      </c>
      <c r="P196" s="528" t="s">
        <v>156</v>
      </c>
      <c r="Q196" s="528" t="s">
        <v>156</v>
      </c>
      <c r="R196" s="528" t="s">
        <v>156</v>
      </c>
      <c r="S196" s="529" t="s">
        <v>156</v>
      </c>
      <c r="T196" s="378"/>
      <c r="U196" s="501" t="s">
        <v>156</v>
      </c>
    </row>
    <row r="197" spans="1:21" ht="12.75">
      <c r="A197" s="416">
        <f t="shared" si="7"/>
        <v>27</v>
      </c>
      <c r="B197" s="417" t="s">
        <v>279</v>
      </c>
      <c r="C197" s="417" t="s">
        <v>227</v>
      </c>
      <c r="D197" s="417">
        <v>2008</v>
      </c>
      <c r="E197" s="419" t="s">
        <v>136</v>
      </c>
      <c r="F197" s="378"/>
      <c r="G197" s="416">
        <f t="shared" si="8"/>
        <v>54</v>
      </c>
      <c r="H197" s="419" t="s">
        <v>333</v>
      </c>
      <c r="J197" s="495" t="s">
        <v>156</v>
      </c>
      <c r="K197" s="496" t="s">
        <v>156</v>
      </c>
      <c r="L197" s="513" t="s">
        <v>156</v>
      </c>
      <c r="M197" s="378"/>
      <c r="N197" s="530" t="s">
        <v>156</v>
      </c>
      <c r="O197" s="531" t="s">
        <v>156</v>
      </c>
      <c r="P197" s="531" t="s">
        <v>156</v>
      </c>
      <c r="Q197" s="531" t="s">
        <v>156</v>
      </c>
      <c r="R197" s="531" t="s">
        <v>156</v>
      </c>
      <c r="S197" s="532" t="s">
        <v>156</v>
      </c>
      <c r="T197" s="378"/>
      <c r="U197" s="514" t="s">
        <v>156</v>
      </c>
    </row>
    <row r="198" spans="1:21" ht="12.75">
      <c r="A198" s="456">
        <f t="shared" si="7"/>
        <v>27</v>
      </c>
      <c r="B198" s="457" t="s">
        <v>279</v>
      </c>
      <c r="C198" s="457" t="s">
        <v>227</v>
      </c>
      <c r="D198" s="457">
        <v>2008</v>
      </c>
      <c r="E198" s="459" t="s">
        <v>136</v>
      </c>
      <c r="F198" s="378"/>
      <c r="G198" s="456">
        <f t="shared" si="8"/>
        <v>55</v>
      </c>
      <c r="H198" s="459" t="s">
        <v>334</v>
      </c>
      <c r="J198" s="497" t="s">
        <v>156</v>
      </c>
      <c r="K198" s="498" t="s">
        <v>156</v>
      </c>
      <c r="L198" s="526" t="s">
        <v>156</v>
      </c>
      <c r="M198" s="378"/>
      <c r="N198" s="527" t="s">
        <v>156</v>
      </c>
      <c r="O198" s="528" t="s">
        <v>156</v>
      </c>
      <c r="P198" s="528" t="s">
        <v>156</v>
      </c>
      <c r="Q198" s="528" t="s">
        <v>156</v>
      </c>
      <c r="R198" s="528" t="s">
        <v>156</v>
      </c>
      <c r="S198" s="529" t="s">
        <v>156</v>
      </c>
      <c r="T198" s="378"/>
      <c r="U198" s="501" t="s">
        <v>156</v>
      </c>
    </row>
    <row r="199" spans="1:21" ht="12.75">
      <c r="A199" s="416">
        <f t="shared" si="7"/>
        <v>27</v>
      </c>
      <c r="B199" s="417" t="s">
        <v>279</v>
      </c>
      <c r="C199" s="417" t="s">
        <v>227</v>
      </c>
      <c r="D199" s="417">
        <v>2008</v>
      </c>
      <c r="E199" s="419" t="s">
        <v>136</v>
      </c>
      <c r="F199" s="378"/>
      <c r="G199" s="416">
        <f t="shared" si="8"/>
        <v>56</v>
      </c>
      <c r="H199" s="419" t="s">
        <v>335</v>
      </c>
      <c r="J199" s="495" t="s">
        <v>156</v>
      </c>
      <c r="K199" s="496" t="s">
        <v>156</v>
      </c>
      <c r="L199" s="513" t="s">
        <v>156</v>
      </c>
      <c r="M199" s="378"/>
      <c r="N199" s="530" t="s">
        <v>156</v>
      </c>
      <c r="O199" s="531" t="s">
        <v>156</v>
      </c>
      <c r="P199" s="531" t="s">
        <v>156</v>
      </c>
      <c r="Q199" s="531" t="s">
        <v>156</v>
      </c>
      <c r="R199" s="531" t="s">
        <v>156</v>
      </c>
      <c r="S199" s="532" t="s">
        <v>156</v>
      </c>
      <c r="T199" s="378"/>
      <c r="U199" s="514" t="s">
        <v>156</v>
      </c>
    </row>
    <row r="200" spans="1:21" ht="12.75">
      <c r="A200" s="456">
        <f t="shared" si="7"/>
        <v>27</v>
      </c>
      <c r="B200" s="457" t="s">
        <v>279</v>
      </c>
      <c r="C200" s="457" t="s">
        <v>227</v>
      </c>
      <c r="D200" s="457">
        <v>2008</v>
      </c>
      <c r="E200" s="459" t="s">
        <v>136</v>
      </c>
      <c r="F200" s="378"/>
      <c r="G200" s="456">
        <f t="shared" si="8"/>
        <v>57</v>
      </c>
      <c r="H200" s="459" t="s">
        <v>336</v>
      </c>
      <c r="J200" s="497" t="s">
        <v>156</v>
      </c>
      <c r="K200" s="498" t="s">
        <v>156</v>
      </c>
      <c r="L200" s="526" t="s">
        <v>156</v>
      </c>
      <c r="M200" s="378"/>
      <c r="N200" s="527" t="s">
        <v>156</v>
      </c>
      <c r="O200" s="528" t="s">
        <v>156</v>
      </c>
      <c r="P200" s="528" t="s">
        <v>156</v>
      </c>
      <c r="Q200" s="528" t="s">
        <v>156</v>
      </c>
      <c r="R200" s="528" t="s">
        <v>156</v>
      </c>
      <c r="S200" s="529" t="s">
        <v>156</v>
      </c>
      <c r="T200" s="378"/>
      <c r="U200" s="501" t="s">
        <v>156</v>
      </c>
    </row>
    <row r="201" spans="1:21" ht="12.75">
      <c r="A201" s="416">
        <f t="shared" si="7"/>
        <v>27</v>
      </c>
      <c r="B201" s="417" t="s">
        <v>279</v>
      </c>
      <c r="C201" s="417" t="s">
        <v>227</v>
      </c>
      <c r="D201" s="417">
        <v>2008</v>
      </c>
      <c r="E201" s="419" t="s">
        <v>136</v>
      </c>
      <c r="F201" s="378"/>
      <c r="G201" s="416">
        <f t="shared" si="8"/>
        <v>58</v>
      </c>
      <c r="H201" s="419" t="s">
        <v>337</v>
      </c>
      <c r="J201" s="495" t="s">
        <v>156</v>
      </c>
      <c r="K201" s="496" t="s">
        <v>156</v>
      </c>
      <c r="L201" s="513" t="s">
        <v>156</v>
      </c>
      <c r="M201" s="378"/>
      <c r="N201" s="530" t="s">
        <v>156</v>
      </c>
      <c r="O201" s="531" t="s">
        <v>156</v>
      </c>
      <c r="P201" s="531" t="s">
        <v>156</v>
      </c>
      <c r="Q201" s="531" t="s">
        <v>156</v>
      </c>
      <c r="R201" s="531" t="s">
        <v>156</v>
      </c>
      <c r="S201" s="532" t="s">
        <v>156</v>
      </c>
      <c r="T201" s="378"/>
      <c r="U201" s="514" t="s">
        <v>156</v>
      </c>
    </row>
    <row r="202" spans="1:21" ht="12.75">
      <c r="A202" s="456">
        <f t="shared" si="7"/>
        <v>27</v>
      </c>
      <c r="B202" s="457" t="s">
        <v>279</v>
      </c>
      <c r="C202" s="457" t="s">
        <v>227</v>
      </c>
      <c r="D202" s="457">
        <v>2008</v>
      </c>
      <c r="E202" s="459" t="s">
        <v>136</v>
      </c>
      <c r="F202" s="378"/>
      <c r="G202" s="456">
        <f t="shared" si="8"/>
        <v>59</v>
      </c>
      <c r="H202" s="459" t="s">
        <v>338</v>
      </c>
      <c r="J202" s="497" t="s">
        <v>156</v>
      </c>
      <c r="K202" s="498" t="s">
        <v>156</v>
      </c>
      <c r="L202" s="526" t="s">
        <v>156</v>
      </c>
      <c r="M202" s="378"/>
      <c r="N202" s="527" t="s">
        <v>156</v>
      </c>
      <c r="O202" s="528" t="s">
        <v>156</v>
      </c>
      <c r="P202" s="528" t="s">
        <v>156</v>
      </c>
      <c r="Q202" s="528" t="s">
        <v>156</v>
      </c>
      <c r="R202" s="528" t="s">
        <v>156</v>
      </c>
      <c r="S202" s="529" t="s">
        <v>156</v>
      </c>
      <c r="T202" s="378"/>
      <c r="U202" s="501" t="s">
        <v>156</v>
      </c>
    </row>
    <row r="203" spans="1:21" ht="12.75">
      <c r="A203" s="416">
        <f t="shared" si="7"/>
        <v>27</v>
      </c>
      <c r="B203" s="417" t="s">
        <v>279</v>
      </c>
      <c r="C203" s="417" t="s">
        <v>227</v>
      </c>
      <c r="D203" s="417">
        <v>2008</v>
      </c>
      <c r="E203" s="419" t="s">
        <v>136</v>
      </c>
      <c r="F203" s="378"/>
      <c r="G203" s="416">
        <f t="shared" si="8"/>
        <v>60</v>
      </c>
      <c r="H203" s="419" t="s">
        <v>339</v>
      </c>
      <c r="J203" s="495" t="s">
        <v>156</v>
      </c>
      <c r="K203" s="496" t="s">
        <v>156</v>
      </c>
      <c r="L203" s="513" t="s">
        <v>156</v>
      </c>
      <c r="M203" s="378"/>
      <c r="N203" s="530" t="s">
        <v>156</v>
      </c>
      <c r="O203" s="531" t="s">
        <v>156</v>
      </c>
      <c r="P203" s="531" t="s">
        <v>156</v>
      </c>
      <c r="Q203" s="531" t="s">
        <v>156</v>
      </c>
      <c r="R203" s="531" t="s">
        <v>156</v>
      </c>
      <c r="S203" s="532" t="s">
        <v>156</v>
      </c>
      <c r="T203" s="378"/>
      <c r="U203" s="514" t="s">
        <v>156</v>
      </c>
    </row>
    <row r="204" spans="1:21" ht="12.75">
      <c r="A204" s="456">
        <f t="shared" si="7"/>
        <v>27</v>
      </c>
      <c r="B204" s="457" t="s">
        <v>279</v>
      </c>
      <c r="C204" s="457" t="s">
        <v>227</v>
      </c>
      <c r="D204" s="457">
        <v>2008</v>
      </c>
      <c r="E204" s="459" t="s">
        <v>136</v>
      </c>
      <c r="F204" s="378"/>
      <c r="G204" s="456">
        <f t="shared" si="8"/>
        <v>61</v>
      </c>
      <c r="H204" s="459" t="s">
        <v>340</v>
      </c>
      <c r="J204" s="497" t="s">
        <v>156</v>
      </c>
      <c r="K204" s="498" t="s">
        <v>156</v>
      </c>
      <c r="L204" s="526" t="s">
        <v>156</v>
      </c>
      <c r="M204" s="378"/>
      <c r="N204" s="527" t="s">
        <v>156</v>
      </c>
      <c r="O204" s="528" t="s">
        <v>156</v>
      </c>
      <c r="P204" s="528" t="s">
        <v>156</v>
      </c>
      <c r="Q204" s="528" t="s">
        <v>156</v>
      </c>
      <c r="R204" s="528" t="s">
        <v>156</v>
      </c>
      <c r="S204" s="529" t="s">
        <v>156</v>
      </c>
      <c r="T204" s="378"/>
      <c r="U204" s="501" t="s">
        <v>156</v>
      </c>
    </row>
    <row r="205" spans="1:21" ht="12.75">
      <c r="A205" s="416">
        <f t="shared" si="7"/>
        <v>27</v>
      </c>
      <c r="B205" s="417" t="s">
        <v>279</v>
      </c>
      <c r="C205" s="417" t="s">
        <v>227</v>
      </c>
      <c r="D205" s="417">
        <v>2008</v>
      </c>
      <c r="E205" s="419" t="s">
        <v>136</v>
      </c>
      <c r="F205" s="378"/>
      <c r="G205" s="416">
        <f t="shared" si="8"/>
        <v>62</v>
      </c>
      <c r="H205" s="419" t="s">
        <v>341</v>
      </c>
      <c r="J205" s="495" t="s">
        <v>156</v>
      </c>
      <c r="K205" s="496" t="s">
        <v>156</v>
      </c>
      <c r="L205" s="513" t="s">
        <v>156</v>
      </c>
      <c r="M205" s="378"/>
      <c r="N205" s="530" t="s">
        <v>156</v>
      </c>
      <c r="O205" s="531" t="s">
        <v>156</v>
      </c>
      <c r="P205" s="531" t="s">
        <v>156</v>
      </c>
      <c r="Q205" s="531" t="s">
        <v>156</v>
      </c>
      <c r="R205" s="531" t="s">
        <v>156</v>
      </c>
      <c r="S205" s="532" t="s">
        <v>156</v>
      </c>
      <c r="T205" s="378"/>
      <c r="U205" s="514" t="s">
        <v>156</v>
      </c>
    </row>
    <row r="206" spans="1:21" ht="12.75">
      <c r="A206" s="456">
        <f t="shared" si="7"/>
        <v>27</v>
      </c>
      <c r="B206" s="457" t="s">
        <v>279</v>
      </c>
      <c r="C206" s="457" t="s">
        <v>227</v>
      </c>
      <c r="D206" s="457">
        <v>2008</v>
      </c>
      <c r="E206" s="459" t="s">
        <v>136</v>
      </c>
      <c r="F206" s="378"/>
      <c r="G206" s="456">
        <f t="shared" si="8"/>
        <v>63</v>
      </c>
      <c r="H206" s="459" t="s">
        <v>342</v>
      </c>
      <c r="J206" s="497" t="s">
        <v>156</v>
      </c>
      <c r="K206" s="498" t="s">
        <v>156</v>
      </c>
      <c r="L206" s="526" t="s">
        <v>156</v>
      </c>
      <c r="M206" s="378"/>
      <c r="N206" s="527" t="s">
        <v>156</v>
      </c>
      <c r="O206" s="528" t="s">
        <v>156</v>
      </c>
      <c r="P206" s="528" t="s">
        <v>156</v>
      </c>
      <c r="Q206" s="528" t="s">
        <v>156</v>
      </c>
      <c r="R206" s="528" t="s">
        <v>156</v>
      </c>
      <c r="S206" s="529" t="s">
        <v>156</v>
      </c>
      <c r="T206" s="378"/>
      <c r="U206" s="501" t="s">
        <v>156</v>
      </c>
    </row>
    <row r="207" spans="1:21" ht="12.75">
      <c r="A207" s="416">
        <f t="shared" si="7"/>
        <v>27</v>
      </c>
      <c r="B207" s="417" t="s">
        <v>279</v>
      </c>
      <c r="C207" s="417" t="s">
        <v>227</v>
      </c>
      <c r="D207" s="417">
        <v>2008</v>
      </c>
      <c r="E207" s="419" t="s">
        <v>136</v>
      </c>
      <c r="F207" s="378"/>
      <c r="G207" s="416">
        <f t="shared" si="8"/>
        <v>64</v>
      </c>
      <c r="H207" s="419" t="s">
        <v>343</v>
      </c>
      <c r="J207" s="495" t="s">
        <v>156</v>
      </c>
      <c r="K207" s="496" t="s">
        <v>156</v>
      </c>
      <c r="L207" s="513" t="s">
        <v>156</v>
      </c>
      <c r="M207" s="378"/>
      <c r="N207" s="530" t="s">
        <v>156</v>
      </c>
      <c r="O207" s="531" t="s">
        <v>156</v>
      </c>
      <c r="P207" s="531" t="s">
        <v>156</v>
      </c>
      <c r="Q207" s="531" t="s">
        <v>156</v>
      </c>
      <c r="R207" s="531" t="s">
        <v>156</v>
      </c>
      <c r="S207" s="532" t="s">
        <v>156</v>
      </c>
      <c r="T207" s="378"/>
      <c r="U207" s="514" t="s">
        <v>156</v>
      </c>
    </row>
    <row r="208" spans="1:21" ht="12.75">
      <c r="A208" s="456">
        <f t="shared" si="7"/>
        <v>27</v>
      </c>
      <c r="B208" s="457" t="s">
        <v>279</v>
      </c>
      <c r="C208" s="457" t="s">
        <v>227</v>
      </c>
      <c r="D208" s="457">
        <v>2008</v>
      </c>
      <c r="E208" s="459" t="s">
        <v>136</v>
      </c>
      <c r="F208" s="378"/>
      <c r="G208" s="456">
        <f t="shared" si="8"/>
        <v>65</v>
      </c>
      <c r="H208" s="459" t="s">
        <v>344</v>
      </c>
      <c r="J208" s="497" t="s">
        <v>156</v>
      </c>
      <c r="K208" s="498" t="s">
        <v>156</v>
      </c>
      <c r="L208" s="526" t="s">
        <v>156</v>
      </c>
      <c r="M208" s="378"/>
      <c r="N208" s="527" t="s">
        <v>156</v>
      </c>
      <c r="O208" s="528" t="s">
        <v>156</v>
      </c>
      <c r="P208" s="528" t="s">
        <v>156</v>
      </c>
      <c r="Q208" s="528" t="s">
        <v>156</v>
      </c>
      <c r="R208" s="528" t="s">
        <v>156</v>
      </c>
      <c r="S208" s="529" t="s">
        <v>156</v>
      </c>
      <c r="T208" s="378"/>
      <c r="U208" s="501" t="s">
        <v>156</v>
      </c>
    </row>
    <row r="209" spans="1:21" ht="12.75">
      <c r="A209" s="416">
        <f t="shared" si="7"/>
        <v>27</v>
      </c>
      <c r="B209" s="417" t="s">
        <v>279</v>
      </c>
      <c r="C209" s="417" t="s">
        <v>227</v>
      </c>
      <c r="D209" s="417">
        <v>2008</v>
      </c>
      <c r="E209" s="419" t="s">
        <v>136</v>
      </c>
      <c r="F209" s="378"/>
      <c r="G209" s="416">
        <f t="shared" si="8"/>
        <v>66</v>
      </c>
      <c r="H209" s="419" t="s">
        <v>345</v>
      </c>
      <c r="J209" s="495" t="s">
        <v>156</v>
      </c>
      <c r="K209" s="496" t="s">
        <v>156</v>
      </c>
      <c r="L209" s="513" t="s">
        <v>156</v>
      </c>
      <c r="M209" s="378"/>
      <c r="N209" s="530" t="s">
        <v>156</v>
      </c>
      <c r="O209" s="531" t="s">
        <v>156</v>
      </c>
      <c r="P209" s="531" t="s">
        <v>156</v>
      </c>
      <c r="Q209" s="531" t="s">
        <v>156</v>
      </c>
      <c r="R209" s="531" t="s">
        <v>156</v>
      </c>
      <c r="S209" s="532" t="s">
        <v>156</v>
      </c>
      <c r="T209" s="378"/>
      <c r="U209" s="514" t="s">
        <v>156</v>
      </c>
    </row>
    <row r="210" spans="1:21" ht="12.75">
      <c r="A210" s="456">
        <f aca="true" t="shared" si="9" ref="A210:A237">A209</f>
        <v>27</v>
      </c>
      <c r="B210" s="457" t="s">
        <v>279</v>
      </c>
      <c r="C210" s="457" t="s">
        <v>227</v>
      </c>
      <c r="D210" s="457">
        <v>2008</v>
      </c>
      <c r="E210" s="459" t="s">
        <v>136</v>
      </c>
      <c r="F210" s="378"/>
      <c r="G210" s="456">
        <f aca="true" t="shared" si="10" ref="G210:G237">G209+1</f>
        <v>67</v>
      </c>
      <c r="H210" s="459" t="s">
        <v>346</v>
      </c>
      <c r="J210" s="497" t="s">
        <v>156</v>
      </c>
      <c r="K210" s="498" t="s">
        <v>156</v>
      </c>
      <c r="L210" s="526" t="s">
        <v>156</v>
      </c>
      <c r="M210" s="378"/>
      <c r="N210" s="527" t="s">
        <v>156</v>
      </c>
      <c r="O210" s="528" t="s">
        <v>156</v>
      </c>
      <c r="P210" s="528" t="s">
        <v>156</v>
      </c>
      <c r="Q210" s="528" t="s">
        <v>156</v>
      </c>
      <c r="R210" s="528" t="s">
        <v>156</v>
      </c>
      <c r="S210" s="529" t="s">
        <v>156</v>
      </c>
      <c r="T210" s="378"/>
      <c r="U210" s="501" t="s">
        <v>156</v>
      </c>
    </row>
    <row r="211" spans="1:21" ht="12.75">
      <c r="A211" s="416">
        <f t="shared" si="9"/>
        <v>27</v>
      </c>
      <c r="B211" s="417" t="s">
        <v>279</v>
      </c>
      <c r="C211" s="417" t="s">
        <v>227</v>
      </c>
      <c r="D211" s="417">
        <v>2008</v>
      </c>
      <c r="E211" s="419" t="s">
        <v>136</v>
      </c>
      <c r="F211" s="378"/>
      <c r="G211" s="416">
        <f t="shared" si="10"/>
        <v>68</v>
      </c>
      <c r="H211" s="419" t="s">
        <v>347</v>
      </c>
      <c r="J211" s="495" t="s">
        <v>156</v>
      </c>
      <c r="K211" s="496" t="s">
        <v>156</v>
      </c>
      <c r="L211" s="513" t="s">
        <v>156</v>
      </c>
      <c r="M211" s="378"/>
      <c r="N211" s="530" t="s">
        <v>156</v>
      </c>
      <c r="O211" s="531" t="s">
        <v>156</v>
      </c>
      <c r="P211" s="531" t="s">
        <v>156</v>
      </c>
      <c r="Q211" s="531" t="s">
        <v>156</v>
      </c>
      <c r="R211" s="531" t="s">
        <v>156</v>
      </c>
      <c r="S211" s="532" t="s">
        <v>156</v>
      </c>
      <c r="T211" s="378"/>
      <c r="U211" s="514" t="s">
        <v>156</v>
      </c>
    </row>
    <row r="212" spans="1:21" ht="12.75">
      <c r="A212" s="456">
        <f t="shared" si="9"/>
        <v>27</v>
      </c>
      <c r="B212" s="457" t="s">
        <v>279</v>
      </c>
      <c r="C212" s="457" t="s">
        <v>227</v>
      </c>
      <c r="D212" s="457">
        <v>2008</v>
      </c>
      <c r="E212" s="459" t="s">
        <v>136</v>
      </c>
      <c r="F212" s="378"/>
      <c r="G212" s="456">
        <f t="shared" si="10"/>
        <v>69</v>
      </c>
      <c r="H212" s="459" t="s">
        <v>348</v>
      </c>
      <c r="J212" s="497" t="s">
        <v>156</v>
      </c>
      <c r="K212" s="498" t="s">
        <v>156</v>
      </c>
      <c r="L212" s="526" t="s">
        <v>156</v>
      </c>
      <c r="M212" s="378"/>
      <c r="N212" s="527" t="s">
        <v>156</v>
      </c>
      <c r="O212" s="528" t="s">
        <v>156</v>
      </c>
      <c r="P212" s="528" t="s">
        <v>156</v>
      </c>
      <c r="Q212" s="528" t="s">
        <v>156</v>
      </c>
      <c r="R212" s="528" t="s">
        <v>156</v>
      </c>
      <c r="S212" s="529" t="s">
        <v>156</v>
      </c>
      <c r="T212" s="378"/>
      <c r="U212" s="501" t="s">
        <v>156</v>
      </c>
    </row>
    <row r="213" spans="1:21" ht="12.75">
      <c r="A213" s="416">
        <f t="shared" si="9"/>
        <v>27</v>
      </c>
      <c r="B213" s="417" t="s">
        <v>279</v>
      </c>
      <c r="C213" s="417" t="s">
        <v>227</v>
      </c>
      <c r="D213" s="417">
        <v>2008</v>
      </c>
      <c r="E213" s="419" t="s">
        <v>136</v>
      </c>
      <c r="F213" s="378"/>
      <c r="G213" s="416">
        <f t="shared" si="10"/>
        <v>70</v>
      </c>
      <c r="H213" s="419" t="s">
        <v>349</v>
      </c>
      <c r="J213" s="495" t="s">
        <v>156</v>
      </c>
      <c r="K213" s="496" t="s">
        <v>156</v>
      </c>
      <c r="L213" s="513" t="s">
        <v>156</v>
      </c>
      <c r="M213" s="378"/>
      <c r="N213" s="530" t="s">
        <v>156</v>
      </c>
      <c r="O213" s="531" t="s">
        <v>156</v>
      </c>
      <c r="P213" s="531" t="s">
        <v>156</v>
      </c>
      <c r="Q213" s="531" t="s">
        <v>156</v>
      </c>
      <c r="R213" s="531" t="s">
        <v>156</v>
      </c>
      <c r="S213" s="532" t="s">
        <v>156</v>
      </c>
      <c r="T213" s="378"/>
      <c r="U213" s="514" t="s">
        <v>156</v>
      </c>
    </row>
    <row r="214" spans="1:21" ht="12.75">
      <c r="A214" s="456">
        <f t="shared" si="9"/>
        <v>27</v>
      </c>
      <c r="B214" s="457" t="s">
        <v>279</v>
      </c>
      <c r="C214" s="457" t="s">
        <v>227</v>
      </c>
      <c r="D214" s="457">
        <v>2008</v>
      </c>
      <c r="E214" s="459" t="s">
        <v>136</v>
      </c>
      <c r="F214" s="378"/>
      <c r="G214" s="456">
        <f t="shared" si="10"/>
        <v>71</v>
      </c>
      <c r="H214" s="459" t="s">
        <v>350</v>
      </c>
      <c r="J214" s="497" t="s">
        <v>156</v>
      </c>
      <c r="K214" s="498" t="s">
        <v>156</v>
      </c>
      <c r="L214" s="526" t="s">
        <v>156</v>
      </c>
      <c r="M214" s="378"/>
      <c r="N214" s="527" t="s">
        <v>156</v>
      </c>
      <c r="O214" s="528" t="s">
        <v>156</v>
      </c>
      <c r="P214" s="528" t="s">
        <v>156</v>
      </c>
      <c r="Q214" s="528" t="s">
        <v>156</v>
      </c>
      <c r="R214" s="528" t="s">
        <v>156</v>
      </c>
      <c r="S214" s="529" t="s">
        <v>156</v>
      </c>
      <c r="T214" s="378"/>
      <c r="U214" s="501" t="s">
        <v>156</v>
      </c>
    </row>
    <row r="215" spans="1:21" ht="12.75">
      <c r="A215" s="416">
        <f t="shared" si="9"/>
        <v>27</v>
      </c>
      <c r="B215" s="417" t="s">
        <v>279</v>
      </c>
      <c r="C215" s="417" t="s">
        <v>227</v>
      </c>
      <c r="D215" s="417">
        <v>2008</v>
      </c>
      <c r="E215" s="419" t="s">
        <v>136</v>
      </c>
      <c r="F215" s="378"/>
      <c r="G215" s="416">
        <f t="shared" si="10"/>
        <v>72</v>
      </c>
      <c r="H215" s="419" t="s">
        <v>351</v>
      </c>
      <c r="J215" s="495" t="s">
        <v>156</v>
      </c>
      <c r="K215" s="496" t="s">
        <v>156</v>
      </c>
      <c r="L215" s="513" t="s">
        <v>156</v>
      </c>
      <c r="M215" s="378"/>
      <c r="N215" s="530" t="s">
        <v>156</v>
      </c>
      <c r="O215" s="531" t="s">
        <v>156</v>
      </c>
      <c r="P215" s="531" t="s">
        <v>156</v>
      </c>
      <c r="Q215" s="531" t="s">
        <v>156</v>
      </c>
      <c r="R215" s="531" t="s">
        <v>156</v>
      </c>
      <c r="S215" s="532" t="s">
        <v>156</v>
      </c>
      <c r="T215" s="378"/>
      <c r="U215" s="514" t="s">
        <v>156</v>
      </c>
    </row>
    <row r="216" spans="1:21" ht="12.75">
      <c r="A216" s="456">
        <f t="shared" si="9"/>
        <v>27</v>
      </c>
      <c r="B216" s="457" t="s">
        <v>279</v>
      </c>
      <c r="C216" s="457" t="s">
        <v>227</v>
      </c>
      <c r="D216" s="457">
        <v>2008</v>
      </c>
      <c r="E216" s="459" t="s">
        <v>136</v>
      </c>
      <c r="F216" s="378"/>
      <c r="G216" s="456">
        <f t="shared" si="10"/>
        <v>73</v>
      </c>
      <c r="H216" s="459" t="s">
        <v>352</v>
      </c>
      <c r="J216" s="497" t="s">
        <v>156</v>
      </c>
      <c r="K216" s="498" t="s">
        <v>156</v>
      </c>
      <c r="L216" s="526" t="s">
        <v>156</v>
      </c>
      <c r="M216" s="378"/>
      <c r="N216" s="527" t="s">
        <v>156</v>
      </c>
      <c r="O216" s="528" t="s">
        <v>156</v>
      </c>
      <c r="P216" s="528" t="s">
        <v>156</v>
      </c>
      <c r="Q216" s="528" t="s">
        <v>156</v>
      </c>
      <c r="R216" s="528" t="s">
        <v>156</v>
      </c>
      <c r="S216" s="529" t="s">
        <v>156</v>
      </c>
      <c r="T216" s="378"/>
      <c r="U216" s="501" t="s">
        <v>156</v>
      </c>
    </row>
    <row r="217" spans="1:21" ht="12.75">
      <c r="A217" s="416">
        <f t="shared" si="9"/>
        <v>27</v>
      </c>
      <c r="B217" s="417" t="s">
        <v>279</v>
      </c>
      <c r="C217" s="417" t="s">
        <v>227</v>
      </c>
      <c r="D217" s="417">
        <v>2008</v>
      </c>
      <c r="E217" s="419" t="s">
        <v>136</v>
      </c>
      <c r="F217" s="378"/>
      <c r="G217" s="416">
        <f t="shared" si="10"/>
        <v>74</v>
      </c>
      <c r="H217" s="419" t="s">
        <v>353</v>
      </c>
      <c r="J217" s="495" t="s">
        <v>156</v>
      </c>
      <c r="K217" s="496" t="s">
        <v>156</v>
      </c>
      <c r="L217" s="513" t="s">
        <v>156</v>
      </c>
      <c r="M217" s="378"/>
      <c r="N217" s="530" t="s">
        <v>156</v>
      </c>
      <c r="O217" s="531" t="s">
        <v>156</v>
      </c>
      <c r="P217" s="531" t="s">
        <v>156</v>
      </c>
      <c r="Q217" s="531" t="s">
        <v>156</v>
      </c>
      <c r="R217" s="531" t="s">
        <v>156</v>
      </c>
      <c r="S217" s="532" t="s">
        <v>156</v>
      </c>
      <c r="T217" s="378"/>
      <c r="U217" s="514" t="s">
        <v>156</v>
      </c>
    </row>
    <row r="218" spans="1:21" ht="12.75">
      <c r="A218" s="456">
        <f t="shared" si="9"/>
        <v>27</v>
      </c>
      <c r="B218" s="457" t="s">
        <v>279</v>
      </c>
      <c r="C218" s="457" t="s">
        <v>227</v>
      </c>
      <c r="D218" s="457">
        <v>2008</v>
      </c>
      <c r="E218" s="459" t="s">
        <v>136</v>
      </c>
      <c r="F218" s="378"/>
      <c r="G218" s="456">
        <f t="shared" si="10"/>
        <v>75</v>
      </c>
      <c r="H218" s="459" t="s">
        <v>354</v>
      </c>
      <c r="J218" s="497" t="s">
        <v>156</v>
      </c>
      <c r="K218" s="498" t="s">
        <v>156</v>
      </c>
      <c r="L218" s="526" t="s">
        <v>156</v>
      </c>
      <c r="M218" s="378"/>
      <c r="N218" s="527" t="s">
        <v>156</v>
      </c>
      <c r="O218" s="528" t="s">
        <v>156</v>
      </c>
      <c r="P218" s="528" t="s">
        <v>156</v>
      </c>
      <c r="Q218" s="528" t="s">
        <v>156</v>
      </c>
      <c r="R218" s="528" t="s">
        <v>156</v>
      </c>
      <c r="S218" s="529" t="s">
        <v>156</v>
      </c>
      <c r="T218" s="378"/>
      <c r="U218" s="501" t="s">
        <v>156</v>
      </c>
    </row>
    <row r="219" spans="1:21" ht="12.75">
      <c r="A219" s="416">
        <f t="shared" si="9"/>
        <v>27</v>
      </c>
      <c r="B219" s="417" t="s">
        <v>279</v>
      </c>
      <c r="C219" s="417" t="s">
        <v>227</v>
      </c>
      <c r="D219" s="417">
        <v>2008</v>
      </c>
      <c r="E219" s="419" t="s">
        <v>136</v>
      </c>
      <c r="F219" s="378"/>
      <c r="G219" s="416">
        <f t="shared" si="10"/>
        <v>76</v>
      </c>
      <c r="H219" s="419" t="s">
        <v>355</v>
      </c>
      <c r="J219" s="495" t="s">
        <v>156</v>
      </c>
      <c r="K219" s="496" t="s">
        <v>156</v>
      </c>
      <c r="L219" s="513" t="s">
        <v>156</v>
      </c>
      <c r="M219" s="378"/>
      <c r="N219" s="530" t="s">
        <v>156</v>
      </c>
      <c r="O219" s="531" t="s">
        <v>156</v>
      </c>
      <c r="P219" s="531" t="s">
        <v>156</v>
      </c>
      <c r="Q219" s="531" t="s">
        <v>156</v>
      </c>
      <c r="R219" s="531" t="s">
        <v>156</v>
      </c>
      <c r="S219" s="532" t="s">
        <v>156</v>
      </c>
      <c r="T219" s="378"/>
      <c r="U219" s="514" t="s">
        <v>156</v>
      </c>
    </row>
    <row r="220" spans="1:21" ht="12.75">
      <c r="A220" s="456">
        <f t="shared" si="9"/>
        <v>27</v>
      </c>
      <c r="B220" s="457" t="s">
        <v>279</v>
      </c>
      <c r="C220" s="457" t="s">
        <v>227</v>
      </c>
      <c r="D220" s="457">
        <v>2008</v>
      </c>
      <c r="E220" s="459" t="s">
        <v>136</v>
      </c>
      <c r="F220" s="378"/>
      <c r="G220" s="456">
        <f t="shared" si="10"/>
        <v>77</v>
      </c>
      <c r="H220" s="459" t="s">
        <v>356</v>
      </c>
      <c r="J220" s="497" t="s">
        <v>156</v>
      </c>
      <c r="K220" s="498" t="s">
        <v>156</v>
      </c>
      <c r="L220" s="526" t="s">
        <v>156</v>
      </c>
      <c r="M220" s="378"/>
      <c r="N220" s="527" t="s">
        <v>156</v>
      </c>
      <c r="O220" s="528" t="s">
        <v>156</v>
      </c>
      <c r="P220" s="528" t="s">
        <v>156</v>
      </c>
      <c r="Q220" s="528" t="s">
        <v>156</v>
      </c>
      <c r="R220" s="528" t="s">
        <v>156</v>
      </c>
      <c r="S220" s="529" t="s">
        <v>156</v>
      </c>
      <c r="T220" s="378"/>
      <c r="U220" s="501" t="s">
        <v>156</v>
      </c>
    </row>
    <row r="221" spans="1:21" ht="12.75">
      <c r="A221" s="416">
        <f t="shared" si="9"/>
        <v>27</v>
      </c>
      <c r="B221" s="417" t="s">
        <v>279</v>
      </c>
      <c r="C221" s="417" t="s">
        <v>227</v>
      </c>
      <c r="D221" s="417">
        <v>2008</v>
      </c>
      <c r="E221" s="419" t="s">
        <v>136</v>
      </c>
      <c r="F221" s="378"/>
      <c r="G221" s="416">
        <f t="shared" si="10"/>
        <v>78</v>
      </c>
      <c r="H221" s="419" t="s">
        <v>357</v>
      </c>
      <c r="J221" s="495" t="s">
        <v>156</v>
      </c>
      <c r="K221" s="496" t="s">
        <v>156</v>
      </c>
      <c r="L221" s="513" t="s">
        <v>156</v>
      </c>
      <c r="M221" s="378"/>
      <c r="N221" s="530" t="s">
        <v>156</v>
      </c>
      <c r="O221" s="531" t="s">
        <v>156</v>
      </c>
      <c r="P221" s="531" t="s">
        <v>156</v>
      </c>
      <c r="Q221" s="531" t="s">
        <v>156</v>
      </c>
      <c r="R221" s="531" t="s">
        <v>156</v>
      </c>
      <c r="S221" s="532" t="s">
        <v>156</v>
      </c>
      <c r="T221" s="378"/>
      <c r="U221" s="514" t="s">
        <v>156</v>
      </c>
    </row>
    <row r="222" spans="1:21" ht="12.75">
      <c r="A222" s="456">
        <f t="shared" si="9"/>
        <v>27</v>
      </c>
      <c r="B222" s="457" t="s">
        <v>279</v>
      </c>
      <c r="C222" s="457" t="s">
        <v>227</v>
      </c>
      <c r="D222" s="457">
        <v>2008</v>
      </c>
      <c r="E222" s="459" t="s">
        <v>136</v>
      </c>
      <c r="F222" s="378"/>
      <c r="G222" s="456">
        <f t="shared" si="10"/>
        <v>79</v>
      </c>
      <c r="H222" s="459" t="s">
        <v>358</v>
      </c>
      <c r="J222" s="497" t="s">
        <v>156</v>
      </c>
      <c r="K222" s="498" t="s">
        <v>156</v>
      </c>
      <c r="L222" s="526" t="s">
        <v>156</v>
      </c>
      <c r="M222" s="378"/>
      <c r="N222" s="527" t="s">
        <v>156</v>
      </c>
      <c r="O222" s="528" t="s">
        <v>156</v>
      </c>
      <c r="P222" s="528" t="s">
        <v>156</v>
      </c>
      <c r="Q222" s="528" t="s">
        <v>156</v>
      </c>
      <c r="R222" s="528" t="s">
        <v>156</v>
      </c>
      <c r="S222" s="529" t="s">
        <v>156</v>
      </c>
      <c r="T222" s="378"/>
      <c r="U222" s="501" t="s">
        <v>156</v>
      </c>
    </row>
    <row r="223" spans="1:21" ht="12.75">
      <c r="A223" s="416">
        <f t="shared" si="9"/>
        <v>27</v>
      </c>
      <c r="B223" s="417" t="s">
        <v>279</v>
      </c>
      <c r="C223" s="417" t="s">
        <v>227</v>
      </c>
      <c r="D223" s="417">
        <v>2008</v>
      </c>
      <c r="E223" s="419" t="s">
        <v>136</v>
      </c>
      <c r="F223" s="378"/>
      <c r="G223" s="416">
        <f t="shared" si="10"/>
        <v>80</v>
      </c>
      <c r="H223" s="419" t="s">
        <v>359</v>
      </c>
      <c r="J223" s="495" t="s">
        <v>156</v>
      </c>
      <c r="K223" s="496" t="s">
        <v>156</v>
      </c>
      <c r="L223" s="513" t="s">
        <v>156</v>
      </c>
      <c r="M223" s="378"/>
      <c r="N223" s="530" t="s">
        <v>156</v>
      </c>
      <c r="O223" s="531" t="s">
        <v>156</v>
      </c>
      <c r="P223" s="531" t="s">
        <v>156</v>
      </c>
      <c r="Q223" s="531" t="s">
        <v>156</v>
      </c>
      <c r="R223" s="531" t="s">
        <v>156</v>
      </c>
      <c r="S223" s="532" t="s">
        <v>156</v>
      </c>
      <c r="T223" s="378"/>
      <c r="U223" s="514" t="s">
        <v>156</v>
      </c>
    </row>
    <row r="224" spans="1:21" ht="12.75">
      <c r="A224" s="456">
        <f t="shared" si="9"/>
        <v>27</v>
      </c>
      <c r="B224" s="457" t="s">
        <v>279</v>
      </c>
      <c r="C224" s="457" t="s">
        <v>227</v>
      </c>
      <c r="D224" s="457">
        <v>2008</v>
      </c>
      <c r="E224" s="459" t="s">
        <v>136</v>
      </c>
      <c r="F224" s="378"/>
      <c r="G224" s="456">
        <f t="shared" si="10"/>
        <v>81</v>
      </c>
      <c r="H224" s="459" t="s">
        <v>360</v>
      </c>
      <c r="J224" s="497" t="s">
        <v>156</v>
      </c>
      <c r="K224" s="498" t="s">
        <v>156</v>
      </c>
      <c r="L224" s="526" t="s">
        <v>156</v>
      </c>
      <c r="M224" s="378"/>
      <c r="N224" s="527" t="s">
        <v>156</v>
      </c>
      <c r="O224" s="528" t="s">
        <v>156</v>
      </c>
      <c r="P224" s="528" t="s">
        <v>156</v>
      </c>
      <c r="Q224" s="528" t="s">
        <v>156</v>
      </c>
      <c r="R224" s="528" t="s">
        <v>156</v>
      </c>
      <c r="S224" s="529" t="s">
        <v>156</v>
      </c>
      <c r="T224" s="378"/>
      <c r="U224" s="501" t="s">
        <v>156</v>
      </c>
    </row>
    <row r="225" spans="1:21" ht="12.75">
      <c r="A225" s="416">
        <f t="shared" si="9"/>
        <v>27</v>
      </c>
      <c r="B225" s="417" t="s">
        <v>279</v>
      </c>
      <c r="C225" s="417" t="s">
        <v>227</v>
      </c>
      <c r="D225" s="417">
        <v>2008</v>
      </c>
      <c r="E225" s="419" t="s">
        <v>136</v>
      </c>
      <c r="F225" s="378"/>
      <c r="G225" s="416">
        <f t="shared" si="10"/>
        <v>82</v>
      </c>
      <c r="H225" s="419" t="s">
        <v>361</v>
      </c>
      <c r="J225" s="495" t="s">
        <v>156</v>
      </c>
      <c r="K225" s="496" t="s">
        <v>156</v>
      </c>
      <c r="L225" s="513" t="s">
        <v>156</v>
      </c>
      <c r="M225" s="378"/>
      <c r="N225" s="530" t="s">
        <v>156</v>
      </c>
      <c r="O225" s="531" t="s">
        <v>156</v>
      </c>
      <c r="P225" s="531" t="s">
        <v>156</v>
      </c>
      <c r="Q225" s="531" t="s">
        <v>156</v>
      </c>
      <c r="R225" s="531" t="s">
        <v>156</v>
      </c>
      <c r="S225" s="532" t="s">
        <v>156</v>
      </c>
      <c r="T225" s="378"/>
      <c r="U225" s="514" t="s">
        <v>156</v>
      </c>
    </row>
    <row r="226" spans="1:21" ht="12.75">
      <c r="A226" s="456">
        <f t="shared" si="9"/>
        <v>27</v>
      </c>
      <c r="B226" s="457" t="s">
        <v>279</v>
      </c>
      <c r="C226" s="457" t="s">
        <v>227</v>
      </c>
      <c r="D226" s="457">
        <v>2008</v>
      </c>
      <c r="E226" s="459" t="s">
        <v>136</v>
      </c>
      <c r="F226" s="378"/>
      <c r="G226" s="456">
        <f t="shared" si="10"/>
        <v>83</v>
      </c>
      <c r="H226" s="459" t="s">
        <v>362</v>
      </c>
      <c r="J226" s="497" t="s">
        <v>156</v>
      </c>
      <c r="K226" s="498" t="s">
        <v>156</v>
      </c>
      <c r="L226" s="526" t="s">
        <v>156</v>
      </c>
      <c r="M226" s="378"/>
      <c r="N226" s="527" t="s">
        <v>156</v>
      </c>
      <c r="O226" s="528" t="s">
        <v>156</v>
      </c>
      <c r="P226" s="528" t="s">
        <v>156</v>
      </c>
      <c r="Q226" s="528" t="s">
        <v>156</v>
      </c>
      <c r="R226" s="528" t="s">
        <v>156</v>
      </c>
      <c r="S226" s="529" t="s">
        <v>156</v>
      </c>
      <c r="T226" s="378"/>
      <c r="U226" s="501" t="s">
        <v>156</v>
      </c>
    </row>
    <row r="227" spans="1:21" ht="12.75">
      <c r="A227" s="416">
        <f t="shared" si="9"/>
        <v>27</v>
      </c>
      <c r="B227" s="417" t="s">
        <v>279</v>
      </c>
      <c r="C227" s="417" t="s">
        <v>227</v>
      </c>
      <c r="D227" s="417">
        <v>2008</v>
      </c>
      <c r="E227" s="419" t="s">
        <v>136</v>
      </c>
      <c r="F227" s="378"/>
      <c r="G227" s="416">
        <f t="shared" si="10"/>
        <v>84</v>
      </c>
      <c r="H227" s="419" t="s">
        <v>363</v>
      </c>
      <c r="J227" s="495" t="s">
        <v>156</v>
      </c>
      <c r="K227" s="496" t="s">
        <v>156</v>
      </c>
      <c r="L227" s="513" t="s">
        <v>156</v>
      </c>
      <c r="M227" s="378"/>
      <c r="N227" s="530" t="s">
        <v>156</v>
      </c>
      <c r="O227" s="531" t="s">
        <v>156</v>
      </c>
      <c r="P227" s="531" t="s">
        <v>156</v>
      </c>
      <c r="Q227" s="531" t="s">
        <v>156</v>
      </c>
      <c r="R227" s="531" t="s">
        <v>156</v>
      </c>
      <c r="S227" s="532" t="s">
        <v>156</v>
      </c>
      <c r="T227" s="378"/>
      <c r="U227" s="514" t="s">
        <v>156</v>
      </c>
    </row>
    <row r="228" spans="1:21" ht="12.75">
      <c r="A228" s="456">
        <f t="shared" si="9"/>
        <v>27</v>
      </c>
      <c r="B228" s="457" t="s">
        <v>279</v>
      </c>
      <c r="C228" s="457" t="s">
        <v>227</v>
      </c>
      <c r="D228" s="457">
        <v>2008</v>
      </c>
      <c r="E228" s="459" t="s">
        <v>136</v>
      </c>
      <c r="F228" s="378"/>
      <c r="G228" s="456">
        <f t="shared" si="10"/>
        <v>85</v>
      </c>
      <c r="H228" s="459" t="s">
        <v>364</v>
      </c>
      <c r="J228" s="497" t="s">
        <v>156</v>
      </c>
      <c r="K228" s="498" t="s">
        <v>156</v>
      </c>
      <c r="L228" s="526" t="s">
        <v>156</v>
      </c>
      <c r="M228" s="378"/>
      <c r="N228" s="527" t="s">
        <v>156</v>
      </c>
      <c r="O228" s="528" t="s">
        <v>156</v>
      </c>
      <c r="P228" s="528" t="s">
        <v>156</v>
      </c>
      <c r="Q228" s="528" t="s">
        <v>156</v>
      </c>
      <c r="R228" s="528" t="s">
        <v>156</v>
      </c>
      <c r="S228" s="529" t="s">
        <v>156</v>
      </c>
      <c r="T228" s="378"/>
      <c r="U228" s="501" t="s">
        <v>156</v>
      </c>
    </row>
    <row r="229" spans="1:21" ht="12.75">
      <c r="A229" s="416">
        <f t="shared" si="9"/>
        <v>27</v>
      </c>
      <c r="B229" s="417" t="s">
        <v>279</v>
      </c>
      <c r="C229" s="417" t="s">
        <v>227</v>
      </c>
      <c r="D229" s="417">
        <v>2008</v>
      </c>
      <c r="E229" s="419" t="s">
        <v>136</v>
      </c>
      <c r="F229" s="378"/>
      <c r="G229" s="416">
        <f t="shared" si="10"/>
        <v>86</v>
      </c>
      <c r="H229" s="419" t="s">
        <v>365</v>
      </c>
      <c r="J229" s="495" t="s">
        <v>156</v>
      </c>
      <c r="K229" s="496" t="s">
        <v>156</v>
      </c>
      <c r="L229" s="513" t="s">
        <v>156</v>
      </c>
      <c r="M229" s="378"/>
      <c r="N229" s="530" t="s">
        <v>156</v>
      </c>
      <c r="O229" s="531" t="s">
        <v>156</v>
      </c>
      <c r="P229" s="531" t="s">
        <v>156</v>
      </c>
      <c r="Q229" s="531" t="s">
        <v>156</v>
      </c>
      <c r="R229" s="531" t="s">
        <v>156</v>
      </c>
      <c r="S229" s="532" t="s">
        <v>156</v>
      </c>
      <c r="T229" s="378"/>
      <c r="U229" s="514" t="s">
        <v>156</v>
      </c>
    </row>
    <row r="230" spans="1:21" ht="12.75">
      <c r="A230" s="456">
        <f t="shared" si="9"/>
        <v>27</v>
      </c>
      <c r="B230" s="457" t="s">
        <v>279</v>
      </c>
      <c r="C230" s="457" t="s">
        <v>227</v>
      </c>
      <c r="D230" s="457">
        <v>2008</v>
      </c>
      <c r="E230" s="459" t="s">
        <v>136</v>
      </c>
      <c r="F230" s="378"/>
      <c r="G230" s="456">
        <f t="shared" si="10"/>
        <v>87</v>
      </c>
      <c r="H230" s="459" t="s">
        <v>366</v>
      </c>
      <c r="J230" s="497" t="s">
        <v>156</v>
      </c>
      <c r="K230" s="498" t="s">
        <v>156</v>
      </c>
      <c r="L230" s="526" t="s">
        <v>156</v>
      </c>
      <c r="M230" s="378"/>
      <c r="N230" s="527" t="s">
        <v>156</v>
      </c>
      <c r="O230" s="528" t="s">
        <v>156</v>
      </c>
      <c r="P230" s="528" t="s">
        <v>156</v>
      </c>
      <c r="Q230" s="528" t="s">
        <v>156</v>
      </c>
      <c r="R230" s="528" t="s">
        <v>156</v>
      </c>
      <c r="S230" s="529" t="s">
        <v>156</v>
      </c>
      <c r="T230" s="378"/>
      <c r="U230" s="501" t="s">
        <v>156</v>
      </c>
    </row>
    <row r="231" spans="1:21" ht="12.75">
      <c r="A231" s="416">
        <f t="shared" si="9"/>
        <v>27</v>
      </c>
      <c r="B231" s="417" t="s">
        <v>279</v>
      </c>
      <c r="C231" s="417" t="s">
        <v>227</v>
      </c>
      <c r="D231" s="417">
        <v>2008</v>
      </c>
      <c r="E231" s="419" t="s">
        <v>136</v>
      </c>
      <c r="F231" s="378"/>
      <c r="G231" s="416">
        <f t="shared" si="10"/>
        <v>88</v>
      </c>
      <c r="H231" s="419" t="s">
        <v>367</v>
      </c>
      <c r="J231" s="495" t="s">
        <v>156</v>
      </c>
      <c r="K231" s="496" t="s">
        <v>156</v>
      </c>
      <c r="L231" s="513" t="s">
        <v>156</v>
      </c>
      <c r="M231" s="378"/>
      <c r="N231" s="530" t="s">
        <v>156</v>
      </c>
      <c r="O231" s="531" t="s">
        <v>156</v>
      </c>
      <c r="P231" s="531" t="s">
        <v>156</v>
      </c>
      <c r="Q231" s="531" t="s">
        <v>156</v>
      </c>
      <c r="R231" s="531" t="s">
        <v>156</v>
      </c>
      <c r="S231" s="532" t="s">
        <v>156</v>
      </c>
      <c r="T231" s="378"/>
      <c r="U231" s="514" t="s">
        <v>156</v>
      </c>
    </row>
    <row r="232" spans="1:21" ht="12.75">
      <c r="A232" s="456">
        <f t="shared" si="9"/>
        <v>27</v>
      </c>
      <c r="B232" s="457" t="s">
        <v>279</v>
      </c>
      <c r="C232" s="457" t="s">
        <v>227</v>
      </c>
      <c r="D232" s="457">
        <v>2008</v>
      </c>
      <c r="E232" s="459" t="s">
        <v>136</v>
      </c>
      <c r="F232" s="378"/>
      <c r="G232" s="456">
        <f t="shared" si="10"/>
        <v>89</v>
      </c>
      <c r="H232" s="459" t="s">
        <v>368</v>
      </c>
      <c r="J232" s="497" t="s">
        <v>156</v>
      </c>
      <c r="K232" s="498" t="s">
        <v>156</v>
      </c>
      <c r="L232" s="526" t="s">
        <v>156</v>
      </c>
      <c r="M232" s="378"/>
      <c r="N232" s="527" t="s">
        <v>156</v>
      </c>
      <c r="O232" s="528" t="s">
        <v>156</v>
      </c>
      <c r="P232" s="528" t="s">
        <v>156</v>
      </c>
      <c r="Q232" s="528" t="s">
        <v>156</v>
      </c>
      <c r="R232" s="528" t="s">
        <v>156</v>
      </c>
      <c r="S232" s="529" t="s">
        <v>156</v>
      </c>
      <c r="T232" s="378"/>
      <c r="U232" s="501" t="s">
        <v>156</v>
      </c>
    </row>
    <row r="233" spans="1:21" ht="12.75">
      <c r="A233" s="416">
        <f t="shared" si="9"/>
        <v>27</v>
      </c>
      <c r="B233" s="417" t="s">
        <v>279</v>
      </c>
      <c r="C233" s="417" t="s">
        <v>227</v>
      </c>
      <c r="D233" s="417">
        <v>2008</v>
      </c>
      <c r="E233" s="419" t="s">
        <v>136</v>
      </c>
      <c r="F233" s="378"/>
      <c r="G233" s="416">
        <f t="shared" si="10"/>
        <v>90</v>
      </c>
      <c r="H233" s="419" t="s">
        <v>369</v>
      </c>
      <c r="J233" s="495" t="s">
        <v>156</v>
      </c>
      <c r="K233" s="496" t="s">
        <v>156</v>
      </c>
      <c r="L233" s="513" t="s">
        <v>156</v>
      </c>
      <c r="M233" s="378"/>
      <c r="N233" s="530" t="s">
        <v>156</v>
      </c>
      <c r="O233" s="531" t="s">
        <v>156</v>
      </c>
      <c r="P233" s="531" t="s">
        <v>156</v>
      </c>
      <c r="Q233" s="531" t="s">
        <v>156</v>
      </c>
      <c r="R233" s="531" t="s">
        <v>156</v>
      </c>
      <c r="S233" s="532" t="s">
        <v>156</v>
      </c>
      <c r="T233" s="378"/>
      <c r="U233" s="514" t="s">
        <v>156</v>
      </c>
    </row>
    <row r="234" spans="1:21" ht="12.75">
      <c r="A234" s="456">
        <f t="shared" si="9"/>
        <v>27</v>
      </c>
      <c r="B234" s="457" t="s">
        <v>279</v>
      </c>
      <c r="C234" s="457" t="s">
        <v>227</v>
      </c>
      <c r="D234" s="457">
        <v>2008</v>
      </c>
      <c r="E234" s="459" t="s">
        <v>136</v>
      </c>
      <c r="F234" s="378"/>
      <c r="G234" s="456">
        <f t="shared" si="10"/>
        <v>91</v>
      </c>
      <c r="H234" s="459" t="s">
        <v>370</v>
      </c>
      <c r="J234" s="497" t="s">
        <v>156</v>
      </c>
      <c r="K234" s="498" t="s">
        <v>156</v>
      </c>
      <c r="L234" s="526" t="s">
        <v>156</v>
      </c>
      <c r="M234" s="378"/>
      <c r="N234" s="527" t="s">
        <v>156</v>
      </c>
      <c r="O234" s="528" t="s">
        <v>156</v>
      </c>
      <c r="P234" s="528" t="s">
        <v>156</v>
      </c>
      <c r="Q234" s="528" t="s">
        <v>156</v>
      </c>
      <c r="R234" s="528" t="s">
        <v>156</v>
      </c>
      <c r="S234" s="529" t="s">
        <v>156</v>
      </c>
      <c r="T234" s="378"/>
      <c r="U234" s="501" t="s">
        <v>156</v>
      </c>
    </row>
    <row r="235" spans="1:21" ht="12.75">
      <c r="A235" s="416">
        <f t="shared" si="9"/>
        <v>27</v>
      </c>
      <c r="B235" s="417" t="s">
        <v>279</v>
      </c>
      <c r="C235" s="417" t="s">
        <v>227</v>
      </c>
      <c r="D235" s="417">
        <v>2008</v>
      </c>
      <c r="E235" s="419" t="s">
        <v>136</v>
      </c>
      <c r="F235" s="378"/>
      <c r="G235" s="416">
        <f t="shared" si="10"/>
        <v>92</v>
      </c>
      <c r="H235" s="419" t="s">
        <v>371</v>
      </c>
      <c r="J235" s="495" t="s">
        <v>156</v>
      </c>
      <c r="K235" s="496" t="s">
        <v>156</v>
      </c>
      <c r="L235" s="513" t="s">
        <v>156</v>
      </c>
      <c r="M235" s="378"/>
      <c r="N235" s="530" t="s">
        <v>156</v>
      </c>
      <c r="O235" s="531" t="s">
        <v>156</v>
      </c>
      <c r="P235" s="531" t="s">
        <v>156</v>
      </c>
      <c r="Q235" s="531" t="s">
        <v>156</v>
      </c>
      <c r="R235" s="531" t="s">
        <v>156</v>
      </c>
      <c r="S235" s="532" t="s">
        <v>156</v>
      </c>
      <c r="T235" s="378"/>
      <c r="U235" s="514" t="s">
        <v>156</v>
      </c>
    </row>
    <row r="236" spans="1:21" ht="12.75">
      <c r="A236" s="456">
        <f t="shared" si="9"/>
        <v>27</v>
      </c>
      <c r="B236" s="457" t="s">
        <v>279</v>
      </c>
      <c r="C236" s="457" t="s">
        <v>227</v>
      </c>
      <c r="D236" s="457">
        <v>2008</v>
      </c>
      <c r="E236" s="459" t="s">
        <v>136</v>
      </c>
      <c r="F236" s="378"/>
      <c r="G236" s="456">
        <f t="shared" si="10"/>
        <v>93</v>
      </c>
      <c r="H236" s="459" t="s">
        <v>372</v>
      </c>
      <c r="J236" s="497" t="s">
        <v>156</v>
      </c>
      <c r="K236" s="498" t="s">
        <v>156</v>
      </c>
      <c r="L236" s="526" t="s">
        <v>156</v>
      </c>
      <c r="M236" s="378"/>
      <c r="N236" s="527" t="s">
        <v>156</v>
      </c>
      <c r="O236" s="528" t="s">
        <v>156</v>
      </c>
      <c r="P236" s="528" t="s">
        <v>156</v>
      </c>
      <c r="Q236" s="528" t="s">
        <v>156</v>
      </c>
      <c r="R236" s="528" t="s">
        <v>156</v>
      </c>
      <c r="S236" s="529" t="s">
        <v>156</v>
      </c>
      <c r="T236" s="378"/>
      <c r="U236" s="501" t="s">
        <v>156</v>
      </c>
    </row>
    <row r="237" spans="1:21" ht="12.75">
      <c r="A237" s="473">
        <f t="shared" si="9"/>
        <v>27</v>
      </c>
      <c r="B237" s="474" t="s">
        <v>279</v>
      </c>
      <c r="C237" s="474" t="s">
        <v>227</v>
      </c>
      <c r="D237" s="474">
        <v>2008</v>
      </c>
      <c r="E237" s="475" t="s">
        <v>136</v>
      </c>
      <c r="F237" s="378"/>
      <c r="G237" s="473">
        <f t="shared" si="10"/>
        <v>94</v>
      </c>
      <c r="H237" s="475" t="s">
        <v>155</v>
      </c>
      <c r="J237" s="491" t="s">
        <v>156</v>
      </c>
      <c r="K237" s="492" t="s">
        <v>156</v>
      </c>
      <c r="L237" s="533" t="s">
        <v>156</v>
      </c>
      <c r="M237" s="378"/>
      <c r="N237" s="534" t="s">
        <v>156</v>
      </c>
      <c r="O237" s="535" t="s">
        <v>156</v>
      </c>
      <c r="P237" s="535" t="s">
        <v>156</v>
      </c>
      <c r="Q237" s="535" t="s">
        <v>156</v>
      </c>
      <c r="R237" s="535" t="s">
        <v>156</v>
      </c>
      <c r="S237" s="536" t="s">
        <v>156</v>
      </c>
      <c r="T237" s="378"/>
      <c r="U237" s="500" t="s">
        <v>156</v>
      </c>
    </row>
    <row r="238" spans="1:21" ht="12.75">
      <c r="A238" s="395">
        <f>A144+1</f>
        <v>28</v>
      </c>
      <c r="B238" s="396" t="s">
        <v>373</v>
      </c>
      <c r="C238" s="396" t="s">
        <v>227</v>
      </c>
      <c r="D238" s="396">
        <v>2008</v>
      </c>
      <c r="E238" s="398" t="s">
        <v>136</v>
      </c>
      <c r="F238" s="378"/>
      <c r="G238" s="395">
        <v>1</v>
      </c>
      <c r="H238" s="398" t="s">
        <v>228</v>
      </c>
      <c r="J238" s="537" t="s">
        <v>155</v>
      </c>
      <c r="K238" s="538" t="s">
        <v>155</v>
      </c>
      <c r="L238" s="398" t="s">
        <v>155</v>
      </c>
      <c r="M238" s="378"/>
      <c r="N238" s="539" t="s">
        <v>155</v>
      </c>
      <c r="O238" s="402">
        <v>1</v>
      </c>
      <c r="P238" s="402">
        <v>1</v>
      </c>
      <c r="Q238" s="402">
        <v>1</v>
      </c>
      <c r="R238" s="402">
        <v>1</v>
      </c>
      <c r="S238" s="540" t="s">
        <v>155</v>
      </c>
      <c r="T238" s="378"/>
      <c r="U238" s="541" t="s">
        <v>156</v>
      </c>
    </row>
    <row r="239" spans="1:21" ht="12.75">
      <c r="A239" s="416">
        <f>A238</f>
        <v>28</v>
      </c>
      <c r="B239" s="417" t="s">
        <v>373</v>
      </c>
      <c r="C239" s="417" t="s">
        <v>227</v>
      </c>
      <c r="D239" s="417">
        <v>2008</v>
      </c>
      <c r="E239" s="419" t="s">
        <v>136</v>
      </c>
      <c r="F239" s="378"/>
      <c r="G239" s="416">
        <f>G238+1</f>
        <v>2</v>
      </c>
      <c r="H239" s="419" t="s">
        <v>229</v>
      </c>
      <c r="J239" s="495" t="s">
        <v>155</v>
      </c>
      <c r="K239" s="496" t="s">
        <v>155</v>
      </c>
      <c r="L239" s="419" t="s">
        <v>155</v>
      </c>
      <c r="M239" s="378"/>
      <c r="N239" s="530" t="s">
        <v>155</v>
      </c>
      <c r="O239" s="423">
        <v>1</v>
      </c>
      <c r="P239" s="423">
        <v>1</v>
      </c>
      <c r="Q239" s="423">
        <v>1</v>
      </c>
      <c r="R239" s="423">
        <v>1</v>
      </c>
      <c r="S239" s="532" t="s">
        <v>155</v>
      </c>
      <c r="T239" s="378"/>
      <c r="U239" s="514" t="s">
        <v>156</v>
      </c>
    </row>
    <row r="240" spans="1:21" ht="12.75">
      <c r="A240" s="446">
        <f>A239</f>
        <v>28</v>
      </c>
      <c r="B240" s="447" t="s">
        <v>373</v>
      </c>
      <c r="C240" s="447" t="s">
        <v>227</v>
      </c>
      <c r="D240" s="447">
        <v>2008</v>
      </c>
      <c r="E240" s="449" t="s">
        <v>136</v>
      </c>
      <c r="F240" s="378"/>
      <c r="G240" s="446">
        <f>G239+1</f>
        <v>3</v>
      </c>
      <c r="H240" s="449" t="s">
        <v>230</v>
      </c>
      <c r="J240" s="493" t="s">
        <v>155</v>
      </c>
      <c r="K240" s="494" t="s">
        <v>155</v>
      </c>
      <c r="L240" s="449" t="s">
        <v>155</v>
      </c>
      <c r="M240" s="378"/>
      <c r="N240" s="542" t="s">
        <v>155</v>
      </c>
      <c r="O240" s="453">
        <v>1</v>
      </c>
      <c r="P240" s="453">
        <v>1</v>
      </c>
      <c r="Q240" s="453">
        <v>1</v>
      </c>
      <c r="R240" s="453">
        <v>1</v>
      </c>
      <c r="S240" s="543" t="s">
        <v>155</v>
      </c>
      <c r="T240" s="378"/>
      <c r="U240" s="499" t="s">
        <v>156</v>
      </c>
    </row>
    <row r="241" spans="1:21" s="378" customFormat="1" ht="12.75">
      <c r="A241" s="473">
        <f>A238+1</f>
        <v>29</v>
      </c>
      <c r="B241" s="474" t="s">
        <v>374</v>
      </c>
      <c r="C241" s="474" t="s">
        <v>227</v>
      </c>
      <c r="D241" s="474">
        <v>2008</v>
      </c>
      <c r="E241" s="475" t="s">
        <v>136</v>
      </c>
      <c r="G241" s="473">
        <v>1</v>
      </c>
      <c r="H241" s="475" t="s">
        <v>375</v>
      </c>
      <c r="J241" s="491" t="s">
        <v>155</v>
      </c>
      <c r="K241" s="492" t="s">
        <v>155</v>
      </c>
      <c r="L241" s="475">
        <v>14</v>
      </c>
      <c r="N241" s="534" t="s">
        <v>155</v>
      </c>
      <c r="O241" s="479">
        <v>1</v>
      </c>
      <c r="P241" s="479">
        <v>1</v>
      </c>
      <c r="Q241" s="479">
        <v>1</v>
      </c>
      <c r="R241" s="479">
        <v>1</v>
      </c>
      <c r="S241" s="536" t="s">
        <v>155</v>
      </c>
      <c r="U241" s="500" t="s">
        <v>156</v>
      </c>
    </row>
    <row r="242" spans="1:21" ht="12.75">
      <c r="A242" s="456">
        <f>A241+1</f>
        <v>30</v>
      </c>
      <c r="B242" s="457" t="s">
        <v>376</v>
      </c>
      <c r="C242" s="457" t="s">
        <v>227</v>
      </c>
      <c r="D242" s="457">
        <v>2008</v>
      </c>
      <c r="E242" s="459" t="s">
        <v>136</v>
      </c>
      <c r="F242" s="378"/>
      <c r="G242" s="456">
        <v>1</v>
      </c>
      <c r="H242" s="459" t="s">
        <v>377</v>
      </c>
      <c r="J242" s="460">
        <v>0.021</v>
      </c>
      <c r="K242" s="461">
        <v>151.12</v>
      </c>
      <c r="L242" s="459">
        <v>15</v>
      </c>
      <c r="M242" s="378"/>
      <c r="N242" s="462">
        <v>0.93</v>
      </c>
      <c r="O242" s="463">
        <v>1</v>
      </c>
      <c r="P242" s="463">
        <v>1</v>
      </c>
      <c r="Q242" s="463">
        <v>1</v>
      </c>
      <c r="R242" s="463">
        <v>1</v>
      </c>
      <c r="S242" s="464">
        <v>0.93</v>
      </c>
      <c r="T242" s="378"/>
      <c r="U242" s="465">
        <v>0</v>
      </c>
    </row>
    <row r="243" spans="1:21" ht="12.75">
      <c r="A243" s="416">
        <f>A242</f>
        <v>30</v>
      </c>
      <c r="B243" s="417" t="s">
        <v>376</v>
      </c>
      <c r="C243" s="417" t="s">
        <v>227</v>
      </c>
      <c r="D243" s="417">
        <v>2008</v>
      </c>
      <c r="E243" s="419" t="s">
        <v>136</v>
      </c>
      <c r="F243" s="378"/>
      <c r="G243" s="416">
        <f>G242+1</f>
        <v>2</v>
      </c>
      <c r="H243" s="419" t="s">
        <v>378</v>
      </c>
      <c r="J243" s="420">
        <v>0.032</v>
      </c>
      <c r="K243" s="421">
        <v>236.52</v>
      </c>
      <c r="L243" s="419">
        <v>16</v>
      </c>
      <c r="M243" s="378"/>
      <c r="N243" s="422">
        <v>0.93</v>
      </c>
      <c r="O243" s="423">
        <v>1</v>
      </c>
      <c r="P243" s="423">
        <v>1</v>
      </c>
      <c r="Q243" s="423">
        <v>1</v>
      </c>
      <c r="R243" s="423">
        <v>1</v>
      </c>
      <c r="S243" s="424">
        <v>0.93</v>
      </c>
      <c r="T243" s="378"/>
      <c r="U243" s="425">
        <v>0</v>
      </c>
    </row>
    <row r="244" spans="1:21" ht="12.75">
      <c r="A244" s="456">
        <f aca="true" t="shared" si="11" ref="A244:A249">A243</f>
        <v>30</v>
      </c>
      <c r="B244" s="457" t="s">
        <v>376</v>
      </c>
      <c r="C244" s="457" t="s">
        <v>227</v>
      </c>
      <c r="D244" s="457">
        <v>2008</v>
      </c>
      <c r="E244" s="459" t="s">
        <v>136</v>
      </c>
      <c r="F244" s="378"/>
      <c r="G244" s="456">
        <f aca="true" t="shared" si="12" ref="G244:G249">G243+1</f>
        <v>3</v>
      </c>
      <c r="H244" s="459" t="s">
        <v>379</v>
      </c>
      <c r="J244" s="460">
        <v>0.026</v>
      </c>
      <c r="K244" s="461">
        <v>190.86</v>
      </c>
      <c r="L244" s="459">
        <v>2</v>
      </c>
      <c r="M244" s="378"/>
      <c r="N244" s="462">
        <v>0.93</v>
      </c>
      <c r="O244" s="463">
        <v>1</v>
      </c>
      <c r="P244" s="463">
        <v>1</v>
      </c>
      <c r="Q244" s="463">
        <v>1</v>
      </c>
      <c r="R244" s="463">
        <v>1</v>
      </c>
      <c r="S244" s="464">
        <v>0.93</v>
      </c>
      <c r="T244" s="378"/>
      <c r="U244" s="465">
        <v>0</v>
      </c>
    </row>
    <row r="245" spans="1:21" ht="12.75">
      <c r="A245" s="416">
        <f t="shared" si="11"/>
        <v>30</v>
      </c>
      <c r="B245" s="417" t="s">
        <v>376</v>
      </c>
      <c r="C245" s="417" t="s">
        <v>227</v>
      </c>
      <c r="D245" s="417">
        <v>2008</v>
      </c>
      <c r="E245" s="419" t="s">
        <v>136</v>
      </c>
      <c r="F245" s="378"/>
      <c r="G245" s="416">
        <f t="shared" si="12"/>
        <v>4</v>
      </c>
      <c r="H245" s="419" t="s">
        <v>380</v>
      </c>
      <c r="J245" s="420">
        <v>0.047</v>
      </c>
      <c r="K245" s="421">
        <v>436.28</v>
      </c>
      <c r="L245" s="419">
        <v>7</v>
      </c>
      <c r="M245" s="378"/>
      <c r="N245" s="422">
        <v>0.93</v>
      </c>
      <c r="O245" s="423">
        <v>1</v>
      </c>
      <c r="P245" s="423">
        <v>1</v>
      </c>
      <c r="Q245" s="423">
        <v>1</v>
      </c>
      <c r="R245" s="423">
        <v>1</v>
      </c>
      <c r="S245" s="424">
        <v>0.93</v>
      </c>
      <c r="T245" s="378"/>
      <c r="U245" s="425">
        <v>0</v>
      </c>
    </row>
    <row r="246" spans="1:21" ht="12.75">
      <c r="A246" s="456">
        <f t="shared" si="11"/>
        <v>30</v>
      </c>
      <c r="B246" s="457" t="s">
        <v>376</v>
      </c>
      <c r="C246" s="457" t="s">
        <v>227</v>
      </c>
      <c r="D246" s="457">
        <v>2008</v>
      </c>
      <c r="E246" s="459" t="s">
        <v>136</v>
      </c>
      <c r="F246" s="378"/>
      <c r="G246" s="456">
        <f t="shared" si="12"/>
        <v>5</v>
      </c>
      <c r="H246" s="459" t="s">
        <v>381</v>
      </c>
      <c r="J246" s="460">
        <v>0.03</v>
      </c>
      <c r="K246" s="461">
        <v>276.71</v>
      </c>
      <c r="L246" s="459">
        <v>15</v>
      </c>
      <c r="M246" s="378"/>
      <c r="N246" s="462">
        <v>0.93</v>
      </c>
      <c r="O246" s="463">
        <v>1</v>
      </c>
      <c r="P246" s="463">
        <v>1</v>
      </c>
      <c r="Q246" s="463">
        <v>1</v>
      </c>
      <c r="R246" s="463">
        <v>1</v>
      </c>
      <c r="S246" s="464">
        <v>0.93</v>
      </c>
      <c r="T246" s="378"/>
      <c r="U246" s="465">
        <v>0</v>
      </c>
    </row>
    <row r="247" spans="1:21" ht="12.75">
      <c r="A247" s="416">
        <f t="shared" si="11"/>
        <v>30</v>
      </c>
      <c r="B247" s="417" t="s">
        <v>376</v>
      </c>
      <c r="C247" s="417" t="s">
        <v>227</v>
      </c>
      <c r="D247" s="417">
        <v>2008</v>
      </c>
      <c r="E247" s="419" t="s">
        <v>136</v>
      </c>
      <c r="F247" s="378"/>
      <c r="G247" s="416">
        <f t="shared" si="12"/>
        <v>6</v>
      </c>
      <c r="H247" s="419" t="s">
        <v>382</v>
      </c>
      <c r="J247" s="420">
        <v>0.0333</v>
      </c>
      <c r="K247" s="421">
        <v>309.76</v>
      </c>
      <c r="L247" s="419">
        <v>5</v>
      </c>
      <c r="M247" s="378"/>
      <c r="N247" s="422">
        <v>0.93</v>
      </c>
      <c r="O247" s="423">
        <v>1</v>
      </c>
      <c r="P247" s="423">
        <v>1</v>
      </c>
      <c r="Q247" s="423">
        <v>1</v>
      </c>
      <c r="R247" s="423">
        <v>1</v>
      </c>
      <c r="S247" s="424">
        <v>0.93</v>
      </c>
      <c r="T247" s="378"/>
      <c r="U247" s="425">
        <v>0</v>
      </c>
    </row>
    <row r="248" spans="1:21" ht="12.75">
      <c r="A248" s="456">
        <f t="shared" si="11"/>
        <v>30</v>
      </c>
      <c r="B248" s="457" t="s">
        <v>376</v>
      </c>
      <c r="C248" s="457" t="s">
        <v>227</v>
      </c>
      <c r="D248" s="457">
        <v>2008</v>
      </c>
      <c r="E248" s="459" t="s">
        <v>136</v>
      </c>
      <c r="F248" s="378"/>
      <c r="G248" s="456">
        <f t="shared" si="12"/>
        <v>7</v>
      </c>
      <c r="H248" s="459" t="s">
        <v>383</v>
      </c>
      <c r="J248" s="460">
        <v>1.9598901320331195</v>
      </c>
      <c r="K248" s="461">
        <v>14.4</v>
      </c>
      <c r="L248" s="459">
        <v>1</v>
      </c>
      <c r="M248" s="378"/>
      <c r="N248" s="462">
        <v>0.93</v>
      </c>
      <c r="O248" s="463">
        <v>1</v>
      </c>
      <c r="P248" s="463">
        <v>1</v>
      </c>
      <c r="Q248" s="463">
        <v>1</v>
      </c>
      <c r="R248" s="463">
        <v>1</v>
      </c>
      <c r="S248" s="464">
        <v>0.93</v>
      </c>
      <c r="T248" s="378"/>
      <c r="U248" s="465">
        <v>0</v>
      </c>
    </row>
    <row r="249" spans="1:21" ht="12.75">
      <c r="A249" s="473">
        <f t="shared" si="11"/>
        <v>30</v>
      </c>
      <c r="B249" s="474" t="s">
        <v>376</v>
      </c>
      <c r="C249" s="474" t="s">
        <v>227</v>
      </c>
      <c r="D249" s="474">
        <v>2008</v>
      </c>
      <c r="E249" s="475" t="s">
        <v>136</v>
      </c>
      <c r="F249" s="378"/>
      <c r="G249" s="473">
        <f t="shared" si="12"/>
        <v>8</v>
      </c>
      <c r="H249" s="475" t="s">
        <v>384</v>
      </c>
      <c r="J249" s="476">
        <v>0</v>
      </c>
      <c r="K249" s="477">
        <v>0</v>
      </c>
      <c r="L249" s="475">
        <v>0</v>
      </c>
      <c r="M249" s="378"/>
      <c r="N249" s="478">
        <v>1</v>
      </c>
      <c r="O249" s="479">
        <v>1</v>
      </c>
      <c r="P249" s="479">
        <v>1</v>
      </c>
      <c r="Q249" s="479">
        <v>1</v>
      </c>
      <c r="R249" s="479">
        <v>1</v>
      </c>
      <c r="S249" s="480">
        <v>1</v>
      </c>
      <c r="T249" s="378"/>
      <c r="U249" s="481">
        <v>0</v>
      </c>
    </row>
    <row r="250" spans="1:21" ht="12.75">
      <c r="A250" s="374">
        <f>A242+1</f>
        <v>31</v>
      </c>
      <c r="B250" s="375" t="s">
        <v>385</v>
      </c>
      <c r="C250" s="375" t="s">
        <v>227</v>
      </c>
      <c r="D250" s="375">
        <v>2008</v>
      </c>
      <c r="E250" s="377" t="s">
        <v>136</v>
      </c>
      <c r="F250" s="378"/>
      <c r="G250" s="374">
        <v>1</v>
      </c>
      <c r="H250" s="377" t="s">
        <v>386</v>
      </c>
      <c r="J250" s="544" t="s">
        <v>387</v>
      </c>
      <c r="K250" s="545" t="s">
        <v>387</v>
      </c>
      <c r="L250" s="546" t="s">
        <v>387</v>
      </c>
      <c r="M250" s="378"/>
      <c r="N250" s="381">
        <v>0.7</v>
      </c>
      <c r="O250" s="382">
        <v>1</v>
      </c>
      <c r="P250" s="382">
        <v>1</v>
      </c>
      <c r="Q250" s="382">
        <v>1</v>
      </c>
      <c r="R250" s="382">
        <v>1</v>
      </c>
      <c r="S250" s="383">
        <v>0.7</v>
      </c>
      <c r="T250" s="378"/>
      <c r="U250" s="384">
        <v>0</v>
      </c>
    </row>
    <row r="251" spans="1:21" ht="12.75">
      <c r="A251" s="416">
        <f>A250</f>
        <v>31</v>
      </c>
      <c r="B251" s="417" t="s">
        <v>385</v>
      </c>
      <c r="C251" s="417" t="s">
        <v>227</v>
      </c>
      <c r="D251" s="417">
        <v>2008</v>
      </c>
      <c r="E251" s="419" t="s">
        <v>136</v>
      </c>
      <c r="F251" s="378"/>
      <c r="G251" s="416">
        <f aca="true" t="shared" si="13" ref="G251:G256">G250+1</f>
        <v>2</v>
      </c>
      <c r="H251" s="419" t="s">
        <v>388</v>
      </c>
      <c r="J251" s="495" t="s">
        <v>387</v>
      </c>
      <c r="K251" s="496" t="s">
        <v>387</v>
      </c>
      <c r="L251" s="513" t="s">
        <v>387</v>
      </c>
      <c r="M251" s="378"/>
      <c r="N251" s="422">
        <v>0.7</v>
      </c>
      <c r="O251" s="423">
        <v>1</v>
      </c>
      <c r="P251" s="423">
        <v>1</v>
      </c>
      <c r="Q251" s="423">
        <v>1</v>
      </c>
      <c r="R251" s="423">
        <v>1</v>
      </c>
      <c r="S251" s="424">
        <v>0.7</v>
      </c>
      <c r="T251" s="378"/>
      <c r="U251" s="425">
        <v>0</v>
      </c>
    </row>
    <row r="252" spans="1:21" ht="12.75">
      <c r="A252" s="456">
        <f>A251</f>
        <v>31</v>
      </c>
      <c r="B252" s="457" t="s">
        <v>385</v>
      </c>
      <c r="C252" s="457" t="s">
        <v>227</v>
      </c>
      <c r="D252" s="457">
        <v>2008</v>
      </c>
      <c r="E252" s="459" t="s">
        <v>136</v>
      </c>
      <c r="F252" s="378"/>
      <c r="G252" s="456">
        <f t="shared" si="13"/>
        <v>3</v>
      </c>
      <c r="H252" s="459" t="s">
        <v>389</v>
      </c>
      <c r="J252" s="497" t="s">
        <v>387</v>
      </c>
      <c r="K252" s="498" t="s">
        <v>387</v>
      </c>
      <c r="L252" s="526" t="s">
        <v>387</v>
      </c>
      <c r="M252" s="378"/>
      <c r="N252" s="462">
        <v>0.7</v>
      </c>
      <c r="O252" s="463">
        <v>1</v>
      </c>
      <c r="P252" s="463">
        <v>1</v>
      </c>
      <c r="Q252" s="463">
        <v>1</v>
      </c>
      <c r="R252" s="463">
        <v>1</v>
      </c>
      <c r="S252" s="464">
        <v>0.7</v>
      </c>
      <c r="T252" s="378"/>
      <c r="U252" s="465">
        <v>0</v>
      </c>
    </row>
    <row r="253" spans="1:21" ht="12.75">
      <c r="A253" s="416">
        <f>A252</f>
        <v>31</v>
      </c>
      <c r="B253" s="417" t="s">
        <v>385</v>
      </c>
      <c r="C253" s="417" t="s">
        <v>227</v>
      </c>
      <c r="D253" s="417">
        <v>2008</v>
      </c>
      <c r="E253" s="419" t="s">
        <v>136</v>
      </c>
      <c r="F253" s="378"/>
      <c r="G253" s="416">
        <f t="shared" si="13"/>
        <v>4</v>
      </c>
      <c r="H253" s="419" t="s">
        <v>390</v>
      </c>
      <c r="J253" s="495" t="s">
        <v>387</v>
      </c>
      <c r="K253" s="496" t="s">
        <v>387</v>
      </c>
      <c r="L253" s="513" t="s">
        <v>387</v>
      </c>
      <c r="M253" s="378"/>
      <c r="N253" s="422">
        <v>0.7</v>
      </c>
      <c r="O253" s="423">
        <v>1</v>
      </c>
      <c r="P253" s="423">
        <v>1</v>
      </c>
      <c r="Q253" s="423">
        <v>1</v>
      </c>
      <c r="R253" s="423">
        <v>1</v>
      </c>
      <c r="S253" s="424">
        <v>0.7</v>
      </c>
      <c r="T253" s="378"/>
      <c r="U253" s="425">
        <v>0</v>
      </c>
    </row>
    <row r="254" spans="1:21" ht="12.75">
      <c r="A254" s="456">
        <f>A253</f>
        <v>31</v>
      </c>
      <c r="B254" s="457" t="s">
        <v>385</v>
      </c>
      <c r="C254" s="457" t="s">
        <v>227</v>
      </c>
      <c r="D254" s="457">
        <v>2008</v>
      </c>
      <c r="E254" s="459" t="s">
        <v>136</v>
      </c>
      <c r="F254" s="378"/>
      <c r="G254" s="456">
        <f t="shared" si="13"/>
        <v>5</v>
      </c>
      <c r="H254" s="459" t="s">
        <v>391</v>
      </c>
      <c r="J254" s="497" t="s">
        <v>387</v>
      </c>
      <c r="K254" s="498" t="s">
        <v>387</v>
      </c>
      <c r="L254" s="526" t="s">
        <v>387</v>
      </c>
      <c r="M254" s="378"/>
      <c r="N254" s="462">
        <v>0.7</v>
      </c>
      <c r="O254" s="463">
        <v>1</v>
      </c>
      <c r="P254" s="463">
        <v>1</v>
      </c>
      <c r="Q254" s="463">
        <v>1</v>
      </c>
      <c r="R254" s="463">
        <v>1</v>
      </c>
      <c r="S254" s="464">
        <v>0.7</v>
      </c>
      <c r="T254" s="378"/>
      <c r="U254" s="465">
        <v>0</v>
      </c>
    </row>
    <row r="255" spans="1:21" ht="12.75">
      <c r="A255" s="515">
        <f>A254</f>
        <v>31</v>
      </c>
      <c r="B255" s="516" t="s">
        <v>385</v>
      </c>
      <c r="C255" s="516" t="s">
        <v>227</v>
      </c>
      <c r="D255" s="516">
        <v>2008</v>
      </c>
      <c r="E255" s="517" t="s">
        <v>136</v>
      </c>
      <c r="F255" s="378"/>
      <c r="G255" s="515">
        <f t="shared" si="13"/>
        <v>6</v>
      </c>
      <c r="H255" s="517" t="s">
        <v>392</v>
      </c>
      <c r="J255" s="547" t="s">
        <v>387</v>
      </c>
      <c r="K255" s="548" t="s">
        <v>387</v>
      </c>
      <c r="L255" s="525" t="s">
        <v>387</v>
      </c>
      <c r="M255" s="378"/>
      <c r="N255" s="520">
        <v>0.7</v>
      </c>
      <c r="O255" s="521">
        <v>1</v>
      </c>
      <c r="P255" s="521">
        <v>1</v>
      </c>
      <c r="Q255" s="521">
        <v>1</v>
      </c>
      <c r="R255" s="521">
        <v>1</v>
      </c>
      <c r="S255" s="522">
        <v>0.7</v>
      </c>
      <c r="T255" s="378"/>
      <c r="U255" s="523">
        <v>0</v>
      </c>
    </row>
    <row r="256" spans="1:21" s="378" customFormat="1" ht="12.75">
      <c r="A256" s="446">
        <v>31</v>
      </c>
      <c r="B256" s="447" t="s">
        <v>385</v>
      </c>
      <c r="C256" s="447" t="s">
        <v>227</v>
      </c>
      <c r="D256" s="447">
        <v>2008</v>
      </c>
      <c r="E256" s="449" t="s">
        <v>136</v>
      </c>
      <c r="G256" s="446">
        <f t="shared" si="13"/>
        <v>7</v>
      </c>
      <c r="H256" s="449" t="s">
        <v>393</v>
      </c>
      <c r="J256" s="493" t="s">
        <v>387</v>
      </c>
      <c r="K256" s="494" t="s">
        <v>387</v>
      </c>
      <c r="L256" s="549" t="s">
        <v>387</v>
      </c>
      <c r="N256" s="452">
        <v>0.7</v>
      </c>
      <c r="O256" s="453">
        <v>1</v>
      </c>
      <c r="P256" s="453">
        <v>1</v>
      </c>
      <c r="Q256" s="453">
        <v>1</v>
      </c>
      <c r="R256" s="453">
        <v>1</v>
      </c>
      <c r="S256" s="454">
        <v>0.7</v>
      </c>
      <c r="U256" s="455">
        <v>0</v>
      </c>
    </row>
    <row r="257" spans="1:21" ht="12.75">
      <c r="A257" s="473">
        <f>A250+1</f>
        <v>32</v>
      </c>
      <c r="B257" s="474" t="s">
        <v>394</v>
      </c>
      <c r="C257" s="474" t="s">
        <v>153</v>
      </c>
      <c r="D257" s="474">
        <v>2008</v>
      </c>
      <c r="E257" s="475" t="s">
        <v>136</v>
      </c>
      <c r="F257" s="378"/>
      <c r="G257" s="473">
        <v>1</v>
      </c>
      <c r="H257" s="475" t="s">
        <v>154</v>
      </c>
      <c r="J257" s="491" t="s">
        <v>155</v>
      </c>
      <c r="K257" s="492" t="s">
        <v>155</v>
      </c>
      <c r="L257" s="475">
        <v>1</v>
      </c>
      <c r="M257" s="378"/>
      <c r="N257" s="478">
        <v>1</v>
      </c>
      <c r="O257" s="479">
        <v>1</v>
      </c>
      <c r="P257" s="479">
        <v>1</v>
      </c>
      <c r="Q257" s="479">
        <v>1</v>
      </c>
      <c r="R257" s="479">
        <v>1</v>
      </c>
      <c r="S257" s="480">
        <v>1</v>
      </c>
      <c r="T257" s="378"/>
      <c r="U257" s="500" t="s">
        <v>156</v>
      </c>
    </row>
    <row r="258" spans="1:21" s="378" customFormat="1" ht="12.75">
      <c r="A258" s="446">
        <f>A257+1</f>
        <v>33</v>
      </c>
      <c r="B258" s="447" t="s">
        <v>395</v>
      </c>
      <c r="C258" s="447" t="s">
        <v>153</v>
      </c>
      <c r="D258" s="447">
        <v>2008</v>
      </c>
      <c r="E258" s="449" t="s">
        <v>136</v>
      </c>
      <c r="G258" s="446">
        <v>1</v>
      </c>
      <c r="H258" s="449" t="s">
        <v>396</v>
      </c>
      <c r="J258" s="493" t="s">
        <v>155</v>
      </c>
      <c r="K258" s="494" t="s">
        <v>155</v>
      </c>
      <c r="L258" s="449">
        <v>5</v>
      </c>
      <c r="N258" s="452">
        <v>1</v>
      </c>
      <c r="O258" s="453">
        <v>1</v>
      </c>
      <c r="P258" s="453">
        <v>1</v>
      </c>
      <c r="Q258" s="453">
        <v>1</v>
      </c>
      <c r="R258" s="453">
        <v>1</v>
      </c>
      <c r="S258" s="454">
        <v>1</v>
      </c>
      <c r="U258" s="499" t="s">
        <v>156</v>
      </c>
    </row>
    <row r="259" spans="1:21" ht="12.75">
      <c r="A259" s="416">
        <f>A258+1</f>
        <v>34</v>
      </c>
      <c r="B259" s="417" t="s">
        <v>397</v>
      </c>
      <c r="C259" s="417" t="s">
        <v>153</v>
      </c>
      <c r="D259" s="417">
        <v>2008</v>
      </c>
      <c r="E259" s="419" t="s">
        <v>136</v>
      </c>
      <c r="F259" s="378"/>
      <c r="G259" s="416">
        <v>1</v>
      </c>
      <c r="H259" s="419" t="s">
        <v>234</v>
      </c>
      <c r="J259" s="495" t="s">
        <v>155</v>
      </c>
      <c r="K259" s="496" t="s">
        <v>155</v>
      </c>
      <c r="L259" s="419">
        <v>1</v>
      </c>
      <c r="M259" s="378"/>
      <c r="N259" s="422">
        <v>1</v>
      </c>
      <c r="O259" s="423">
        <v>1</v>
      </c>
      <c r="P259" s="423">
        <v>1</v>
      </c>
      <c r="Q259" s="423">
        <v>1</v>
      </c>
      <c r="R259" s="423">
        <v>1</v>
      </c>
      <c r="S259" s="424">
        <v>1</v>
      </c>
      <c r="T259" s="378"/>
      <c r="U259" s="514" t="s">
        <v>156</v>
      </c>
    </row>
    <row r="260" spans="1:21" s="378" customFormat="1" ht="12.75">
      <c r="A260" s="446">
        <f>A259</f>
        <v>34</v>
      </c>
      <c r="B260" s="447" t="s">
        <v>397</v>
      </c>
      <c r="C260" s="447" t="s">
        <v>153</v>
      </c>
      <c r="D260" s="447">
        <v>2008</v>
      </c>
      <c r="E260" s="449" t="s">
        <v>136</v>
      </c>
      <c r="G260" s="446">
        <f>G259+1</f>
        <v>2</v>
      </c>
      <c r="H260" s="449" t="s">
        <v>235</v>
      </c>
      <c r="J260" s="493" t="s">
        <v>155</v>
      </c>
      <c r="K260" s="494" t="s">
        <v>155</v>
      </c>
      <c r="L260" s="449">
        <v>1</v>
      </c>
      <c r="N260" s="452">
        <v>1</v>
      </c>
      <c r="O260" s="453">
        <v>1</v>
      </c>
      <c r="P260" s="453">
        <v>1</v>
      </c>
      <c r="Q260" s="453">
        <v>1</v>
      </c>
      <c r="R260" s="453">
        <v>1</v>
      </c>
      <c r="S260" s="454">
        <v>1</v>
      </c>
      <c r="U260" s="499" t="s">
        <v>156</v>
      </c>
    </row>
    <row r="261" spans="1:21" ht="12.75">
      <c r="A261" s="515">
        <f>A259+1</f>
        <v>35</v>
      </c>
      <c r="B261" s="516" t="s">
        <v>398</v>
      </c>
      <c r="C261" s="516" t="s">
        <v>237</v>
      </c>
      <c r="D261" s="516">
        <v>2008</v>
      </c>
      <c r="E261" s="517" t="s">
        <v>136</v>
      </c>
      <c r="F261" s="378"/>
      <c r="G261" s="515">
        <v>1</v>
      </c>
      <c r="H261" s="517" t="s">
        <v>399</v>
      </c>
      <c r="J261" s="518">
        <v>52000</v>
      </c>
      <c r="K261" s="519">
        <v>0</v>
      </c>
      <c r="L261" s="517">
        <v>1</v>
      </c>
      <c r="M261" s="378"/>
      <c r="N261" s="520">
        <v>1</v>
      </c>
      <c r="O261" s="521">
        <v>1</v>
      </c>
      <c r="P261" s="521">
        <v>1</v>
      </c>
      <c r="Q261" s="521">
        <v>1</v>
      </c>
      <c r="R261" s="521">
        <v>1</v>
      </c>
      <c r="S261" s="522">
        <v>1</v>
      </c>
      <c r="T261" s="378"/>
      <c r="U261" s="550" t="s">
        <v>156</v>
      </c>
    </row>
    <row r="262" spans="1:21" ht="12.75">
      <c r="A262" s="374">
        <f>A261+1</f>
        <v>36</v>
      </c>
      <c r="B262" s="375" t="s">
        <v>400</v>
      </c>
      <c r="C262" s="375" t="s">
        <v>237</v>
      </c>
      <c r="D262" s="375">
        <v>2008</v>
      </c>
      <c r="E262" s="377" t="s">
        <v>136</v>
      </c>
      <c r="F262" s="551"/>
      <c r="G262" s="374">
        <v>1</v>
      </c>
      <c r="H262" s="377" t="s">
        <v>238</v>
      </c>
      <c r="J262" s="544" t="s">
        <v>155</v>
      </c>
      <c r="K262" s="545" t="s">
        <v>155</v>
      </c>
      <c r="L262" s="377">
        <v>20</v>
      </c>
      <c r="M262" s="378"/>
      <c r="N262" s="381">
        <v>1</v>
      </c>
      <c r="O262" s="382">
        <v>1</v>
      </c>
      <c r="P262" s="382">
        <v>1</v>
      </c>
      <c r="Q262" s="382">
        <v>1</v>
      </c>
      <c r="R262" s="382">
        <v>1</v>
      </c>
      <c r="S262" s="383">
        <v>1</v>
      </c>
      <c r="T262" s="378"/>
      <c r="U262" s="384">
        <v>0</v>
      </c>
    </row>
    <row r="263" spans="1:21" ht="12.75">
      <c r="A263" s="416">
        <f>A262</f>
        <v>36</v>
      </c>
      <c r="B263" s="417" t="s">
        <v>400</v>
      </c>
      <c r="C263" s="417" t="s">
        <v>237</v>
      </c>
      <c r="D263" s="417">
        <v>2008</v>
      </c>
      <c r="E263" s="419" t="s">
        <v>136</v>
      </c>
      <c r="F263" s="378"/>
      <c r="G263" s="416">
        <f>G262+1</f>
        <v>2</v>
      </c>
      <c r="H263" s="419" t="s">
        <v>239</v>
      </c>
      <c r="J263" s="495" t="s">
        <v>155</v>
      </c>
      <c r="K263" s="496" t="s">
        <v>155</v>
      </c>
      <c r="L263" s="419">
        <v>20</v>
      </c>
      <c r="M263" s="378"/>
      <c r="N263" s="422">
        <v>1</v>
      </c>
      <c r="O263" s="423">
        <v>1</v>
      </c>
      <c r="P263" s="423">
        <v>1</v>
      </c>
      <c r="Q263" s="423">
        <v>1</v>
      </c>
      <c r="R263" s="423">
        <v>1</v>
      </c>
      <c r="S263" s="424">
        <v>1</v>
      </c>
      <c r="T263" s="378"/>
      <c r="U263" s="425">
        <v>0</v>
      </c>
    </row>
    <row r="264" spans="1:21" ht="12.75">
      <c r="A264" s="456">
        <f>A263</f>
        <v>36</v>
      </c>
      <c r="B264" s="457" t="s">
        <v>400</v>
      </c>
      <c r="C264" s="457" t="s">
        <v>237</v>
      </c>
      <c r="D264" s="457">
        <v>2008</v>
      </c>
      <c r="E264" s="459" t="s">
        <v>136</v>
      </c>
      <c r="F264" s="378"/>
      <c r="G264" s="456">
        <f>G263+1</f>
        <v>3</v>
      </c>
      <c r="H264" s="459" t="s">
        <v>240</v>
      </c>
      <c r="J264" s="497" t="s">
        <v>155</v>
      </c>
      <c r="K264" s="498" t="s">
        <v>155</v>
      </c>
      <c r="L264" s="459">
        <v>20</v>
      </c>
      <c r="M264" s="378"/>
      <c r="N264" s="462">
        <v>1</v>
      </c>
      <c r="O264" s="463">
        <v>1</v>
      </c>
      <c r="P264" s="463">
        <v>1</v>
      </c>
      <c r="Q264" s="463">
        <v>1</v>
      </c>
      <c r="R264" s="463">
        <v>1</v>
      </c>
      <c r="S264" s="464">
        <v>1</v>
      </c>
      <c r="T264" s="378"/>
      <c r="U264" s="465">
        <v>0</v>
      </c>
    </row>
    <row r="265" spans="1:21" s="378" customFormat="1" ht="12.75">
      <c r="A265" s="473">
        <f>A264</f>
        <v>36</v>
      </c>
      <c r="B265" s="474" t="s">
        <v>400</v>
      </c>
      <c r="C265" s="474" t="s">
        <v>237</v>
      </c>
      <c r="D265" s="474">
        <v>2008</v>
      </c>
      <c r="E265" s="475" t="s">
        <v>136</v>
      </c>
      <c r="G265" s="473">
        <f>G264+1</f>
        <v>4</v>
      </c>
      <c r="H265" s="475" t="s">
        <v>241</v>
      </c>
      <c r="J265" s="491" t="s">
        <v>155</v>
      </c>
      <c r="K265" s="492" t="s">
        <v>155</v>
      </c>
      <c r="L265" s="475">
        <v>20</v>
      </c>
      <c r="N265" s="478">
        <v>1</v>
      </c>
      <c r="O265" s="479">
        <v>1</v>
      </c>
      <c r="P265" s="479">
        <v>1</v>
      </c>
      <c r="Q265" s="479">
        <v>1</v>
      </c>
      <c r="R265" s="479">
        <v>1</v>
      </c>
      <c r="S265" s="480">
        <v>1</v>
      </c>
      <c r="U265" s="481">
        <v>0</v>
      </c>
    </row>
    <row r="266" spans="1:21" ht="12.75">
      <c r="A266" s="446">
        <v>37</v>
      </c>
      <c r="B266" s="447" t="s">
        <v>401</v>
      </c>
      <c r="C266" s="447" t="s">
        <v>237</v>
      </c>
      <c r="D266" s="447">
        <v>2008</v>
      </c>
      <c r="E266" s="449" t="s">
        <v>136</v>
      </c>
      <c r="F266" s="378"/>
      <c r="G266" s="446">
        <v>1</v>
      </c>
      <c r="H266" s="449" t="s">
        <v>402</v>
      </c>
      <c r="J266" s="493" t="s">
        <v>155</v>
      </c>
      <c r="K266" s="494" t="s">
        <v>155</v>
      </c>
      <c r="L266" s="449">
        <v>20</v>
      </c>
      <c r="M266" s="378"/>
      <c r="N266" s="452">
        <v>1</v>
      </c>
      <c r="O266" s="453">
        <v>1</v>
      </c>
      <c r="P266" s="453">
        <v>1</v>
      </c>
      <c r="Q266" s="453">
        <v>1</v>
      </c>
      <c r="R266" s="453">
        <v>1</v>
      </c>
      <c r="S266" s="454">
        <v>1</v>
      </c>
      <c r="T266" s="378"/>
      <c r="U266" s="455">
        <v>0</v>
      </c>
    </row>
  </sheetData>
  <sheetProtection/>
  <mergeCells count="19">
    <mergeCell ref="H5:H7"/>
    <mergeCell ref="J5:L5"/>
    <mergeCell ref="N5:S5"/>
    <mergeCell ref="A5:A7"/>
    <mergeCell ref="B5:B7"/>
    <mergeCell ref="C5:C7"/>
    <mergeCell ref="D5:D7"/>
    <mergeCell ref="E5:E7"/>
    <mergeCell ref="G5:G7"/>
    <mergeCell ref="U5:U7"/>
    <mergeCell ref="J6:J7"/>
    <mergeCell ref="K6:K7"/>
    <mergeCell ref="L6:L7"/>
    <mergeCell ref="N6:N7"/>
    <mergeCell ref="O6:O7"/>
    <mergeCell ref="P6:P7"/>
    <mergeCell ref="Q6:Q7"/>
    <mergeCell ref="R6:R7"/>
    <mergeCell ref="S6:S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5" scale="55" r:id="rId1"/>
  <headerFooter alignWithMargins="0">
    <oddFooter xml:space="preserve">&amp;C© Burman Energy Consultants Group Inc 2010 - Wasaga Distribution LRAM/SSM </oddFooter>
  </headerFooter>
  <rowBreaks count="4" manualBreakCount="4">
    <brk id="51" max="255" man="1"/>
    <brk id="102" max="255" man="1"/>
    <brk id="157" max="255" man="1"/>
    <brk id="204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4:D20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9.8515625" style="0" bestFit="1" customWidth="1"/>
    <col min="2" max="2" width="12.28125" style="0" customWidth="1"/>
    <col min="3" max="4" width="12.7109375" style="0" customWidth="1"/>
  </cols>
  <sheetData>
    <row r="4" spans="1:2" ht="15">
      <c r="A4" s="10" t="s">
        <v>18</v>
      </c>
      <c r="B4" s="13"/>
    </row>
    <row r="5" spans="1:4" ht="30">
      <c r="A5" s="10"/>
      <c r="B5" s="132" t="s">
        <v>65</v>
      </c>
      <c r="C5" s="133" t="s">
        <v>66</v>
      </c>
      <c r="D5" s="134" t="s">
        <v>67</v>
      </c>
    </row>
    <row r="6" spans="1:4" ht="15.75" thickBot="1">
      <c r="A6" s="130"/>
      <c r="B6" s="704" t="s">
        <v>19</v>
      </c>
      <c r="C6" s="705"/>
      <c r="D6" s="706"/>
    </row>
    <row r="7" spans="1:4" ht="15">
      <c r="A7" s="120" t="s">
        <v>5</v>
      </c>
      <c r="B7" s="50"/>
      <c r="C7" s="48"/>
      <c r="D7" s="136"/>
    </row>
    <row r="8" spans="1:4" ht="15">
      <c r="A8" s="122" t="s">
        <v>6</v>
      </c>
      <c r="B8" s="15" t="e">
        <f>'Attachment B - LRAM Amounts'!#REF!</f>
        <v>#REF!</v>
      </c>
      <c r="C8" s="48">
        <v>104802.28191575999</v>
      </c>
      <c r="D8" s="135" t="e">
        <f>B8-C8</f>
        <v>#REF!</v>
      </c>
    </row>
    <row r="9" spans="1:4" ht="15">
      <c r="A9" s="122" t="s">
        <v>7</v>
      </c>
      <c r="B9" s="15">
        <f>'Attachment B - LRAM Amounts'!T11</f>
        <v>0</v>
      </c>
      <c r="C9" s="48">
        <v>1191.9929521919998</v>
      </c>
      <c r="D9" s="135">
        <f aca="true" t="shared" si="0" ref="D9:D20">B9-C9</f>
        <v>-1191.9929521919998</v>
      </c>
    </row>
    <row r="10" spans="1:4" ht="15">
      <c r="A10" s="122" t="s">
        <v>8</v>
      </c>
      <c r="B10" s="15" t="e">
        <f>'Attachment B - LRAM Amounts'!#REF!</f>
        <v>#REF!</v>
      </c>
      <c r="C10" s="48">
        <v>507.9928460160045</v>
      </c>
      <c r="D10" s="135" t="e">
        <f t="shared" si="0"/>
        <v>#REF!</v>
      </c>
    </row>
    <row r="11" spans="1:4" ht="15">
      <c r="A11" s="64"/>
      <c r="B11" s="15"/>
      <c r="C11" s="48"/>
      <c r="D11" s="135"/>
    </row>
    <row r="12" spans="1:4" ht="15">
      <c r="A12" s="121" t="s">
        <v>61</v>
      </c>
      <c r="B12" s="15"/>
      <c r="C12" s="48"/>
      <c r="D12" s="135"/>
    </row>
    <row r="13" spans="1:4" ht="15">
      <c r="A13" s="122" t="s">
        <v>6</v>
      </c>
      <c r="B13" s="15" t="e">
        <f>'Attachment B - LRAM Amounts'!#REF!</f>
        <v>#REF!</v>
      </c>
      <c r="C13" s="48">
        <v>11287.414799999999</v>
      </c>
      <c r="D13" s="135" t="e">
        <f t="shared" si="0"/>
        <v>#REF!</v>
      </c>
    </row>
    <row r="14" spans="1:4" ht="15">
      <c r="A14" s="64"/>
      <c r="B14" s="15"/>
      <c r="C14" s="48"/>
      <c r="D14" s="135"/>
    </row>
    <row r="15" spans="1:4" ht="15">
      <c r="A15" s="65" t="s">
        <v>22</v>
      </c>
      <c r="B15" s="15"/>
      <c r="C15" s="48"/>
      <c r="D15" s="135"/>
    </row>
    <row r="16" spans="1:4" ht="15">
      <c r="A16" s="66" t="s">
        <v>6</v>
      </c>
      <c r="B16" s="6">
        <f>'Attachment B - LRAM Amounts'!T26</f>
        <v>0</v>
      </c>
      <c r="C16" s="48">
        <v>283752.26663727453</v>
      </c>
      <c r="D16" s="135">
        <f t="shared" si="0"/>
        <v>-283752.26663727453</v>
      </c>
    </row>
    <row r="17" spans="1:4" ht="15">
      <c r="A17" s="66" t="s">
        <v>7</v>
      </c>
      <c r="B17" s="6" t="e">
        <f>'Attachment B - LRAM Amounts'!#REF!</f>
        <v>#REF!</v>
      </c>
      <c r="C17" s="48">
        <v>824.5634247645988</v>
      </c>
      <c r="D17" s="135" t="e">
        <f t="shared" si="0"/>
        <v>#REF!</v>
      </c>
    </row>
    <row r="18" spans="1:4" ht="15">
      <c r="A18" s="66" t="s">
        <v>8</v>
      </c>
      <c r="B18" s="6">
        <f>'Attachment B - LRAM Amounts'!T31</f>
        <v>0</v>
      </c>
      <c r="C18" s="48">
        <v>20990.259990037783</v>
      </c>
      <c r="D18" s="135">
        <f t="shared" si="0"/>
        <v>-20990.259990037783</v>
      </c>
    </row>
    <row r="19" spans="1:4" ht="15">
      <c r="A19" s="67"/>
      <c r="B19" s="6"/>
      <c r="C19" s="48"/>
      <c r="D19" s="135"/>
    </row>
    <row r="20" spans="1:4" ht="15.75" thickBot="1">
      <c r="A20" s="68"/>
      <c r="B20" s="49" t="e">
        <f>SUM(B8:B18)</f>
        <v>#REF!</v>
      </c>
      <c r="C20" s="131">
        <v>423356.7725660449</v>
      </c>
      <c r="D20" s="137" t="e">
        <f t="shared" si="0"/>
        <v>#REF!</v>
      </c>
    </row>
    <row r="21" ht="15.75" thickTop="1"/>
  </sheetData>
  <sheetProtection/>
  <mergeCells count="1">
    <mergeCell ref="B6:D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5.28125" style="0" customWidth="1"/>
    <col min="2" max="2" width="29.00390625" style="0" customWidth="1"/>
    <col min="3" max="3" width="15.00390625" style="2" customWidth="1"/>
    <col min="4" max="4" width="16.140625" style="2" customWidth="1"/>
    <col min="5" max="5" width="9.140625" style="2" customWidth="1"/>
  </cols>
  <sheetData>
    <row r="1" spans="3:4" ht="30">
      <c r="C1" s="2" t="s">
        <v>90</v>
      </c>
      <c r="D1" s="204" t="s">
        <v>91</v>
      </c>
    </row>
    <row r="2" spans="1:5" ht="15">
      <c r="A2" t="s">
        <v>87</v>
      </c>
      <c r="E2" s="2">
        <v>1652</v>
      </c>
    </row>
    <row r="3" spans="2:5" ht="15">
      <c r="B3" t="s">
        <v>75</v>
      </c>
      <c r="C3" s="2" t="e">
        <f>'Attachment C - SSM Amounts'!#REF!</f>
        <v>#REF!</v>
      </c>
      <c r="D3" s="205" t="e">
        <f>C3/C8</f>
        <v>#REF!</v>
      </c>
      <c r="E3" s="2" t="e">
        <f>E2*D3</f>
        <v>#REF!</v>
      </c>
    </row>
    <row r="4" spans="2:5" ht="15">
      <c r="B4" t="s">
        <v>88</v>
      </c>
      <c r="C4" s="2">
        <f>'Attachment C - SSM Amounts'!E9</f>
        <v>-17185.57</v>
      </c>
      <c r="D4" s="205" t="e">
        <f>C4/C8</f>
        <v>#REF!</v>
      </c>
      <c r="E4" s="2" t="e">
        <f>E2*D4</f>
        <v>#REF!</v>
      </c>
    </row>
    <row r="5" spans="2:5" ht="15">
      <c r="B5" t="s">
        <v>73</v>
      </c>
      <c r="C5" s="2">
        <f>'Attachment C - SSM Amounts'!E21</f>
        <v>-1353.24</v>
      </c>
      <c r="D5" s="205" t="e">
        <f>C5/C8</f>
        <v>#REF!</v>
      </c>
      <c r="E5" s="2" t="e">
        <f>E2*D5</f>
        <v>#REF!</v>
      </c>
    </row>
    <row r="6" spans="2:5" ht="15">
      <c r="B6" t="s">
        <v>89</v>
      </c>
      <c r="C6" s="2" t="e">
        <f>'Attachment C - SSM Amounts'!#REF!</f>
        <v>#REF!</v>
      </c>
      <c r="D6" s="205" t="e">
        <f>C6/C8</f>
        <v>#REF!</v>
      </c>
      <c r="E6" s="2" t="e">
        <f>E2*D6</f>
        <v>#REF!</v>
      </c>
    </row>
    <row r="8" ht="15">
      <c r="C8" s="2" t="e">
        <f>SUM(C3:C6)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EnerSpectrum Group</dc:creator>
  <cp:keywords/>
  <dc:description/>
  <cp:lastModifiedBy> </cp:lastModifiedBy>
  <cp:lastPrinted>2010-12-06T18:50:42Z</cp:lastPrinted>
  <dcterms:created xsi:type="dcterms:W3CDTF">2009-08-14T19:01:19Z</dcterms:created>
  <dcterms:modified xsi:type="dcterms:W3CDTF">2010-12-06T19:03:31Z</dcterms:modified>
  <cp:category/>
  <cp:version/>
  <cp:contentType/>
  <cp:contentStatus/>
</cp:coreProperties>
</file>