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firstSheet="4" activeTab="6"/>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comments5.xml><?xml version="1.0" encoding="utf-8"?>
<comments xmlns="http://schemas.openxmlformats.org/spreadsheetml/2006/main">
  <authors>
    <author>JHoward</author>
  </authors>
  <commentList>
    <comment ref="H8" authorId="0">
      <text>
        <r>
          <rPr>
            <b/>
            <sz val="8"/>
            <rFont val="Tahoma"/>
            <family val="2"/>
          </rPr>
          <t>JHoward:</t>
        </r>
        <r>
          <rPr>
            <sz val="8"/>
            <rFont val="Tahoma"/>
            <family val="2"/>
          </rPr>
          <t xml:space="preserve">
Changed Cell to take data from Column T rather than R</t>
        </r>
      </text>
    </comment>
    <comment ref="H9" authorId="0">
      <text>
        <r>
          <rPr>
            <b/>
            <sz val="8"/>
            <rFont val="Tahoma"/>
            <family val="2"/>
          </rPr>
          <t>JHoward:</t>
        </r>
        <r>
          <rPr>
            <sz val="8"/>
            <rFont val="Tahoma"/>
            <family val="2"/>
          </rPr>
          <t xml:space="preserve">
Same</t>
        </r>
      </text>
    </comment>
    <comment ref="I8" authorId="0">
      <text>
        <r>
          <rPr>
            <b/>
            <sz val="8"/>
            <rFont val="Tahoma"/>
            <family val="2"/>
          </rPr>
          <t>JHoward:</t>
        </r>
        <r>
          <rPr>
            <sz val="8"/>
            <rFont val="Tahoma"/>
            <family val="2"/>
          </rPr>
          <t xml:space="preserve">
Changed Cell to take data from Column W rather than S
</t>
        </r>
      </text>
    </comment>
    <comment ref="I9" authorId="0">
      <text>
        <r>
          <rPr>
            <b/>
            <sz val="8"/>
            <rFont val="Tahoma"/>
            <family val="2"/>
          </rPr>
          <t>JHoward:</t>
        </r>
        <r>
          <rPr>
            <sz val="8"/>
            <rFont val="Tahoma"/>
            <family val="2"/>
          </rPr>
          <t xml:space="preserve">
</t>
        </r>
      </text>
    </comment>
  </commentList>
</comments>
</file>

<file path=xl/comments7.xml><?xml version="1.0" encoding="utf-8"?>
<comments xmlns="http://schemas.openxmlformats.org/spreadsheetml/2006/main">
  <authors>
    <author>JHoward</author>
  </authors>
  <commentList>
    <comment ref="C64" authorId="0">
      <text>
        <r>
          <rPr>
            <b/>
            <sz val="8"/>
            <rFont val="Tahoma"/>
            <family val="0"/>
          </rPr>
          <t>JHoward:</t>
        </r>
        <r>
          <rPr>
            <sz val="8"/>
            <rFont val="Tahoma"/>
            <family val="0"/>
          </rPr>
          <t xml:space="preserve">
Should be debit</t>
        </r>
      </text>
    </comment>
    <comment ref="C52" authorId="0">
      <text>
        <r>
          <rPr>
            <b/>
            <sz val="8"/>
            <rFont val="Tahoma"/>
            <family val="0"/>
          </rPr>
          <t>JHoward:</t>
        </r>
        <r>
          <rPr>
            <sz val="8"/>
            <rFont val="Tahoma"/>
            <family val="0"/>
          </rPr>
          <t xml:space="preserve">
Should be debit due to accrual</t>
        </r>
      </text>
    </comment>
  </commentList>
</comments>
</file>

<file path=xl/sharedStrings.xml><?xml version="1.0" encoding="utf-8"?>
<sst xmlns="http://schemas.openxmlformats.org/spreadsheetml/2006/main" count="405" uniqueCount="286">
  <si>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</si>
  <si>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</si>
  <si>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</si>
  <si>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</si>
  <si>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</si>
  <si>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</si>
  <si>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</si>
  <si>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</si>
  <si>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</si>
  <si>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</si>
  <si>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</si>
  <si>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</si>
  <si>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</si>
  <si>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</si>
  <si>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</si>
  <si>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</si>
  <si>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</si>
  <si>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</si>
  <si>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</si>
  <si>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</si>
  <si>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</si>
  <si>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</si>
  <si>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</si>
  <si>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</si>
  <si>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</si>
  <si>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</si>
  <si>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</si>
  <si>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</si>
  <si>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</si>
  <si>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</si>
  <si>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</si>
  <si>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</si>
  <si>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</si>
  <si>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</si>
  <si>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</si>
  <si>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</si>
  <si>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</si>
  <si>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</si>
  <si>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</si>
  <si>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</si>
  <si>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</si>
  <si>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</si>
  <si>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</si>
  <si>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</si>
  <si>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</si>
  <si>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</si>
  <si>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</si>
  <si>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</si>
  <si>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</si>
  <si>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</si>
  <si>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</si>
  <si>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</si>
  <si>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</si>
  <si>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</si>
  <si>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</si>
  <si>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</si>
  <si>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</si>
  <si>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</si>
  <si>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</si>
  <si>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</si>
  <si>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</si>
  <si>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</si>
  <si>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</si>
  <si>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</si>
  <si>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</si>
  <si>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</si>
  <si>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</si>
  <si>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</si>
  <si>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</si>
  <si>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</si>
  <si>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</si>
  <si>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</si>
  <si>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</si>
  <si>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</si>
  <si>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</si>
  <si>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</si>
  <si>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</si>
  <si>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</si>
  <si>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</si>
  <si>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</si>
  <si>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</si>
  <si>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</si>
  <si>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</si>
  <si>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</si>
  <si>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</si>
  <si>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</si>
  <si>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</si>
  <si>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</si>
  <si>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</si>
  <si>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</si>
  <si>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</si>
  <si>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</si>
  <si>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</si>
  <si>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</si>
  <si>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</si>
  <si>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</si>
  <si>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</si>
  <si>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</si>
  <si>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</si>
  <si>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</si>
  <si>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</si>
  <si>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</si>
  <si>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</si>
  <si>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</si>
  <si>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</si>
  <si>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</si>
  <si>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</si>
  <si>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</si>
  <si>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</si>
  <si>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</si>
  <si>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</si>
  <si>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</si>
  <si>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</si>
  <si>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</si>
  <si>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</si>
  <si>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</si>
  <si>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</si>
  <si>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</si>
  <si>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</si>
  <si>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</si>
  <si>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</si>
  <si>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</si>
  <si>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</si>
  <si>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</si>
  <si>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</si>
  <si>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</si>
  <si>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</si>
  <si>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</si>
  <si>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</si>
  <si>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</si>
  <si>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</si>
  <si>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</si>
  <si>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</si>
  <si>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</si>
  <si>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</si>
  <si>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</si>
  <si>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</si>
  <si>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</si>
  <si>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</si>
  <si>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</si>
  <si>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</si>
  <si>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</si>
  <si>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</si>
  <si>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</si>
  <si>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</si>
  <si>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</si>
  <si>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</si>
  <si>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</si>
  <si>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</si>
  <si>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</si>
  <si>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</si>
  <si>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</si>
  <si>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</si>
  <si>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</si>
  <si>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</si>
  <si>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</si>
  <si>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</si>
  <si>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</si>
  <si>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</si>
  <si>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</si>
  <si>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</si>
  <si>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</si>
  <si>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</si>
  <si>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</si>
  <si>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</si>
  <si>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</si>
  <si>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</si>
  <si>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</si>
  <si>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</si>
  <si>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</si>
  <si>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</si>
  <si>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</si>
  <si>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</si>
  <si>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</si>
  <si>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</si>
  <si>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</si>
  <si>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</si>
  <si>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</si>
  <si>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</si>
  <si>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</si>
  <si>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</si>
  <si>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</si>
  <si>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</si>
  <si>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</si>
  <si>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</si>
  <si>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</si>
  <si>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</si>
  <si>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</si>
  <si>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</si>
  <si>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</si>
  <si>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</si>
  <si>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</si>
  <si>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</si>
  <si>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</si>
  <si>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</si>
  <si>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</si>
  <si>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</si>
  <si>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</si>
  <si>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</si>
  <si>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</si>
  <si>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</si>
  <si>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</si>
  <si>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</si>
  <si>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</si>
  <si>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</si>
  <si>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</si>
  <si>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</si>
  <si>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</si>
  <si>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</si>
  <si>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</si>
  <si>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</si>
  <si>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</si>
  <si>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</si>
  <si>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</si>
  <si>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</si>
  <si>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</si>
  <si>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</si>
  <si>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</si>
  <si>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</si>
  <si>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</si>
  <si>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</si>
  <si>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</si>
  <si>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</si>
  <si>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</si>
  <si>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</si>
  <si>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</si>
  <si>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</si>
  <si>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</si>
  <si>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</si>
  <si>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</si>
  <si>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</si>
  <si>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</si>
  <si>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</si>
  <si>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</si>
  <si>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</si>
  <si>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</si>
  <si>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</si>
  <si>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</si>
  <si>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</si>
  <si>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</si>
  <si>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</si>
  <si>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</si>
  <si>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</si>
  <si>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</si>
  <si>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</si>
  <si>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</si>
  <si>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</si>
  <si>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</si>
  <si>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</si>
  <si>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</si>
  <si>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</si>
  <si>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</si>
  <si>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</si>
  <si>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</si>
  <si>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</si>
  <si>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</si>
  <si>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</si>
  <si>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</si>
  <si>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</si>
  <si>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</si>
  <si>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</si>
  <si>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</si>
  <si>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</si>
  <si>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</si>
  <si>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</si>
  <si>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</si>
  <si>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</si>
  <si>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</si>
  <si>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</si>
  <si>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</si>
  <si>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</si>
  <si>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</si>
  <si>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</si>
  <si>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</si>
  <si>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</si>
  <si>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</si>
  <si>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</si>
  <si>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</si>
  <si>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</si>
  <si>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</si>
  <si>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Orangeville Hydro Limited</t>
  </si>
  <si>
    <t>ED-2002-0500</t>
  </si>
  <si>
    <t>Jan Howard</t>
  </si>
  <si>
    <t>Manager of Finance &amp; Rates</t>
  </si>
  <si>
    <t>jhoward@orangevillehydro.on.ca</t>
  </si>
  <si>
    <t>519-942-8000 ext 243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</si>
</sst>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2">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8"/>
      <name val="Tahoma"/>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8">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44" applyFont="1" applyFill="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7" fillId="39" borderId="0" xfId="44"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0" fontId="0" fillId="37" borderId="0" xfId="0" applyFont="1" applyFill="1" applyAlignment="1">
      <alignment/>
    </xf>
    <xf numFmtId="0" fontId="2" fillId="35" borderId="26" xfId="53"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howard@orangevillehydro.on.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C19" sqref="C19"/>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62" t="s">
        <v>280</v>
      </c>
      <c r="D4"/>
      <c r="E4" s="12"/>
      <c r="F4" s="1"/>
      <c r="G4" s="1"/>
      <c r="H4" s="1"/>
    </row>
    <row r="5" spans="1:8" ht="15.75">
      <c r="A5" s="10"/>
      <c r="B5" s="11"/>
      <c r="C5" s="13"/>
      <c r="D5" s="13"/>
      <c r="E5" s="13"/>
      <c r="F5" s="1"/>
      <c r="G5" s="1"/>
      <c r="H5" s="1"/>
    </row>
    <row r="6" spans="1:8" ht="15.75">
      <c r="A6" s="10"/>
      <c r="B6" s="11" t="s">
        <v>1</v>
      </c>
      <c r="C6" s="162" t="s">
        <v>281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40466</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5" t="s">
        <v>3</v>
      </c>
      <c r="B13" s="165"/>
      <c r="C13" s="16"/>
      <c r="D13" s="16"/>
      <c r="E13" s="16"/>
      <c r="F13" s="15"/>
      <c r="G13" s="15"/>
      <c r="H13" s="15"/>
    </row>
    <row r="14" spans="1:8" ht="16.5" thickBot="1">
      <c r="A14" s="15"/>
      <c r="B14" s="19" t="s">
        <v>4</v>
      </c>
      <c r="C14" s="166" t="s">
        <v>282</v>
      </c>
      <c r="D14" s="167"/>
      <c r="E14" s="20"/>
      <c r="F14" s="15"/>
      <c r="G14" s="15"/>
      <c r="H14" s="15"/>
    </row>
    <row r="15" spans="1:8" ht="16.5" thickBot="1">
      <c r="A15" s="15"/>
      <c r="B15" s="21"/>
      <c r="C15" s="16"/>
      <c r="D15" s="16"/>
      <c r="E15" s="16"/>
      <c r="F15" s="15"/>
      <c r="G15" s="15"/>
      <c r="H15" s="15"/>
    </row>
    <row r="16" spans="1:8" ht="16.5" thickBot="1">
      <c r="A16" s="15"/>
      <c r="B16" s="19" t="s">
        <v>5</v>
      </c>
      <c r="C16" s="166" t="s">
        <v>283</v>
      </c>
      <c r="D16" s="167"/>
      <c r="E16" s="20"/>
      <c r="F16" s="2"/>
      <c r="G16" s="15"/>
      <c r="H16" s="15"/>
    </row>
    <row r="17" spans="1:8" ht="16.5" thickBot="1">
      <c r="A17" s="15"/>
      <c r="B17" s="21"/>
      <c r="C17" s="16"/>
      <c r="D17" s="16"/>
      <c r="E17" s="16"/>
      <c r="F17" s="15"/>
      <c r="G17" s="15"/>
      <c r="H17" s="15"/>
    </row>
    <row r="18" spans="1:8" ht="16.5" thickBot="1">
      <c r="A18" s="15"/>
      <c r="B18" s="19" t="s">
        <v>6</v>
      </c>
      <c r="C18" s="166" t="s">
        <v>285</v>
      </c>
      <c r="D18" s="167"/>
      <c r="E18" s="20"/>
      <c r="F18" s="15"/>
      <c r="G18" s="15"/>
      <c r="H18" s="15"/>
    </row>
    <row r="19" spans="1:8" ht="15" thickBot="1">
      <c r="A19" s="1"/>
      <c r="B19" s="22"/>
      <c r="C19" s="23"/>
      <c r="D19" s="23"/>
      <c r="E19" s="23"/>
      <c r="F19" s="1"/>
      <c r="G19" s="1"/>
      <c r="H19" s="1"/>
    </row>
    <row r="20" spans="1:8" ht="16.5" thickBot="1">
      <c r="A20" s="1"/>
      <c r="B20" s="19" t="s">
        <v>7</v>
      </c>
      <c r="C20" s="163" t="s">
        <v>284</v>
      </c>
      <c r="D20" s="164"/>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howard@orangevillehydro.on.ca"/>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view="pageBreakPreview" zoomScale="60" zoomScaleNormal="75" zoomScalePageLayoutView="0" workbookViewId="0" topLeftCell="C39">
      <selection activeCell="H40" sqref="H40"/>
    </sheetView>
  </sheetViews>
  <sheetFormatPr defaultColWidth="9.140625" defaultRowHeight="12.75"/>
  <cols>
    <col min="1" max="1" width="6.140625" style="7" customWidth="1"/>
    <col min="2" max="2" width="96.57421875" style="7"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69" t="s">
        <v>12</v>
      </c>
      <c r="C1" s="169"/>
      <c r="D1" s="169"/>
      <c r="E1" s="169"/>
      <c r="F1" s="169"/>
      <c r="G1" s="169"/>
      <c r="H1" s="169"/>
      <c r="I1" s="169"/>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v>287</v>
      </c>
      <c r="H6" s="92">
        <v>9584</v>
      </c>
      <c r="I6" s="92">
        <v>100</v>
      </c>
      <c r="J6" s="92"/>
      <c r="K6" s="33">
        <f>SUM(D6:J6)</f>
        <v>9971</v>
      </c>
    </row>
    <row r="7" ht="12.75"/>
    <row r="8" spans="1:11" ht="12.75">
      <c r="A8" s="5"/>
      <c r="B8" s="31" t="s">
        <v>18</v>
      </c>
      <c r="C8" s="31"/>
      <c r="D8" s="32"/>
      <c r="E8" s="32"/>
      <c r="F8" s="32"/>
      <c r="G8" s="32"/>
      <c r="H8" s="32">
        <v>1165</v>
      </c>
      <c r="I8" s="32">
        <v>12</v>
      </c>
      <c r="J8" s="32"/>
      <c r="K8" s="33">
        <f>SUM(D8:J8)</f>
        <v>1177</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287</v>
      </c>
      <c r="H10" s="35">
        <f t="shared" si="0"/>
        <v>10749</v>
      </c>
      <c r="I10" s="35">
        <f t="shared" si="0"/>
        <v>112</v>
      </c>
      <c r="J10" s="35">
        <f t="shared" si="0"/>
        <v>0</v>
      </c>
      <c r="K10" s="35">
        <f t="shared" si="0"/>
        <v>11148</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0.02574452816648726</v>
      </c>
      <c r="H12" s="85">
        <f>IF(ISERROR(SUM($D10:H10)/$K10),0,SUM($D10:H10)/$K10)</f>
        <v>0.9899533548618586</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6" spans="1:11" ht="13.5" thickBot="1">
      <c r="A16" s="5"/>
      <c r="B16" s="57" t="s">
        <v>208</v>
      </c>
      <c r="C16" s="31"/>
      <c r="D16" s="36">
        <f aca="true" t="shared" si="1" ref="D16:J16">SUM(D10,D14)</f>
        <v>0</v>
      </c>
      <c r="E16" s="36">
        <f t="shared" si="1"/>
        <v>0</v>
      </c>
      <c r="F16" s="36">
        <f t="shared" si="1"/>
        <v>0</v>
      </c>
      <c r="G16" s="36">
        <f t="shared" si="1"/>
        <v>287</v>
      </c>
      <c r="H16" s="36">
        <f t="shared" si="1"/>
        <v>10749</v>
      </c>
      <c r="I16" s="36">
        <f t="shared" si="1"/>
        <v>112</v>
      </c>
      <c r="J16" s="36">
        <f t="shared" si="1"/>
        <v>0</v>
      </c>
      <c r="K16" s="36">
        <f>SUM(D16:J16)</f>
        <v>11148</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v>1</v>
      </c>
      <c r="H21" s="32">
        <v>1</v>
      </c>
      <c r="I21" s="32"/>
      <c r="J21" s="32"/>
      <c r="K21" s="33">
        <f>SUM(D21:J21)</f>
        <v>2</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v>107218.3</v>
      </c>
      <c r="H39" s="42">
        <f>823446.27+1296.4+339579.51</f>
        <v>1164322.1800000002</v>
      </c>
      <c r="I39" s="42">
        <f>11200+42970.77</f>
        <v>54170.77</v>
      </c>
      <c r="J39" s="42"/>
      <c r="K39" s="43">
        <f>SUM(D39:J39)</f>
        <v>1325711.2500000002</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v>12138</v>
      </c>
      <c r="H41" s="42">
        <f>82924.29+3261+1200</f>
        <v>87385.29</v>
      </c>
      <c r="I41" s="42">
        <v>21257.28</v>
      </c>
      <c r="J41" s="42"/>
      <c r="K41" s="43">
        <f>SUM(D41:J41)</f>
        <v>120780.56999999999</v>
      </c>
      <c r="U41" s="83"/>
    </row>
    <row r="42" spans="1:11" ht="12.75">
      <c r="A42" s="5"/>
      <c r="B42" s="44" t="s">
        <v>31</v>
      </c>
      <c r="C42" s="44"/>
      <c r="D42" s="168"/>
      <c r="E42" s="168"/>
      <c r="F42" s="168"/>
      <c r="G42" s="168"/>
      <c r="H42" s="168"/>
      <c r="I42" s="168"/>
      <c r="J42" s="80"/>
      <c r="K42" s="5"/>
    </row>
    <row r="43" spans="1:11" ht="15.75">
      <c r="A43" s="5"/>
      <c r="B43" s="41" t="s">
        <v>32</v>
      </c>
      <c r="C43" s="86" t="s">
        <v>9</v>
      </c>
      <c r="D43" s="42"/>
      <c r="E43" s="42"/>
      <c r="F43" s="42"/>
      <c r="G43" s="42"/>
      <c r="H43" s="42"/>
      <c r="I43" s="42"/>
      <c r="J43" s="42"/>
      <c r="K43" s="43">
        <f>SUM(D43:J43)</f>
        <v>0</v>
      </c>
    </row>
    <row r="44" spans="1:11" ht="12.75">
      <c r="A44" s="5"/>
      <c r="B44" s="44" t="s">
        <v>33</v>
      </c>
      <c r="C44" s="44"/>
      <c r="D44" s="168"/>
      <c r="E44" s="168"/>
      <c r="F44" s="168"/>
      <c r="G44" s="168"/>
      <c r="H44" s="168"/>
      <c r="I44" s="168"/>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68"/>
      <c r="E46" s="168"/>
      <c r="F46" s="168"/>
      <c r="G46" s="168"/>
      <c r="H46" s="168"/>
      <c r="I46" s="168"/>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119356.3</v>
      </c>
      <c r="H48" s="45">
        <f t="shared" si="6"/>
        <v>1251707.4700000002</v>
      </c>
      <c r="I48" s="45">
        <f t="shared" si="6"/>
        <v>75428.04999999999</v>
      </c>
      <c r="J48" s="45">
        <f t="shared" si="6"/>
        <v>0</v>
      </c>
      <c r="K48" s="45">
        <f t="shared" si="6"/>
        <v>1446491.8200000003</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c r="G53" s="42">
        <v>129507.67</v>
      </c>
      <c r="H53" s="42">
        <f>6757.26+156384.21</f>
        <v>163141.47</v>
      </c>
      <c r="I53" s="42"/>
      <c r="J53" s="42"/>
      <c r="K53" s="46">
        <f>SUM(D53:J53)</f>
        <v>292649.14</v>
      </c>
    </row>
    <row r="54" spans="1:11" ht="12.75">
      <c r="A54" s="5"/>
      <c r="B54" s="44"/>
      <c r="C54" s="44"/>
      <c r="D54" s="168"/>
      <c r="E54" s="168"/>
      <c r="F54" s="168"/>
      <c r="G54" s="168"/>
      <c r="H54" s="168"/>
      <c r="I54" s="168"/>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68"/>
      <c r="E57" s="168"/>
      <c r="F57" s="168"/>
      <c r="G57" s="168"/>
      <c r="H57" s="168"/>
      <c r="I57" s="168"/>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v>9072</v>
      </c>
      <c r="H59" s="42">
        <f>23663.01+8958.86</f>
        <v>32621.87</v>
      </c>
      <c r="I59" s="42">
        <f>15258.03+5216</f>
        <v>20474.03</v>
      </c>
      <c r="J59" s="42"/>
      <c r="K59" s="46">
        <f>SUM(D59:J59)</f>
        <v>62167.899999999994</v>
      </c>
    </row>
    <row r="60" spans="1:11" ht="12.75">
      <c r="A60" s="5"/>
      <c r="B60" s="44" t="s">
        <v>41</v>
      </c>
      <c r="C60" s="44"/>
      <c r="D60" s="168"/>
      <c r="E60" s="168"/>
      <c r="F60" s="168"/>
      <c r="G60" s="168"/>
      <c r="H60" s="168"/>
      <c r="I60" s="168"/>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138579.66999999998</v>
      </c>
      <c r="H62" s="45">
        <f t="shared" si="9"/>
        <v>195763.34</v>
      </c>
      <c r="I62" s="45">
        <f t="shared" si="9"/>
        <v>20474.03</v>
      </c>
      <c r="J62" s="45">
        <f t="shared" si="9"/>
        <v>0</v>
      </c>
      <c r="K62" s="45">
        <f t="shared" si="9"/>
        <v>354817.04000000004</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c r="H67" s="42"/>
      <c r="I67" s="42"/>
      <c r="J67" s="42"/>
      <c r="K67" s="46">
        <f>SUM(D67:J67)</f>
        <v>0</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c r="I69" s="42"/>
      <c r="J69" s="42"/>
      <c r="K69" s="46">
        <f>SUM(D69:J69)</f>
        <v>0</v>
      </c>
    </row>
    <row r="70" spans="1:11" ht="12.75">
      <c r="A70" s="5"/>
      <c r="B70" s="44"/>
      <c r="C70" s="44"/>
      <c r="D70" s="168"/>
      <c r="E70" s="168"/>
      <c r="F70" s="168"/>
      <c r="G70" s="168"/>
      <c r="H70" s="168"/>
      <c r="I70" s="168"/>
      <c r="J70" s="80"/>
      <c r="K70" s="5"/>
    </row>
    <row r="71" spans="1:11" ht="15.75">
      <c r="A71" s="5"/>
      <c r="B71" s="41" t="s">
        <v>46</v>
      </c>
      <c r="C71" s="86" t="s">
        <v>10</v>
      </c>
      <c r="D71" s="42"/>
      <c r="E71" s="42"/>
      <c r="F71" s="42"/>
      <c r="G71" s="42"/>
      <c r="H71" s="42"/>
      <c r="I71" s="42"/>
      <c r="J71" s="42"/>
      <c r="K71" s="46">
        <f>SUM(D71:J71)</f>
        <v>0</v>
      </c>
    </row>
    <row r="72" spans="1:11" ht="12.75">
      <c r="A72" s="5"/>
      <c r="B72" s="44" t="s">
        <v>47</v>
      </c>
      <c r="C72" s="44"/>
      <c r="D72" s="168"/>
      <c r="E72" s="168"/>
      <c r="F72" s="168"/>
      <c r="G72" s="168"/>
      <c r="H72" s="168"/>
      <c r="I72" s="168"/>
      <c r="J72" s="80"/>
      <c r="K72" s="5"/>
    </row>
    <row r="73" spans="1:11" ht="13.5" thickBot="1">
      <c r="A73" s="5"/>
      <c r="B73" s="41" t="s">
        <v>48</v>
      </c>
      <c r="C73" s="41"/>
      <c r="D73" s="45">
        <f aca="true" t="shared" si="12" ref="D73:K73">SUM(D67,D69,D71)</f>
        <v>0</v>
      </c>
      <c r="E73" s="45">
        <f t="shared" si="12"/>
        <v>0</v>
      </c>
      <c r="F73" s="45">
        <f t="shared" si="12"/>
        <v>0</v>
      </c>
      <c r="G73" s="45">
        <f t="shared" si="12"/>
        <v>0</v>
      </c>
      <c r="H73" s="45">
        <f t="shared" si="12"/>
        <v>0</v>
      </c>
      <c r="I73" s="45">
        <f t="shared" si="12"/>
        <v>0</v>
      </c>
      <c r="J73" s="45">
        <f t="shared" si="12"/>
        <v>0</v>
      </c>
      <c r="K73" s="45">
        <f t="shared" si="12"/>
        <v>0</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68"/>
      <c r="E86" s="168"/>
      <c r="F86" s="168"/>
      <c r="G86" s="168"/>
      <c r="H86" s="168"/>
      <c r="I86" s="168"/>
      <c r="J86" s="80"/>
      <c r="K86" s="5"/>
    </row>
    <row r="87" spans="1:11" ht="15.75">
      <c r="A87" s="5"/>
      <c r="B87" s="41" t="s">
        <v>54</v>
      </c>
      <c r="C87" s="86" t="s">
        <v>10</v>
      </c>
      <c r="D87" s="42"/>
      <c r="E87" s="42"/>
      <c r="F87" s="42"/>
      <c r="G87" s="42"/>
      <c r="H87" s="42">
        <f>4691.14+101.52</f>
        <v>4792.660000000001</v>
      </c>
      <c r="I87" s="42">
        <v>10624.86</v>
      </c>
      <c r="J87" s="42"/>
      <c r="K87" s="46">
        <f>SUM(D87:J87)</f>
        <v>15417.52</v>
      </c>
    </row>
    <row r="88" spans="1:11" ht="12.75">
      <c r="A88" s="5"/>
      <c r="B88" s="44"/>
      <c r="C88" s="44"/>
      <c r="D88" s="168"/>
      <c r="E88" s="168"/>
      <c r="F88" s="168"/>
      <c r="G88" s="168"/>
      <c r="H88" s="168"/>
      <c r="I88" s="168"/>
      <c r="J88" s="80"/>
      <c r="K88" s="5"/>
    </row>
    <row r="89" spans="1:11" ht="15.75">
      <c r="A89" s="5"/>
      <c r="B89" s="41" t="s">
        <v>55</v>
      </c>
      <c r="C89" s="86" t="s">
        <v>8</v>
      </c>
      <c r="D89" s="42"/>
      <c r="E89" s="42">
        <f>175+16300.77</f>
        <v>16475.77</v>
      </c>
      <c r="F89" s="42">
        <v>17040.51</v>
      </c>
      <c r="G89" s="42">
        <f>6538.42+54120.71</f>
        <v>60659.13</v>
      </c>
      <c r="H89" s="42">
        <f>14839.89+5000</f>
        <v>19839.89</v>
      </c>
      <c r="I89" s="42">
        <v>5000</v>
      </c>
      <c r="J89" s="42"/>
      <c r="K89" s="46">
        <f>SUM(D89:J89)</f>
        <v>119015.3</v>
      </c>
    </row>
    <row r="90" spans="1:11" ht="12.75">
      <c r="A90" s="5"/>
      <c r="B90" s="44"/>
      <c r="C90" s="44"/>
      <c r="D90" s="168"/>
      <c r="E90" s="168"/>
      <c r="F90" s="168"/>
      <c r="G90" s="168"/>
      <c r="H90" s="168"/>
      <c r="I90" s="168"/>
      <c r="J90" s="80"/>
      <c r="K90" s="5"/>
    </row>
    <row r="91" spans="1:11" ht="15.75">
      <c r="A91" s="5"/>
      <c r="B91" s="41" t="s">
        <v>56</v>
      </c>
      <c r="C91" s="86" t="s">
        <v>10</v>
      </c>
      <c r="D91" s="42"/>
      <c r="E91" s="42"/>
      <c r="F91" s="42"/>
      <c r="G91" s="42"/>
      <c r="H91" s="42">
        <f>796.09+8100+21546.05</f>
        <v>30442.14</v>
      </c>
      <c r="I91" s="42">
        <f>8100+8100</f>
        <v>16200</v>
      </c>
      <c r="J91" s="42"/>
      <c r="K91" s="46">
        <f>SUM(D91:J91)</f>
        <v>46642.14</v>
      </c>
    </row>
    <row r="92" spans="1:11" ht="12.75">
      <c r="A92" s="5"/>
      <c r="B92" s="44"/>
      <c r="C92" s="44"/>
      <c r="D92" s="168"/>
      <c r="E92" s="168"/>
      <c r="F92" s="168"/>
      <c r="G92" s="168"/>
      <c r="H92" s="168"/>
      <c r="I92" s="168"/>
      <c r="J92" s="80"/>
      <c r="K92" s="5"/>
    </row>
    <row r="93" spans="1:11" ht="15.75">
      <c r="A93" s="5"/>
      <c r="B93" s="41" t="s">
        <v>57</v>
      </c>
      <c r="C93" s="86" t="s">
        <v>8</v>
      </c>
      <c r="D93" s="42"/>
      <c r="E93" s="42"/>
      <c r="F93" s="42"/>
      <c r="G93" s="42"/>
      <c r="H93" s="42">
        <f>9504</f>
        <v>9504</v>
      </c>
      <c r="I93" s="42"/>
      <c r="J93" s="42"/>
      <c r="K93" s="46">
        <f>SUM(D93:J93)</f>
        <v>9504</v>
      </c>
    </row>
    <row r="94" spans="1:11" ht="12.75">
      <c r="A94" s="5"/>
      <c r="B94" s="44"/>
      <c r="D94" s="168"/>
      <c r="E94" s="168"/>
      <c r="F94" s="168"/>
      <c r="G94" s="168"/>
      <c r="H94" s="168"/>
      <c r="I94" s="168"/>
      <c r="J94" s="80"/>
      <c r="K94" s="5"/>
    </row>
    <row r="95" spans="1:11" ht="15.75">
      <c r="A95" s="5"/>
      <c r="B95" s="41" t="s">
        <v>58</v>
      </c>
      <c r="C95" s="86" t="s">
        <v>10</v>
      </c>
      <c r="D95" s="42"/>
      <c r="E95" s="42"/>
      <c r="F95" s="42"/>
      <c r="G95" s="42"/>
      <c r="H95" s="42"/>
      <c r="I95" s="42"/>
      <c r="J95" s="42"/>
      <c r="K95" s="46">
        <f>SUM(D95:J95)</f>
        <v>0</v>
      </c>
    </row>
    <row r="96" spans="1:11" ht="12.75">
      <c r="A96" s="5"/>
      <c r="B96" s="44"/>
      <c r="D96" s="168"/>
      <c r="E96" s="168"/>
      <c r="F96" s="168"/>
      <c r="G96" s="168"/>
      <c r="H96" s="168"/>
      <c r="I96" s="168"/>
      <c r="J96" s="80"/>
      <c r="K96" s="5"/>
    </row>
    <row r="97" spans="1:11" ht="13.5" thickBot="1">
      <c r="A97" s="5"/>
      <c r="B97" s="41" t="s">
        <v>59</v>
      </c>
      <c r="C97" s="41"/>
      <c r="D97" s="45">
        <f aca="true" t="shared" si="18" ref="D97:K97">SUM(D85,D87,D89,D91,D95,D93)</f>
        <v>0</v>
      </c>
      <c r="E97" s="45">
        <f t="shared" si="18"/>
        <v>16475.77</v>
      </c>
      <c r="F97" s="45">
        <f t="shared" si="18"/>
        <v>17040.51</v>
      </c>
      <c r="G97" s="45">
        <f t="shared" si="18"/>
        <v>60659.13</v>
      </c>
      <c r="H97" s="45">
        <f t="shared" si="18"/>
        <v>64578.69</v>
      </c>
      <c r="I97" s="45">
        <f t="shared" si="18"/>
        <v>31824.86</v>
      </c>
      <c r="J97" s="45">
        <f t="shared" si="18"/>
        <v>0</v>
      </c>
      <c r="K97" s="45">
        <f t="shared" si="18"/>
        <v>190578.96000000002</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16475.77</v>
      </c>
      <c r="F99" s="49">
        <f t="shared" si="19"/>
        <v>17040.51</v>
      </c>
      <c r="G99" s="49">
        <f t="shared" si="19"/>
        <v>318595.1</v>
      </c>
      <c r="H99" s="49">
        <f t="shared" si="19"/>
        <v>1512049.5000000002</v>
      </c>
      <c r="I99" s="49">
        <f t="shared" si="19"/>
        <v>127726.93999999999</v>
      </c>
      <c r="J99" s="49">
        <f t="shared" si="19"/>
        <v>0</v>
      </c>
      <c r="K99" s="49">
        <f t="shared" si="19"/>
        <v>1991887.8200000003</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v>2458.35</v>
      </c>
      <c r="H105" s="42">
        <f>9053.88+2500</f>
        <v>11553.88</v>
      </c>
      <c r="I105" s="42"/>
      <c r="J105" s="42"/>
      <c r="K105" s="46">
        <f>SUM(D105:J105)</f>
        <v>14012.23</v>
      </c>
    </row>
    <row r="106" spans="1:11" ht="12.75">
      <c r="A106" s="5"/>
      <c r="B106" s="44" t="s">
        <v>64</v>
      </c>
      <c r="C106" s="44"/>
      <c r="D106" s="168"/>
      <c r="E106" s="168"/>
      <c r="F106" s="168"/>
      <c r="G106" s="168"/>
      <c r="H106" s="168"/>
      <c r="I106" s="168"/>
      <c r="J106" s="80"/>
      <c r="K106" s="5"/>
    </row>
    <row r="107" spans="1:11" ht="13.5" thickBot="1">
      <c r="A107" s="5"/>
      <c r="B107" s="41" t="s">
        <v>65</v>
      </c>
      <c r="C107" s="41"/>
      <c r="D107" s="45">
        <f aca="true" t="shared" si="22" ref="D107:K107">SUM(D105)</f>
        <v>0</v>
      </c>
      <c r="E107" s="45">
        <f t="shared" si="22"/>
        <v>0</v>
      </c>
      <c r="F107" s="45">
        <f t="shared" si="22"/>
        <v>0</v>
      </c>
      <c r="G107" s="45">
        <f t="shared" si="22"/>
        <v>2458.35</v>
      </c>
      <c r="H107" s="45">
        <f t="shared" si="22"/>
        <v>11553.88</v>
      </c>
      <c r="I107" s="45">
        <f t="shared" si="22"/>
        <v>0</v>
      </c>
      <c r="J107" s="45">
        <f t="shared" si="22"/>
        <v>0</v>
      </c>
      <c r="K107" s="45">
        <f t="shared" si="22"/>
        <v>14012.23</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68"/>
      <c r="E111" s="168"/>
      <c r="F111" s="168"/>
      <c r="G111" s="168"/>
      <c r="H111" s="168"/>
      <c r="I111" s="168"/>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68"/>
      <c r="E117" s="168"/>
      <c r="F117" s="168"/>
      <c r="G117" s="168"/>
      <c r="H117" s="168"/>
      <c r="I117" s="168"/>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f>24612+4516.99</f>
        <v>29128.989999999998</v>
      </c>
      <c r="I119" s="42">
        <f>98450.54+4516.99</f>
        <v>102967.53</v>
      </c>
      <c r="J119" s="42">
        <f>100911.8+100911.8+4516.99+4516.99</f>
        <v>210857.58</v>
      </c>
      <c r="K119" s="46">
        <f>SUM(D119:J119)</f>
        <v>342954.1</v>
      </c>
    </row>
    <row r="120" spans="1:11" ht="12.75">
      <c r="A120" s="5"/>
      <c r="B120" s="44" t="s">
        <v>72</v>
      </c>
      <c r="C120" s="44"/>
      <c r="D120" s="168"/>
      <c r="E120" s="168"/>
      <c r="F120" s="168"/>
      <c r="G120" s="168"/>
      <c r="H120" s="168"/>
      <c r="I120" s="168"/>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0</v>
      </c>
      <c r="H122" s="45">
        <f t="shared" si="24"/>
        <v>29128.989999999998</v>
      </c>
      <c r="I122" s="45">
        <f t="shared" si="24"/>
        <v>102967.53</v>
      </c>
      <c r="J122" s="45">
        <f t="shared" si="24"/>
        <v>210857.58</v>
      </c>
      <c r="K122" s="45">
        <f t="shared" si="24"/>
        <v>342954.1</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f>4340.02+868.32+357.55+10800</f>
        <v>16365.89</v>
      </c>
      <c r="I126" s="42">
        <f>25920+360</f>
        <v>26280</v>
      </c>
      <c r="J126" s="42">
        <f>26029+360+26029+360</f>
        <v>52778</v>
      </c>
      <c r="K126" s="46">
        <f>SUM(D126:J126)</f>
        <v>95423.89</v>
      </c>
    </row>
    <row r="127" spans="1:11" ht="12.75">
      <c r="A127" s="5"/>
      <c r="B127" s="44" t="s">
        <v>75</v>
      </c>
      <c r="C127" s="44"/>
      <c r="D127" s="168"/>
      <c r="E127" s="168"/>
      <c r="F127" s="168"/>
      <c r="G127" s="168"/>
      <c r="H127" s="168"/>
      <c r="I127" s="168"/>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16365.89</v>
      </c>
      <c r="I129" s="45">
        <f t="shared" si="25"/>
        <v>26280</v>
      </c>
      <c r="J129" s="45">
        <f t="shared" si="25"/>
        <v>52778</v>
      </c>
      <c r="K129" s="45">
        <f t="shared" si="25"/>
        <v>95423.89</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68"/>
      <c r="E133" s="168"/>
      <c r="F133" s="168"/>
      <c r="G133" s="168"/>
      <c r="H133" s="168"/>
      <c r="I133" s="168"/>
      <c r="J133" s="80"/>
      <c r="K133" s="5"/>
    </row>
    <row r="134" spans="1:11" ht="12.75">
      <c r="A134" s="5"/>
      <c r="B134" s="41" t="s">
        <v>79</v>
      </c>
      <c r="C134" s="41"/>
      <c r="D134" s="42"/>
      <c r="E134" s="42"/>
      <c r="F134" s="42"/>
      <c r="G134" s="42"/>
      <c r="H134" s="42"/>
      <c r="I134" s="42">
        <v>22584.96</v>
      </c>
      <c r="J134" s="42">
        <v>22584.96</v>
      </c>
      <c r="K134" s="46">
        <f>SUM(D134:J134)</f>
        <v>45169.92</v>
      </c>
    </row>
    <row r="135" spans="1:11" ht="12.75">
      <c r="A135" s="5"/>
      <c r="B135" s="44" t="s">
        <v>80</v>
      </c>
      <c r="C135" s="44"/>
      <c r="D135" s="168"/>
      <c r="E135" s="168"/>
      <c r="F135" s="168"/>
      <c r="G135" s="168"/>
      <c r="H135" s="168"/>
      <c r="I135" s="168"/>
      <c r="J135" s="80"/>
      <c r="K135" s="5"/>
    </row>
    <row r="136" spans="1:11" ht="12.75">
      <c r="A136" s="5"/>
      <c r="B136" s="41" t="s">
        <v>81</v>
      </c>
      <c r="C136" s="41"/>
      <c r="D136" s="42"/>
      <c r="E136" s="42"/>
      <c r="F136" s="42"/>
      <c r="G136" s="42"/>
      <c r="H136" s="42"/>
      <c r="I136" s="42"/>
      <c r="J136" s="42"/>
      <c r="K136" s="46">
        <f>SUM(D136:J136)</f>
        <v>0</v>
      </c>
    </row>
    <row r="137" spans="1:11" ht="12.75">
      <c r="A137" s="5"/>
      <c r="B137" s="44"/>
      <c r="C137" s="44"/>
      <c r="D137" s="168"/>
      <c r="E137" s="168"/>
      <c r="F137" s="168"/>
      <c r="G137" s="168"/>
      <c r="H137" s="168"/>
      <c r="I137" s="168"/>
      <c r="J137" s="80"/>
      <c r="K137" s="5"/>
    </row>
    <row r="138" spans="1:11" ht="12.75">
      <c r="A138" s="5"/>
      <c r="B138" s="41" t="s">
        <v>82</v>
      </c>
      <c r="C138" s="41"/>
      <c r="D138" s="42"/>
      <c r="E138" s="42"/>
      <c r="F138" s="42"/>
      <c r="G138" s="42"/>
      <c r="H138" s="42">
        <f>9666.39+7205</f>
        <v>16871.39</v>
      </c>
      <c r="I138" s="42">
        <f>21546.05+3240</f>
        <v>24786.05</v>
      </c>
      <c r="J138" s="42">
        <f>21546.05+3240+21546.05+3240</f>
        <v>49572.1</v>
      </c>
      <c r="K138" s="46">
        <f>SUM(D138:J138)</f>
        <v>91229.54000000001</v>
      </c>
    </row>
    <row r="139" spans="1:11" ht="12.75">
      <c r="A139" s="5"/>
      <c r="B139" s="44" t="s">
        <v>83</v>
      </c>
      <c r="C139" s="44"/>
      <c r="D139" s="168"/>
      <c r="E139" s="168"/>
      <c r="F139" s="168"/>
      <c r="G139" s="168"/>
      <c r="H139" s="168"/>
      <c r="I139" s="168"/>
      <c r="J139" s="80"/>
      <c r="K139" s="5"/>
    </row>
    <row r="140" spans="1:11" ht="12.75">
      <c r="A140" s="5"/>
      <c r="B140" s="41" t="s">
        <v>84</v>
      </c>
      <c r="C140" s="41"/>
      <c r="D140" s="42"/>
      <c r="E140" s="42"/>
      <c r="F140" s="42"/>
      <c r="G140" s="42"/>
      <c r="H140" s="42"/>
      <c r="I140" s="42">
        <v>4516.99</v>
      </c>
      <c r="J140" s="42">
        <v>4516.99</v>
      </c>
      <c r="K140" s="46">
        <f>SUM(D140:J140)</f>
        <v>9033.98</v>
      </c>
    </row>
    <row r="141" spans="1:11" ht="12.75">
      <c r="A141" s="5"/>
      <c r="B141" s="44"/>
      <c r="C141" s="44"/>
      <c r="D141" s="168"/>
      <c r="E141" s="168"/>
      <c r="F141" s="168"/>
      <c r="G141" s="168"/>
      <c r="H141" s="168"/>
      <c r="I141" s="168"/>
      <c r="J141" s="80"/>
      <c r="K141" s="5"/>
    </row>
    <row r="142" spans="1:11" ht="12.75">
      <c r="A142" s="5"/>
      <c r="B142" s="41" t="s">
        <v>85</v>
      </c>
      <c r="C142" s="41"/>
      <c r="D142" s="42"/>
      <c r="E142" s="42"/>
      <c r="F142" s="42"/>
      <c r="G142" s="42"/>
      <c r="H142" s="42"/>
      <c r="I142" s="42">
        <v>21600</v>
      </c>
      <c r="J142" s="42">
        <f>21600+21600</f>
        <v>43200</v>
      </c>
      <c r="K142" s="46">
        <f>SUM(D142:J142)</f>
        <v>64800</v>
      </c>
    </row>
    <row r="143" spans="1:11" ht="12.75">
      <c r="A143" s="5"/>
      <c r="B143" s="44"/>
      <c r="C143" s="44"/>
      <c r="D143" s="168"/>
      <c r="E143" s="168"/>
      <c r="F143" s="168"/>
      <c r="G143" s="168"/>
      <c r="H143" s="168"/>
      <c r="I143" s="168"/>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0</v>
      </c>
      <c r="H145" s="45">
        <f t="shared" si="26"/>
        <v>16871.39</v>
      </c>
      <c r="I145" s="45">
        <f t="shared" si="26"/>
        <v>73488</v>
      </c>
      <c r="J145" s="45">
        <f t="shared" si="26"/>
        <v>119874.05</v>
      </c>
      <c r="K145" s="45">
        <f t="shared" si="26"/>
        <v>210233.44000000003</v>
      </c>
    </row>
    <row r="147" spans="2:11" ht="18.75" thickBot="1">
      <c r="B147" s="28" t="s">
        <v>87</v>
      </c>
      <c r="C147" s="28"/>
      <c r="D147" s="51">
        <f aca="true" t="shared" si="27" ref="D147:K147">SUM(D107,D113,D122,D129,D145)</f>
        <v>0</v>
      </c>
      <c r="E147" s="51">
        <f t="shared" si="27"/>
        <v>0</v>
      </c>
      <c r="F147" s="51">
        <f t="shared" si="27"/>
        <v>0</v>
      </c>
      <c r="G147" s="51">
        <f t="shared" si="27"/>
        <v>2458.35</v>
      </c>
      <c r="H147" s="51">
        <f t="shared" si="27"/>
        <v>73920.15</v>
      </c>
      <c r="I147" s="51">
        <f t="shared" si="27"/>
        <v>202735.53</v>
      </c>
      <c r="J147" s="51">
        <f t="shared" si="27"/>
        <v>383509.62999999995</v>
      </c>
      <c r="K147" s="51">
        <f t="shared" si="27"/>
        <v>662623.66</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4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1" max="10"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A51">
      <selection activeCell="A70" sqref="A70"/>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0" t="s">
        <v>88</v>
      </c>
      <c r="C1" s="170"/>
      <c r="D1" s="170"/>
      <c r="E1" s="170"/>
      <c r="F1" s="170"/>
      <c r="G1" s="170"/>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249</v>
      </c>
      <c r="C14" s="5"/>
      <c r="D14"/>
      <c r="E14" s="123"/>
      <c r="F14" s="123"/>
      <c r="G14" s="123">
        <v>0.04</v>
      </c>
      <c r="H14" s="123">
        <v>0.04</v>
      </c>
      <c r="I14" s="123">
        <v>0.04</v>
      </c>
      <c r="J14" s="46"/>
      <c r="K14" s="46"/>
      <c r="L14" s="46"/>
    </row>
    <row r="15" spans="1:12" ht="12.75">
      <c r="A15" s="5"/>
      <c r="B15" s="54" t="s">
        <v>276</v>
      </c>
      <c r="C15" s="89">
        <v>0.5</v>
      </c>
      <c r="D15" s="89">
        <v>0.5</v>
      </c>
      <c r="E15" s="89">
        <v>0.533</v>
      </c>
      <c r="F15" s="89">
        <v>0.567</v>
      </c>
      <c r="G15" s="89">
        <v>0.56</v>
      </c>
      <c r="H15" s="89">
        <v>0.56</v>
      </c>
      <c r="I15" s="89">
        <v>0.56</v>
      </c>
      <c r="J15" s="46"/>
      <c r="K15" s="46"/>
      <c r="L15" s="5"/>
    </row>
    <row r="16" spans="1:12" ht="12.75">
      <c r="A16" s="5"/>
      <c r="B16" s="54" t="s">
        <v>277</v>
      </c>
      <c r="C16" s="90">
        <f>1-C15</f>
        <v>0.5</v>
      </c>
      <c r="D16" s="90">
        <f>1-D15</f>
        <v>0.5</v>
      </c>
      <c r="E16" s="90">
        <f>1-E15-E14</f>
        <v>0.46699999999999997</v>
      </c>
      <c r="F16" s="90">
        <f>1-F15-F14</f>
        <v>0.43300000000000005</v>
      </c>
      <c r="G16" s="90">
        <f>1-G15-G14</f>
        <v>0.39999999999999997</v>
      </c>
      <c r="H16" s="90">
        <f>1-H15-H14</f>
        <v>0.39999999999999997</v>
      </c>
      <c r="I16" s="90">
        <f>1-I15-I14</f>
        <v>0.39999999999999997</v>
      </c>
      <c r="J16" s="46"/>
      <c r="K16" s="46"/>
      <c r="L16" s="5"/>
    </row>
    <row r="17" ht="12.75"/>
    <row r="18" spans="1:12" ht="12.75">
      <c r="A18" s="5"/>
      <c r="B18" s="54" t="s">
        <v>250</v>
      </c>
      <c r="C18" s="90"/>
      <c r="D18" s="90"/>
      <c r="E18" s="124">
        <v>0.0447</v>
      </c>
      <c r="F18" s="124"/>
      <c r="G18" s="124">
        <v>0.0207</v>
      </c>
      <c r="H18" s="124">
        <v>0.0207</v>
      </c>
      <c r="I18" s="124">
        <v>0.0207</v>
      </c>
      <c r="J18" s="46"/>
      <c r="K18" s="46"/>
      <c r="L18" s="5"/>
    </row>
    <row r="19" spans="1:12" ht="12.75">
      <c r="A19" s="5"/>
      <c r="B19" s="54" t="s">
        <v>278</v>
      </c>
      <c r="C19" s="91">
        <v>0.0577</v>
      </c>
      <c r="D19" s="91">
        <v>0.0577</v>
      </c>
      <c r="E19" s="91">
        <v>0.0577</v>
      </c>
      <c r="F19" s="91">
        <v>0.0577</v>
      </c>
      <c r="G19" s="91">
        <v>0.0563</v>
      </c>
      <c r="H19" s="91">
        <v>0.0563</v>
      </c>
      <c r="I19" s="91">
        <v>0.0563</v>
      </c>
      <c r="J19" s="46"/>
      <c r="K19" s="46"/>
      <c r="L19" s="5"/>
    </row>
    <row r="20" spans="1:12" ht="13.5" customHeight="1">
      <c r="A20" s="5"/>
      <c r="B20" s="54" t="s">
        <v>279</v>
      </c>
      <c r="C20" s="91">
        <v>0.09</v>
      </c>
      <c r="D20" s="91">
        <v>0.09</v>
      </c>
      <c r="E20" s="91">
        <v>0.09</v>
      </c>
      <c r="F20" s="91">
        <v>0.09</v>
      </c>
      <c r="G20" s="91">
        <v>0.0985</v>
      </c>
      <c r="H20" s="91">
        <v>0.0985</v>
      </c>
      <c r="I20" s="91">
        <v>0.0985</v>
      </c>
      <c r="J20" s="5"/>
      <c r="K20" s="5"/>
      <c r="L20" s="5"/>
    </row>
    <row r="21" spans="1:12" ht="18" customHeight="1">
      <c r="A21" s="5"/>
      <c r="B21" s="55" t="s">
        <v>94</v>
      </c>
      <c r="C21" s="95">
        <f>(C19*C15)+(C16*C20)</f>
        <v>0.07385</v>
      </c>
      <c r="D21" s="95">
        <f>(D19*D15)+(D16*D20)</f>
        <v>0.07385</v>
      </c>
      <c r="E21" s="95">
        <f>(E14*E18)+(E15*E19)+(E16*E20)</f>
        <v>0.0727841</v>
      </c>
      <c r="F21" s="95">
        <f>(F14*F18)+(F15*F19)+(F16*F20)</f>
        <v>0.0716859</v>
      </c>
      <c r="G21" s="95">
        <f>(G14*G18)+(G15*G19)+(G16*G20)</f>
        <v>0.07175600000000001</v>
      </c>
      <c r="H21" s="95">
        <f>(H14*H18)+(H15*H19)+(H16*H20)</f>
        <v>0.07175600000000001</v>
      </c>
      <c r="I21" s="95">
        <f>(I14*I18)+(I15*I19)+(I16*I20)</f>
        <v>0.07175600000000001</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0.2831</v>
      </c>
      <c r="H26" s="91">
        <v>0.2831</v>
      </c>
      <c r="I26" s="91">
        <v>0.2831</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16475.77</v>
      </c>
      <c r="E31" s="96">
        <f>SUMIF('2. Smart Meter Data'!$C:$J,"Smart Meter",'2. Smart Meter Data'!F:F)</f>
        <v>17040.51</v>
      </c>
      <c r="F31" s="96">
        <f>SUMIF('2. Smart Meter Data'!$C:$J,"Smart Meter",'2. Smart Meter Data'!G:G)</f>
        <v>318595.1</v>
      </c>
      <c r="G31" s="96">
        <f>SUMIF('2. Smart Meter Data'!$C:$J,"Smart Meter",'2. Smart Meter Data'!H:H)</f>
        <v>1476814.7000000002</v>
      </c>
      <c r="H31" s="96">
        <f>SUMIF('2. Smart Meter Data'!$C:$J,"Smart Meter",'2. Smart Meter Data'!I:I)</f>
        <v>100902.07999999999</v>
      </c>
      <c r="I31" s="96">
        <f>SUMIF('2. Smart Meter Data'!$C:$J,"Smart Meter",'2. Smart Meter Data'!J:J)</f>
        <v>0</v>
      </c>
      <c r="J31" s="97">
        <f>SUM(C31:H31)</f>
        <v>1929828.1600000001</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0</v>
      </c>
      <c r="G32" s="96">
        <f>SUMIF('2. Smart Meter Data'!$C:$J,"Comp. Hard.",'2. Smart Meter Data'!H:H)</f>
        <v>0</v>
      </c>
      <c r="H32" s="96">
        <f>SUMIF('2. Smart Meter Data'!$C:$J,"Comp. Hard.",'2. Smart Meter Data'!I:I)</f>
        <v>0</v>
      </c>
      <c r="I32" s="96">
        <f>SUMIF('2. Smart Meter Data'!$C:$J,"Comp. Hard.",'2. Smart Meter Data'!J:J)</f>
        <v>0</v>
      </c>
      <c r="J32" s="97">
        <f>SUM(C32:H32)</f>
        <v>0</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0</v>
      </c>
      <c r="G33" s="96">
        <f>SUMIF('2. Smart Meter Data'!$C:$J,"Comp. Soft.",'2. Smart Meter Data'!H:H)</f>
        <v>35234.8</v>
      </c>
      <c r="H33" s="96">
        <f>SUMIF('2. Smart Meter Data'!$C:$J,"Comp. Soft.",'2. Smart Meter Data'!I:I)</f>
        <v>26824.86</v>
      </c>
      <c r="I33" s="96">
        <f>SUMIF('2. Smart Meter Data'!$C:$J,"Comp. Soft.",'2. Smart Meter Data'!J:J)</f>
        <v>0</v>
      </c>
      <c r="J33" s="97">
        <f>SUM(C33:H33)</f>
        <v>62059.66</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16475.77</v>
      </c>
      <c r="E36" s="98">
        <f t="shared" si="1"/>
        <v>17040.51</v>
      </c>
      <c r="F36" s="98">
        <f t="shared" si="1"/>
        <v>318595.1</v>
      </c>
      <c r="G36" s="98">
        <f t="shared" si="1"/>
        <v>1512049.5000000002</v>
      </c>
      <c r="H36" s="98">
        <f t="shared" si="1"/>
        <v>127726.93999999999</v>
      </c>
      <c r="I36" s="98">
        <f t="shared" si="1"/>
        <v>0</v>
      </c>
      <c r="J36" s="98">
        <f t="shared" si="1"/>
        <v>1991887.82</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2458.35</v>
      </c>
      <c r="G41" s="99">
        <f>'2. Smart Meter Data'!H107</f>
        <v>11553.88</v>
      </c>
      <c r="H41" s="99">
        <f>'2. Smart Meter Data'!I107</f>
        <v>0</v>
      </c>
      <c r="I41" s="99">
        <f>'2. Smart Meter Data'!J107</f>
        <v>0</v>
      </c>
      <c r="J41" s="97">
        <f>SUM(C41:H41)</f>
        <v>14012.23</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0</v>
      </c>
      <c r="G43" s="99">
        <f>'2. Smart Meter Data'!H122</f>
        <v>29128.989999999998</v>
      </c>
      <c r="H43" s="99">
        <f>'2. Smart Meter Data'!I122</f>
        <v>102967.53</v>
      </c>
      <c r="I43" s="99">
        <f>'2. Smart Meter Data'!J122</f>
        <v>210857.58</v>
      </c>
      <c r="J43" s="97">
        <f>SUM(C43:H43)</f>
        <v>132096.52</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16365.89</v>
      </c>
      <c r="H44" s="99">
        <f>'2. Smart Meter Data'!I129</f>
        <v>26280</v>
      </c>
      <c r="I44" s="99">
        <f>'2. Smart Meter Data'!J129</f>
        <v>52778</v>
      </c>
      <c r="J44" s="97">
        <f>SUM(C44:H44)</f>
        <v>42645.89</v>
      </c>
      <c r="K44" s="5"/>
      <c r="L44" s="5"/>
      <c r="M44" s="5"/>
    </row>
    <row r="45" spans="1:13" ht="12.75">
      <c r="A45" s="5"/>
      <c r="B45" s="57" t="s">
        <v>105</v>
      </c>
      <c r="C45" s="99">
        <f>'2. Smart Meter Data'!D145</f>
        <v>0</v>
      </c>
      <c r="D45" s="99">
        <f>'2. Smart Meter Data'!E145</f>
        <v>0</v>
      </c>
      <c r="E45" s="99">
        <f>'2. Smart Meter Data'!F145</f>
        <v>0</v>
      </c>
      <c r="F45" s="99">
        <f>'2. Smart Meter Data'!G145</f>
        <v>0</v>
      </c>
      <c r="G45" s="99">
        <f>'2. Smart Meter Data'!H145</f>
        <v>16871.39</v>
      </c>
      <c r="H45" s="99">
        <f>'2. Smart Meter Data'!I145</f>
        <v>73488</v>
      </c>
      <c r="I45" s="99">
        <f>'2. Smart Meter Data'!J145</f>
        <v>119874.05</v>
      </c>
      <c r="J45" s="97">
        <f>SUM(C45:H45)</f>
        <v>90359.39</v>
      </c>
      <c r="K45" s="5"/>
      <c r="L45" s="5"/>
      <c r="M45" s="5"/>
    </row>
    <row r="46" spans="1:13" ht="13.5" thickBot="1">
      <c r="A46" s="5"/>
      <c r="B46" s="54" t="s">
        <v>87</v>
      </c>
      <c r="C46" s="100">
        <f aca="true" t="shared" si="4" ref="C46:J46">SUM(C41:C45)</f>
        <v>0</v>
      </c>
      <c r="D46" s="100">
        <f t="shared" si="4"/>
        <v>0</v>
      </c>
      <c r="E46" s="100">
        <f t="shared" si="4"/>
        <v>0</v>
      </c>
      <c r="F46" s="101">
        <f t="shared" si="4"/>
        <v>2458.35</v>
      </c>
      <c r="G46" s="101">
        <f t="shared" si="4"/>
        <v>73920.15</v>
      </c>
      <c r="H46" s="101">
        <f t="shared" si="4"/>
        <v>202735.53</v>
      </c>
      <c r="I46" s="101">
        <f t="shared" si="4"/>
        <v>383509.62999999995</v>
      </c>
      <c r="J46" s="101">
        <f t="shared" si="4"/>
        <v>279114.03</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383509.63</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173.1098098313599</v>
      </c>
      <c r="D50" s="103">
        <f>'2. Smart Meter Data'!K10</f>
        <v>11148</v>
      </c>
      <c r="E50" s="97">
        <f>J31</f>
        <v>1929828.1600000001</v>
      </c>
      <c r="F50" s="104">
        <f aca="true" t="shared" si="6" ref="F50:F55">IF(ISERROR(E50/$E$56),0,E50/$E$56)</f>
        <v>0.8497695235254873</v>
      </c>
      <c r="G50" s="5"/>
      <c r="H50" s="5"/>
      <c r="I50" s="5"/>
      <c r="J50" s="5"/>
      <c r="K50" s="5"/>
      <c r="L50" s="5"/>
    </row>
    <row r="51" spans="1:12" ht="12.75">
      <c r="A51" s="5"/>
      <c r="B51" s="31" t="s">
        <v>112</v>
      </c>
      <c r="C51" s="102">
        <f t="shared" si="5"/>
        <v>0</v>
      </c>
      <c r="D51" s="103">
        <f>D50</f>
        <v>11148</v>
      </c>
      <c r="E51" s="97">
        <f>J32</f>
        <v>0</v>
      </c>
      <c r="F51" s="104">
        <f t="shared" si="6"/>
        <v>0</v>
      </c>
      <c r="G51" s="5"/>
      <c r="H51" s="5"/>
      <c r="I51" s="5"/>
      <c r="J51" s="5"/>
      <c r="K51" s="5"/>
      <c r="L51" s="5"/>
    </row>
    <row r="52" spans="1:12" ht="12.75">
      <c r="A52" s="5"/>
      <c r="B52" s="31" t="s">
        <v>113</v>
      </c>
      <c r="C52" s="102">
        <f t="shared" si="5"/>
        <v>5.566887334050951</v>
      </c>
      <c r="D52" s="103">
        <f>D51</f>
        <v>11148</v>
      </c>
      <c r="E52" s="97">
        <f>J33</f>
        <v>62059.66</v>
      </c>
      <c r="F52" s="104">
        <f t="shared" si="6"/>
        <v>0.027326996673296414</v>
      </c>
      <c r="G52" s="5"/>
      <c r="H52" s="5"/>
      <c r="I52" s="5"/>
      <c r="J52" s="5"/>
      <c r="K52" s="5"/>
      <c r="L52" s="5"/>
    </row>
    <row r="53" spans="1:12" ht="12.75">
      <c r="A53" s="5"/>
      <c r="B53" s="31" t="s">
        <v>11</v>
      </c>
      <c r="C53" s="102">
        <f t="shared" si="5"/>
        <v>0</v>
      </c>
      <c r="D53" s="103">
        <f>D52</f>
        <v>11148</v>
      </c>
      <c r="E53" s="97">
        <f>J34</f>
        <v>0</v>
      </c>
      <c r="F53" s="104">
        <f t="shared" si="6"/>
        <v>0</v>
      </c>
      <c r="G53" s="5"/>
      <c r="H53" s="5"/>
      <c r="I53" s="5"/>
      <c r="J53" s="5"/>
      <c r="K53" s="5"/>
      <c r="L53" s="5"/>
    </row>
    <row r="54" spans="1:12" ht="12.75">
      <c r="A54" s="5"/>
      <c r="B54" s="31" t="s">
        <v>13</v>
      </c>
      <c r="C54" s="102">
        <f t="shared" si="5"/>
        <v>0</v>
      </c>
      <c r="D54" s="103">
        <f>D53</f>
        <v>11148</v>
      </c>
      <c r="E54" s="97">
        <f>J35</f>
        <v>0</v>
      </c>
      <c r="F54" s="104">
        <f t="shared" si="6"/>
        <v>0</v>
      </c>
      <c r="G54" s="5"/>
      <c r="H54" s="5"/>
      <c r="I54" s="5"/>
      <c r="J54" s="5"/>
      <c r="K54" s="5"/>
      <c r="L54" s="5"/>
    </row>
    <row r="55" spans="1:12" ht="12.75">
      <c r="A55" s="5"/>
      <c r="B55" s="31" t="s">
        <v>114</v>
      </c>
      <c r="C55" s="102">
        <f t="shared" si="5"/>
        <v>25.037139397201294</v>
      </c>
      <c r="D55" s="103">
        <f>D52</f>
        <v>11148</v>
      </c>
      <c r="E55" s="97">
        <f>J46</f>
        <v>279114.03</v>
      </c>
      <c r="F55" s="104">
        <f t="shared" si="6"/>
        <v>0.12290347980121637</v>
      </c>
      <c r="G55" s="5"/>
      <c r="H55" s="5"/>
      <c r="I55" s="5"/>
      <c r="J55" s="5"/>
      <c r="K55" s="5"/>
      <c r="L55" s="5"/>
    </row>
    <row r="56" spans="1:12" ht="12.75">
      <c r="A56" s="5"/>
      <c r="B56" s="5" t="s">
        <v>115</v>
      </c>
      <c r="C56" s="105">
        <f>SUM(C50:C55)</f>
        <v>203.71383656261216</v>
      </c>
      <c r="D56" s="106"/>
      <c r="E56" s="107">
        <f>SUM(E50:E55)</f>
        <v>2271001.85</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L10">
      <selection activeCell="W55" sqref="W55"/>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1" t="s">
        <v>229</v>
      </c>
      <c r="C1" s="171"/>
      <c r="D1" s="171"/>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5">
        <f>'2. Smart Meter Data'!D4</f>
        <v>2006</v>
      </c>
      <c r="D6" s="176"/>
      <c r="E6" s="177"/>
      <c r="F6" s="175">
        <f>'2. Smart Meter Data'!E4</f>
        <v>2007</v>
      </c>
      <c r="G6" s="176"/>
      <c r="H6" s="177"/>
      <c r="I6" s="175">
        <f>'2. Smart Meter Data'!F4</f>
        <v>2008</v>
      </c>
      <c r="J6" s="176"/>
      <c r="K6" s="177"/>
      <c r="L6" s="175">
        <f>'2. Smart Meter Data'!G4</f>
        <v>2009</v>
      </c>
      <c r="M6" s="176"/>
      <c r="N6" s="177"/>
      <c r="O6" s="175">
        <f>'2. Smart Meter Data'!H4</f>
        <v>2010</v>
      </c>
      <c r="P6" s="176"/>
      <c r="Q6" s="177"/>
      <c r="R6" s="175">
        <f>'2. Smart Meter Data'!I4</f>
        <v>2011</v>
      </c>
      <c r="S6" s="176"/>
      <c r="T6" s="177"/>
      <c r="U6" s="175" t="str">
        <f>'2. Smart Meter Data'!J4</f>
        <v>Later</v>
      </c>
      <c r="V6" s="176"/>
      <c r="W6" s="177"/>
    </row>
    <row r="7" spans="1:23" ht="18.75" thickBot="1">
      <c r="A7" s="5"/>
      <c r="B7" s="28"/>
      <c r="C7" s="172" t="str">
        <f>'2. Smart Meter Data'!D5</f>
        <v>Audited Actual</v>
      </c>
      <c r="D7" s="173"/>
      <c r="E7" s="174"/>
      <c r="F7" s="172" t="str">
        <f>'2. Smart Meter Data'!E5</f>
        <v>Audited Actual</v>
      </c>
      <c r="G7" s="173"/>
      <c r="H7" s="174"/>
      <c r="I7" s="172" t="str">
        <f>'2. Smart Meter Data'!F5</f>
        <v>Audited Actual</v>
      </c>
      <c r="J7" s="173"/>
      <c r="K7" s="174"/>
      <c r="L7" s="172" t="str">
        <f>'2. Smart Meter Data'!G5</f>
        <v>Audited Actual</v>
      </c>
      <c r="M7" s="173"/>
      <c r="N7" s="174"/>
      <c r="O7" s="172" t="str">
        <f>'2. Smart Meter Data'!H5</f>
        <v>Actual</v>
      </c>
      <c r="P7" s="173"/>
      <c r="Q7" s="174"/>
      <c r="R7" s="172" t="str">
        <f>'2. Smart Meter Data'!I5</f>
        <v>Forecasted</v>
      </c>
      <c r="S7" s="173"/>
      <c r="T7" s="174"/>
      <c r="U7" s="172" t="str">
        <f>'2. Smart Meter Data'!J5</f>
        <v>Forecasted</v>
      </c>
      <c r="V7" s="173"/>
      <c r="W7" s="174"/>
    </row>
    <row r="8" spans="1:23" ht="12.75">
      <c r="A8" s="5"/>
      <c r="B8" s="61" t="s">
        <v>129</v>
      </c>
      <c r="C8" s="150">
        <f>'6. Avg Nt Fix Ass &amp;UCC'!C18</f>
        <v>0</v>
      </c>
      <c r="D8" s="6"/>
      <c r="E8" s="62"/>
      <c r="F8" s="150">
        <f>'6. Avg Nt Fix Ass &amp;UCC'!D18</f>
        <v>7963.288833333334</v>
      </c>
      <c r="G8" s="6"/>
      <c r="H8" s="62"/>
      <c r="I8" s="150">
        <f>'6. Avg Nt Fix Ass &amp;UCC'!E18</f>
        <v>23613.631833333333</v>
      </c>
      <c r="J8" s="6"/>
      <c r="K8" s="62"/>
      <c r="L8" s="150">
        <f>'6. Avg Nt Fix Ass &amp;UCC'!F18</f>
        <v>184171.10833333334</v>
      </c>
      <c r="M8" s="6"/>
      <c r="N8" s="62"/>
      <c r="O8" s="150">
        <f>'6. Avg Nt Fix Ass &amp;UCC'!G18</f>
        <v>1039098.2563333334</v>
      </c>
      <c r="P8" s="6"/>
      <c r="Q8" s="62"/>
      <c r="R8" s="150">
        <f>'6. Avg Nt Fix Ass &amp;UCC'!H18</f>
        <v>1728960.1180000002</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0</v>
      </c>
      <c r="M9" s="63"/>
      <c r="N9" s="62"/>
      <c r="O9" s="150">
        <f>'6. Avg Nt Fix Ass &amp;UCC'!G33</f>
        <v>0</v>
      </c>
      <c r="P9" s="63"/>
      <c r="Q9" s="62"/>
      <c r="R9" s="150">
        <f>'6. Avg Nt Fix Ass &amp;UCC'!H33</f>
        <v>0</v>
      </c>
      <c r="S9" s="63"/>
      <c r="T9" s="62"/>
      <c r="U9" s="150">
        <f>'6. Avg Nt Fix Ass &amp;UCC'!I33</f>
        <v>0</v>
      </c>
      <c r="V9" s="63"/>
      <c r="W9" s="62"/>
    </row>
    <row r="10" spans="1:23" ht="12.75">
      <c r="A10" s="5"/>
      <c r="B10" s="61" t="s">
        <v>131</v>
      </c>
      <c r="C10" s="150">
        <f>'6. Avg Nt Fix Ass &amp;UCC'!C48</f>
        <v>0</v>
      </c>
      <c r="D10" s="64"/>
      <c r="E10" s="62"/>
      <c r="F10" s="150">
        <f>'6. Avg Nt Fix Ass &amp;UCC'!D48</f>
        <v>0</v>
      </c>
      <c r="G10" s="64"/>
      <c r="H10" s="62"/>
      <c r="I10" s="150">
        <f>'6. Avg Nt Fix Ass &amp;UCC'!E48</f>
        <v>0</v>
      </c>
      <c r="J10" s="64"/>
      <c r="K10" s="62"/>
      <c r="L10" s="150">
        <f>'6. Avg Nt Fix Ass &amp;UCC'!F48</f>
        <v>0</v>
      </c>
      <c r="M10" s="64"/>
      <c r="N10" s="62"/>
      <c r="O10" s="150">
        <f>'6. Avg Nt Fix Ass &amp;UCC'!G48</f>
        <v>15855.660000000002</v>
      </c>
      <c r="P10" s="64"/>
      <c r="Q10" s="62"/>
      <c r="R10" s="150">
        <f>'6. Avg Nt Fix Ass &amp;UCC'!H48</f>
        <v>40259.027</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7963.288833333334</v>
      </c>
      <c r="G13" s="152">
        <f>F13</f>
        <v>7963.288833333334</v>
      </c>
      <c r="H13" s="62"/>
      <c r="I13" s="151">
        <f>SUM(I8:I12)</f>
        <v>23613.631833333333</v>
      </c>
      <c r="J13" s="152">
        <f>I13</f>
        <v>23613.631833333333</v>
      </c>
      <c r="K13" s="62"/>
      <c r="L13" s="151">
        <f>SUM(L8:L12)</f>
        <v>184171.10833333334</v>
      </c>
      <c r="M13" s="152">
        <f>L13</f>
        <v>184171.10833333334</v>
      </c>
      <c r="N13" s="62"/>
      <c r="O13" s="151">
        <f>SUM(O8:O12)</f>
        <v>1054953.9163333334</v>
      </c>
      <c r="P13" s="152">
        <f>O13</f>
        <v>1054953.9163333334</v>
      </c>
      <c r="Q13" s="62"/>
      <c r="R13" s="151">
        <f>SUM(R8:R12)</f>
        <v>1769219.1450000003</v>
      </c>
      <c r="S13" s="152">
        <f>R13</f>
        <v>1769219.1450000003</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0</v>
      </c>
      <c r="J16" s="64"/>
      <c r="K16" s="67"/>
      <c r="L16" s="153">
        <f>N33</f>
        <v>2458.35</v>
      </c>
      <c r="M16" s="64"/>
      <c r="N16" s="67"/>
      <c r="O16" s="153">
        <f>Q33</f>
        <v>73920.15</v>
      </c>
      <c r="P16" s="64"/>
      <c r="Q16" s="67"/>
      <c r="R16" s="153">
        <f>T33</f>
        <v>202735.53</v>
      </c>
      <c r="S16" s="64"/>
      <c r="T16" s="67"/>
      <c r="U16" s="153">
        <f>W33</f>
        <v>383509.62999999995</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0</v>
      </c>
      <c r="J17" s="152">
        <f>I17</f>
        <v>0</v>
      </c>
      <c r="K17" s="67"/>
      <c r="L17" s="153">
        <f>L16*'3.  LDC Assumptions and Data'!$F$23</f>
        <v>368.7525</v>
      </c>
      <c r="M17" s="152">
        <f>L17</f>
        <v>368.7525</v>
      </c>
      <c r="N17" s="67"/>
      <c r="O17" s="153">
        <f>O16*'3.  LDC Assumptions and Data'!$G$23</f>
        <v>11088.0225</v>
      </c>
      <c r="P17" s="152">
        <f>O17</f>
        <v>11088.0225</v>
      </c>
      <c r="Q17" s="67"/>
      <c r="R17" s="153">
        <f>R16*'3.  LDC Assumptions and Data'!$H$23</f>
        <v>30410.3295</v>
      </c>
      <c r="S17" s="152">
        <f>R17</f>
        <v>30410.3295</v>
      </c>
      <c r="T17" s="67"/>
      <c r="U17" s="153">
        <f>U16*'3.  LDC Assumptions and Data'!$I$23</f>
        <v>57526.44449999999</v>
      </c>
      <c r="V17" s="152">
        <f>U17</f>
        <v>57526.44449999999</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7963.288833333334</v>
      </c>
      <c r="H19" s="67"/>
      <c r="I19" s="66"/>
      <c r="J19" s="140">
        <f>SUM(J9:J17)</f>
        <v>23613.631833333333</v>
      </c>
      <c r="K19" s="67"/>
      <c r="L19" s="66"/>
      <c r="M19" s="140">
        <f>SUM(M9:M17)</f>
        <v>184539.86083333334</v>
      </c>
      <c r="N19" s="67"/>
      <c r="O19" s="66"/>
      <c r="P19" s="140">
        <f>SUM(P9:P17)</f>
        <v>1066041.9388333333</v>
      </c>
      <c r="Q19" s="67"/>
      <c r="R19" s="66"/>
      <c r="S19" s="140">
        <f>SUM(S9:S17)</f>
        <v>1799629.4745000002</v>
      </c>
      <c r="T19" s="67"/>
      <c r="U19" s="66"/>
      <c r="V19" s="140">
        <f>SUM(V9:V17)</f>
        <v>57526.44449999999</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v>
      </c>
      <c r="J22" s="6"/>
      <c r="K22" s="62"/>
      <c r="L22" s="65">
        <f>'3.  LDC Assumptions and Data'!$F14</f>
        <v>0</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v>
      </c>
      <c r="D23" s="152">
        <f>D19*C23</f>
        <v>0</v>
      </c>
      <c r="E23" s="62"/>
      <c r="F23" s="68">
        <f>'3.  LDC Assumptions and Data'!$D$15</f>
        <v>0.5</v>
      </c>
      <c r="G23" s="152">
        <f>G19*F23</f>
        <v>3981.644416666667</v>
      </c>
      <c r="H23" s="62"/>
      <c r="I23" s="68">
        <f>'3.  LDC Assumptions and Data'!$E$15</f>
        <v>0.533</v>
      </c>
      <c r="J23" s="152">
        <f>J19*I23</f>
        <v>12586.065767166667</v>
      </c>
      <c r="K23" s="62"/>
      <c r="L23" s="68">
        <f>'3.  LDC Assumptions and Data'!$F15</f>
        <v>0.567</v>
      </c>
      <c r="M23" s="152">
        <f>M19*L23</f>
        <v>104634.1010925</v>
      </c>
      <c r="N23" s="62"/>
      <c r="O23" s="68">
        <f>'3.  LDC Assumptions and Data'!$G15</f>
        <v>0.56</v>
      </c>
      <c r="P23" s="152">
        <f>P19*O23</f>
        <v>596983.4857466667</v>
      </c>
      <c r="Q23" s="62"/>
      <c r="R23" s="68">
        <f>'3.  LDC Assumptions and Data'!$H15</f>
        <v>0.56</v>
      </c>
      <c r="S23" s="152">
        <f>S19*R23</f>
        <v>1007792.5057200002</v>
      </c>
      <c r="T23" s="62"/>
      <c r="U23" s="68">
        <f>'3.  LDC Assumptions and Data'!$I15</f>
        <v>0.56</v>
      </c>
      <c r="V23" s="152">
        <f>V19*U23</f>
        <v>32214.80892</v>
      </c>
      <c r="W23" s="62"/>
    </row>
    <row r="24" spans="1:23" ht="12.75">
      <c r="A24" s="5"/>
      <c r="B24" s="2" t="s">
        <v>248</v>
      </c>
      <c r="C24" s="68">
        <f>'3.  LDC Assumptions and Data'!$C$16</f>
        <v>0.5</v>
      </c>
      <c r="D24" s="152">
        <f>D19*C24</f>
        <v>0</v>
      </c>
      <c r="E24" s="62"/>
      <c r="F24" s="68">
        <f>'3.  LDC Assumptions and Data'!$D$16</f>
        <v>0.5</v>
      </c>
      <c r="G24" s="152">
        <f>G19*F24</f>
        <v>3981.644416666667</v>
      </c>
      <c r="H24" s="62"/>
      <c r="I24" s="68">
        <f>'3.  LDC Assumptions and Data'!$E$16</f>
        <v>0.46699999999999997</v>
      </c>
      <c r="J24" s="152">
        <f>J19*I24</f>
        <v>11027.566066166666</v>
      </c>
      <c r="K24" s="62"/>
      <c r="L24" s="68">
        <f>'3.  LDC Assumptions and Data'!$F$16</f>
        <v>0.43300000000000005</v>
      </c>
      <c r="M24" s="152">
        <f>M19*L24</f>
        <v>79905.75974083334</v>
      </c>
      <c r="N24" s="62"/>
      <c r="O24" s="68">
        <f>'3.  LDC Assumptions and Data'!$G$16</f>
        <v>0.39999999999999997</v>
      </c>
      <c r="P24" s="152">
        <f>P19*O24</f>
        <v>426416.7755333333</v>
      </c>
      <c r="Q24" s="62"/>
      <c r="R24" s="68">
        <f>'3.  LDC Assumptions and Data'!$H$16</f>
        <v>0.39999999999999997</v>
      </c>
      <c r="S24" s="152">
        <f>S19*R24</f>
        <v>719851.7898</v>
      </c>
      <c r="T24" s="62"/>
      <c r="U24" s="68">
        <f>'3.  LDC Assumptions and Data'!$I$16</f>
        <v>0.39999999999999997</v>
      </c>
      <c r="V24" s="152">
        <f>V19*U24</f>
        <v>23010.577799999995</v>
      </c>
      <c r="W24" s="62"/>
    </row>
    <row r="25" spans="1:23" ht="12.75">
      <c r="A25" s="5"/>
      <c r="B25" s="61"/>
      <c r="C25" s="69"/>
      <c r="D25" s="140">
        <f>SUM(D23:D24)</f>
        <v>0</v>
      </c>
      <c r="E25" s="62"/>
      <c r="F25" s="69"/>
      <c r="G25" s="140">
        <f>SUM(G23:G24)</f>
        <v>7963.288833333334</v>
      </c>
      <c r="H25" s="62"/>
      <c r="I25" s="69"/>
      <c r="J25" s="140">
        <f>SUM(J23:J24)</f>
        <v>23613.631833333333</v>
      </c>
      <c r="K25" s="62"/>
      <c r="L25" s="69"/>
      <c r="M25" s="140">
        <f>SUM(M23:M24)</f>
        <v>184539.86083333334</v>
      </c>
      <c r="N25" s="62"/>
      <c r="O25" s="69"/>
      <c r="P25" s="140">
        <f>SUM(P23:P24)</f>
        <v>1023400.26128</v>
      </c>
      <c r="Q25" s="62"/>
      <c r="R25" s="69"/>
      <c r="S25" s="140">
        <f>SUM(S23:S24)</f>
        <v>1727644.2955200002</v>
      </c>
      <c r="T25" s="62"/>
      <c r="U25" s="69"/>
      <c r="V25" s="140">
        <f>SUM(V23:V24)</f>
        <v>55225.386719999995</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0.0447</v>
      </c>
      <c r="J27" s="6"/>
      <c r="K27" s="62"/>
      <c r="L27" s="68">
        <f>'3.  LDC Assumptions and Data'!$F18</f>
        <v>0</v>
      </c>
      <c r="M27" s="6"/>
      <c r="N27" s="62"/>
      <c r="O27" s="68">
        <f>'3.  LDC Assumptions and Data'!$G18</f>
        <v>0.0207</v>
      </c>
      <c r="P27" s="6"/>
      <c r="Q27" s="62"/>
      <c r="R27" s="68">
        <f>'3.  LDC Assumptions and Data'!$H18</f>
        <v>0.0207</v>
      </c>
      <c r="S27" s="6"/>
      <c r="T27" s="62"/>
      <c r="U27" s="68">
        <f>'3.  LDC Assumptions and Data'!$I18</f>
        <v>0.0207</v>
      </c>
      <c r="V27" s="6"/>
      <c r="W27" s="62"/>
    </row>
    <row r="28" spans="1:23" ht="12.75">
      <c r="A28" s="5"/>
      <c r="B28" s="61" t="s">
        <v>196</v>
      </c>
      <c r="C28" s="68">
        <f>'3.  LDC Assumptions and Data'!$C$19</f>
        <v>0.0577</v>
      </c>
      <c r="D28" s="152">
        <f>D23*C28</f>
        <v>0</v>
      </c>
      <c r="E28" s="67"/>
      <c r="F28" s="68">
        <f>'3.  LDC Assumptions and Data'!$D$19</f>
        <v>0.0577</v>
      </c>
      <c r="G28" s="152">
        <f>G23*F28</f>
        <v>229.7408828416667</v>
      </c>
      <c r="H28" s="67"/>
      <c r="I28" s="68">
        <f>'3.  LDC Assumptions and Data'!$E$19</f>
        <v>0.0577</v>
      </c>
      <c r="J28" s="152">
        <f>J23*I28</f>
        <v>726.2159947655167</v>
      </c>
      <c r="K28" s="67"/>
      <c r="L28" s="68">
        <f>'3.  LDC Assumptions and Data'!$F19</f>
        <v>0.0577</v>
      </c>
      <c r="M28" s="152">
        <f>M23*L28</f>
        <v>6037.38763303725</v>
      </c>
      <c r="N28" s="67"/>
      <c r="O28" s="68">
        <f>'3.  LDC Assumptions and Data'!$G19</f>
        <v>0.0563</v>
      </c>
      <c r="P28" s="152">
        <f>P23*O28</f>
        <v>33610.17024753734</v>
      </c>
      <c r="Q28" s="67"/>
      <c r="R28" s="68">
        <f>'3.  LDC Assumptions and Data'!$H19</f>
        <v>0.0563</v>
      </c>
      <c r="S28" s="152">
        <f>S23*R28</f>
        <v>56738.71807203602</v>
      </c>
      <c r="T28" s="67"/>
      <c r="U28" s="68">
        <f>'3.  LDC Assumptions and Data'!$I19</f>
        <v>0.0563</v>
      </c>
      <c r="V28" s="152">
        <f>V23*U28</f>
        <v>1813.6937421960001</v>
      </c>
      <c r="W28" s="67"/>
    </row>
    <row r="29" spans="1:23" ht="12.75">
      <c r="A29" s="5"/>
      <c r="B29" s="61" t="s">
        <v>197</v>
      </c>
      <c r="C29" s="68">
        <f>'3.  LDC Assumptions and Data'!$C$20</f>
        <v>0.09</v>
      </c>
      <c r="D29" s="152">
        <f>D24*C29</f>
        <v>0</v>
      </c>
      <c r="E29" s="67"/>
      <c r="F29" s="68">
        <f>'3.  LDC Assumptions and Data'!$D$20</f>
        <v>0.09</v>
      </c>
      <c r="G29" s="152">
        <f>G24*F29</f>
        <v>358.3479975</v>
      </c>
      <c r="H29" s="67"/>
      <c r="I29" s="68">
        <f>'3.  LDC Assumptions and Data'!$E$20</f>
        <v>0.09</v>
      </c>
      <c r="J29" s="152">
        <f>J24*I29</f>
        <v>992.4809459549999</v>
      </c>
      <c r="K29" s="67"/>
      <c r="L29" s="68">
        <f>'3.  LDC Assumptions and Data'!$F$20</f>
        <v>0.09</v>
      </c>
      <c r="M29" s="152">
        <f>M24*L29</f>
        <v>7191.518376675001</v>
      </c>
      <c r="N29" s="67"/>
      <c r="O29" s="68">
        <f>'3.  LDC Assumptions and Data'!$G$20</f>
        <v>0.0985</v>
      </c>
      <c r="P29" s="152">
        <f>P24*O29</f>
        <v>42002.052390033336</v>
      </c>
      <c r="Q29" s="67"/>
      <c r="R29" s="68">
        <f>'3.  LDC Assumptions and Data'!$H$20</f>
        <v>0.0985</v>
      </c>
      <c r="S29" s="152">
        <f>S24*R29</f>
        <v>70905.4012953</v>
      </c>
      <c r="T29" s="67"/>
      <c r="U29" s="68">
        <f>'3.  LDC Assumptions and Data'!$I$20</f>
        <v>0.0985</v>
      </c>
      <c r="V29" s="152">
        <f>V24*U29</f>
        <v>2266.5419132999996</v>
      </c>
      <c r="W29" s="67"/>
    </row>
    <row r="30" spans="1:23" ht="15.75">
      <c r="A30" s="5"/>
      <c r="B30" s="52" t="s">
        <v>118</v>
      </c>
      <c r="C30" s="65"/>
      <c r="D30" s="140">
        <f>SUM(D28:D29)</f>
        <v>0</v>
      </c>
      <c r="E30" s="154">
        <f>D30</f>
        <v>0</v>
      </c>
      <c r="F30" s="65"/>
      <c r="G30" s="140">
        <f>SUM(G28:G29)</f>
        <v>588.0888803416667</v>
      </c>
      <c r="H30" s="154">
        <f>G30</f>
        <v>588.0888803416667</v>
      </c>
      <c r="I30" s="65"/>
      <c r="J30" s="140">
        <f>SUM(J28:J29)</f>
        <v>1718.6969407205165</v>
      </c>
      <c r="K30" s="154">
        <f>J30</f>
        <v>1718.6969407205165</v>
      </c>
      <c r="L30" s="65"/>
      <c r="M30" s="140">
        <f>SUM(M28:M29)</f>
        <v>13228.906009712251</v>
      </c>
      <c r="N30" s="154">
        <f>M30</f>
        <v>13228.906009712251</v>
      </c>
      <c r="O30" s="65"/>
      <c r="P30" s="140">
        <f>SUM(P28:P29)</f>
        <v>75612.22263757067</v>
      </c>
      <c r="Q30" s="154">
        <f>P30</f>
        <v>75612.22263757067</v>
      </c>
      <c r="R30" s="65"/>
      <c r="S30" s="140">
        <f>SUM(S28:S29)</f>
        <v>127644.11936733602</v>
      </c>
      <c r="T30" s="154">
        <f>S30</f>
        <v>127644.11936733602</v>
      </c>
      <c r="U30" s="65"/>
      <c r="V30" s="140">
        <f>SUM(V28:V29)</f>
        <v>4080.2356554959997</v>
      </c>
      <c r="W30" s="154">
        <f>V30</f>
        <v>4080.2356554959997</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0</v>
      </c>
      <c r="L33" s="65"/>
      <c r="M33" s="64"/>
      <c r="N33" s="155">
        <f>'3.  LDC Assumptions and Data'!F46</f>
        <v>2458.35</v>
      </c>
      <c r="O33" s="65"/>
      <c r="P33" s="64"/>
      <c r="Q33" s="155">
        <f>'3.  LDC Assumptions and Data'!G46</f>
        <v>73920.15</v>
      </c>
      <c r="R33" s="65"/>
      <c r="S33" s="64"/>
      <c r="T33" s="155">
        <f>'3.  LDC Assumptions and Data'!H46</f>
        <v>202735.53</v>
      </c>
      <c r="U33" s="65"/>
      <c r="V33" s="64"/>
      <c r="W33" s="155">
        <f>'3.  LDC Assumptions and Data'!I46</f>
        <v>383509.62999999995</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549.1923333333333</v>
      </c>
      <c r="H36" s="67"/>
      <c r="I36" s="65"/>
      <c r="J36" s="142">
        <f>SUM('6. Avg Nt Fix Ass &amp;UCC'!E13:E13)</f>
        <v>1666.4016666666666</v>
      </c>
      <c r="K36" s="67"/>
      <c r="L36" s="65"/>
      <c r="M36" s="142">
        <f>SUM('6. Avg Nt Fix Ass &amp;UCC'!F13:F13)</f>
        <v>12854.255333333333</v>
      </c>
      <c r="N36" s="67"/>
      <c r="O36" s="65"/>
      <c r="P36" s="142">
        <f>SUM('6. Avg Nt Fix Ass &amp;UCC'!G13:G13)</f>
        <v>72701.24866666667</v>
      </c>
      <c r="Q36" s="67"/>
      <c r="R36" s="65"/>
      <c r="S36" s="142">
        <f>SUM('6. Avg Nt Fix Ass &amp;UCC'!H13:H13)</f>
        <v>125291.808</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0</v>
      </c>
      <c r="N37" s="67"/>
      <c r="O37" s="65"/>
      <c r="P37" s="142">
        <f>SUM('6. Avg Nt Fix Ass &amp;UCC'!G28:G28)</f>
        <v>0</v>
      </c>
      <c r="Q37" s="67"/>
      <c r="R37" s="65"/>
      <c r="S37" s="142">
        <f>SUM('6. Avg Nt Fix Ass &amp;UCC'!H28:H28)</f>
        <v>0</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0</v>
      </c>
      <c r="H38" s="67"/>
      <c r="I38" s="65"/>
      <c r="J38" s="142">
        <f>SUM('6. Avg Nt Fix Ass &amp;UCC'!E43:E43)</f>
        <v>0</v>
      </c>
      <c r="K38" s="67"/>
      <c r="L38" s="65"/>
      <c r="M38" s="142">
        <f>SUM('6. Avg Nt Fix Ass &amp;UCC'!F43:F43)</f>
        <v>0</v>
      </c>
      <c r="N38" s="67"/>
      <c r="O38" s="65"/>
      <c r="P38" s="142">
        <f>SUM('6. Avg Nt Fix Ass &amp;UCC'!G43:G43)</f>
        <v>3523.4800000000005</v>
      </c>
      <c r="Q38" s="67"/>
      <c r="R38" s="65"/>
      <c r="S38" s="142">
        <f>SUM('6. Avg Nt Fix Ass &amp;UCC'!H43:H43)</f>
        <v>9729.446</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75">
      <c r="A41" s="5"/>
      <c r="B41" s="52" t="s">
        <v>142</v>
      </c>
      <c r="C41" s="65"/>
      <c r="D41" s="64"/>
      <c r="E41" s="156">
        <f>SUM(D36:D40)</f>
        <v>0</v>
      </c>
      <c r="F41" s="65"/>
      <c r="G41" s="64"/>
      <c r="H41" s="156">
        <f>SUM(G36:G40)</f>
        <v>549.1923333333333</v>
      </c>
      <c r="I41" s="65"/>
      <c r="J41" s="64"/>
      <c r="K41" s="156">
        <f>SUM(J36:J40)</f>
        <v>1666.4016666666666</v>
      </c>
      <c r="L41" s="65"/>
      <c r="M41" s="64"/>
      <c r="N41" s="156">
        <f>SUM(M36:M40)</f>
        <v>12854.255333333333</v>
      </c>
      <c r="O41" s="65"/>
      <c r="P41" s="64"/>
      <c r="Q41" s="156">
        <f>SUM(P36:P40)</f>
        <v>76224.72866666666</v>
      </c>
      <c r="R41" s="65"/>
      <c r="S41" s="64"/>
      <c r="T41" s="156">
        <f>SUM(S36:S40)</f>
        <v>135021.25400000002</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1137.281213675</v>
      </c>
      <c r="I43" s="65"/>
      <c r="J43" s="64"/>
      <c r="K43" s="157">
        <f>SUM(K30,K41,K33)</f>
        <v>3385.098607387183</v>
      </c>
      <c r="L43" s="65"/>
      <c r="M43" s="64"/>
      <c r="N43" s="157">
        <f>SUM(N30,N41,N33)</f>
        <v>28541.511343045582</v>
      </c>
      <c r="O43" s="65"/>
      <c r="P43" s="64"/>
      <c r="Q43" s="157">
        <f>SUM(Q30,Q41,Q33)</f>
        <v>225757.10130423732</v>
      </c>
      <c r="R43" s="65"/>
      <c r="S43" s="64"/>
      <c r="T43" s="157">
        <f>SUM(T30,T41,T33)</f>
        <v>465400.903367336</v>
      </c>
      <c r="U43" s="65"/>
      <c r="V43" s="64"/>
      <c r="W43" s="157">
        <f>SUM(W30,W41,W33)</f>
        <v>387589.86565549596</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0</v>
      </c>
      <c r="L46" s="65"/>
      <c r="M46" s="64"/>
      <c r="N46" s="154">
        <f>-N33</f>
        <v>-2458.35</v>
      </c>
      <c r="O46" s="65"/>
      <c r="P46" s="64"/>
      <c r="Q46" s="154">
        <f>-Q33</f>
        <v>-73920.15</v>
      </c>
      <c r="R46" s="65"/>
      <c r="S46" s="64"/>
      <c r="T46" s="154">
        <f>-T33</f>
        <v>-202735.53</v>
      </c>
      <c r="U46" s="65"/>
      <c r="V46" s="64"/>
      <c r="W46" s="154">
        <f>-W33</f>
        <v>-383509.62999999995</v>
      </c>
    </row>
    <row r="47" spans="1:23" ht="12.75">
      <c r="A47" s="5"/>
      <c r="B47" s="57" t="s">
        <v>144</v>
      </c>
      <c r="C47" s="65"/>
      <c r="D47" s="64"/>
      <c r="E47" s="154">
        <f>-E41</f>
        <v>0</v>
      </c>
      <c r="F47" s="65"/>
      <c r="G47" s="64"/>
      <c r="H47" s="154">
        <f>-H41</f>
        <v>-549.1923333333333</v>
      </c>
      <c r="I47" s="65"/>
      <c r="J47" s="64"/>
      <c r="K47" s="154">
        <f>-K41</f>
        <v>-1666.4016666666666</v>
      </c>
      <c r="L47" s="65"/>
      <c r="M47" s="64"/>
      <c r="N47" s="154">
        <f>-N41</f>
        <v>-12854.255333333333</v>
      </c>
      <c r="O47" s="65"/>
      <c r="P47" s="64"/>
      <c r="Q47" s="154">
        <f>-Q41</f>
        <v>-76224.72866666666</v>
      </c>
      <c r="R47" s="65"/>
      <c r="S47" s="64"/>
      <c r="T47" s="154">
        <f>-T41</f>
        <v>-135021.25400000002</v>
      </c>
      <c r="U47" s="65"/>
      <c r="V47" s="64"/>
      <c r="W47" s="154">
        <f>-W41</f>
        <v>0</v>
      </c>
    </row>
    <row r="48" spans="1:23" ht="12.75">
      <c r="A48" s="5"/>
      <c r="B48" s="57" t="s">
        <v>145</v>
      </c>
      <c r="C48" s="65"/>
      <c r="D48" s="64"/>
      <c r="E48" s="154">
        <f>-D28</f>
        <v>0</v>
      </c>
      <c r="F48" s="65"/>
      <c r="G48" s="64"/>
      <c r="H48" s="154">
        <f>-G28</f>
        <v>-229.7408828416667</v>
      </c>
      <c r="I48" s="65"/>
      <c r="J48" s="64"/>
      <c r="K48" s="154">
        <f>-J28</f>
        <v>-726.2159947655167</v>
      </c>
      <c r="L48" s="65"/>
      <c r="M48" s="64"/>
      <c r="N48" s="154">
        <f>-M28</f>
        <v>-6037.38763303725</v>
      </c>
      <c r="O48" s="65"/>
      <c r="P48" s="64"/>
      <c r="Q48" s="154">
        <f>-P28</f>
        <v>-33610.17024753734</v>
      </c>
      <c r="R48" s="65"/>
      <c r="S48" s="64"/>
      <c r="T48" s="154">
        <f>-S28</f>
        <v>-56738.71807203602</v>
      </c>
      <c r="U48" s="65"/>
      <c r="V48" s="64"/>
      <c r="W48" s="154">
        <f>-V28</f>
        <v>-1813.6937421960001</v>
      </c>
    </row>
    <row r="49" spans="1:23" ht="15.75">
      <c r="A49" s="5"/>
      <c r="B49" s="52" t="s">
        <v>146</v>
      </c>
      <c r="C49" s="65"/>
      <c r="D49" s="64"/>
      <c r="E49" s="158">
        <f>SUM(E43:E48)</f>
        <v>0</v>
      </c>
      <c r="F49" s="65"/>
      <c r="G49" s="64"/>
      <c r="H49" s="158">
        <f>SUM(H43:H48)</f>
        <v>358.3479974999999</v>
      </c>
      <c r="I49" s="65"/>
      <c r="J49" s="64"/>
      <c r="K49" s="158">
        <f>SUM(K43:K48)</f>
        <v>992.4809459549998</v>
      </c>
      <c r="L49" s="65"/>
      <c r="M49" s="64"/>
      <c r="N49" s="158">
        <f>SUM(N43:N48)</f>
        <v>7191.518376675001</v>
      </c>
      <c r="O49" s="65"/>
      <c r="P49" s="64"/>
      <c r="Q49" s="158">
        <f>SUM(Q43:Q48)</f>
        <v>42002.05239003333</v>
      </c>
      <c r="R49" s="65"/>
      <c r="S49" s="64"/>
      <c r="T49" s="158">
        <f>SUM(T43:T48)</f>
        <v>70905.40129529996</v>
      </c>
      <c r="U49" s="65"/>
      <c r="V49" s="64"/>
      <c r="W49" s="158">
        <f>SUM(W43:W48)</f>
        <v>2266.541913300013</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176.35083377786466</v>
      </c>
      <c r="I51" s="65"/>
      <c r="J51" s="64"/>
      <c r="K51" s="155">
        <f>'5. PILs'!E42</f>
        <v>429.0644843545236</v>
      </c>
      <c r="L51" s="65"/>
      <c r="M51" s="64"/>
      <c r="N51" s="155">
        <f>'5. PILs'!F42</f>
        <v>3136.878305452463</v>
      </c>
      <c r="O51" s="65"/>
      <c r="P51" s="64"/>
      <c r="Q51" s="155">
        <f>'5. PILs'!G42</f>
        <v>10302.258032342255</v>
      </c>
      <c r="R51" s="65"/>
      <c r="S51" s="64"/>
      <c r="T51" s="155">
        <f>'5. PILs'!H42</f>
        <v>16759.66106268858</v>
      </c>
      <c r="U51" s="65"/>
      <c r="V51" s="64"/>
      <c r="W51" s="155">
        <f>'5. PILs'!I42</f>
        <v>895.0453559146797</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1137.281213675</v>
      </c>
      <c r="I53" s="65"/>
      <c r="J53" s="64"/>
      <c r="K53" s="159">
        <f>K43</f>
        <v>3385.098607387183</v>
      </c>
      <c r="L53" s="65"/>
      <c r="M53" s="64"/>
      <c r="N53" s="159">
        <f>N43</f>
        <v>28541.511343045582</v>
      </c>
      <c r="O53" s="65"/>
      <c r="P53" s="64"/>
      <c r="Q53" s="159">
        <f>Q43</f>
        <v>225757.10130423732</v>
      </c>
      <c r="R53" s="65"/>
      <c r="S53" s="64"/>
      <c r="T53" s="159">
        <f>T43</f>
        <v>465400.903367336</v>
      </c>
      <c r="U53" s="65"/>
      <c r="V53" s="64"/>
      <c r="W53" s="159">
        <f>W43</f>
        <v>387589.86565549596</v>
      </c>
    </row>
    <row r="54" spans="1:23" ht="12.75">
      <c r="A54" s="5"/>
      <c r="B54" s="61" t="s">
        <v>147</v>
      </c>
      <c r="C54" s="65"/>
      <c r="D54" s="64"/>
      <c r="E54" s="159">
        <f>E51</f>
        <v>0</v>
      </c>
      <c r="F54" s="65"/>
      <c r="G54" s="64"/>
      <c r="H54" s="159">
        <f>H51</f>
        <v>176.35083377786466</v>
      </c>
      <c r="I54" s="65"/>
      <c r="J54" s="64"/>
      <c r="K54" s="159">
        <f>K51</f>
        <v>429.0644843545236</v>
      </c>
      <c r="L54" s="65"/>
      <c r="M54" s="64"/>
      <c r="N54" s="159">
        <f>N51</f>
        <v>3136.878305452463</v>
      </c>
      <c r="O54" s="65"/>
      <c r="P54" s="64"/>
      <c r="Q54" s="159">
        <f>Q51</f>
        <v>10302.258032342255</v>
      </c>
      <c r="R54" s="65"/>
      <c r="S54" s="64"/>
      <c r="T54" s="159">
        <f>T51</f>
        <v>16759.66106268858</v>
      </c>
      <c r="U54" s="65"/>
      <c r="V54" s="64"/>
      <c r="W54" s="159">
        <f>W51</f>
        <v>895.0453559146797</v>
      </c>
    </row>
    <row r="55" spans="1:23" ht="16.5" thickBot="1">
      <c r="A55" s="5"/>
      <c r="B55" s="52" t="s">
        <v>123</v>
      </c>
      <c r="C55" s="65"/>
      <c r="D55" s="64"/>
      <c r="E55" s="160">
        <f>SUM(E53:E54)</f>
        <v>0</v>
      </c>
      <c r="F55" s="65"/>
      <c r="G55" s="64"/>
      <c r="H55" s="160">
        <f>SUM(H53:H54)</f>
        <v>1313.6320474528645</v>
      </c>
      <c r="I55" s="65"/>
      <c r="J55" s="64"/>
      <c r="K55" s="160">
        <f>SUM(K53:K54)</f>
        <v>3814.163091741707</v>
      </c>
      <c r="L55" s="65"/>
      <c r="M55" s="64"/>
      <c r="N55" s="160">
        <f>SUM(N53:N54)</f>
        <v>31678.389648498043</v>
      </c>
      <c r="O55" s="65"/>
      <c r="P55" s="64"/>
      <c r="Q55" s="160">
        <f>SUM(Q53:Q54)</f>
        <v>236059.35933657957</v>
      </c>
      <c r="R55" s="65"/>
      <c r="S55" s="64"/>
      <c r="T55" s="160">
        <f>SUM(T53:T54)</f>
        <v>482160.5644300246</v>
      </c>
      <c r="U55" s="65"/>
      <c r="V55" s="64"/>
      <c r="W55" s="160">
        <f>SUM(W53:W54)</f>
        <v>388484.91101141064</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 right="0.43" top="0.79" bottom="0.54" header="0.5" footer="0.5"/>
  <pageSetup fitToHeight="1" fitToWidth="1" horizontalDpi="600" verticalDpi="600" orientation="landscape" scale="2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
      <selection activeCell="E30" sqref="E30"/>
    </sheetView>
  </sheetViews>
  <sheetFormatPr defaultColWidth="9.140625" defaultRowHeight="12.75"/>
  <cols>
    <col min="1" max="1" width="16.28125" style="7" customWidth="1"/>
    <col min="2" max="2" width="33.00390625" style="7" bestFit="1" customWidth="1"/>
    <col min="3" max="4" width="13.28125" style="7" bestFit="1" customWidth="1"/>
    <col min="5" max="5" width="12.00390625" style="7" bestFit="1" customWidth="1"/>
    <col min="6" max="8" width="14.00390625" style="7" bestFit="1" customWidth="1"/>
    <col min="9" max="9" width="15.28125" style="7" bestFit="1" customWidth="1"/>
    <col min="10" max="16384" width="9.140625" style="7" customWidth="1"/>
  </cols>
  <sheetData>
    <row r="1" spans="1:6" s="3" customFormat="1" ht="21" customHeight="1">
      <c r="A1" s="1"/>
      <c r="B1" s="171" t="s">
        <v>148</v>
      </c>
      <c r="C1" s="171"/>
      <c r="D1" s="171"/>
      <c r="E1" s="171"/>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358.3479974999999</v>
      </c>
      <c r="E8" s="139">
        <f>'4. Smart Meter Rev Req'!K49</f>
        <v>992.4809459549998</v>
      </c>
      <c r="F8" s="139">
        <f>'4. Smart Meter Rev Req'!N49</f>
        <v>7191.518376675001</v>
      </c>
      <c r="G8" s="139">
        <f>'4. Smart Meter Rev Req'!Q49</f>
        <v>42002.05239003333</v>
      </c>
      <c r="H8" s="139">
        <f>'4. Smart Meter Rev Req'!T49</f>
        <v>70905.40129529996</v>
      </c>
      <c r="I8" s="139">
        <f>'4. Smart Meter Rev Req'!W49</f>
        <v>2266.541913300013</v>
      </c>
    </row>
    <row r="9" spans="1:9" ht="12.75">
      <c r="A9" s="5"/>
      <c r="B9" s="5" t="s">
        <v>200</v>
      </c>
      <c r="C9" s="139">
        <f>-'4. Smart Meter Rev Req'!E47</f>
        <v>0</v>
      </c>
      <c r="D9" s="139">
        <f>-'4. Smart Meter Rev Req'!H47</f>
        <v>549.1923333333333</v>
      </c>
      <c r="E9" s="139">
        <f>-'4. Smart Meter Rev Req'!K47</f>
        <v>1666.4016666666666</v>
      </c>
      <c r="F9" s="139">
        <f>-'4. Smart Meter Rev Req'!N47</f>
        <v>12854.255333333333</v>
      </c>
      <c r="G9" s="139">
        <f>-'4. Smart Meter Rev Req'!Q47</f>
        <v>76224.72866666666</v>
      </c>
      <c r="H9" s="139">
        <f>-'4. Smart Meter Rev Req'!T47</f>
        <v>135021.25400000002</v>
      </c>
      <c r="I9" s="139">
        <f>-'4. Smart Meter Rev Req'!W47</f>
        <v>0</v>
      </c>
    </row>
    <row r="10" spans="1:9" ht="12.75">
      <c r="A10" s="5"/>
      <c r="B10" s="5" t="s">
        <v>225</v>
      </c>
      <c r="C10" s="139">
        <f>-'6. Avg Nt Fix Ass &amp;UCC'!C93</f>
        <v>0</v>
      </c>
      <c r="D10" s="139">
        <f>-'6. Avg Nt Fix Ass &amp;UCC'!D93</f>
        <v>-659.0308</v>
      </c>
      <c r="E10" s="139">
        <f>-'6. Avg Nt Fix Ass &amp;UCC'!E93</f>
        <v>-1946.959536</v>
      </c>
      <c r="F10" s="139">
        <f>-'6. Avg Nt Fix Ass &amp;UCC'!F93</f>
        <v>-15216.62717312</v>
      </c>
      <c r="G10" s="139">
        <f>-'6. Avg Nt Fix Ass &amp;UCC'!G93</f>
        <v>-85815.68899927041</v>
      </c>
      <c r="H10" s="139">
        <f>-'6. Avg Nt Fix Ass &amp;UCC'!H93</f>
        <v>-142059.1050793288</v>
      </c>
      <c r="I10" s="139">
        <f>-'6. Avg Nt Fix Ass &amp;UCC'!I93</f>
        <v>0</v>
      </c>
    </row>
    <row r="11" spans="1:9" ht="12.75">
      <c r="A11" s="5"/>
      <c r="B11" s="5" t="s">
        <v>227</v>
      </c>
      <c r="C11" s="139">
        <f>-'6. Avg Nt Fix Ass &amp;UCC'!C107</f>
        <v>0</v>
      </c>
      <c r="D11" s="139">
        <f>-'6. Avg Nt Fix Ass &amp;UCC'!D107</f>
        <v>0</v>
      </c>
      <c r="E11" s="139">
        <f>-'6. Avg Nt Fix Ass &amp;UCC'!E107</f>
        <v>0</v>
      </c>
      <c r="F11" s="139">
        <f>-'6. Avg Nt Fix Ass &amp;UCC'!F107</f>
        <v>0</v>
      </c>
      <c r="G11" s="139">
        <f>-'6. Avg Nt Fix Ass &amp;UCC'!G107</f>
        <v>-9689.570000000002</v>
      </c>
      <c r="H11" s="139">
        <f>-'6. Avg Nt Fix Ass &amp;UCC'!H107</f>
        <v>-21426.713000000003</v>
      </c>
      <c r="I11" s="139">
        <f>-'6. Avg Nt Fix Ass &amp;UCC'!I107</f>
        <v>0</v>
      </c>
    </row>
    <row r="12" spans="1:9" ht="12.75">
      <c r="A12" s="5"/>
      <c r="B12" s="5" t="s">
        <v>226</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248.5095308333332</v>
      </c>
      <c r="E13" s="140">
        <f t="shared" si="0"/>
        <v>711.9230766216663</v>
      </c>
      <c r="F13" s="140">
        <f t="shared" si="0"/>
        <v>4829.146536888333</v>
      </c>
      <c r="G13" s="140">
        <f t="shared" si="0"/>
        <v>22721.522057429574</v>
      </c>
      <c r="H13" s="140">
        <f t="shared" si="0"/>
        <v>42440.83721597119</v>
      </c>
      <c r="I13" s="140">
        <f t="shared" si="0"/>
        <v>2266.541913300013</v>
      </c>
    </row>
    <row r="14" spans="1:9" ht="12.75">
      <c r="A14" s="5"/>
      <c r="B14" s="5" t="s">
        <v>201</v>
      </c>
      <c r="C14" s="141">
        <f>'3.  LDC Assumptions and Data'!C26</f>
        <v>0.3612</v>
      </c>
      <c r="D14" s="141">
        <f>'3.  LDC Assumptions and Data'!D26</f>
        <v>0.3612</v>
      </c>
      <c r="E14" s="141">
        <f>'3.  LDC Assumptions and Data'!E26</f>
        <v>0.335</v>
      </c>
      <c r="F14" s="141">
        <f>'3.  LDC Assumptions and Data'!F26</f>
        <v>0.33</v>
      </c>
      <c r="G14" s="141">
        <f>'3.  LDC Assumptions and Data'!G26</f>
        <v>0.2831</v>
      </c>
      <c r="H14" s="141">
        <f>'3.  LDC Assumptions and Data'!H26</f>
        <v>0.2831</v>
      </c>
      <c r="I14" s="141">
        <f>'3.  LDC Assumptions and Data'!I26</f>
        <v>0.2831</v>
      </c>
    </row>
    <row r="15" spans="1:9" ht="12.75">
      <c r="A15" s="5"/>
      <c r="B15" s="5" t="s">
        <v>153</v>
      </c>
      <c r="C15" s="140">
        <f aca="true" t="shared" si="1" ref="C15:I15">C13*C14</f>
        <v>0</v>
      </c>
      <c r="D15" s="140">
        <f t="shared" si="1"/>
        <v>89.76164253699996</v>
      </c>
      <c r="E15" s="140">
        <f t="shared" si="1"/>
        <v>238.4942306682582</v>
      </c>
      <c r="F15" s="140">
        <f t="shared" si="1"/>
        <v>1593.61835717315</v>
      </c>
      <c r="G15" s="140">
        <f t="shared" si="1"/>
        <v>6432.462894458313</v>
      </c>
      <c r="H15" s="140">
        <f t="shared" si="1"/>
        <v>12015.001015841444</v>
      </c>
      <c r="I15" s="140">
        <f t="shared" si="1"/>
        <v>641.6580156552338</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15926.577666666668</v>
      </c>
      <c r="E18" s="139">
        <f>'6. Avg Nt Fix Ass &amp;UCC'!E17</f>
        <v>31300.685999999998</v>
      </c>
      <c r="F18" s="139">
        <f>'6. Avg Nt Fix Ass &amp;UCC'!F17</f>
        <v>337041.5306666667</v>
      </c>
      <c r="G18" s="139">
        <f>'6. Avg Nt Fix Ass &amp;UCC'!G17</f>
        <v>1741154.982</v>
      </c>
      <c r="H18" s="139">
        <f>'6. Avg Nt Fix Ass &amp;UCC'!H17</f>
        <v>1716765.2540000002</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0</v>
      </c>
      <c r="G19" s="139">
        <f>'6. Avg Nt Fix Ass &amp;UCC'!G32</f>
        <v>0</v>
      </c>
      <c r="H19" s="139">
        <f>'6. Avg Nt Fix Ass &amp;UCC'!H32</f>
        <v>0</v>
      </c>
      <c r="I19" s="139">
        <f>'6. Avg Nt Fix Ass &amp;UCC'!I32</f>
        <v>0</v>
      </c>
    </row>
    <row r="20" spans="1:9" ht="12.75">
      <c r="A20" s="5"/>
      <c r="B20" s="61" t="s">
        <v>99</v>
      </c>
      <c r="C20" s="142">
        <f>'6. Avg Nt Fix Ass &amp;UCC'!C47</f>
        <v>0</v>
      </c>
      <c r="D20" s="142">
        <f>'6. Avg Nt Fix Ass &amp;UCC'!D47</f>
        <v>0</v>
      </c>
      <c r="E20" s="142">
        <f>'6. Avg Nt Fix Ass &amp;UCC'!E47</f>
        <v>0</v>
      </c>
      <c r="F20" s="142">
        <f>'6. Avg Nt Fix Ass &amp;UCC'!F47</f>
        <v>0</v>
      </c>
      <c r="G20" s="142">
        <f>'6. Avg Nt Fix Ass &amp;UCC'!G47</f>
        <v>31711.320000000003</v>
      </c>
      <c r="H20" s="142">
        <f>'6. Avg Nt Fix Ass &amp;UCC'!H47</f>
        <v>48806.734000000004</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15926.577666666668</v>
      </c>
      <c r="E23" s="102">
        <f t="shared" si="2"/>
        <v>31300.685999999998</v>
      </c>
      <c r="F23" s="102">
        <f t="shared" si="2"/>
        <v>337041.5306666667</v>
      </c>
      <c r="G23" s="102">
        <f t="shared" si="2"/>
        <v>1772866.3020000001</v>
      </c>
      <c r="H23" s="102">
        <f t="shared" si="2"/>
        <v>1765571.9880000001</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15926.577666666668</v>
      </c>
      <c r="E25" s="140">
        <f t="shared" si="3"/>
        <v>31300.685999999998</v>
      </c>
      <c r="F25" s="140">
        <f t="shared" si="3"/>
        <v>337041.5306666667</v>
      </c>
      <c r="G25" s="140">
        <f t="shared" si="3"/>
        <v>1772866.3020000001</v>
      </c>
      <c r="H25" s="140">
        <f t="shared" si="3"/>
        <v>1765571.9880000001</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35.83479975</v>
      </c>
      <c r="E27" s="140">
        <f t="shared" si="4"/>
        <v>70.4265435</v>
      </c>
      <c r="F27" s="140">
        <f t="shared" si="4"/>
        <v>758.343444</v>
      </c>
      <c r="G27" s="140">
        <f t="shared" si="4"/>
        <v>1329.6497265</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89.76164253699996</v>
      </c>
      <c r="E32" s="102">
        <f t="shared" si="5"/>
        <v>238.4942306682582</v>
      </c>
      <c r="F32" s="102">
        <f t="shared" si="5"/>
        <v>1593.61835717315</v>
      </c>
      <c r="G32" s="102">
        <f t="shared" si="5"/>
        <v>6432.462894458313</v>
      </c>
      <c r="H32" s="102">
        <f t="shared" si="5"/>
        <v>12015.001015841444</v>
      </c>
      <c r="I32" s="102">
        <f t="shared" si="5"/>
        <v>641.6580156552338</v>
      </c>
    </row>
    <row r="33" spans="1:9" ht="12.75">
      <c r="A33" s="5"/>
      <c r="B33" s="5" t="s">
        <v>163</v>
      </c>
      <c r="C33" s="102">
        <f aca="true" t="shared" si="6" ref="C33:I33">C27</f>
        <v>0</v>
      </c>
      <c r="D33" s="102">
        <f t="shared" si="6"/>
        <v>35.83479975</v>
      </c>
      <c r="E33" s="102">
        <f t="shared" si="6"/>
        <v>70.4265435</v>
      </c>
      <c r="F33" s="102">
        <f t="shared" si="6"/>
        <v>758.343444</v>
      </c>
      <c r="G33" s="102">
        <f t="shared" si="6"/>
        <v>1329.6497265</v>
      </c>
      <c r="H33" s="102">
        <f t="shared" si="6"/>
        <v>0</v>
      </c>
      <c r="I33" s="102">
        <f t="shared" si="6"/>
        <v>0</v>
      </c>
    </row>
    <row r="34" spans="1:9" ht="12.75">
      <c r="A34" s="5"/>
      <c r="B34" s="5" t="s">
        <v>164</v>
      </c>
      <c r="C34" s="140">
        <f aca="true" t="shared" si="7" ref="C34:I34">SUM(C32:C33)</f>
        <v>0</v>
      </c>
      <c r="D34" s="140">
        <f t="shared" si="7"/>
        <v>125.59644228699996</v>
      </c>
      <c r="E34" s="140">
        <f t="shared" si="7"/>
        <v>308.9207741682582</v>
      </c>
      <c r="F34" s="140">
        <f t="shared" si="7"/>
        <v>2351.96180117315</v>
      </c>
      <c r="G34" s="140">
        <f t="shared" si="7"/>
        <v>7762.112620958313</v>
      </c>
      <c r="H34" s="140">
        <f t="shared" si="7"/>
        <v>12015.001015841444</v>
      </c>
      <c r="I34" s="140">
        <f t="shared" si="7"/>
        <v>641.6580156552338</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0.2831</v>
      </c>
      <c r="H37" s="76">
        <f t="shared" si="8"/>
        <v>0.2831</v>
      </c>
      <c r="I37" s="76">
        <f t="shared" si="8"/>
        <v>0.2831</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140.51603402786466</v>
      </c>
      <c r="E40" s="102">
        <f t="shared" si="9"/>
        <v>358.6379408545236</v>
      </c>
      <c r="F40" s="102">
        <f t="shared" si="9"/>
        <v>2378.534861452463</v>
      </c>
      <c r="G40" s="102">
        <f t="shared" si="9"/>
        <v>8972.608305842256</v>
      </c>
      <c r="H40" s="102">
        <f t="shared" si="9"/>
        <v>16759.66106268858</v>
      </c>
      <c r="I40" s="102">
        <f t="shared" si="9"/>
        <v>895.0453559146797</v>
      </c>
    </row>
    <row r="41" spans="2:9" ht="12.75">
      <c r="B41" s="5" t="s">
        <v>163</v>
      </c>
      <c r="C41" s="102">
        <f aca="true" t="shared" si="10" ref="C41:I41">C33</f>
        <v>0</v>
      </c>
      <c r="D41" s="102">
        <f t="shared" si="10"/>
        <v>35.83479975</v>
      </c>
      <c r="E41" s="102">
        <f t="shared" si="10"/>
        <v>70.4265435</v>
      </c>
      <c r="F41" s="102">
        <f t="shared" si="10"/>
        <v>758.343444</v>
      </c>
      <c r="G41" s="102">
        <f t="shared" si="10"/>
        <v>1329.6497265</v>
      </c>
      <c r="H41" s="102">
        <f t="shared" si="10"/>
        <v>0</v>
      </c>
      <c r="I41" s="102">
        <f t="shared" si="10"/>
        <v>0</v>
      </c>
    </row>
    <row r="42" spans="2:9" ht="12.75">
      <c r="B42" s="5" t="s">
        <v>164</v>
      </c>
      <c r="C42" s="146">
        <f aca="true" t="shared" si="11" ref="C42:I42">SUM(C40:C41)</f>
        <v>0</v>
      </c>
      <c r="D42" s="146">
        <f t="shared" si="11"/>
        <v>176.35083377786466</v>
      </c>
      <c r="E42" s="146">
        <f t="shared" si="11"/>
        <v>429.0644843545236</v>
      </c>
      <c r="F42" s="146">
        <f t="shared" si="11"/>
        <v>3136.878305452463</v>
      </c>
      <c r="G42" s="146">
        <f t="shared" si="11"/>
        <v>10302.258032342255</v>
      </c>
      <c r="H42" s="146">
        <f t="shared" si="11"/>
        <v>16759.66106268858</v>
      </c>
      <c r="I42" s="146">
        <f t="shared" si="11"/>
        <v>895.0453559146797</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91"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legacyDrawing r:id="rId2"/>
</worksheet>
</file>

<file path=xl/worksheets/sheet6.xml><?xml version="1.0" encoding="utf-8"?>
<worksheet xmlns="http://schemas.openxmlformats.org/spreadsheetml/2006/main" xmlns:r="http://schemas.openxmlformats.org/officeDocument/2006/relationships">
  <dimension ref="A1:I127"/>
  <sheetViews>
    <sheetView zoomScalePageLayoutView="0" workbookViewId="0" topLeftCell="B1">
      <selection activeCell="E14" sqref="E14"/>
    </sheetView>
  </sheetViews>
  <sheetFormatPr defaultColWidth="9.140625" defaultRowHeight="12.75"/>
  <cols>
    <col min="1" max="1" width="16.57421875" style="7" customWidth="1"/>
    <col min="2" max="2" width="75.28125" style="7" bestFit="1" customWidth="1"/>
    <col min="3" max="7" width="15.00390625" style="7" bestFit="1" customWidth="1"/>
    <col min="8" max="8" width="14.00390625" style="7" bestFit="1" customWidth="1"/>
    <col min="9" max="16384" width="9.140625" style="7" customWidth="1"/>
  </cols>
  <sheetData>
    <row r="1" spans="1:9" s="3" customFormat="1" ht="21" customHeight="1">
      <c r="A1" s="1"/>
      <c r="B1" s="170" t="s">
        <v>219</v>
      </c>
      <c r="C1" s="170"/>
      <c r="D1" s="170"/>
      <c r="E1" s="170"/>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16475.77</v>
      </c>
      <c r="F8" s="140">
        <f>E10</f>
        <v>33516.28</v>
      </c>
      <c r="G8" s="140">
        <f>F10</f>
        <v>352111.38</v>
      </c>
      <c r="H8" s="140">
        <f>G10</f>
        <v>1828926.08</v>
      </c>
      <c r="I8" s="5"/>
    </row>
    <row r="9" spans="1:9" ht="12.75">
      <c r="A9" s="5"/>
      <c r="B9" s="5" t="s">
        <v>202</v>
      </c>
      <c r="C9" s="142">
        <f>'3.  LDC Assumptions and Data'!C31</f>
        <v>0</v>
      </c>
      <c r="D9" s="142">
        <f>'3.  LDC Assumptions and Data'!D31</f>
        <v>16475.77</v>
      </c>
      <c r="E9" s="142">
        <f>'3.  LDC Assumptions and Data'!E31</f>
        <v>17040.51</v>
      </c>
      <c r="F9" s="142">
        <f>'3.  LDC Assumptions and Data'!F31</f>
        <v>318595.1</v>
      </c>
      <c r="G9" s="142">
        <f>'3.  LDC Assumptions and Data'!G31</f>
        <v>1476814.7000000002</v>
      </c>
      <c r="H9" s="142">
        <f>'3.  LDC Assumptions and Data'!H31</f>
        <v>100902.07999999999</v>
      </c>
      <c r="I9" s="5"/>
    </row>
    <row r="10" spans="1:9" ht="12.75">
      <c r="A10" s="5"/>
      <c r="B10" s="5" t="s">
        <v>169</v>
      </c>
      <c r="C10" s="140">
        <f aca="true" t="shared" si="0" ref="C10:H10">SUM(C8:C9)</f>
        <v>0</v>
      </c>
      <c r="D10" s="140">
        <f t="shared" si="0"/>
        <v>16475.77</v>
      </c>
      <c r="E10" s="140">
        <f t="shared" si="0"/>
        <v>33516.28</v>
      </c>
      <c r="F10" s="140">
        <f t="shared" si="0"/>
        <v>352111.38</v>
      </c>
      <c r="G10" s="140">
        <f t="shared" si="0"/>
        <v>1828926.08</v>
      </c>
      <c r="H10" s="140">
        <f t="shared" si="0"/>
        <v>1929828.1600000001</v>
      </c>
      <c r="I10" s="5"/>
    </row>
    <row r="11" spans="1:9" ht="12.75">
      <c r="A11" s="5"/>
      <c r="B11" s="5"/>
      <c r="C11" s="63"/>
      <c r="D11" s="63"/>
      <c r="E11" s="63"/>
      <c r="F11" s="63"/>
      <c r="G11" s="63"/>
      <c r="H11" s="5"/>
      <c r="I11" s="5"/>
    </row>
    <row r="12" spans="1:9" ht="12.75">
      <c r="A12" s="5"/>
      <c r="B12" s="5" t="s">
        <v>170</v>
      </c>
      <c r="C12" s="140">
        <v>0</v>
      </c>
      <c r="D12" s="140">
        <f>C14</f>
        <v>0</v>
      </c>
      <c r="E12" s="140">
        <f>D14</f>
        <v>549.1923333333333</v>
      </c>
      <c r="F12" s="140">
        <f>E14</f>
        <v>2215.594</v>
      </c>
      <c r="G12" s="140">
        <f>F14</f>
        <v>15069.849333333332</v>
      </c>
      <c r="H12" s="140">
        <f>G14</f>
        <v>87771.098</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549.1923333333333</v>
      </c>
      <c r="E13" s="102">
        <f>IF(E12+(E8/'3.  LDC Assumptions and Data'!E60)+(E9/'3.  LDC Assumptions and Data'!E60/2)&lt;E10,(E8/'3.  LDC Assumptions and Data'!E60)+(E9/'3.  LDC Assumptions and Data'!E60/2),E10-E12)</f>
        <v>1666.4016666666666</v>
      </c>
      <c r="F13" s="102">
        <f>IF(F12+(F8/'3.  LDC Assumptions and Data'!F60)+(F9/'3.  LDC Assumptions and Data'!F60/2)&lt;F10,(F8/'3.  LDC Assumptions and Data'!F60)+(F9/'3.  LDC Assumptions and Data'!F60/2),F10-F12)</f>
        <v>12854.255333333333</v>
      </c>
      <c r="G13" s="102">
        <f>IF(G12+(G8/'3.  LDC Assumptions and Data'!G60)+(G9/'3.  LDC Assumptions and Data'!G60/2)&lt;G10,(G8/'3.  LDC Assumptions and Data'!G60)+(G9/'3.  LDC Assumptions and Data'!G60/2),G10-G12)</f>
        <v>72701.24866666667</v>
      </c>
      <c r="H13" s="102">
        <f>IF(H12+(H8/'3.  LDC Assumptions and Data'!H60)+(H9/'3.  LDC Assumptions and Data'!H60/2)&lt;H10,(H8/'3.  LDC Assumptions and Data'!H60)+(H9/'3.  LDC Assumptions and Data'!H60/2),H10-H12)</f>
        <v>125291.808</v>
      </c>
      <c r="I13" s="5"/>
    </row>
    <row r="14" spans="1:9" ht="12.75">
      <c r="A14" s="5"/>
      <c r="B14" s="5" t="s">
        <v>171</v>
      </c>
      <c r="C14" s="140">
        <f aca="true" t="shared" si="1" ref="C14:H14">SUM(C12:C13)</f>
        <v>0</v>
      </c>
      <c r="D14" s="140">
        <f t="shared" si="1"/>
        <v>549.1923333333333</v>
      </c>
      <c r="E14" s="140">
        <f t="shared" si="1"/>
        <v>2215.594</v>
      </c>
      <c r="F14" s="140">
        <f t="shared" si="1"/>
        <v>15069.849333333332</v>
      </c>
      <c r="G14" s="140">
        <f t="shared" si="1"/>
        <v>87771.098</v>
      </c>
      <c r="H14" s="140">
        <f t="shared" si="1"/>
        <v>213062.90600000002</v>
      </c>
      <c r="I14" s="5"/>
    </row>
    <row r="15" spans="1:9" ht="12.75">
      <c r="A15" s="5"/>
      <c r="B15" s="5"/>
      <c r="H15" s="5"/>
      <c r="I15" s="5"/>
    </row>
    <row r="16" spans="1:9" ht="16.5" customHeight="1">
      <c r="A16" s="5"/>
      <c r="B16" s="5" t="s">
        <v>172</v>
      </c>
      <c r="C16" s="102">
        <f>0</f>
        <v>0</v>
      </c>
      <c r="D16" s="102">
        <f>C17</f>
        <v>0</v>
      </c>
      <c r="E16" s="102">
        <f>D17</f>
        <v>15926.577666666668</v>
      </c>
      <c r="F16" s="102">
        <f>E17</f>
        <v>31300.685999999998</v>
      </c>
      <c r="G16" s="102">
        <f>F17</f>
        <v>337041.5306666667</v>
      </c>
      <c r="H16" s="102">
        <f>G17</f>
        <v>1741154.982</v>
      </c>
      <c r="I16" s="5"/>
    </row>
    <row r="17" spans="1:8" ht="12.75">
      <c r="A17" s="5"/>
      <c r="B17" s="5" t="s">
        <v>173</v>
      </c>
      <c r="C17" s="140">
        <f aca="true" t="shared" si="2" ref="C17:H17">C10-C14</f>
        <v>0</v>
      </c>
      <c r="D17" s="140">
        <f t="shared" si="2"/>
        <v>15926.577666666668</v>
      </c>
      <c r="E17" s="140">
        <f t="shared" si="2"/>
        <v>31300.685999999998</v>
      </c>
      <c r="F17" s="140">
        <f t="shared" si="2"/>
        <v>337041.5306666667</v>
      </c>
      <c r="G17" s="140">
        <f t="shared" si="2"/>
        <v>1741154.982</v>
      </c>
      <c r="H17" s="140">
        <f t="shared" si="2"/>
        <v>1716765.2540000002</v>
      </c>
    </row>
    <row r="18" spans="1:8" ht="13.5" thickBot="1">
      <c r="A18" s="5"/>
      <c r="B18" s="5" t="s">
        <v>174</v>
      </c>
      <c r="C18" s="147">
        <f aca="true" t="shared" si="3" ref="C18:H18">(C17+C16)/2</f>
        <v>0</v>
      </c>
      <c r="D18" s="147">
        <f t="shared" si="3"/>
        <v>7963.288833333334</v>
      </c>
      <c r="E18" s="147">
        <f>(E17+E16)/2</f>
        <v>23613.631833333333</v>
      </c>
      <c r="F18" s="147">
        <f t="shared" si="3"/>
        <v>184171.10833333334</v>
      </c>
      <c r="G18" s="147">
        <f t="shared" si="3"/>
        <v>1039098.2563333334</v>
      </c>
      <c r="H18" s="147">
        <f t="shared" si="3"/>
        <v>1728960.1180000002</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0</v>
      </c>
      <c r="H23" s="140">
        <f>G25</f>
        <v>0</v>
      </c>
      <c r="I23" s="5"/>
    </row>
    <row r="24" spans="1:9" ht="12.75">
      <c r="A24" s="5"/>
      <c r="B24" s="5" t="s">
        <v>203</v>
      </c>
      <c r="C24" s="142">
        <f>'3.  LDC Assumptions and Data'!C32</f>
        <v>0</v>
      </c>
      <c r="D24" s="142">
        <f>'3.  LDC Assumptions and Data'!D32</f>
        <v>0</v>
      </c>
      <c r="E24" s="142">
        <f>'3.  LDC Assumptions and Data'!E32</f>
        <v>0</v>
      </c>
      <c r="F24" s="142">
        <f>'3.  LDC Assumptions and Data'!F32</f>
        <v>0</v>
      </c>
      <c r="G24" s="142">
        <f>'3.  LDC Assumptions and Data'!G32</f>
        <v>0</v>
      </c>
      <c r="H24" s="142">
        <f>'3.  LDC Assumptions and Data'!H32</f>
        <v>0</v>
      </c>
      <c r="I24" s="5"/>
    </row>
    <row r="25" spans="1:9" ht="12.75">
      <c r="A25" s="5"/>
      <c r="B25" s="5" t="s">
        <v>169</v>
      </c>
      <c r="C25" s="140">
        <f aca="true" t="shared" si="5" ref="C25:H25">SUM(C23:C24)</f>
        <v>0</v>
      </c>
      <c r="D25" s="140">
        <f t="shared" si="5"/>
        <v>0</v>
      </c>
      <c r="E25" s="140">
        <f t="shared" si="5"/>
        <v>0</v>
      </c>
      <c r="F25" s="140">
        <f t="shared" si="5"/>
        <v>0</v>
      </c>
      <c r="G25" s="140">
        <f t="shared" si="5"/>
        <v>0</v>
      </c>
      <c r="H25" s="140">
        <f t="shared" si="5"/>
        <v>0</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0</v>
      </c>
      <c r="H27" s="140">
        <f>G29</f>
        <v>0</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0</v>
      </c>
      <c r="G28" s="102">
        <f>IF(G27+(G23/'3.  LDC Assumptions and Data'!C61)+(G24/'3.  LDC Assumptions and Data'!C61/2)&lt;G25,(G23/'3.  LDC Assumptions and Data'!C61)+(G24/'3.  LDC Assumptions and Data'!C61/2),G25-G27)</f>
        <v>0</v>
      </c>
      <c r="H28" s="102">
        <f>IF(H27+(H23/'3.  LDC Assumptions and Data'!D61)+(H24/'3.  LDC Assumptions and Data'!D61/2)&lt;H25,(H23/'3.  LDC Assumptions and Data'!D61)+(H24/'3.  LDC Assumptions and Data'!D61/2),H25-H27)</f>
        <v>0</v>
      </c>
      <c r="I28" s="5"/>
    </row>
    <row r="29" spans="1:9" ht="12.75">
      <c r="A29" s="5"/>
      <c r="B29" s="5" t="s">
        <v>171</v>
      </c>
      <c r="C29" s="140">
        <f aca="true" t="shared" si="6" ref="C29:H29">SUM(C27:C28)</f>
        <v>0</v>
      </c>
      <c r="D29" s="140">
        <f t="shared" si="6"/>
        <v>0</v>
      </c>
      <c r="E29" s="140">
        <f t="shared" si="6"/>
        <v>0</v>
      </c>
      <c r="F29" s="140">
        <f t="shared" si="6"/>
        <v>0</v>
      </c>
      <c r="G29" s="140">
        <f t="shared" si="6"/>
        <v>0</v>
      </c>
      <c r="H29" s="140">
        <f t="shared" si="6"/>
        <v>0</v>
      </c>
      <c r="I29" s="5"/>
    </row>
    <row r="30" spans="1:9" ht="12.75">
      <c r="A30" s="5"/>
      <c r="B30" s="5"/>
      <c r="H30" s="5"/>
      <c r="I30" s="5"/>
    </row>
    <row r="31" spans="1:9" ht="12.75">
      <c r="A31" s="5"/>
      <c r="B31" s="5" t="s">
        <v>172</v>
      </c>
      <c r="C31" s="102">
        <f>0</f>
        <v>0</v>
      </c>
      <c r="D31" s="102">
        <f>C32</f>
        <v>0</v>
      </c>
      <c r="E31" s="102">
        <f>D32</f>
        <v>0</v>
      </c>
      <c r="F31" s="102">
        <f>E32</f>
        <v>0</v>
      </c>
      <c r="G31" s="102">
        <f>F32</f>
        <v>0</v>
      </c>
      <c r="H31" s="102">
        <f>G32</f>
        <v>0</v>
      </c>
      <c r="I31" s="5"/>
    </row>
    <row r="32" spans="1:9" ht="12.75">
      <c r="A32" s="5"/>
      <c r="B32" s="5" t="s">
        <v>173</v>
      </c>
      <c r="C32" s="140">
        <f aca="true" t="shared" si="7" ref="C32:H32">C25-C29</f>
        <v>0</v>
      </c>
      <c r="D32" s="148">
        <f t="shared" si="7"/>
        <v>0</v>
      </c>
      <c r="E32" s="148">
        <f t="shared" si="7"/>
        <v>0</v>
      </c>
      <c r="F32" s="148">
        <f t="shared" si="7"/>
        <v>0</v>
      </c>
      <c r="G32" s="148">
        <f t="shared" si="7"/>
        <v>0</v>
      </c>
      <c r="H32" s="148">
        <f t="shared" si="7"/>
        <v>0</v>
      </c>
      <c r="I32" s="5"/>
    </row>
    <row r="33" spans="1:9" ht="13.5" thickBot="1">
      <c r="A33" s="5"/>
      <c r="B33" s="5" t="s">
        <v>174</v>
      </c>
      <c r="C33" s="147">
        <f aca="true" t="shared" si="8" ref="C33:H33">(C32+C31)/2</f>
        <v>0</v>
      </c>
      <c r="D33" s="149">
        <f t="shared" si="8"/>
        <v>0</v>
      </c>
      <c r="E33" s="149">
        <f t="shared" si="8"/>
        <v>0</v>
      </c>
      <c r="F33" s="149">
        <f t="shared" si="8"/>
        <v>0</v>
      </c>
      <c r="G33" s="149">
        <f t="shared" si="8"/>
        <v>0</v>
      </c>
      <c r="H33" s="149">
        <f t="shared" si="8"/>
        <v>0</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0</v>
      </c>
      <c r="F38" s="140">
        <f>E40</f>
        <v>0</v>
      </c>
      <c r="G38" s="140">
        <f>F40</f>
        <v>0</v>
      </c>
      <c r="H38" s="140">
        <f>G40</f>
        <v>35234.8</v>
      </c>
      <c r="I38" s="5"/>
    </row>
    <row r="39" spans="1:9" ht="12.75">
      <c r="A39" s="5"/>
      <c r="B39" s="5" t="s">
        <v>202</v>
      </c>
      <c r="C39" s="142">
        <f>'3.  LDC Assumptions and Data'!C33</f>
        <v>0</v>
      </c>
      <c r="D39" s="142">
        <f>'3.  LDC Assumptions and Data'!D33</f>
        <v>0</v>
      </c>
      <c r="E39" s="142">
        <f>'3.  LDC Assumptions and Data'!E33</f>
        <v>0</v>
      </c>
      <c r="F39" s="142">
        <f>'3.  LDC Assumptions and Data'!F33</f>
        <v>0</v>
      </c>
      <c r="G39" s="142">
        <f>'3.  LDC Assumptions and Data'!G33</f>
        <v>35234.8</v>
      </c>
      <c r="H39" s="142">
        <f>'3.  LDC Assumptions and Data'!H33</f>
        <v>26824.86</v>
      </c>
      <c r="I39" s="5"/>
    </row>
    <row r="40" spans="1:9" ht="12.75">
      <c r="A40" s="5"/>
      <c r="B40" s="5" t="s">
        <v>169</v>
      </c>
      <c r="C40" s="140">
        <f aca="true" t="shared" si="10" ref="C40:H40">SUM(C38:C39)</f>
        <v>0</v>
      </c>
      <c r="D40" s="140">
        <f t="shared" si="10"/>
        <v>0</v>
      </c>
      <c r="E40" s="140">
        <f t="shared" si="10"/>
        <v>0</v>
      </c>
      <c r="F40" s="140">
        <f t="shared" si="10"/>
        <v>0</v>
      </c>
      <c r="G40" s="140">
        <f t="shared" si="10"/>
        <v>35234.8</v>
      </c>
      <c r="H40" s="140">
        <f t="shared" si="10"/>
        <v>62059.66</v>
      </c>
      <c r="I40" s="5"/>
    </row>
    <row r="41" spans="1:9" ht="12.75">
      <c r="A41" s="5"/>
      <c r="B41" s="5"/>
      <c r="C41" s="64"/>
      <c r="D41" s="64"/>
      <c r="E41" s="64"/>
      <c r="F41" s="64"/>
      <c r="G41" s="64"/>
      <c r="H41" s="5"/>
      <c r="I41" s="5"/>
    </row>
    <row r="42" spans="1:9" ht="12.75">
      <c r="A42" s="5"/>
      <c r="B42" s="5" t="s">
        <v>170</v>
      </c>
      <c r="C42" s="140">
        <v>0</v>
      </c>
      <c r="D42" s="140">
        <f>C44</f>
        <v>0</v>
      </c>
      <c r="E42" s="140">
        <f>D44</f>
        <v>0</v>
      </c>
      <c r="F42" s="140">
        <f>E44</f>
        <v>0</v>
      </c>
      <c r="G42" s="140">
        <f>F44</f>
        <v>0</v>
      </c>
      <c r="H42" s="140">
        <f>G44</f>
        <v>3523.4800000000005</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0</v>
      </c>
      <c r="F43" s="102">
        <f>IF(F42+(F38/'3.  LDC Assumptions and Data'!C62)+(F39/'3.  LDC Assumptions and Data'!C62/2)&lt;F40,(F38/'3.  LDC Assumptions and Data'!C62)+(F39/'3.  LDC Assumptions and Data'!C62/2),F40-F42)</f>
        <v>0</v>
      </c>
      <c r="G43" s="102">
        <f>IF(G42+(G38/'3.  LDC Assumptions and Data'!C62)+(G39/'3.  LDC Assumptions and Data'!C62/2)&lt;G40,(G38/'3.  LDC Assumptions and Data'!C62)+(G39/'3.  LDC Assumptions and Data'!C62/2),G40-G42)</f>
        <v>3523.4800000000005</v>
      </c>
      <c r="H43" s="102">
        <f>IF(H42+(H38/'3.  LDC Assumptions and Data'!D62)+(H39/'3.  LDC Assumptions and Data'!D62/2)&lt;H40,(H38/'3.  LDC Assumptions and Data'!D62)+(H39/'3.  LDC Assumptions and Data'!D62/2),H40-H42)</f>
        <v>9729.446</v>
      </c>
      <c r="I43" s="5"/>
    </row>
    <row r="44" spans="1:9" ht="12.75">
      <c r="A44" s="5"/>
      <c r="B44" s="5" t="s">
        <v>171</v>
      </c>
      <c r="C44" s="140">
        <f aca="true" t="shared" si="11" ref="C44:H44">SUM(C42:C43)</f>
        <v>0</v>
      </c>
      <c r="D44" s="140">
        <f t="shared" si="11"/>
        <v>0</v>
      </c>
      <c r="E44" s="140">
        <f t="shared" si="11"/>
        <v>0</v>
      </c>
      <c r="F44" s="140">
        <f t="shared" si="11"/>
        <v>0</v>
      </c>
      <c r="G44" s="140">
        <f t="shared" si="11"/>
        <v>3523.4800000000005</v>
      </c>
      <c r="H44" s="140">
        <f t="shared" si="11"/>
        <v>13252.926</v>
      </c>
      <c r="I44" s="5"/>
    </row>
    <row r="45" spans="1:9" ht="12.75">
      <c r="A45" s="5"/>
      <c r="B45" s="5"/>
      <c r="H45" s="5"/>
      <c r="I45" s="5"/>
    </row>
    <row r="46" spans="1:9" ht="12.75">
      <c r="A46" s="5"/>
      <c r="B46" s="5" t="s">
        <v>172</v>
      </c>
      <c r="C46" s="102">
        <f>0</f>
        <v>0</v>
      </c>
      <c r="D46" s="102">
        <f>C47</f>
        <v>0</v>
      </c>
      <c r="E46" s="102">
        <f>D47</f>
        <v>0</v>
      </c>
      <c r="F46" s="102">
        <f>E47</f>
        <v>0</v>
      </c>
      <c r="G46" s="102">
        <f>F47</f>
        <v>0</v>
      </c>
      <c r="H46" s="102">
        <f>G47</f>
        <v>31711.320000000003</v>
      </c>
      <c r="I46" s="5"/>
    </row>
    <row r="47" spans="1:9" ht="12.75">
      <c r="A47" s="5"/>
      <c r="B47" s="5" t="s">
        <v>173</v>
      </c>
      <c r="C47" s="140">
        <f aca="true" t="shared" si="12" ref="C47:H47">C40-C44</f>
        <v>0</v>
      </c>
      <c r="D47" s="148">
        <f t="shared" si="12"/>
        <v>0</v>
      </c>
      <c r="E47" s="148">
        <f t="shared" si="12"/>
        <v>0</v>
      </c>
      <c r="F47" s="148">
        <f t="shared" si="12"/>
        <v>0</v>
      </c>
      <c r="G47" s="148">
        <f t="shared" si="12"/>
        <v>31711.320000000003</v>
      </c>
      <c r="H47" s="148">
        <f t="shared" si="12"/>
        <v>48806.734000000004</v>
      </c>
      <c r="I47" s="5"/>
    </row>
    <row r="48" spans="1:9" ht="13.5" thickBot="1">
      <c r="A48" s="5"/>
      <c r="B48" s="5" t="s">
        <v>174</v>
      </c>
      <c r="C48" s="147">
        <f aca="true" t="shared" si="13" ref="C48:H48">(C47+C46)/2</f>
        <v>0</v>
      </c>
      <c r="D48" s="149">
        <f t="shared" si="13"/>
        <v>0</v>
      </c>
      <c r="E48" s="149">
        <f t="shared" si="13"/>
        <v>0</v>
      </c>
      <c r="F48" s="149">
        <f t="shared" si="13"/>
        <v>0</v>
      </c>
      <c r="G48" s="149">
        <f t="shared" si="13"/>
        <v>15855.660000000002</v>
      </c>
      <c r="H48" s="149">
        <f t="shared" si="13"/>
        <v>40259.027</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Data'!E34</f>
        <v>0</v>
      </c>
      <c r="F54" s="142">
        <f>'3.  LDC Assumptions and Data'!F34</f>
        <v>0</v>
      </c>
      <c r="G54" s="142">
        <f>'3.  LDC Assumptions and Data'!G34</f>
        <v>0</v>
      </c>
      <c r="H54" s="142">
        <f>'3.  LDC Assumptions and Data'!H34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f>'3.  LDC Assumptions and Data'!E35</f>
        <v>0</v>
      </c>
      <c r="F69" s="142">
        <f>'3.  LDC Assumptions and Data'!F35</f>
        <v>0</v>
      </c>
      <c r="G69" s="142">
        <f>'3.  LDC Assumptions and Data'!G35</f>
        <v>0</v>
      </c>
      <c r="H69" s="142">
        <f>'3.  LDC Assumptions and Data'!H35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15816.7392</v>
      </c>
      <c r="F86" s="140">
        <f>E88-E93</f>
        <v>30910.289664</v>
      </c>
      <c r="G86" s="140">
        <f>F88-F93</f>
        <v>334288.76249088</v>
      </c>
      <c r="H86" s="140">
        <f>G88-G93</f>
        <v>1725287.7734916098</v>
      </c>
      <c r="I86" s="5"/>
    </row>
    <row r="87" spans="1:9" ht="12.75">
      <c r="A87" s="5"/>
      <c r="B87" s="5" t="s">
        <v>182</v>
      </c>
      <c r="C87" s="102">
        <f aca="true" t="shared" si="25" ref="C87:H87">C9</f>
        <v>0</v>
      </c>
      <c r="D87" s="102">
        <f t="shared" si="25"/>
        <v>16475.77</v>
      </c>
      <c r="E87" s="102">
        <f t="shared" si="25"/>
        <v>17040.51</v>
      </c>
      <c r="F87" s="102">
        <f t="shared" si="25"/>
        <v>318595.1</v>
      </c>
      <c r="G87" s="102">
        <f t="shared" si="25"/>
        <v>1476814.7000000002</v>
      </c>
      <c r="H87" s="102">
        <f t="shared" si="25"/>
        <v>100902.07999999999</v>
      </c>
      <c r="I87" s="5"/>
    </row>
    <row r="88" spans="1:9" ht="12.75">
      <c r="A88" s="5"/>
      <c r="B88" s="5" t="s">
        <v>183</v>
      </c>
      <c r="C88" s="140">
        <f aca="true" t="shared" si="26" ref="C88:H88">SUM(C86:C87)</f>
        <v>0</v>
      </c>
      <c r="D88" s="140">
        <f t="shared" si="26"/>
        <v>16475.77</v>
      </c>
      <c r="E88" s="140">
        <f t="shared" si="26"/>
        <v>32857.2492</v>
      </c>
      <c r="F88" s="140">
        <f t="shared" si="26"/>
        <v>349505.38966399996</v>
      </c>
      <c r="G88" s="140">
        <f t="shared" si="26"/>
        <v>1811103.4624908802</v>
      </c>
      <c r="H88" s="140">
        <f t="shared" si="26"/>
        <v>1826189.85349161</v>
      </c>
      <c r="I88" s="5"/>
    </row>
    <row r="89" spans="1:9" ht="12.75">
      <c r="A89" s="5"/>
      <c r="B89" s="5" t="s">
        <v>184</v>
      </c>
      <c r="C89" s="102">
        <f aca="true" t="shared" si="27" ref="C89:H89">SUM(C87:C87)/2</f>
        <v>0</v>
      </c>
      <c r="D89" s="102">
        <f t="shared" si="27"/>
        <v>8237.885</v>
      </c>
      <c r="E89" s="102">
        <f t="shared" si="27"/>
        <v>8520.255</v>
      </c>
      <c r="F89" s="102">
        <f t="shared" si="27"/>
        <v>159297.55</v>
      </c>
      <c r="G89" s="102">
        <f t="shared" si="27"/>
        <v>738407.3500000001</v>
      </c>
      <c r="H89" s="102">
        <f t="shared" si="27"/>
        <v>50451.03999999999</v>
      </c>
      <c r="I89" s="5"/>
    </row>
    <row r="90" spans="1:9" ht="12.75">
      <c r="A90" s="5"/>
      <c r="B90" s="5" t="s">
        <v>185</v>
      </c>
      <c r="C90" s="140">
        <f aca="true" t="shared" si="28" ref="C90:H90">C86+C89</f>
        <v>0</v>
      </c>
      <c r="D90" s="140">
        <f t="shared" si="28"/>
        <v>8237.885</v>
      </c>
      <c r="E90" s="140">
        <f t="shared" si="28"/>
        <v>24336.9942</v>
      </c>
      <c r="F90" s="140">
        <f t="shared" si="28"/>
        <v>190207.839664</v>
      </c>
      <c r="G90" s="140">
        <f t="shared" si="28"/>
        <v>1072696.11249088</v>
      </c>
      <c r="H90" s="140">
        <f t="shared" si="28"/>
        <v>1775738.8134916099</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659.0308</v>
      </c>
      <c r="E93" s="140">
        <f t="shared" si="29"/>
        <v>1946.959536</v>
      </c>
      <c r="F93" s="140">
        <f t="shared" si="29"/>
        <v>15216.62717312</v>
      </c>
      <c r="G93" s="140">
        <f t="shared" si="29"/>
        <v>85815.68899927041</v>
      </c>
      <c r="H93" s="140">
        <f t="shared" si="29"/>
        <v>142059.1050793288</v>
      </c>
      <c r="I93" s="5"/>
    </row>
    <row r="94" spans="1:9" ht="13.5" thickBot="1">
      <c r="A94" s="5"/>
      <c r="B94" s="5" t="s">
        <v>187</v>
      </c>
      <c r="C94" s="147">
        <f aca="true" t="shared" si="30" ref="C94:H94">IF((C88-C93)&lt;0,0,(C88-C93))</f>
        <v>0</v>
      </c>
      <c r="D94" s="147">
        <f t="shared" si="30"/>
        <v>15816.7392</v>
      </c>
      <c r="E94" s="147">
        <f t="shared" si="30"/>
        <v>30910.289664</v>
      </c>
      <c r="F94" s="147">
        <f t="shared" si="30"/>
        <v>334288.76249088</v>
      </c>
      <c r="G94" s="147">
        <f t="shared" si="30"/>
        <v>1725287.7734916098</v>
      </c>
      <c r="H94" s="147">
        <f t="shared" si="30"/>
        <v>1684130.748412281</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0</v>
      </c>
      <c r="F99" s="140">
        <f>E108</f>
        <v>0</v>
      </c>
      <c r="G99" s="140">
        <f>F108</f>
        <v>0</v>
      </c>
      <c r="H99" s="140">
        <f>G108</f>
        <v>25545.230000000003</v>
      </c>
      <c r="I99" s="5"/>
    </row>
    <row r="100" spans="1:9" ht="12.75">
      <c r="A100" s="5"/>
      <c r="B100" s="5" t="s">
        <v>189</v>
      </c>
      <c r="C100" s="102">
        <f aca="true" t="shared" si="32" ref="C100:H100">C24</f>
        <v>0</v>
      </c>
      <c r="D100" s="102">
        <f t="shared" si="32"/>
        <v>0</v>
      </c>
      <c r="E100" s="102">
        <f t="shared" si="32"/>
        <v>0</v>
      </c>
      <c r="F100" s="102">
        <f t="shared" si="32"/>
        <v>0</v>
      </c>
      <c r="G100" s="102">
        <f t="shared" si="32"/>
        <v>0</v>
      </c>
      <c r="H100" s="102">
        <f t="shared" si="32"/>
        <v>0</v>
      </c>
      <c r="I100" s="5"/>
    </row>
    <row r="101" spans="1:9" ht="12.75">
      <c r="A101" s="5"/>
      <c r="B101" s="5" t="s">
        <v>190</v>
      </c>
      <c r="C101" s="102">
        <f aca="true" t="shared" si="33" ref="C101:H101">C39</f>
        <v>0</v>
      </c>
      <c r="D101" s="102">
        <f t="shared" si="33"/>
        <v>0</v>
      </c>
      <c r="E101" s="102">
        <f t="shared" si="33"/>
        <v>0</v>
      </c>
      <c r="F101" s="102">
        <f t="shared" si="33"/>
        <v>0</v>
      </c>
      <c r="G101" s="102">
        <f t="shared" si="33"/>
        <v>35234.8</v>
      </c>
      <c r="H101" s="102">
        <f t="shared" si="33"/>
        <v>26824.86</v>
      </c>
      <c r="I101" s="5"/>
    </row>
    <row r="102" spans="1:9" ht="12.75">
      <c r="A102" s="5"/>
      <c r="B102" s="5" t="s">
        <v>183</v>
      </c>
      <c r="C102" s="140">
        <f aca="true" t="shared" si="34" ref="C102:H102">SUM(C99:C101)</f>
        <v>0</v>
      </c>
      <c r="D102" s="140">
        <f t="shared" si="34"/>
        <v>0</v>
      </c>
      <c r="E102" s="140">
        <f t="shared" si="34"/>
        <v>0</v>
      </c>
      <c r="F102" s="140">
        <f t="shared" si="34"/>
        <v>0</v>
      </c>
      <c r="G102" s="140">
        <f t="shared" si="34"/>
        <v>35234.8</v>
      </c>
      <c r="H102" s="140">
        <f t="shared" si="34"/>
        <v>52370.090000000004</v>
      </c>
      <c r="I102" s="5"/>
    </row>
    <row r="103" spans="1:9" ht="12.75">
      <c r="A103" s="5"/>
      <c r="B103" s="5" t="s">
        <v>184</v>
      </c>
      <c r="C103" s="102">
        <f aca="true" t="shared" si="35" ref="C103:H103">SUM(C100:C101)/2</f>
        <v>0</v>
      </c>
      <c r="D103" s="102">
        <f t="shared" si="35"/>
        <v>0</v>
      </c>
      <c r="E103" s="102">
        <f t="shared" si="35"/>
        <v>0</v>
      </c>
      <c r="F103" s="102">
        <f t="shared" si="35"/>
        <v>0</v>
      </c>
      <c r="G103" s="102">
        <f t="shared" si="35"/>
        <v>17617.4</v>
      </c>
      <c r="H103" s="102">
        <f t="shared" si="35"/>
        <v>13412.43</v>
      </c>
      <c r="I103" s="5"/>
    </row>
    <row r="104" spans="1:9" ht="12.75">
      <c r="A104" s="5"/>
      <c r="B104" s="5" t="s">
        <v>185</v>
      </c>
      <c r="C104" s="140">
        <f aca="true" t="shared" si="36" ref="C104:H104">C99+C103</f>
        <v>0</v>
      </c>
      <c r="D104" s="140">
        <f t="shared" si="36"/>
        <v>0</v>
      </c>
      <c r="E104" s="140">
        <f t="shared" si="36"/>
        <v>0</v>
      </c>
      <c r="F104" s="140">
        <f t="shared" si="36"/>
        <v>0</v>
      </c>
      <c r="G104" s="140">
        <f t="shared" si="36"/>
        <v>17617.4</v>
      </c>
      <c r="H104" s="140">
        <f t="shared" si="36"/>
        <v>38957.66</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40">
        <f aca="true" t="shared" si="37" ref="C107:H107">IF((C104*C106)&lt;C104,(C104*C106),C104)</f>
        <v>0</v>
      </c>
      <c r="D107" s="140">
        <f t="shared" si="37"/>
        <v>0</v>
      </c>
      <c r="E107" s="140">
        <f t="shared" si="37"/>
        <v>0</v>
      </c>
      <c r="F107" s="140">
        <f t="shared" si="37"/>
        <v>0</v>
      </c>
      <c r="G107" s="140">
        <f t="shared" si="37"/>
        <v>9689.570000000002</v>
      </c>
      <c r="H107" s="140">
        <f t="shared" si="37"/>
        <v>21426.713000000003</v>
      </c>
      <c r="I107" s="5"/>
    </row>
    <row r="108" spans="1:9" ht="13.5" thickBot="1">
      <c r="A108" s="5"/>
      <c r="B108" s="5" t="s">
        <v>187</v>
      </c>
      <c r="C108" s="147">
        <f aca="true" t="shared" si="38" ref="C108:H108">IF((C102-C107)&lt;0,0,(C102-C107))</f>
        <v>0</v>
      </c>
      <c r="D108" s="147">
        <f t="shared" si="38"/>
        <v>0</v>
      </c>
      <c r="E108" s="147">
        <f t="shared" si="38"/>
        <v>0</v>
      </c>
      <c r="F108" s="147">
        <f t="shared" si="38"/>
        <v>0</v>
      </c>
      <c r="G108" s="147">
        <f t="shared" si="38"/>
        <v>25545.230000000003</v>
      </c>
      <c r="H108" s="147">
        <f t="shared" si="38"/>
        <v>30943.377</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tabSelected="1" zoomScalePageLayoutView="0" workbookViewId="0" topLeftCell="A32">
      <selection activeCell="C52" sqref="C52"/>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7.25">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0.0577</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0.0577</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0.0577</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 t="shared" si="2"/>
        <v>0</v>
      </c>
      <c r="I7" s="120" t="s">
        <v>242</v>
      </c>
      <c r="J7" s="122">
        <v>4.59</v>
      </c>
      <c r="K7" s="122">
        <v>4.72</v>
      </c>
    </row>
    <row r="8" spans="1:11" ht="15.75">
      <c r="A8" s="135">
        <v>38838</v>
      </c>
      <c r="B8" s="119">
        <f t="shared" si="1"/>
        <v>0</v>
      </c>
      <c r="C8" s="117">
        <f>-266.32-168.5</f>
        <v>-434.82</v>
      </c>
      <c r="D8" s="137">
        <v>0.0414</v>
      </c>
      <c r="E8" s="118">
        <f t="shared" si="0"/>
        <v>0</v>
      </c>
      <c r="F8" s="118">
        <f t="shared" si="2"/>
        <v>-434.82</v>
      </c>
      <c r="I8" s="120" t="s">
        <v>241</v>
      </c>
      <c r="J8" s="122">
        <v>4.59</v>
      </c>
      <c r="K8" s="122">
        <v>5.18</v>
      </c>
    </row>
    <row r="9" spans="1:11" ht="15.75">
      <c r="A9" s="135">
        <v>38869</v>
      </c>
      <c r="B9" s="119">
        <f t="shared" si="1"/>
        <v>-434.82</v>
      </c>
      <c r="C9" s="117">
        <f>-2535.44-123.94</f>
        <v>-2659.38</v>
      </c>
      <c r="D9" s="137">
        <v>0.0414</v>
      </c>
      <c r="E9" s="118">
        <f t="shared" si="0"/>
        <v>-1.500129</v>
      </c>
      <c r="F9" s="118">
        <f t="shared" si="2"/>
        <v>-3095.7001290000003</v>
      </c>
      <c r="I9" s="120" t="s">
        <v>240</v>
      </c>
      <c r="J9" s="122">
        <v>5.14</v>
      </c>
      <c r="K9" s="122">
        <v>5.18</v>
      </c>
    </row>
    <row r="10" spans="1:11" ht="15.75">
      <c r="A10" s="135">
        <v>38899</v>
      </c>
      <c r="B10" s="119">
        <f t="shared" si="1"/>
        <v>-3095.7001290000003</v>
      </c>
      <c r="C10" s="117">
        <f>-2776.96-421.16</f>
        <v>-3198.12</v>
      </c>
      <c r="D10" s="137">
        <v>0.0459</v>
      </c>
      <c r="E10" s="118">
        <f t="shared" si="0"/>
        <v>-11.841052993425002</v>
      </c>
      <c r="F10" s="118">
        <f t="shared" si="2"/>
        <v>-6305.661181993425</v>
      </c>
      <c r="I10" s="120" t="s">
        <v>239</v>
      </c>
      <c r="J10" s="122">
        <v>5.14</v>
      </c>
      <c r="K10" s="122">
        <v>5.18</v>
      </c>
    </row>
    <row r="11" spans="1:11" ht="15.75">
      <c r="A11" s="135">
        <v>38930</v>
      </c>
      <c r="B11" s="119">
        <f t="shared" si="1"/>
        <v>-6305.661181993425</v>
      </c>
      <c r="C11" s="117">
        <f>-2811.06</f>
        <v>-2811.06</v>
      </c>
      <c r="D11" s="137">
        <v>0.0459</v>
      </c>
      <c r="E11" s="118">
        <f t="shared" si="0"/>
        <v>-24.119154021124853</v>
      </c>
      <c r="F11" s="118">
        <f t="shared" si="2"/>
        <v>-9140.840336014551</v>
      </c>
      <c r="I11" s="120" t="s">
        <v>238</v>
      </c>
      <c r="J11" s="122">
        <v>4.08</v>
      </c>
      <c r="K11" s="122">
        <v>5.18</v>
      </c>
    </row>
    <row r="12" spans="1:11" ht="15.75">
      <c r="A12" s="135">
        <v>38961</v>
      </c>
      <c r="B12" s="119">
        <f t="shared" si="1"/>
        <v>-9140.840336014551</v>
      </c>
      <c r="C12" s="117">
        <f>-2785.9-310.06</f>
        <v>-3095.96</v>
      </c>
      <c r="D12" s="137">
        <v>0.0459</v>
      </c>
      <c r="E12" s="118">
        <f t="shared" si="0"/>
        <v>-34.96371428525566</v>
      </c>
      <c r="F12" s="118">
        <f t="shared" si="2"/>
        <v>-12271.764050299807</v>
      </c>
      <c r="I12" s="120" t="s">
        <v>237</v>
      </c>
      <c r="J12" s="122">
        <v>3.35</v>
      </c>
      <c r="K12" s="122">
        <v>5.43</v>
      </c>
    </row>
    <row r="13" spans="1:11" ht="15.75">
      <c r="A13" s="135">
        <v>38991</v>
      </c>
      <c r="B13" s="119">
        <f t="shared" si="1"/>
        <v>-12271.764050299807</v>
      </c>
      <c r="C13" s="117">
        <f>-2469.52-230.23</f>
        <v>-2699.75</v>
      </c>
      <c r="D13" s="137">
        <v>0.0459</v>
      </c>
      <c r="E13" s="118">
        <f t="shared" si="0"/>
        <v>-46.93949749239676</v>
      </c>
      <c r="F13" s="118">
        <f t="shared" si="2"/>
        <v>-15018.453547792204</v>
      </c>
      <c r="I13" s="120" t="s">
        <v>236</v>
      </c>
      <c r="J13" s="122">
        <v>3.35</v>
      </c>
      <c r="K13" s="122">
        <v>5.43</v>
      </c>
    </row>
    <row r="14" spans="1:11" ht="15.75">
      <c r="A14" s="135">
        <v>39022</v>
      </c>
      <c r="B14" s="119">
        <f t="shared" si="1"/>
        <v>-15018.453547792204</v>
      </c>
      <c r="C14" s="117">
        <f>-2522.77-164.73</f>
        <v>-2687.5</v>
      </c>
      <c r="D14" s="137">
        <v>0.0459</v>
      </c>
      <c r="E14" s="118">
        <f t="shared" si="0"/>
        <v>-57.445584820305186</v>
      </c>
      <c r="F14" s="118">
        <f t="shared" si="2"/>
        <v>-17763.39913261251</v>
      </c>
      <c r="I14" s="120" t="s">
        <v>252</v>
      </c>
      <c r="J14" s="125">
        <v>2.45</v>
      </c>
      <c r="K14" s="125">
        <v>6.61</v>
      </c>
    </row>
    <row r="15" spans="1:11" ht="15.75">
      <c r="A15" s="135">
        <v>39052</v>
      </c>
      <c r="B15" s="119">
        <f t="shared" si="1"/>
        <v>-17763.39913261251</v>
      </c>
      <c r="C15" s="117">
        <f>-3016.68-294.18</f>
        <v>-3310.8599999999997</v>
      </c>
      <c r="D15" s="137">
        <v>0.0459</v>
      </c>
      <c r="E15" s="118">
        <f t="shared" si="0"/>
        <v>-67.94500168224286</v>
      </c>
      <c r="F15" s="118">
        <f t="shared" si="2"/>
        <v>-21142.204134294752</v>
      </c>
      <c r="I15" s="120" t="s">
        <v>253</v>
      </c>
      <c r="J15" s="125">
        <v>1</v>
      </c>
      <c r="K15" s="125">
        <v>6.61</v>
      </c>
    </row>
    <row r="16" spans="1:11" ht="15.75">
      <c r="A16" s="135">
        <v>39083</v>
      </c>
      <c r="B16" s="119">
        <f t="shared" si="1"/>
        <v>-21142.204134294752</v>
      </c>
      <c r="C16" s="117">
        <f>-2360.8-3.81</f>
        <v>-2364.61</v>
      </c>
      <c r="D16" s="137">
        <v>0.0459</v>
      </c>
      <c r="E16" s="118">
        <f t="shared" si="0"/>
        <v>-80.86893081367744</v>
      </c>
      <c r="F16" s="118">
        <f t="shared" si="2"/>
        <v>-23587.68306510843</v>
      </c>
      <c r="I16" s="120" t="s">
        <v>254</v>
      </c>
      <c r="J16" s="125">
        <v>0.55</v>
      </c>
      <c r="K16" s="125">
        <v>5.67</v>
      </c>
    </row>
    <row r="17" spans="1:11" ht="15.75">
      <c r="A17" s="135">
        <v>39114</v>
      </c>
      <c r="B17" s="119">
        <f t="shared" si="1"/>
        <v>-23587.68306510843</v>
      </c>
      <c r="C17" s="117">
        <f>-2943.84-200.87</f>
        <v>-3144.71</v>
      </c>
      <c r="D17" s="137">
        <v>0.0459</v>
      </c>
      <c r="E17" s="118">
        <f t="shared" si="0"/>
        <v>-90.22288772403975</v>
      </c>
      <c r="F17" s="118">
        <f t="shared" si="2"/>
        <v>-26822.61595283247</v>
      </c>
      <c r="I17" s="120" t="s">
        <v>256</v>
      </c>
      <c r="J17" s="125">
        <v>0.55</v>
      </c>
      <c r="K17" s="125">
        <v>4.66</v>
      </c>
    </row>
    <row r="18" spans="1:11" ht="15.75">
      <c r="A18" s="135">
        <v>39142</v>
      </c>
      <c r="B18" s="119">
        <f t="shared" si="1"/>
        <v>-26822.61595283247</v>
      </c>
      <c r="C18" s="117">
        <f>-2937.23-180.63</f>
        <v>-3117.86</v>
      </c>
      <c r="D18" s="137">
        <v>0.0459</v>
      </c>
      <c r="E18" s="118">
        <f t="shared" si="0"/>
        <v>-102.5965060195842</v>
      </c>
      <c r="F18" s="118">
        <f t="shared" si="2"/>
        <v>-30043.072458852057</v>
      </c>
      <c r="I18" s="120" t="s">
        <v>257</v>
      </c>
      <c r="J18" s="125">
        <v>0.55</v>
      </c>
      <c r="K18" s="125">
        <v>4.34</v>
      </c>
    </row>
    <row r="19" spans="1:11" ht="15.75">
      <c r="A19" s="135">
        <v>39173</v>
      </c>
      <c r="B19" s="119">
        <f t="shared" si="1"/>
        <v>-30043.072458852057</v>
      </c>
      <c r="C19" s="117">
        <f>-2567.34-203.21</f>
        <v>-2770.55</v>
      </c>
      <c r="D19" s="137">
        <v>0.0459</v>
      </c>
      <c r="E19" s="118">
        <f t="shared" si="0"/>
        <v>-114.91475215510913</v>
      </c>
      <c r="F19" s="118">
        <f t="shared" si="2"/>
        <v>-32928.53721100716</v>
      </c>
      <c r="I19" s="120" t="s">
        <v>258</v>
      </c>
      <c r="J19" s="125">
        <v>0.55</v>
      </c>
      <c r="K19" s="125">
        <v>4.34</v>
      </c>
    </row>
    <row r="20" spans="1:11" ht="15.75">
      <c r="A20" s="135">
        <v>39203</v>
      </c>
      <c r="B20" s="119">
        <f t="shared" si="1"/>
        <v>-32928.53721100716</v>
      </c>
      <c r="C20" s="117">
        <f>-2476.55-151.24</f>
        <v>-2627.79</v>
      </c>
      <c r="D20" s="137">
        <v>0.0459</v>
      </c>
      <c r="E20" s="118">
        <f t="shared" si="0"/>
        <v>-125.9516548321024</v>
      </c>
      <c r="F20" s="118">
        <f t="shared" si="2"/>
        <v>-35682.27886583927</v>
      </c>
      <c r="I20" s="120" t="s">
        <v>255</v>
      </c>
      <c r="J20" s="125">
        <v>0.89</v>
      </c>
      <c r="K20" s="125">
        <v>4.66</v>
      </c>
    </row>
    <row r="21" spans="1:6" ht="15">
      <c r="A21" s="135">
        <v>39234</v>
      </c>
      <c r="B21" s="119">
        <f t="shared" si="1"/>
        <v>-35682.27886583927</v>
      </c>
      <c r="C21" s="117">
        <f>-2952.39-164.82</f>
        <v>-3117.21</v>
      </c>
      <c r="D21" s="137">
        <v>0.0459</v>
      </c>
      <c r="E21" s="118">
        <f t="shared" si="0"/>
        <v>-136.48471666183522</v>
      </c>
      <c r="F21" s="118">
        <f t="shared" si="2"/>
        <v>-38935.9735825011</v>
      </c>
    </row>
    <row r="22" spans="1:6" ht="15">
      <c r="A22" s="135">
        <v>39264</v>
      </c>
      <c r="B22" s="119">
        <f t="shared" si="1"/>
        <v>-38935.9735825011</v>
      </c>
      <c r="C22" s="117">
        <f>-2809.72-214.1</f>
        <v>-3023.8199999999997</v>
      </c>
      <c r="D22" s="137">
        <v>0.0459</v>
      </c>
      <c r="E22" s="118">
        <f t="shared" si="0"/>
        <v>-148.93009895306673</v>
      </c>
      <c r="F22" s="118">
        <f t="shared" si="2"/>
        <v>-42108.72368145417</v>
      </c>
    </row>
    <row r="23" spans="1:10" ht="15">
      <c r="A23" s="135">
        <v>39295</v>
      </c>
      <c r="B23" s="119">
        <f t="shared" si="1"/>
        <v>-42108.72368145417</v>
      </c>
      <c r="C23" s="117">
        <f>-2841.48-164.92</f>
        <v>-3006.4</v>
      </c>
      <c r="D23" s="137">
        <v>0.0459</v>
      </c>
      <c r="E23" s="118">
        <f t="shared" si="0"/>
        <v>-161.0658680815622</v>
      </c>
      <c r="F23" s="118">
        <f t="shared" si="2"/>
        <v>-45276.18954953573</v>
      </c>
      <c r="J23" s="132" t="s">
        <v>235</v>
      </c>
    </row>
    <row r="24" spans="1:6" ht="15">
      <c r="A24" s="135">
        <v>39326</v>
      </c>
      <c r="B24" s="119">
        <f t="shared" si="1"/>
        <v>-45276.18954953573</v>
      </c>
      <c r="C24" s="117">
        <f>-2814.54-209.73</f>
        <v>-3024.27</v>
      </c>
      <c r="D24" s="137">
        <v>0.0459</v>
      </c>
      <c r="E24" s="118">
        <f t="shared" si="0"/>
        <v>-173.1814250269742</v>
      </c>
      <c r="F24" s="118">
        <f t="shared" si="2"/>
        <v>-48473.6409745627</v>
      </c>
    </row>
    <row r="25" spans="1:6" ht="15">
      <c r="A25" s="135">
        <v>39356</v>
      </c>
      <c r="B25" s="119">
        <f t="shared" si="1"/>
        <v>-48473.6409745627</v>
      </c>
      <c r="C25" s="117">
        <f>-2504-158.14</f>
        <v>-2662.14</v>
      </c>
      <c r="D25" s="137">
        <v>0.0514</v>
      </c>
      <c r="E25" s="118">
        <f t="shared" si="0"/>
        <v>-207.6287621743769</v>
      </c>
      <c r="F25" s="118">
        <f t="shared" si="2"/>
        <v>-51343.40973673708</v>
      </c>
    </row>
    <row r="26" spans="1:6" ht="15">
      <c r="A26" s="135">
        <v>39387</v>
      </c>
      <c r="B26" s="119">
        <f t="shared" si="1"/>
        <v>-51343.40973673708</v>
      </c>
      <c r="C26" s="117">
        <f>-2551.5-327.24</f>
        <v>-2878.74</v>
      </c>
      <c r="D26" s="137">
        <v>0.0514</v>
      </c>
      <c r="E26" s="118">
        <f t="shared" si="0"/>
        <v>-219.92093837235714</v>
      </c>
      <c r="F26" s="118">
        <f t="shared" si="2"/>
        <v>-54442.07067510943</v>
      </c>
    </row>
    <row r="27" spans="1:6" ht="15">
      <c r="A27" s="135">
        <v>39417</v>
      </c>
      <c r="B27" s="119">
        <f t="shared" si="1"/>
        <v>-54442.07067510943</v>
      </c>
      <c r="C27" s="117">
        <f>-3053.75-167.89</f>
        <v>-3221.64</v>
      </c>
      <c r="D27" s="137">
        <v>0.0514</v>
      </c>
      <c r="E27" s="118">
        <f t="shared" si="0"/>
        <v>-233.19353605838543</v>
      </c>
      <c r="F27" s="118">
        <f t="shared" si="2"/>
        <v>-57896.90421116782</v>
      </c>
    </row>
    <row r="28" spans="1:6" ht="15">
      <c r="A28" s="135">
        <v>39448</v>
      </c>
      <c r="B28" s="119">
        <f t="shared" si="1"/>
        <v>-57896.90421116782</v>
      </c>
      <c r="C28" s="117">
        <f>-2449.49-3.15</f>
        <v>-2452.64</v>
      </c>
      <c r="D28" s="137">
        <v>0.0514</v>
      </c>
      <c r="E28" s="118">
        <f aca="true" t="shared" si="3" ref="E28:E80">(B28*D28)/12</f>
        <v>-247.99173970450218</v>
      </c>
      <c r="F28" s="118">
        <f aca="true" t="shared" si="4" ref="F28:F80">SUM(B28:C28,E28)</f>
        <v>-60597.53595087232</v>
      </c>
    </row>
    <row r="29" spans="1:6" ht="15">
      <c r="A29" s="135">
        <v>39479</v>
      </c>
      <c r="B29" s="119">
        <f aca="true" t="shared" si="5" ref="B29:B80">F28</f>
        <v>-60597.53595087232</v>
      </c>
      <c r="C29" s="117">
        <f>-3105.29-204.95</f>
        <v>-3310.24</v>
      </c>
      <c r="D29" s="137">
        <v>0.0514</v>
      </c>
      <c r="E29" s="118">
        <f t="shared" si="3"/>
        <v>-259.55944565623645</v>
      </c>
      <c r="F29" s="118">
        <f t="shared" si="4"/>
        <v>-64167.33539652856</v>
      </c>
    </row>
    <row r="30" spans="1:6" ht="15">
      <c r="A30" s="135">
        <v>39508</v>
      </c>
      <c r="B30" s="119">
        <f t="shared" si="5"/>
        <v>-64167.33539652856</v>
      </c>
      <c r="C30" s="117">
        <f>-2879.64-204.75</f>
        <v>-3084.39</v>
      </c>
      <c r="D30" s="137">
        <v>0.0514</v>
      </c>
      <c r="E30" s="118">
        <f t="shared" si="3"/>
        <v>-274.8500866151307</v>
      </c>
      <c r="F30" s="118">
        <f t="shared" si="4"/>
        <v>-67526.5754831437</v>
      </c>
    </row>
    <row r="31" spans="1:10" ht="15">
      <c r="A31" s="135">
        <v>39539</v>
      </c>
      <c r="B31" s="119">
        <f t="shared" si="5"/>
        <v>-67526.5754831437</v>
      </c>
      <c r="C31" s="117">
        <f>-2502.68-158.85</f>
        <v>-2661.5299999999997</v>
      </c>
      <c r="D31" s="137">
        <v>0.0408</v>
      </c>
      <c r="E31" s="118">
        <f t="shared" si="3"/>
        <v>-229.59035664268856</v>
      </c>
      <c r="F31" s="118">
        <f t="shared" si="4"/>
        <v>-70417.69583978638</v>
      </c>
      <c r="J31" s="132" t="s">
        <v>235</v>
      </c>
    </row>
    <row r="32" spans="1:6" ht="15">
      <c r="A32" s="135">
        <v>39569</v>
      </c>
      <c r="B32" s="119">
        <f t="shared" si="5"/>
        <v>-70417.69583978638</v>
      </c>
      <c r="C32" s="117">
        <f>-2877.22-168.4</f>
        <v>-3045.62</v>
      </c>
      <c r="D32" s="137">
        <v>0.0408</v>
      </c>
      <c r="E32" s="118">
        <f t="shared" si="3"/>
        <v>-239.4201658552737</v>
      </c>
      <c r="F32" s="118">
        <f t="shared" si="4"/>
        <v>-73702.73600564165</v>
      </c>
    </row>
    <row r="33" spans="1:6" ht="15">
      <c r="A33" s="135">
        <v>39600</v>
      </c>
      <c r="B33" s="119">
        <f t="shared" si="5"/>
        <v>-73702.73600564165</v>
      </c>
      <c r="C33" s="117">
        <f>-2865.02-207.01</f>
        <v>-3072.0299999999997</v>
      </c>
      <c r="D33" s="137">
        <v>0.0408</v>
      </c>
      <c r="E33" s="118">
        <f t="shared" si="3"/>
        <v>-250.58930241918165</v>
      </c>
      <c r="F33" s="118">
        <f t="shared" si="4"/>
        <v>-77025.35530806083</v>
      </c>
    </row>
    <row r="34" spans="1:6" ht="15">
      <c r="A34" s="135">
        <v>39630</v>
      </c>
      <c r="B34" s="119">
        <f t="shared" si="5"/>
        <v>-77025.35530806083</v>
      </c>
      <c r="C34" s="117">
        <f>-2574.62-164.19</f>
        <v>-2738.81</v>
      </c>
      <c r="D34" s="137">
        <v>0.0335</v>
      </c>
      <c r="E34" s="118">
        <f t="shared" si="3"/>
        <v>-215.02911690166982</v>
      </c>
      <c r="F34" s="118">
        <f t="shared" si="4"/>
        <v>-79979.1944249625</v>
      </c>
    </row>
    <row r="35" spans="1:10" ht="15">
      <c r="A35" s="135">
        <v>39661</v>
      </c>
      <c r="B35" s="119">
        <f t="shared" si="5"/>
        <v>-79979.1944249625</v>
      </c>
      <c r="C35" s="117">
        <f>-2863.46-163.35</f>
        <v>-3026.81</v>
      </c>
      <c r="D35" s="137">
        <v>0.0335</v>
      </c>
      <c r="E35" s="118">
        <f t="shared" si="3"/>
        <v>-223.2752511030203</v>
      </c>
      <c r="F35" s="118">
        <f t="shared" si="4"/>
        <v>-83229.27967606552</v>
      </c>
      <c r="J35" s="132" t="s">
        <v>235</v>
      </c>
    </row>
    <row r="36" spans="1:6" ht="15">
      <c r="A36" s="135">
        <v>39692</v>
      </c>
      <c r="B36" s="119">
        <f t="shared" si="5"/>
        <v>-83229.27967606552</v>
      </c>
      <c r="C36" s="117">
        <f>-2829.04-199.01</f>
        <v>-3028.05</v>
      </c>
      <c r="D36" s="137">
        <v>0.0335</v>
      </c>
      <c r="E36" s="118">
        <f t="shared" si="3"/>
        <v>-232.34840576234959</v>
      </c>
      <c r="F36" s="118">
        <f t="shared" si="4"/>
        <v>-86489.67808182786</v>
      </c>
    </row>
    <row r="37" spans="1:6" ht="15">
      <c r="A37" s="135">
        <v>39722</v>
      </c>
      <c r="B37" s="119">
        <f t="shared" si="5"/>
        <v>-86489.67808182786</v>
      </c>
      <c r="C37" s="117">
        <f>-2918.4-171.3</f>
        <v>-3089.7000000000003</v>
      </c>
      <c r="D37" s="137">
        <v>0.0335</v>
      </c>
      <c r="E37" s="118">
        <f t="shared" si="3"/>
        <v>-241.45035131176948</v>
      </c>
      <c r="F37" s="118">
        <f t="shared" si="4"/>
        <v>-89820.82843313963</v>
      </c>
    </row>
    <row r="38" spans="1:6" ht="15">
      <c r="A38" s="135">
        <v>39753</v>
      </c>
      <c r="B38" s="119">
        <f t="shared" si="5"/>
        <v>-89820.82843313963</v>
      </c>
      <c r="C38" s="117">
        <f>-2825.03-208.58</f>
        <v>-3033.61</v>
      </c>
      <c r="D38" s="137">
        <v>0.0335</v>
      </c>
      <c r="E38" s="118">
        <f t="shared" si="3"/>
        <v>-250.74981270918147</v>
      </c>
      <c r="F38" s="118">
        <f t="shared" si="4"/>
        <v>-93105.18824584881</v>
      </c>
    </row>
    <row r="39" spans="1:10" ht="15">
      <c r="A39" s="135">
        <v>39783</v>
      </c>
      <c r="B39" s="119">
        <f t="shared" si="5"/>
        <v>-93105.18824584881</v>
      </c>
      <c r="C39" s="117">
        <f>-3042.72-319.73</f>
        <v>-3362.45</v>
      </c>
      <c r="D39" s="137">
        <v>0.0335</v>
      </c>
      <c r="E39" s="118">
        <f t="shared" si="3"/>
        <v>-259.9186505196613</v>
      </c>
      <c r="F39" s="118">
        <f t="shared" si="4"/>
        <v>-96727.55689636846</v>
      </c>
      <c r="J39" s="132" t="s">
        <v>235</v>
      </c>
    </row>
    <row r="40" spans="1:6" ht="15">
      <c r="A40" s="135">
        <v>39814</v>
      </c>
      <c r="B40" s="119">
        <f t="shared" si="5"/>
        <v>-96727.55689636846</v>
      </c>
      <c r="C40" s="117">
        <f>-2415.05+2.17-206.45</f>
        <v>-2619.33</v>
      </c>
      <c r="D40" s="137">
        <v>0.0245</v>
      </c>
      <c r="E40" s="118">
        <f t="shared" si="3"/>
        <v>-197.48542866341896</v>
      </c>
      <c r="F40" s="118">
        <f t="shared" si="4"/>
        <v>-99544.37232503189</v>
      </c>
    </row>
    <row r="41" spans="1:6" ht="15">
      <c r="A41" s="135">
        <v>39845</v>
      </c>
      <c r="B41" s="119">
        <f t="shared" si="5"/>
        <v>-99544.37232503189</v>
      </c>
      <c r="C41" s="117">
        <f>-3040.7+3039.86-2865.28</f>
        <v>-2866.12</v>
      </c>
      <c r="D41" s="137">
        <v>0.0245</v>
      </c>
      <c r="E41" s="118">
        <f t="shared" si="3"/>
        <v>-203.23642683027344</v>
      </c>
      <c r="F41" s="118">
        <f t="shared" si="4"/>
        <v>-102613.72875186216</v>
      </c>
    </row>
    <row r="42" spans="1:6" ht="15">
      <c r="A42" s="135">
        <v>39873</v>
      </c>
      <c r="B42" s="119">
        <f t="shared" si="5"/>
        <v>-102613.72875186216</v>
      </c>
      <c r="C42" s="117">
        <f>-2548.76-164.83</f>
        <v>-2713.59</v>
      </c>
      <c r="D42" s="137">
        <v>0.0245</v>
      </c>
      <c r="E42" s="118">
        <f t="shared" si="3"/>
        <v>-209.50302953505192</v>
      </c>
      <c r="F42" s="118">
        <f t="shared" si="4"/>
        <v>-105536.82178139722</v>
      </c>
    </row>
    <row r="43" spans="1:10" ht="15">
      <c r="A43" s="135">
        <v>39904</v>
      </c>
      <c r="B43" s="119">
        <f t="shared" si="5"/>
        <v>-105536.82178139722</v>
      </c>
      <c r="C43" s="117">
        <f>-2887.06-210.44</f>
        <v>-3097.5</v>
      </c>
      <c r="D43" s="137">
        <v>0.01</v>
      </c>
      <c r="E43" s="118">
        <f t="shared" si="3"/>
        <v>-87.94735148449769</v>
      </c>
      <c r="F43" s="118">
        <f t="shared" si="4"/>
        <v>-108722.26913288172</v>
      </c>
      <c r="J43" s="132" t="s">
        <v>235</v>
      </c>
    </row>
    <row r="44" spans="1:6" ht="15">
      <c r="A44" s="135">
        <v>39934</v>
      </c>
      <c r="B44" s="119">
        <f t="shared" si="5"/>
        <v>-108722.26913288172</v>
      </c>
      <c r="C44" s="117">
        <f>-3903.55-498.86</f>
        <v>-4402.41</v>
      </c>
      <c r="D44" s="137">
        <v>0.01</v>
      </c>
      <c r="E44" s="118">
        <f t="shared" si="3"/>
        <v>-90.6018909440681</v>
      </c>
      <c r="F44" s="118">
        <f t="shared" si="4"/>
        <v>-113215.28102382578</v>
      </c>
    </row>
    <row r="45" spans="1:6" ht="15">
      <c r="A45" s="135">
        <v>39965</v>
      </c>
      <c r="B45" s="119">
        <f t="shared" si="5"/>
        <v>-113215.28102382578</v>
      </c>
      <c r="C45" s="117">
        <f>-9016.65-636.97</f>
        <v>-9653.619999999999</v>
      </c>
      <c r="D45" s="137">
        <v>0.01</v>
      </c>
      <c r="E45" s="118">
        <f t="shared" si="3"/>
        <v>-94.34606751985483</v>
      </c>
      <c r="F45" s="118">
        <f t="shared" si="4"/>
        <v>-122963.24709134563</v>
      </c>
    </row>
    <row r="46" spans="1:6" ht="15">
      <c r="A46" s="135">
        <v>39995</v>
      </c>
      <c r="B46" s="119">
        <f t="shared" si="5"/>
        <v>-122963.24709134563</v>
      </c>
      <c r="C46" s="117">
        <f>-10788.63-791.11</f>
        <v>-11579.74</v>
      </c>
      <c r="D46" s="137">
        <v>0.0055</v>
      </c>
      <c r="E46" s="118">
        <f t="shared" si="3"/>
        <v>-56.358154916866745</v>
      </c>
      <c r="F46" s="118">
        <f t="shared" si="4"/>
        <v>-134599.3452462625</v>
      </c>
    </row>
    <row r="47" spans="1:10" ht="15">
      <c r="A47" s="135">
        <v>40026</v>
      </c>
      <c r="B47" s="119">
        <f t="shared" si="5"/>
        <v>-134599.3452462625</v>
      </c>
      <c r="C47" s="117">
        <f>-10714.07-654.18</f>
        <v>-11368.25</v>
      </c>
      <c r="D47" s="137">
        <v>0.0055</v>
      </c>
      <c r="E47" s="118">
        <f t="shared" si="3"/>
        <v>-61.691366571203645</v>
      </c>
      <c r="F47" s="118">
        <f t="shared" si="4"/>
        <v>-146029.2866128337</v>
      </c>
      <c r="J47" s="132" t="s">
        <v>235</v>
      </c>
    </row>
    <row r="48" spans="1:6" ht="15">
      <c r="A48" s="135">
        <v>40057</v>
      </c>
      <c r="B48" s="119">
        <f t="shared" si="5"/>
        <v>-146029.2866128337</v>
      </c>
      <c r="C48" s="117">
        <f>-9270.66-589.54</f>
        <v>-9860.2</v>
      </c>
      <c r="D48" s="137">
        <v>0.0055</v>
      </c>
      <c r="E48" s="118">
        <f t="shared" si="3"/>
        <v>-66.93008969754878</v>
      </c>
      <c r="F48" s="118">
        <f t="shared" si="4"/>
        <v>-155956.41670253128</v>
      </c>
    </row>
    <row r="49" spans="1:6" ht="15">
      <c r="A49" s="135">
        <v>40087</v>
      </c>
      <c r="B49" s="119">
        <f t="shared" si="5"/>
        <v>-155956.41670253128</v>
      </c>
      <c r="C49" s="117">
        <v>-10614.75</v>
      </c>
      <c r="D49" s="137">
        <v>0.0055</v>
      </c>
      <c r="E49" s="118">
        <f t="shared" si="3"/>
        <v>-71.4800243219935</v>
      </c>
      <c r="F49" s="118">
        <f t="shared" si="4"/>
        <v>-166642.64672685327</v>
      </c>
    </row>
    <row r="50" spans="1:6" ht="15">
      <c r="A50" s="135">
        <v>40118</v>
      </c>
      <c r="B50" s="119">
        <f t="shared" si="5"/>
        <v>-166642.64672685327</v>
      </c>
      <c r="C50" s="117">
        <v>-11858.71</v>
      </c>
      <c r="D50" s="137">
        <v>0.0055</v>
      </c>
      <c r="E50" s="118">
        <f t="shared" si="3"/>
        <v>-76.37787974980775</v>
      </c>
      <c r="F50" s="118">
        <f t="shared" si="4"/>
        <v>-178577.73460660307</v>
      </c>
    </row>
    <row r="51" spans="1:10" ht="15">
      <c r="A51" s="135">
        <v>40148</v>
      </c>
      <c r="B51" s="119">
        <f t="shared" si="5"/>
        <v>-178577.73460660307</v>
      </c>
      <c r="C51" s="117">
        <f>-12262.19-174-15280.55</f>
        <v>-27716.739999999998</v>
      </c>
      <c r="D51" s="137">
        <v>0.0055</v>
      </c>
      <c r="E51" s="118">
        <f t="shared" si="3"/>
        <v>-81.84812836135974</v>
      </c>
      <c r="F51" s="118">
        <f t="shared" si="4"/>
        <v>-206376.32273496443</v>
      </c>
      <c r="J51" s="132" t="s">
        <v>235</v>
      </c>
    </row>
    <row r="52" spans="1:6" ht="15">
      <c r="A52" s="135">
        <v>40179</v>
      </c>
      <c r="B52" s="119">
        <f t="shared" si="5"/>
        <v>-206376.32273496443</v>
      </c>
      <c r="C52" s="117">
        <v>6057.65</v>
      </c>
      <c r="D52" s="137">
        <v>0.0055</v>
      </c>
      <c r="E52" s="118">
        <f t="shared" si="3"/>
        <v>-94.58914792019203</v>
      </c>
      <c r="F52" s="118">
        <f t="shared" si="4"/>
        <v>-200413.26188288463</v>
      </c>
    </row>
    <row r="53" spans="1:6" ht="15">
      <c r="A53" s="135">
        <v>40210</v>
      </c>
      <c r="B53" s="119">
        <f t="shared" si="5"/>
        <v>-200413.26188288463</v>
      </c>
      <c r="C53" s="117">
        <v>-11104.74</v>
      </c>
      <c r="D53" s="137">
        <v>0.0055</v>
      </c>
      <c r="E53" s="118">
        <f t="shared" si="3"/>
        <v>-91.85607836298878</v>
      </c>
      <c r="F53" s="118">
        <f t="shared" si="4"/>
        <v>-211609.85796124762</v>
      </c>
    </row>
    <row r="54" spans="1:6" ht="15">
      <c r="A54" s="135">
        <v>40238</v>
      </c>
      <c r="B54" s="119">
        <f t="shared" si="5"/>
        <v>-211609.85796124762</v>
      </c>
      <c r="C54" s="117">
        <v>-10022.32</v>
      </c>
      <c r="D54" s="137">
        <v>0.0055</v>
      </c>
      <c r="E54" s="118">
        <f t="shared" si="3"/>
        <v>-96.98785156557182</v>
      </c>
      <c r="F54" s="118">
        <f t="shared" si="4"/>
        <v>-221729.16581281318</v>
      </c>
    </row>
    <row r="55" spans="1:10" ht="15">
      <c r="A55" s="135">
        <v>40269</v>
      </c>
      <c r="B55" s="119">
        <f t="shared" si="5"/>
        <v>-221729.16581281318</v>
      </c>
      <c r="C55" s="117">
        <v>-12469.64</v>
      </c>
      <c r="D55" s="137">
        <v>0.0055</v>
      </c>
      <c r="E55" s="118">
        <f t="shared" si="3"/>
        <v>-101.62586766420604</v>
      </c>
      <c r="F55" s="118">
        <f t="shared" si="4"/>
        <v>-234300.43168047737</v>
      </c>
      <c r="J55" s="132" t="s">
        <v>235</v>
      </c>
    </row>
    <row r="56" spans="1:6" ht="15">
      <c r="A56" s="135">
        <v>40299</v>
      </c>
      <c r="B56" s="119">
        <f t="shared" si="5"/>
        <v>-234300.43168047737</v>
      </c>
      <c r="C56" s="117">
        <v>-11613</v>
      </c>
      <c r="D56" s="137">
        <v>0.0055</v>
      </c>
      <c r="E56" s="118">
        <f t="shared" si="3"/>
        <v>-107.38769785355213</v>
      </c>
      <c r="F56" s="118">
        <f t="shared" si="4"/>
        <v>-246020.81937833093</v>
      </c>
    </row>
    <row r="57" spans="1:6" ht="15">
      <c r="A57" s="135">
        <v>40330</v>
      </c>
      <c r="B57" s="119">
        <f t="shared" si="5"/>
        <v>-246020.81937833093</v>
      </c>
      <c r="C57" s="117">
        <v>-10262.01</v>
      </c>
      <c r="D57" s="137">
        <v>0.0055</v>
      </c>
      <c r="E57" s="118">
        <f t="shared" si="3"/>
        <v>-112.75954221506834</v>
      </c>
      <c r="F57" s="118">
        <f t="shared" si="4"/>
        <v>-256395.588920546</v>
      </c>
    </row>
    <row r="58" spans="1:6" ht="15">
      <c r="A58" s="135">
        <v>40360</v>
      </c>
      <c r="B58" s="119">
        <f t="shared" si="5"/>
        <v>-256395.588920546</v>
      </c>
      <c r="C58" s="117">
        <v>-11622.77</v>
      </c>
      <c r="D58" s="137">
        <v>0.0089</v>
      </c>
      <c r="E58" s="118">
        <f t="shared" si="3"/>
        <v>-190.16006178273827</v>
      </c>
      <c r="F58" s="118">
        <f t="shared" si="4"/>
        <v>-268208.51898232877</v>
      </c>
    </row>
    <row r="59" spans="1:6" ht="15">
      <c r="A59" s="135">
        <v>40391</v>
      </c>
      <c r="B59" s="119">
        <f t="shared" si="5"/>
        <v>-268208.51898232877</v>
      </c>
      <c r="C59" s="117">
        <f>-10714.07-654.18</f>
        <v>-11368.25</v>
      </c>
      <c r="D59" s="137">
        <v>0.0089</v>
      </c>
      <c r="E59" s="118">
        <f t="shared" si="3"/>
        <v>-198.92131824522718</v>
      </c>
      <c r="F59" s="118">
        <f t="shared" si="4"/>
        <v>-279775.690300574</v>
      </c>
    </row>
    <row r="60" spans="1:6" ht="15">
      <c r="A60" s="135">
        <v>40422</v>
      </c>
      <c r="B60" s="119">
        <f t="shared" si="5"/>
        <v>-279775.690300574</v>
      </c>
      <c r="C60" s="117">
        <f>-9270.66-589.54</f>
        <v>-9860.2</v>
      </c>
      <c r="D60" s="137">
        <v>0.0089</v>
      </c>
      <c r="E60" s="118">
        <f t="shared" si="3"/>
        <v>-207.50030363959237</v>
      </c>
      <c r="F60" s="118">
        <f t="shared" si="4"/>
        <v>-289843.3906042136</v>
      </c>
    </row>
    <row r="61" spans="1:6" ht="15">
      <c r="A61" s="135">
        <v>40452</v>
      </c>
      <c r="B61" s="119">
        <f t="shared" si="5"/>
        <v>-289843.3906042136</v>
      </c>
      <c r="C61" s="117">
        <v>-10614.75</v>
      </c>
      <c r="D61" s="137">
        <v>0.0089</v>
      </c>
      <c r="E61" s="118">
        <f t="shared" si="3"/>
        <v>-214.96718136479174</v>
      </c>
      <c r="F61" s="118">
        <f t="shared" si="4"/>
        <v>-300673.10778557835</v>
      </c>
    </row>
    <row r="62" spans="1:6" ht="15">
      <c r="A62" s="135">
        <v>40483</v>
      </c>
      <c r="B62" s="119">
        <f t="shared" si="5"/>
        <v>-300673.10778557835</v>
      </c>
      <c r="C62" s="117">
        <v>-11858.71</v>
      </c>
      <c r="D62" s="137">
        <v>0.0089</v>
      </c>
      <c r="E62" s="118">
        <f t="shared" si="3"/>
        <v>-222.99922160763728</v>
      </c>
      <c r="F62" s="118">
        <f t="shared" si="4"/>
        <v>-312754.817007186</v>
      </c>
    </row>
    <row r="63" spans="1:6" ht="15">
      <c r="A63" s="135">
        <v>40513</v>
      </c>
      <c r="B63" s="119">
        <f t="shared" si="5"/>
        <v>-312754.817007186</v>
      </c>
      <c r="C63" s="117">
        <f>-12262.19-174-15280.55</f>
        <v>-27716.739999999998</v>
      </c>
      <c r="D63" s="137">
        <v>0.0089</v>
      </c>
      <c r="E63" s="118">
        <f t="shared" si="3"/>
        <v>-231.95982261366294</v>
      </c>
      <c r="F63" s="118">
        <f t="shared" si="4"/>
        <v>-340703.5168297997</v>
      </c>
    </row>
    <row r="64" spans="1:6" ht="15">
      <c r="A64" s="135">
        <v>40544</v>
      </c>
      <c r="B64" s="119">
        <f t="shared" si="5"/>
        <v>-340703.5168297997</v>
      </c>
      <c r="C64" s="117">
        <v>6057.65</v>
      </c>
      <c r="D64" s="137">
        <v>0.0089</v>
      </c>
      <c r="E64" s="118">
        <f t="shared" si="3"/>
        <v>-252.68844164876808</v>
      </c>
      <c r="F64" s="118">
        <f t="shared" si="4"/>
        <v>-334898.55527144845</v>
      </c>
    </row>
    <row r="65" spans="1:6" ht="15">
      <c r="A65" s="135">
        <v>40575</v>
      </c>
      <c r="B65" s="119">
        <f t="shared" si="5"/>
        <v>-334898.55527144845</v>
      </c>
      <c r="C65" s="117">
        <v>-11104.74</v>
      </c>
      <c r="D65" s="137">
        <v>0.0089</v>
      </c>
      <c r="E65" s="118">
        <f t="shared" si="3"/>
        <v>-248.3830951596576</v>
      </c>
      <c r="F65" s="118">
        <f t="shared" si="4"/>
        <v>-346251.6783666081</v>
      </c>
    </row>
    <row r="66" spans="1:6" ht="15">
      <c r="A66" s="135">
        <v>40603</v>
      </c>
      <c r="B66" s="119">
        <f t="shared" si="5"/>
        <v>-346251.6783666081</v>
      </c>
      <c r="C66" s="117">
        <v>-10022.32</v>
      </c>
      <c r="D66" s="137">
        <v>0.0089</v>
      </c>
      <c r="E66" s="118">
        <f t="shared" si="3"/>
        <v>-256.803328121901</v>
      </c>
      <c r="F66" s="118">
        <f t="shared" si="4"/>
        <v>-356530.80169473</v>
      </c>
    </row>
    <row r="67" spans="1:6" ht="15">
      <c r="A67" s="135">
        <v>40634</v>
      </c>
      <c r="B67" s="119">
        <f t="shared" si="5"/>
        <v>-356530.80169473</v>
      </c>
      <c r="C67" s="117">
        <v>-12469.64</v>
      </c>
      <c r="D67" s="137">
        <v>0.0089</v>
      </c>
      <c r="E67" s="118">
        <f t="shared" si="3"/>
        <v>-264.42701125692474</v>
      </c>
      <c r="F67" s="118">
        <f>SUM(B67:C67,E67)</f>
        <v>-369264.86870598694</v>
      </c>
    </row>
    <row r="68" spans="1:6" ht="15">
      <c r="A68" s="135">
        <v>40664</v>
      </c>
      <c r="B68" s="119">
        <f t="shared" si="5"/>
        <v>-369264.86870598694</v>
      </c>
      <c r="C68" s="117">
        <v>0</v>
      </c>
      <c r="D68" s="137"/>
      <c r="E68" s="118">
        <f t="shared" si="3"/>
        <v>0</v>
      </c>
      <c r="F68" s="118">
        <f t="shared" si="4"/>
        <v>-369264.86870598694</v>
      </c>
    </row>
    <row r="69" spans="1:6" ht="15">
      <c r="A69" s="135">
        <v>40695</v>
      </c>
      <c r="B69" s="119">
        <f t="shared" si="5"/>
        <v>-369264.86870598694</v>
      </c>
      <c r="C69" s="117">
        <v>0</v>
      </c>
      <c r="D69" s="137"/>
      <c r="E69" s="118">
        <f t="shared" si="3"/>
        <v>0</v>
      </c>
      <c r="F69" s="118">
        <f t="shared" si="4"/>
        <v>-369264.86870598694</v>
      </c>
    </row>
    <row r="70" spans="1:6" ht="15">
      <c r="A70" s="135">
        <v>40725</v>
      </c>
      <c r="B70" s="119">
        <f t="shared" si="5"/>
        <v>-369264.86870598694</v>
      </c>
      <c r="C70" s="117">
        <v>0</v>
      </c>
      <c r="D70" s="137"/>
      <c r="E70" s="118">
        <f t="shared" si="3"/>
        <v>0</v>
      </c>
      <c r="F70" s="118">
        <f t="shared" si="4"/>
        <v>-369264.86870598694</v>
      </c>
    </row>
    <row r="71" spans="1:6" ht="15">
      <c r="A71" s="135">
        <v>40756</v>
      </c>
      <c r="B71" s="119">
        <f t="shared" si="5"/>
        <v>-369264.86870598694</v>
      </c>
      <c r="C71" s="117">
        <v>0</v>
      </c>
      <c r="D71" s="137"/>
      <c r="E71" s="118">
        <f t="shared" si="3"/>
        <v>0</v>
      </c>
      <c r="F71" s="118">
        <f t="shared" si="4"/>
        <v>-369264.86870598694</v>
      </c>
    </row>
    <row r="72" spans="1:6" ht="15">
      <c r="A72" s="135">
        <v>40787</v>
      </c>
      <c r="B72" s="119">
        <f t="shared" si="5"/>
        <v>-369264.86870598694</v>
      </c>
      <c r="C72" s="117">
        <v>0</v>
      </c>
      <c r="D72" s="137"/>
      <c r="E72" s="118">
        <f t="shared" si="3"/>
        <v>0</v>
      </c>
      <c r="F72" s="118">
        <f t="shared" si="4"/>
        <v>-369264.86870598694</v>
      </c>
    </row>
    <row r="73" spans="1:6" ht="15">
      <c r="A73" s="135">
        <v>40817</v>
      </c>
      <c r="B73" s="119">
        <f t="shared" si="5"/>
        <v>-369264.86870598694</v>
      </c>
      <c r="C73" s="117">
        <v>0</v>
      </c>
      <c r="D73" s="137"/>
      <c r="E73" s="118">
        <f t="shared" si="3"/>
        <v>0</v>
      </c>
      <c r="F73" s="118">
        <f t="shared" si="4"/>
        <v>-369264.86870598694</v>
      </c>
    </row>
    <row r="74" spans="1:6" ht="15">
      <c r="A74" s="135">
        <v>40848</v>
      </c>
      <c r="B74" s="119">
        <f t="shared" si="5"/>
        <v>-369264.86870598694</v>
      </c>
      <c r="C74" s="117">
        <v>0</v>
      </c>
      <c r="D74" s="137"/>
      <c r="E74" s="118">
        <f t="shared" si="3"/>
        <v>0</v>
      </c>
      <c r="F74" s="118">
        <f t="shared" si="4"/>
        <v>-369264.86870598694</v>
      </c>
    </row>
    <row r="75" spans="1:6" ht="15">
      <c r="A75" s="135">
        <v>40878</v>
      </c>
      <c r="B75" s="119">
        <f t="shared" si="5"/>
        <v>-369264.86870598694</v>
      </c>
      <c r="C75" s="117">
        <v>0</v>
      </c>
      <c r="D75" s="137"/>
      <c r="E75" s="118">
        <f t="shared" si="3"/>
        <v>0</v>
      </c>
      <c r="F75" s="118">
        <f t="shared" si="4"/>
        <v>-369264.86870598694</v>
      </c>
    </row>
    <row r="76" spans="1:6" ht="15">
      <c r="A76" s="135">
        <v>40909</v>
      </c>
      <c r="B76" s="119">
        <f t="shared" si="5"/>
        <v>-369264.86870598694</v>
      </c>
      <c r="C76" s="117">
        <v>0</v>
      </c>
      <c r="D76" s="137"/>
      <c r="E76" s="118">
        <f t="shared" si="3"/>
        <v>0</v>
      </c>
      <c r="F76" s="118">
        <f t="shared" si="4"/>
        <v>-369264.86870598694</v>
      </c>
    </row>
    <row r="77" spans="1:6" ht="15">
      <c r="A77" s="135">
        <v>40940</v>
      </c>
      <c r="B77" s="119">
        <f t="shared" si="5"/>
        <v>-369264.86870598694</v>
      </c>
      <c r="C77" s="117">
        <v>0</v>
      </c>
      <c r="D77" s="137"/>
      <c r="E77" s="118">
        <f t="shared" si="3"/>
        <v>0</v>
      </c>
      <c r="F77" s="118">
        <f t="shared" si="4"/>
        <v>-369264.86870598694</v>
      </c>
    </row>
    <row r="78" spans="1:6" ht="15">
      <c r="A78" s="135">
        <v>40969</v>
      </c>
      <c r="B78" s="119">
        <f t="shared" si="5"/>
        <v>-369264.86870598694</v>
      </c>
      <c r="C78" s="117">
        <v>0</v>
      </c>
      <c r="D78" s="137"/>
      <c r="E78" s="118">
        <f t="shared" si="3"/>
        <v>0</v>
      </c>
      <c r="F78" s="118">
        <f t="shared" si="4"/>
        <v>-369264.86870598694</v>
      </c>
    </row>
    <row r="79" spans="1:6" ht="15">
      <c r="A79" s="135">
        <v>41000</v>
      </c>
      <c r="B79" s="119">
        <f t="shared" si="5"/>
        <v>-369264.86870598694</v>
      </c>
      <c r="C79" s="117">
        <v>0</v>
      </c>
      <c r="D79" s="137"/>
      <c r="E79" s="118">
        <f t="shared" si="3"/>
        <v>0</v>
      </c>
      <c r="F79" s="118">
        <f t="shared" si="4"/>
        <v>-369264.86870598694</v>
      </c>
    </row>
    <row r="80" spans="1:6" ht="15">
      <c r="A80" s="135">
        <v>41030</v>
      </c>
      <c r="B80" s="119">
        <f t="shared" si="5"/>
        <v>-369264.86870598694</v>
      </c>
      <c r="C80" s="117">
        <v>0</v>
      </c>
      <c r="D80" s="137"/>
      <c r="E80" s="118">
        <f t="shared" si="3"/>
        <v>0</v>
      </c>
      <c r="F80" s="118">
        <f t="shared" si="4"/>
        <v>-369264.86870598694</v>
      </c>
    </row>
    <row r="81" spans="3:6" ht="15.75" thickBot="1">
      <c r="C81" s="126">
        <f>SUM(C4:C80)</f>
        <v>-360108.56</v>
      </c>
      <c r="E81" s="126">
        <f>SUM(E4:E80)</f>
        <v>-9156.308705986912</v>
      </c>
      <c r="F81" s="58"/>
    </row>
  </sheetData>
  <sheetProtection/>
  <printOptions/>
  <pageMargins left="0.75" right="0.75" top="1" bottom="1" header="0.5" footer="0.5"/>
  <pageSetup fitToHeight="1" fitToWidth="1" horizontalDpi="600" verticalDpi="600" orientation="portrait" scale="49"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legacyDrawing r:id="rId2"/>
</worksheet>
</file>

<file path=xl/worksheets/sheet8.xml><?xml version="1.0" encoding="utf-8"?>
<worksheet xmlns="http://schemas.openxmlformats.org/spreadsheetml/2006/main" xmlns:r="http://schemas.openxmlformats.org/officeDocument/2006/relationships">
  <dimension ref="B1:C20"/>
  <sheetViews>
    <sheetView zoomScalePageLayoutView="0" workbookViewId="0" topLeftCell="A1">
      <selection activeCell="C20" sqref="C20"/>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1313.6320474528645</v>
      </c>
    </row>
    <row r="7" spans="2:3" ht="12.75">
      <c r="B7" s="128" t="s">
        <v>263</v>
      </c>
      <c r="C7" s="129">
        <f>'4. Smart Meter Rev Req'!K55</f>
        <v>3814.163091741707</v>
      </c>
    </row>
    <row r="8" spans="2:3" ht="12.75">
      <c r="B8" s="128" t="s">
        <v>264</v>
      </c>
      <c r="C8" s="129">
        <f>'4. Smart Meter Rev Req'!N55</f>
        <v>31678.389648498043</v>
      </c>
    </row>
    <row r="9" spans="2:3" ht="12.75">
      <c r="B9" s="128" t="s">
        <v>265</v>
      </c>
      <c r="C9" s="129">
        <f>'4. Smart Meter Rev Req'!Q55</f>
        <v>236059.35933657957</v>
      </c>
    </row>
    <row r="10" spans="2:3" ht="12.75">
      <c r="B10" s="128" t="s">
        <v>266</v>
      </c>
      <c r="C10" s="129">
        <f>'4. Smart Meter Rev Req'!T55</f>
        <v>482160.5644300246</v>
      </c>
    </row>
    <row r="11" spans="2:3" ht="13.5" thickBot="1">
      <c r="B11" s="7" t="s">
        <v>267</v>
      </c>
      <c r="C11" s="130">
        <f>SUM(C5:C10)</f>
        <v>755026.1085542968</v>
      </c>
    </row>
    <row r="13" spans="2:3" ht="12.75">
      <c r="B13" s="7" t="s">
        <v>270</v>
      </c>
      <c r="C13" s="131">
        <f>'7. Funding Adder Collected'!C81</f>
        <v>-360108.56</v>
      </c>
    </row>
    <row r="14" spans="2:3" ht="12.75">
      <c r="B14" s="7" t="s">
        <v>271</v>
      </c>
      <c r="C14" s="131">
        <f>'7. Funding Adder Collected'!E81</f>
        <v>-9156.308705986912</v>
      </c>
    </row>
    <row r="16" spans="2:3" ht="13.5" thickBot="1">
      <c r="B16" s="7" t="s">
        <v>272</v>
      </c>
      <c r="C16" s="130">
        <f>SUM(C11:C14)</f>
        <v>385761.2398483099</v>
      </c>
    </row>
    <row r="18" spans="2:3" ht="12.75">
      <c r="B18" s="7" t="s">
        <v>274</v>
      </c>
      <c r="C18" s="37">
        <f>'2. Smart Meter Data'!K10</f>
        <v>11148</v>
      </c>
    </row>
    <row r="20" spans="2:3" ht="12.75">
      <c r="B20" s="127" t="s">
        <v>275</v>
      </c>
      <c r="C20" s="138">
        <f>IF(C18&lt;&gt;0,C16/C18/12,0)</f>
        <v>2.8836356285754534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JHoward</cp:lastModifiedBy>
  <cp:lastPrinted>2010-10-13T19:38:23Z</cp:lastPrinted>
  <dcterms:created xsi:type="dcterms:W3CDTF">2007-08-13T15:48:29Z</dcterms:created>
  <dcterms:modified xsi:type="dcterms:W3CDTF">2010-12-20T21:59:34Z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