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1"/>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iterate="1" iterateCount="100" iterateDelta="0.001"/>
</workbook>
</file>

<file path=xl/sharedStrings.xml><?xml version="1.0" encoding="utf-8"?>
<sst xmlns="http://schemas.openxmlformats.org/spreadsheetml/2006/main" count="408" uniqueCount="289">
  <si>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</si>
  <si>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</si>
  <si>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</si>
  <si>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</si>
  <si>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</si>
  <si>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</si>
  <si>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</si>
  <si>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</si>
  <si>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</si>
  <si>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</si>
  <si>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</si>
  <si>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</si>
  <si>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</si>
  <si>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</si>
  <si>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</si>
  <si>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</si>
  <si>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</si>
  <si>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</si>
  <si>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</si>
  <si>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</si>
  <si>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</si>
  <si>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</si>
  <si>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</si>
  <si>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</si>
  <si>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</si>
  <si>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</si>
  <si>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</si>
  <si>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</si>
  <si>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</si>
  <si>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</si>
  <si>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</si>
  <si>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</si>
  <si>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</si>
  <si>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</si>
  <si>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</si>
  <si>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</si>
  <si>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</si>
  <si>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</si>
  <si>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</si>
  <si>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</si>
  <si>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</si>
  <si>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</si>
  <si>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</si>
  <si>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</si>
  <si>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</si>
  <si>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</si>
  <si>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</si>
  <si>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</si>
  <si>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</si>
  <si>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</si>
  <si>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</si>
  <si>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</si>
  <si>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</si>
  <si>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</si>
  <si>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</si>
  <si>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</si>
  <si>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</si>
  <si>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</si>
  <si>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</si>
  <si>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</si>
  <si>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</si>
  <si>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</si>
  <si>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</si>
  <si>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</si>
  <si>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</si>
  <si>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</si>
  <si>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</si>
  <si>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</si>
  <si>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</si>
  <si>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</si>
  <si>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</si>
  <si>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</si>
  <si>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</si>
  <si>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</si>
  <si>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</si>
  <si>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</si>
  <si>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</si>
  <si>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</si>
  <si>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</si>
  <si>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</si>
  <si>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</si>
  <si>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</si>
  <si>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</si>
  <si>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</si>
  <si>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</si>
  <si>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</si>
  <si>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</si>
  <si>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</si>
  <si>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</si>
  <si>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</si>
  <si>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</si>
  <si>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</si>
  <si>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</si>
  <si>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</si>
  <si>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</si>
  <si>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</si>
  <si>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</si>
  <si>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</si>
  <si>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</si>
  <si>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</si>
  <si>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</si>
  <si>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</si>
  <si>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</si>
  <si>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</si>
  <si>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</si>
  <si>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</si>
  <si>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</si>
  <si>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</si>
  <si>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</si>
  <si>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</si>
  <si>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</si>
  <si>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</si>
  <si>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</si>
  <si>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</si>
  <si>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</si>
  <si>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</si>
  <si>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</si>
  <si>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</si>
  <si>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</si>
  <si>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</si>
  <si>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</si>
  <si>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</si>
  <si>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</si>
  <si>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</si>
  <si>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</si>
  <si>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</si>
  <si>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</si>
  <si>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</si>
  <si>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</si>
  <si>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</si>
  <si>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</si>
  <si>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</si>
  <si>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</si>
  <si>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</si>
  <si>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</si>
  <si>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</si>
  <si>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</si>
  <si>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</si>
  <si>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</si>
  <si>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</si>
  <si>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</si>
  <si>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</si>
  <si>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</si>
  <si>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</si>
  <si>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</si>
  <si>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</si>
  <si>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</si>
  <si>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</si>
  <si>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</si>
  <si>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</si>
  <si>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</si>
  <si>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</si>
  <si>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</si>
  <si>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</si>
  <si>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</si>
  <si>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</si>
  <si>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</si>
  <si>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</si>
  <si>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</si>
  <si>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</si>
  <si>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</si>
  <si>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</si>
  <si>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</si>
  <si>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</si>
  <si>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</si>
  <si>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</si>
  <si>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</si>
  <si>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</si>
  <si>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</si>
  <si>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</si>
  <si>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</si>
  <si>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</si>
  <si>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</si>
  <si>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</si>
  <si>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</si>
  <si>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</si>
  <si>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</si>
  <si>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</si>
  <si>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</si>
  <si>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</si>
  <si>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</si>
  <si>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</si>
  <si>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</si>
  <si>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</si>
  <si>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</si>
  <si>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</si>
  <si>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</si>
  <si>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</si>
  <si>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</si>
  <si>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</si>
  <si>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</si>
  <si>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</si>
  <si>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</si>
  <si>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</si>
  <si>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</si>
  <si>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</si>
  <si>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</si>
  <si>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</si>
  <si>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</si>
  <si>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</si>
  <si>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</si>
  <si>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</si>
  <si>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</si>
  <si>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</si>
  <si>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</si>
  <si>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</si>
  <si>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</si>
  <si>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</si>
  <si>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</si>
  <si>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</si>
  <si>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</si>
  <si>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</si>
  <si>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</si>
  <si>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</si>
  <si>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</si>
  <si>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</si>
  <si>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</si>
  <si>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</si>
  <si>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</si>
  <si>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</si>
  <si>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</si>
  <si>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</si>
  <si>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</si>
  <si>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</si>
  <si>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</si>
  <si>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</si>
  <si>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</si>
  <si>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</si>
  <si>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</si>
  <si>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</si>
  <si>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</si>
  <si>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</si>
  <si>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</si>
  <si>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</si>
  <si>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</si>
  <si>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</si>
  <si>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</si>
  <si>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</si>
  <si>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</si>
  <si>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</si>
  <si>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</si>
  <si>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</si>
  <si>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</si>
  <si>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</si>
  <si>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</si>
  <si>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</si>
  <si>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</si>
  <si>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</si>
  <si>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</si>
  <si>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</si>
  <si>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</si>
  <si>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</si>
  <si>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</si>
  <si>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</si>
  <si>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</si>
  <si>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</si>
  <si>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</si>
  <si>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</si>
  <si>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</si>
  <si>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</si>
  <si>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</si>
  <si>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</si>
  <si>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</si>
  <si>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</si>
  <si>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</si>
  <si>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</si>
  <si>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</si>
  <si>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</si>
  <si>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</si>
  <si>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</si>
  <si>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</si>
  <si>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</si>
  <si>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</si>
  <si>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</si>
  <si>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</si>
  <si>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</si>
  <si>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</si>
  <si>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</si>
  <si>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</si>
  <si>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</si>
  <si>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Wellington North Power Inc.</t>
  </si>
  <si>
    <t>ED-2002-0511</t>
  </si>
  <si>
    <t>Lee Merner</t>
  </si>
  <si>
    <t>Regulatory Compliance/ Customer Service Manager</t>
  </si>
  <si>
    <t>519-323-1710 x203</t>
  </si>
  <si>
    <t>lmerner@wellingtonnorthpower.com</t>
  </si>
  <si>
    <t>Meters</t>
  </si>
  <si>
    <t>Collector</t>
  </si>
  <si>
    <t>MAS ie. Olameter and here all from Frey Energy Axis Server</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</si>
</sst>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43">
    <font>
      <sz val="10"/>
      <name val="Arial"/>
      <family val="0"/>
    </font>
    <font>
      <u val="single"/>
      <sz val="7.5"/>
      <color indexed="36"/>
      <name val="Arial"/>
      <family val="0"/>
    </font>
    <font>
      <u val="single"/>
      <sz val="7.5"/>
      <color indexed="12"/>
      <name val="Arial"/>
      <family val="0"/>
    </font>
    <font>
      <sz val="12"/>
      <name val="Arial"/>
      <family val="0"/>
    </font>
    <font>
      <sz val="8"/>
      <name val="Arial"/>
      <family val="0"/>
    </font>
    <font>
      <b/>
      <sz val="20"/>
      <name val="Cooper Black"/>
      <family val="1"/>
    </font>
    <font>
      <b/>
      <sz val="20"/>
      <color indexed="10"/>
      <name val="Cooper Black"/>
      <family val="1"/>
    </font>
    <font>
      <b/>
      <sz val="10"/>
      <name val="Arial"/>
      <family val="2"/>
    </font>
    <font>
      <sz val="10"/>
      <color indexed="12"/>
      <name val="Arial"/>
      <family val="0"/>
    </font>
    <font>
      <sz val="10"/>
      <color indexed="10"/>
      <name val="Arial"/>
      <family val="0"/>
    </font>
    <font>
      <b/>
      <sz val="8"/>
      <color indexed="9"/>
      <name val="Arial"/>
      <family val="0"/>
    </font>
    <font>
      <sz val="12"/>
      <color indexed="18"/>
      <name val="Cooper Black"/>
      <family val="1"/>
    </font>
    <font>
      <sz val="11"/>
      <name val="Arial"/>
      <family val="0"/>
    </font>
    <font>
      <b/>
      <sz val="8"/>
      <name val="Arial"/>
      <family val="2"/>
    </font>
    <font>
      <b/>
      <sz val="12"/>
      <name val="Arial"/>
      <family val="0"/>
    </font>
    <font>
      <b/>
      <sz val="11"/>
      <name val="Arial"/>
      <family val="0"/>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24"/>
      <color indexed="10"/>
      <name val="Cooper Black"/>
      <family val="1"/>
    </font>
    <font>
      <sz val="1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9" fillId="0" borderId="0" applyNumberFormat="0" applyFill="0" applyBorder="0" applyAlignment="0" applyProtection="0"/>
  </cellStyleXfs>
  <cellXfs count="184">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212"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8" fillId="24" borderId="0" xfId="0" applyFont="1" applyFill="1" applyAlignment="1" applyProtection="1">
      <alignment/>
      <protection/>
    </xf>
    <xf numFmtId="0" fontId="4" fillId="20" borderId="0" xfId="0" applyFont="1" applyFill="1" applyAlignment="1" applyProtection="1">
      <alignment/>
      <protection/>
    </xf>
    <xf numFmtId="0" fontId="19" fillId="24" borderId="0" xfId="0" applyFont="1" applyFill="1" applyAlignment="1" applyProtection="1">
      <alignment/>
      <protection/>
    </xf>
    <xf numFmtId="0" fontId="20"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76" fontId="0" fillId="4" borderId="0" xfId="42" applyNumberFormat="1" applyFill="1" applyAlignment="1" applyProtection="1">
      <alignment/>
      <protection locked="0"/>
    </xf>
    <xf numFmtId="176" fontId="0" fillId="24" borderId="0" xfId="0" applyNumberFormat="1" applyFill="1" applyAlignment="1" applyProtection="1">
      <alignment/>
      <protection/>
    </xf>
    <xf numFmtId="0" fontId="7" fillId="24" borderId="0" xfId="0" applyFont="1" applyFill="1" applyAlignment="1" applyProtection="1">
      <alignment/>
      <protection/>
    </xf>
    <xf numFmtId="176" fontId="0" fillId="24" borderId="11" xfId="42" applyNumberFormat="1" applyFill="1" applyBorder="1" applyAlignment="1" applyProtection="1">
      <alignment/>
      <protection/>
    </xf>
    <xf numFmtId="176" fontId="0" fillId="24" borderId="12" xfId="42" applyNumberFormat="1" applyFont="1" applyFill="1" applyBorder="1" applyAlignment="1" applyProtection="1">
      <alignment/>
      <protection/>
    </xf>
    <xf numFmtId="0" fontId="0" fillId="4" borderId="0" xfId="0" applyFill="1" applyAlignment="1">
      <alignment/>
    </xf>
    <xf numFmtId="0" fontId="21" fillId="24" borderId="0" xfId="0" applyFont="1" applyFill="1" applyAlignment="1" applyProtection="1">
      <alignment/>
      <protection/>
    </xf>
    <xf numFmtId="0" fontId="19"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173" fontId="9" fillId="4" borderId="13" xfId="44" applyNumberFormat="1" applyFont="1" applyFill="1" applyBorder="1" applyAlignment="1" applyProtection="1">
      <alignment/>
      <protection locked="0"/>
    </xf>
    <xf numFmtId="173" fontId="0" fillId="24" borderId="0" xfId="0" applyNumberFormat="1" applyFill="1" applyAlignment="1" applyProtection="1">
      <alignment/>
      <protection/>
    </xf>
    <xf numFmtId="0" fontId="20" fillId="24" borderId="0" xfId="0" applyFont="1" applyFill="1" applyAlignment="1" applyProtection="1">
      <alignment horizontal="left" wrapText="1" indent="2"/>
      <protection/>
    </xf>
    <xf numFmtId="173" fontId="7" fillId="24" borderId="12" xfId="44" applyNumberFormat="1" applyFont="1" applyFill="1" applyBorder="1" applyAlignment="1" applyProtection="1">
      <alignment/>
      <protection/>
    </xf>
    <xf numFmtId="173" fontId="0" fillId="24" borderId="0" xfId="44" applyNumberFormat="1" applyFill="1" applyAlignment="1" applyProtection="1">
      <alignment/>
      <protection/>
    </xf>
    <xf numFmtId="173" fontId="7" fillId="24" borderId="0" xfId="44" applyNumberFormat="1" applyFont="1" applyFill="1" applyBorder="1" applyAlignment="1" applyProtection="1">
      <alignment/>
      <protection/>
    </xf>
    <xf numFmtId="0" fontId="0" fillId="24" borderId="0" xfId="0" applyFill="1" applyAlignment="1">
      <alignment horizontal="left" indent="2"/>
    </xf>
    <xf numFmtId="173" fontId="7" fillId="24" borderId="14" xfId="44" applyNumberFormat="1" applyFont="1" applyFill="1" applyBorder="1" applyAlignment="1" applyProtection="1">
      <alignment/>
      <protection/>
    </xf>
    <xf numFmtId="43" fontId="7" fillId="24" borderId="0" xfId="42" applyFont="1" applyFill="1" applyBorder="1" applyAlignment="1" applyProtection="1">
      <alignment/>
      <protection/>
    </xf>
    <xf numFmtId="173" fontId="7" fillId="24" borderId="14" xfId="0" applyNumberFormat="1" applyFont="1" applyFill="1" applyBorder="1" applyAlignment="1">
      <alignment/>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1"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7">
      <alignment/>
      <protection/>
    </xf>
    <xf numFmtId="0" fontId="0" fillId="24" borderId="0" xfId="0" applyFont="1" applyFill="1" applyAlignment="1" applyProtection="1">
      <alignment/>
      <protection/>
    </xf>
    <xf numFmtId="0" fontId="22" fillId="24" borderId="0" xfId="0" applyFont="1" applyFill="1" applyAlignment="1" applyProtection="1">
      <alignment/>
      <protection/>
    </xf>
    <xf numFmtId="0" fontId="0" fillId="24" borderId="0" xfId="0" applyFont="1" applyFill="1" applyAlignment="1" applyProtection="1">
      <alignment/>
      <protection/>
    </xf>
    <xf numFmtId="0" fontId="0" fillId="24" borderId="15" xfId="0" applyFill="1" applyBorder="1" applyAlignment="1" applyProtection="1">
      <alignment/>
      <protection/>
    </xf>
    <xf numFmtId="173" fontId="0" fillId="24" borderId="0" xfId="0" applyNumberFormat="1" applyFill="1" applyBorder="1" applyAlignment="1" applyProtection="1">
      <alignment/>
      <protection/>
    </xf>
    <xf numFmtId="44" fontId="0" fillId="24" borderId="0" xfId="44" applyFill="1" applyBorder="1" applyAlignment="1" applyProtection="1">
      <alignment/>
      <protection/>
    </xf>
    <xf numFmtId="0" fontId="0" fillId="24" borderId="16" xfId="0" applyFill="1" applyBorder="1" applyAlignment="1" applyProtection="1">
      <alignment/>
      <protection/>
    </xf>
    <xf numFmtId="44" fontId="0" fillId="24" borderId="16" xfId="44" applyFill="1" applyBorder="1" applyAlignment="1" applyProtection="1">
      <alignment/>
      <protection/>
    </xf>
    <xf numFmtId="44" fontId="0" fillId="24" borderId="15" xfId="44" applyFill="1" applyBorder="1" applyAlignment="1" applyProtection="1">
      <alignment/>
      <protection/>
    </xf>
    <xf numFmtId="174" fontId="8" fillId="24" borderId="16" xfId="61" applyNumberFormat="1" applyFont="1" applyFill="1" applyBorder="1" applyAlignment="1" applyProtection="1">
      <alignment horizontal="center"/>
      <protection/>
    </xf>
    <xf numFmtId="9" fontId="0" fillId="24" borderId="16" xfId="0" applyNumberFormat="1" applyFill="1" applyBorder="1" applyAlignment="1" applyProtection="1">
      <alignment/>
      <protection/>
    </xf>
    <xf numFmtId="173" fontId="0" fillId="24" borderId="15" xfId="0" applyNumberFormat="1" applyFill="1" applyBorder="1" applyAlignment="1" applyProtection="1">
      <alignment/>
      <protection/>
    </xf>
    <xf numFmtId="44" fontId="0" fillId="24" borderId="15" xfId="44" applyFont="1" applyFill="1" applyBorder="1" applyAlignment="1" applyProtection="1">
      <alignment/>
      <protection/>
    </xf>
    <xf numFmtId="0" fontId="0" fillId="24" borderId="17" xfId="0" applyFill="1" applyBorder="1" applyAlignment="1" applyProtection="1">
      <alignment/>
      <protection/>
    </xf>
    <xf numFmtId="44" fontId="0" fillId="24" borderId="18"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74" fontId="0" fillId="24" borderId="0" xfId="61" applyNumberFormat="1" applyFill="1" applyAlignment="1" applyProtection="1">
      <alignment/>
      <protection/>
    </xf>
    <xf numFmtId="0" fontId="41" fillId="24" borderId="0" xfId="0" applyFont="1" applyFill="1" applyAlignment="1" applyProtection="1">
      <alignment/>
      <protection/>
    </xf>
    <xf numFmtId="0" fontId="20" fillId="24" borderId="0" xfId="0" applyFont="1" applyFill="1" applyBorder="1" applyAlignment="1" applyProtection="1">
      <alignment horizontal="center" vertical="top"/>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42" fillId="24" borderId="0" xfId="0" applyFont="1" applyFill="1" applyAlignment="1">
      <alignment/>
    </xf>
    <xf numFmtId="176" fontId="0" fillId="24" borderId="0" xfId="42" applyNumberFormat="1" applyFill="1" applyBorder="1" applyAlignment="1" applyProtection="1">
      <alignment/>
      <protection/>
    </xf>
    <xf numFmtId="9" fontId="0" fillId="24" borderId="0" xfId="61" applyFill="1" applyBorder="1" applyAlignment="1" applyProtection="1">
      <alignment/>
      <protection/>
    </xf>
    <xf numFmtId="0" fontId="14" fillId="27" borderId="0" xfId="0" applyFont="1" applyFill="1" applyAlignment="1" applyProtection="1">
      <alignment horizontal="left" indent="2"/>
      <protection/>
    </xf>
    <xf numFmtId="0" fontId="20" fillId="24" borderId="11" xfId="0" applyFont="1" applyFill="1" applyBorder="1" applyAlignment="1" applyProtection="1">
      <alignment vertical="top"/>
      <protection/>
    </xf>
    <xf numFmtId="0" fontId="20" fillId="24" borderId="19" xfId="0" applyFont="1" applyFill="1" applyBorder="1" applyAlignment="1" applyProtection="1">
      <alignment vertical="top"/>
      <protection/>
    </xf>
    <xf numFmtId="9" fontId="0" fillId="4" borderId="0" xfId="61" applyFont="1" applyFill="1" applyAlignment="1" applyProtection="1">
      <alignment horizontal="center"/>
      <protection locked="0"/>
    </xf>
    <xf numFmtId="9" fontId="0" fillId="28" borderId="0" xfId="61" applyFont="1" applyFill="1" applyAlignment="1" applyProtection="1">
      <alignment horizontal="center"/>
      <protection/>
    </xf>
    <xf numFmtId="10" fontId="0" fillId="4" borderId="0" xfId="61" applyNumberFormat="1" applyFont="1" applyFill="1" applyAlignment="1" applyProtection="1">
      <alignment horizontal="center"/>
      <protection locked="0"/>
    </xf>
    <xf numFmtId="176" fontId="0" fillId="4" borderId="0" xfId="42" applyNumberFormat="1" applyFill="1" applyAlignment="1" applyProtection="1">
      <alignment horizontal="center"/>
      <protection locked="0"/>
    </xf>
    <xf numFmtId="43" fontId="20" fillId="24" borderId="20" xfId="42" applyFont="1" applyFill="1" applyBorder="1" applyAlignment="1" applyProtection="1">
      <alignment/>
      <protection/>
    </xf>
    <xf numFmtId="43" fontId="0" fillId="24" borderId="0" xfId="42" applyFill="1" applyAlignment="1" applyProtection="1">
      <alignment/>
      <protection/>
    </xf>
    <xf numFmtId="10" fontId="0" fillId="28" borderId="0" xfId="61" applyNumberFormat="1" applyFont="1" applyFill="1" applyAlignment="1" applyProtection="1">
      <alignment horizontal="center"/>
      <protection/>
    </xf>
    <xf numFmtId="173" fontId="0" fillId="28" borderId="0" xfId="44" applyNumberFormat="1" applyFont="1" applyFill="1" applyAlignment="1" applyProtection="1">
      <alignment/>
      <protection/>
    </xf>
    <xf numFmtId="173" fontId="0" fillId="28" borderId="0" xfId="0" applyNumberFormat="1" applyFill="1" applyAlignment="1" applyProtection="1">
      <alignment/>
      <protection/>
    </xf>
    <xf numFmtId="173" fontId="0" fillId="28" borderId="12" xfId="0" applyNumberFormat="1" applyFill="1" applyBorder="1" applyAlignment="1" applyProtection="1">
      <alignment/>
      <protection/>
    </xf>
    <xf numFmtId="173" fontId="0" fillId="28" borderId="0" xfId="44" applyNumberFormat="1" applyFill="1" applyAlignment="1" applyProtection="1">
      <alignment/>
      <protection/>
    </xf>
    <xf numFmtId="173" fontId="0" fillId="28" borderId="12" xfId="44" applyNumberFormat="1" applyFont="1" applyFill="1" applyBorder="1" applyAlignment="1" applyProtection="1">
      <alignment/>
      <protection/>
    </xf>
    <xf numFmtId="173" fontId="0" fillId="28" borderId="12" xfId="44" applyNumberFormat="1" applyFill="1" applyBorder="1" applyAlignment="1" applyProtection="1">
      <alignment/>
      <protection/>
    </xf>
    <xf numFmtId="44" fontId="0" fillId="28" borderId="0" xfId="44" applyFill="1" applyAlignment="1" applyProtection="1">
      <alignment/>
      <protection/>
    </xf>
    <xf numFmtId="176" fontId="0" fillId="28" borderId="0" xfId="42" applyNumberFormat="1" applyFill="1" applyAlignment="1" applyProtection="1">
      <alignment/>
      <protection/>
    </xf>
    <xf numFmtId="9" fontId="0" fillId="28" borderId="0" xfId="61" applyFill="1" applyAlignment="1" applyProtection="1">
      <alignment/>
      <protection/>
    </xf>
    <xf numFmtId="44" fontId="0" fillId="28" borderId="11" xfId="0" applyNumberFormat="1" applyFill="1" applyBorder="1" applyAlignment="1" applyProtection="1">
      <alignment/>
      <protection/>
    </xf>
    <xf numFmtId="0" fontId="0" fillId="28" borderId="0" xfId="0" applyFill="1" applyAlignment="1" applyProtection="1">
      <alignment/>
      <protection/>
    </xf>
    <xf numFmtId="173"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24" borderId="0" xfId="44" applyNumberFormat="1" applyFill="1" applyBorder="1" applyAlignment="1" applyProtection="1">
      <alignment horizontal="center"/>
      <protection/>
    </xf>
    <xf numFmtId="9" fontId="0" fillId="24" borderId="0" xfId="61" applyFill="1" applyBorder="1" applyAlignment="1" applyProtection="1">
      <alignment horizontal="center"/>
      <protection/>
    </xf>
    <xf numFmtId="44" fontId="0" fillId="24" borderId="21" xfId="44" applyFill="1" applyBorder="1" applyAlignment="1" applyProtection="1">
      <alignment/>
      <protection/>
    </xf>
    <xf numFmtId="173" fontId="3" fillId="4" borderId="0" xfId="44" applyNumberFormat="1" applyFont="1" applyFill="1" applyAlignment="1">
      <alignment/>
    </xf>
    <xf numFmtId="173" fontId="3" fillId="28" borderId="0" xfId="44" applyNumberFormat="1" applyFont="1" applyFill="1" applyAlignment="1">
      <alignment/>
    </xf>
    <xf numFmtId="173" fontId="3" fillId="28" borderId="0" xfId="57" applyNumberFormat="1" applyFill="1">
      <alignment/>
      <protection/>
    </xf>
    <xf numFmtId="0" fontId="14" fillId="28" borderId="0" xfId="57" applyFont="1" applyFill="1">
      <alignment/>
      <protection/>
    </xf>
    <xf numFmtId="0" fontId="14" fillId="28" borderId="0" xfId="57" applyFont="1" applyFill="1" applyAlignment="1">
      <alignment horizontal="center" wrapText="1"/>
      <protection/>
    </xf>
    <xf numFmtId="0" fontId="14" fillId="28" borderId="0" xfId="57" applyFont="1" applyFill="1" applyAlignment="1">
      <alignment horizontal="center"/>
      <protection/>
    </xf>
    <xf numFmtId="9" fontId="0" fillId="28" borderId="0" xfId="61" applyFont="1" applyFill="1" applyAlignment="1" applyProtection="1">
      <alignment horizontal="center"/>
      <protection locked="0"/>
    </xf>
    <xf numFmtId="10" fontId="0" fillId="28" borderId="0" xfId="61" applyNumberFormat="1" applyFont="1" applyFill="1" applyAlignment="1" applyProtection="1">
      <alignment horizontal="center"/>
      <protection locked="0"/>
    </xf>
    <xf numFmtId="4" fontId="14" fillId="28" borderId="0" xfId="57" applyNumberFormat="1" applyFont="1" applyFill="1" applyAlignment="1">
      <alignment horizontal="center"/>
      <protection/>
    </xf>
    <xf numFmtId="173" fontId="3" fillId="28" borderId="12" xfId="57"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44" fontId="0" fillId="28" borderId="0" xfId="0" applyNumberFormat="1" applyFill="1" applyAlignment="1">
      <alignment/>
    </xf>
    <xf numFmtId="44" fontId="0" fillId="28" borderId="12" xfId="0" applyNumberFormat="1" applyFill="1" applyBorder="1" applyAlignment="1">
      <alignment/>
    </xf>
    <xf numFmtId="44" fontId="0" fillId="28" borderId="0" xfId="44" applyFill="1" applyAlignment="1">
      <alignment/>
    </xf>
    <xf numFmtId="0" fontId="3" fillId="24" borderId="0" xfId="57" applyFill="1" applyAlignment="1">
      <alignment horizontal="center"/>
      <protection/>
    </xf>
    <xf numFmtId="0" fontId="3" fillId="24" borderId="0" xfId="57" applyFill="1">
      <alignment/>
      <protection/>
    </xf>
    <xf numFmtId="0" fontId="14" fillId="24" borderId="0" xfId="57" applyFont="1" applyFill="1" applyAlignment="1">
      <alignment horizontal="center"/>
      <protection/>
    </xf>
    <xf numFmtId="17" fontId="3" fillId="24" borderId="0" xfId="57" applyNumberFormat="1" applyFill="1" applyAlignment="1">
      <alignment horizontal="center"/>
      <protection/>
    </xf>
    <xf numFmtId="10" fontId="3" fillId="24" borderId="0" xfId="57" applyNumberFormat="1" applyFill="1">
      <alignment/>
      <protection/>
    </xf>
    <xf numFmtId="10" fontId="3" fillId="24" borderId="0" xfId="61" applyNumberFormat="1" applyFont="1" applyFill="1" applyAlignment="1">
      <alignment/>
    </xf>
    <xf numFmtId="44" fontId="7" fillId="28" borderId="0" xfId="44" applyFont="1" applyFill="1" applyAlignment="1">
      <alignment/>
    </xf>
    <xf numFmtId="44" fontId="8" fillId="28" borderId="0" xfId="44" applyFont="1" applyFill="1" applyAlignment="1" applyProtection="1">
      <alignment/>
      <protection/>
    </xf>
    <xf numFmtId="44"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44" fontId="8" fillId="28" borderId="0" xfId="44" applyFont="1" applyFill="1" applyBorder="1" applyAlignment="1" applyProtection="1">
      <alignment/>
      <protection/>
    </xf>
    <xf numFmtId="44" fontId="8" fillId="28" borderId="22" xfId="44" applyFont="1" applyFill="1" applyBorder="1" applyAlignment="1" applyProtection="1">
      <alignment/>
      <protection/>
    </xf>
    <xf numFmtId="178" fontId="0" fillId="28" borderId="0" xfId="61" applyNumberFormat="1" applyFill="1" applyAlignment="1" applyProtection="1">
      <alignment/>
      <protection/>
    </xf>
    <xf numFmtId="178" fontId="0" fillId="28" borderId="0" xfId="58" applyNumberFormat="1" applyFill="1">
      <alignment/>
      <protection/>
    </xf>
    <xf numFmtId="44" fontId="24" fillId="28" borderId="11" xfId="44" applyFont="1" applyFill="1" applyBorder="1" applyAlignment="1" applyProtection="1">
      <alignment/>
      <protection/>
    </xf>
    <xf numFmtId="44" fontId="0" fillId="28" borderId="12" xfId="44" applyFill="1" applyBorder="1" applyAlignment="1" applyProtection="1">
      <alignment/>
      <protection/>
    </xf>
    <xf numFmtId="44" fontId="9" fillId="28" borderId="11" xfId="44" applyFont="1" applyFill="1" applyBorder="1" applyAlignment="1" applyProtection="1">
      <alignment/>
      <protection/>
    </xf>
    <xf numFmtId="44" fontId="9" fillId="28" borderId="12" xfId="44" applyFont="1" applyFill="1" applyBorder="1" applyAlignment="1" applyProtection="1">
      <alignment/>
      <protection/>
    </xf>
    <xf numFmtId="44" fontId="8" fillId="28" borderId="16" xfId="44" applyFont="1" applyFill="1" applyBorder="1" applyAlignment="1" applyProtection="1">
      <alignment/>
      <protection/>
    </xf>
    <xf numFmtId="44" fontId="0" fillId="28" borderId="23" xfId="44" applyFill="1" applyBorder="1" applyAlignment="1" applyProtection="1">
      <alignment/>
      <protection/>
    </xf>
    <xf numFmtId="44" fontId="0" fillId="28" borderId="0" xfId="44" applyFill="1" applyBorder="1" applyAlignment="1" applyProtection="1">
      <alignment/>
      <protection/>
    </xf>
    <xf numFmtId="44" fontId="0" fillId="28" borderId="16" xfId="44" applyFill="1" applyBorder="1" applyAlignment="1" applyProtection="1">
      <alignment/>
      <protection/>
    </xf>
    <xf numFmtId="44" fontId="0" fillId="28" borderId="15" xfId="44" applyFill="1" applyBorder="1" applyAlignment="1" applyProtection="1">
      <alignment/>
      <protection/>
    </xf>
    <xf numFmtId="44" fontId="8" fillId="28" borderId="15" xfId="44" applyFont="1" applyFill="1" applyBorder="1" applyAlignment="1" applyProtection="1">
      <alignment/>
      <protection/>
    </xf>
    <xf numFmtId="44" fontId="9" fillId="28" borderId="15" xfId="44" applyFont="1" applyFill="1" applyBorder="1" applyAlignment="1" applyProtection="1">
      <alignment/>
      <protection/>
    </xf>
    <xf numFmtId="44" fontId="0" fillId="28" borderId="24" xfId="44" applyFill="1" applyBorder="1" applyAlignment="1" applyProtection="1">
      <alignment/>
      <protection/>
    </xf>
    <xf numFmtId="44" fontId="9" fillId="28" borderId="24" xfId="44" applyFont="1" applyFill="1" applyBorder="1" applyAlignment="1" applyProtection="1">
      <alignment/>
      <protection/>
    </xf>
    <xf numFmtId="44" fontId="0" fillId="28" borderId="15" xfId="44" applyFont="1" applyFill="1" applyBorder="1" applyAlignment="1" applyProtection="1">
      <alignment/>
      <protection/>
    </xf>
    <xf numFmtId="44" fontId="7" fillId="28" borderId="25" xfId="44" applyFont="1" applyFill="1" applyBorder="1" applyAlignment="1" applyProtection="1">
      <alignment/>
      <protection/>
    </xf>
    <xf numFmtId="173" fontId="0" fillId="24" borderId="0" xfId="44" applyNumberFormat="1" applyFill="1" applyAlignment="1" applyProtection="1">
      <alignment/>
      <protection/>
    </xf>
    <xf numFmtId="0" fontId="0" fillId="27" borderId="0" xfId="0" applyFill="1" applyAlignment="1" applyProtection="1">
      <alignment horizontal="left" indent="2"/>
      <protection/>
    </xf>
    <xf numFmtId="10" fontId="0" fillId="27" borderId="0" xfId="61" applyNumberFormat="1" applyFont="1" applyFill="1" applyAlignment="1" applyProtection="1">
      <alignment horizontal="center"/>
      <protection locked="0"/>
    </xf>
    <xf numFmtId="9" fontId="0" fillId="27" borderId="16" xfId="61" applyFill="1" applyBorder="1" applyAlignment="1" applyProtection="1">
      <alignment/>
      <protection/>
    </xf>
    <xf numFmtId="44" fontId="0" fillId="27" borderId="0" xfId="0" applyNumberFormat="1" applyFill="1" applyBorder="1" applyAlignment="1" applyProtection="1">
      <alignment/>
      <protection/>
    </xf>
    <xf numFmtId="174" fontId="8" fillId="27" borderId="16" xfId="61" applyNumberFormat="1" applyFont="1" applyFill="1" applyBorder="1" applyAlignment="1" applyProtection="1">
      <alignment horizontal="center"/>
      <protection/>
    </xf>
    <xf numFmtId="44" fontId="0" fillId="27" borderId="11" xfId="44" applyFill="1" applyBorder="1" applyAlignment="1" applyProtection="1">
      <alignment/>
      <protection/>
    </xf>
    <xf numFmtId="44" fontId="0" fillId="27" borderId="15" xfId="44" applyFill="1" applyBorder="1" applyAlignment="1" applyProtection="1">
      <alignment/>
      <protection/>
    </xf>
    <xf numFmtId="0" fontId="2" fillId="25" borderId="26" xfId="53" applyFill="1" applyBorder="1" applyAlignment="1" applyProtection="1">
      <alignment horizontal="left"/>
      <protection locked="0"/>
    </xf>
    <xf numFmtId="0" fontId="0" fillId="25" borderId="27"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26" xfId="0" applyFont="1" applyFill="1" applyBorder="1" applyAlignment="1" applyProtection="1">
      <alignment horizontal="left"/>
      <protection locked="0"/>
    </xf>
    <xf numFmtId="0" fontId="12" fillId="25" borderId="27" xfId="0" applyFont="1" applyFill="1" applyBorder="1" applyAlignment="1" applyProtection="1">
      <alignment horizontal="left"/>
      <protection locked="0"/>
    </xf>
    <xf numFmtId="0" fontId="41" fillId="24" borderId="0" xfId="0" applyFont="1" applyFill="1" applyAlignment="1" applyProtection="1">
      <alignment/>
      <protection/>
    </xf>
    <xf numFmtId="0" fontId="20" fillId="24" borderId="19" xfId="0" applyFont="1" applyFill="1" applyBorder="1" applyAlignment="1" applyProtection="1">
      <alignment horizontal="center" vertical="top"/>
      <protection/>
    </xf>
    <xf numFmtId="0" fontId="18" fillId="24" borderId="0" xfId="0" applyFont="1" applyFill="1" applyAlignment="1" applyProtection="1">
      <alignment/>
      <protection/>
    </xf>
    <xf numFmtId="0" fontId="19" fillId="24" borderId="28" xfId="0" applyFont="1" applyFill="1" applyBorder="1" applyAlignment="1" applyProtection="1">
      <alignment horizontal="center"/>
      <protection/>
    </xf>
    <xf numFmtId="0" fontId="19" fillId="24" borderId="20" xfId="0" applyFont="1" applyFill="1" applyBorder="1" applyAlignment="1" applyProtection="1">
      <alignment horizontal="center"/>
      <protection/>
    </xf>
    <xf numFmtId="0" fontId="19" fillId="24" borderId="29" xfId="0" applyFont="1" applyFill="1" applyBorder="1" applyAlignment="1" applyProtection="1">
      <alignment horizontal="center"/>
      <protection/>
    </xf>
    <xf numFmtId="0" fontId="19" fillId="24" borderId="17" xfId="0" applyFont="1" applyFill="1" applyBorder="1" applyAlignment="1" applyProtection="1">
      <alignment horizontal="center"/>
      <protection/>
    </xf>
    <xf numFmtId="0" fontId="19" fillId="24" borderId="18" xfId="0" applyFont="1" applyFill="1" applyBorder="1" applyAlignment="1" applyProtection="1">
      <alignment horizontal="center"/>
      <protection/>
    </xf>
    <xf numFmtId="0" fontId="19" fillId="24" borderId="21" xfId="0" applyFont="1" applyFill="1" applyBorder="1" applyAlignment="1" applyProtection="1">
      <alignment horizontal="center"/>
      <protection/>
    </xf>
    <xf numFmtId="0" fontId="18" fillId="24" borderId="0" xfId="0" applyFont="1" applyFill="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erner@wellingtonnorthpowe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H21"/>
  <sheetViews>
    <sheetView showGridLines="0" zoomScalePageLayoutView="0" workbookViewId="0" topLeftCell="A10">
      <selection activeCell="C20" sqref="C20:D20"/>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280</v>
      </c>
      <c r="D4"/>
      <c r="E4" s="12"/>
      <c r="F4" s="1"/>
      <c r="G4" s="1"/>
      <c r="H4" s="1"/>
    </row>
    <row r="5" spans="1:8" ht="15.75">
      <c r="A5" s="10"/>
      <c r="B5" s="11"/>
      <c r="C5" s="13"/>
      <c r="D5" s="13"/>
      <c r="E5" s="13"/>
      <c r="F5" s="1"/>
      <c r="G5" s="1"/>
      <c r="H5" s="1"/>
    </row>
    <row r="6" spans="1:8" ht="15.75">
      <c r="A6" s="10"/>
      <c r="B6" s="11" t="s">
        <v>1</v>
      </c>
      <c r="C6" s="37" t="s">
        <v>281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40438</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71" t="s">
        <v>3</v>
      </c>
      <c r="B13" s="171"/>
      <c r="C13" s="16"/>
      <c r="D13" s="16"/>
      <c r="E13" s="16"/>
      <c r="F13" s="15"/>
      <c r="G13" s="15"/>
      <c r="H13" s="15"/>
    </row>
    <row r="14" spans="1:8" ht="16.5" thickBot="1">
      <c r="A14" s="15"/>
      <c r="B14" s="19" t="s">
        <v>4</v>
      </c>
      <c r="C14" s="172" t="s">
        <v>282</v>
      </c>
      <c r="D14" s="173"/>
      <c r="E14" s="20"/>
      <c r="F14" s="15"/>
      <c r="G14" s="15"/>
      <c r="H14" s="15"/>
    </row>
    <row r="15" spans="1:8" ht="16.5" thickBot="1">
      <c r="A15" s="15"/>
      <c r="B15" s="21"/>
      <c r="C15" s="16"/>
      <c r="D15" s="16"/>
      <c r="E15" s="16"/>
      <c r="F15" s="15"/>
      <c r="G15" s="15"/>
      <c r="H15" s="15"/>
    </row>
    <row r="16" spans="1:8" ht="16.5" thickBot="1">
      <c r="A16" s="15"/>
      <c r="B16" s="19" t="s">
        <v>5</v>
      </c>
      <c r="C16" s="172" t="s">
        <v>283</v>
      </c>
      <c r="D16" s="173"/>
      <c r="E16" s="20"/>
      <c r="F16" s="2"/>
      <c r="G16" s="15"/>
      <c r="H16" s="15"/>
    </row>
    <row r="17" spans="1:8" ht="16.5" thickBot="1">
      <c r="A17" s="15"/>
      <c r="B17" s="21"/>
      <c r="C17" s="16"/>
      <c r="D17" s="16"/>
      <c r="E17" s="16"/>
      <c r="F17" s="15"/>
      <c r="G17" s="15"/>
      <c r="H17" s="15"/>
    </row>
    <row r="18" spans="1:8" ht="16.5" thickBot="1">
      <c r="A18" s="15"/>
      <c r="B18" s="19" t="s">
        <v>6</v>
      </c>
      <c r="C18" s="172" t="s">
        <v>284</v>
      </c>
      <c r="D18" s="173"/>
      <c r="E18" s="20"/>
      <c r="F18" s="15"/>
      <c r="G18" s="15"/>
      <c r="H18" s="15"/>
    </row>
    <row r="19" spans="1:8" ht="15" thickBot="1">
      <c r="A19" s="1"/>
      <c r="B19" s="22"/>
      <c r="C19" s="23"/>
      <c r="D19" s="23"/>
      <c r="E19" s="23"/>
      <c r="F19" s="1"/>
      <c r="G19" s="1"/>
      <c r="H19" s="1"/>
    </row>
    <row r="20" spans="1:8" ht="16.5" thickBot="1">
      <c r="A20" s="1"/>
      <c r="B20" s="19" t="s">
        <v>7</v>
      </c>
      <c r="C20" s="169" t="s">
        <v>285</v>
      </c>
      <c r="D20" s="170"/>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lmerner@wellingtonnorthpower.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codeName="Sheet6"/>
  <dimension ref="A1:U147"/>
  <sheetViews>
    <sheetView showGridLines="0" tabSelected="1" view="pageBreakPreview" zoomScale="60" zoomScalePageLayoutView="0" workbookViewId="0" topLeftCell="A1">
      <selection activeCell="A1" sqref="A1"/>
    </sheetView>
  </sheetViews>
  <sheetFormatPr defaultColWidth="9.140625" defaultRowHeight="12.75"/>
  <cols>
    <col min="1" max="1" width="17.57421875" style="7" customWidth="1"/>
    <col min="2" max="2" width="41.8515625" style="7"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4" t="s">
        <v>12</v>
      </c>
      <c r="C1" s="174"/>
      <c r="D1" s="174"/>
      <c r="E1" s="174"/>
      <c r="F1" s="174"/>
      <c r="G1" s="174"/>
      <c r="H1" s="174"/>
      <c r="I1" s="174"/>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v>52</v>
      </c>
      <c r="G6" s="92">
        <v>162</v>
      </c>
      <c r="H6" s="92">
        <f>2859+20</f>
        <v>2879</v>
      </c>
      <c r="I6" s="92">
        <v>0</v>
      </c>
      <c r="J6" s="92">
        <v>0</v>
      </c>
      <c r="K6" s="33">
        <f>SUM(D6:J6)</f>
        <v>3093</v>
      </c>
    </row>
    <row r="7" ht="12.75"/>
    <row r="8" spans="1:11" ht="12.75">
      <c r="A8" s="5"/>
      <c r="B8" s="31" t="s">
        <v>18</v>
      </c>
      <c r="C8" s="31"/>
      <c r="D8" s="32"/>
      <c r="E8" s="32"/>
      <c r="F8" s="32">
        <v>10</v>
      </c>
      <c r="G8" s="32">
        <v>109</v>
      </c>
      <c r="H8" s="32">
        <v>363</v>
      </c>
      <c r="I8" s="32">
        <v>0</v>
      </c>
      <c r="J8" s="32">
        <v>0</v>
      </c>
      <c r="K8" s="33">
        <f>SUM(D8:J8)</f>
        <v>482</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62</v>
      </c>
      <c r="G10" s="35">
        <f t="shared" si="0"/>
        <v>271</v>
      </c>
      <c r="H10" s="35">
        <f t="shared" si="0"/>
        <v>3242</v>
      </c>
      <c r="I10" s="35">
        <f t="shared" si="0"/>
        <v>0</v>
      </c>
      <c r="J10" s="35">
        <f t="shared" si="0"/>
        <v>0</v>
      </c>
      <c r="K10" s="35">
        <f t="shared" si="0"/>
        <v>3575</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0.017342657342657344</v>
      </c>
      <c r="G12" s="85">
        <f>IF(ISERROR(SUM($D10:G10)/$K10),0,SUM($D10:G10)/$K10)</f>
        <v>0.09314685314685314</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v>0</v>
      </c>
      <c r="G14" s="32">
        <v>0</v>
      </c>
      <c r="H14" s="32">
        <v>0</v>
      </c>
      <c r="I14" s="32">
        <v>0</v>
      </c>
      <c r="J14" s="32">
        <v>0</v>
      </c>
      <c r="K14" s="33">
        <f>SUM(D14:J14)</f>
        <v>0</v>
      </c>
    </row>
    <row r="16" spans="1:11" ht="13.5" thickBot="1">
      <c r="A16" s="5"/>
      <c r="B16" s="57" t="s">
        <v>208</v>
      </c>
      <c r="C16" s="31"/>
      <c r="D16" s="36">
        <f aca="true" t="shared" si="1" ref="D16:J16">SUM(D10,D14)</f>
        <v>0</v>
      </c>
      <c r="E16" s="36">
        <f t="shared" si="1"/>
        <v>0</v>
      </c>
      <c r="F16" s="36">
        <f t="shared" si="1"/>
        <v>62</v>
      </c>
      <c r="G16" s="36">
        <f t="shared" si="1"/>
        <v>271</v>
      </c>
      <c r="H16" s="36">
        <f t="shared" si="1"/>
        <v>3242</v>
      </c>
      <c r="I16" s="36">
        <f t="shared" si="1"/>
        <v>0</v>
      </c>
      <c r="J16" s="36">
        <f t="shared" si="1"/>
        <v>0</v>
      </c>
      <c r="K16" s="36">
        <f>SUM(D16:J16)</f>
        <v>3575</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v>0</v>
      </c>
      <c r="G21" s="32">
        <v>0</v>
      </c>
      <c r="H21" s="32">
        <v>6</v>
      </c>
      <c r="I21" s="32">
        <v>0</v>
      </c>
      <c r="J21" s="32">
        <v>0</v>
      </c>
      <c r="K21" s="33">
        <f>SUM(D21:J21)</f>
        <v>6</v>
      </c>
    </row>
    <row r="22" ht="12.75">
      <c r="U22" s="7"/>
    </row>
    <row r="23" spans="1:11" ht="12.75">
      <c r="A23" s="5"/>
      <c r="B23" s="31" t="s">
        <v>23</v>
      </c>
      <c r="C23" s="31"/>
      <c r="D23" s="32"/>
      <c r="E23" s="32"/>
      <c r="F23" s="32">
        <v>0</v>
      </c>
      <c r="G23" s="32">
        <v>0</v>
      </c>
      <c r="H23" s="32">
        <v>3</v>
      </c>
      <c r="I23" s="32">
        <v>0</v>
      </c>
      <c r="J23" s="32">
        <v>0</v>
      </c>
      <c r="K23" s="33">
        <f>SUM(D23:J23)</f>
        <v>3</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162" t="s">
        <v>286</v>
      </c>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f>16300.77-E93</f>
        <v>0</v>
      </c>
      <c r="F39" s="42">
        <f>105049.49+8991.04-16300.77-F45-F53-F93-F85</f>
        <v>58859.159999999996</v>
      </c>
      <c r="G39" s="42">
        <f>81491.76+28+1275.69+8098.63-G41-G43-G45-G53-G56-G59-G67-G69-G71-G78-G85-G87-G89-G91-G93-G95</f>
        <v>37146.89</v>
      </c>
      <c r="H39" s="42">
        <f>440690.32+1135.53+52976.56+489.85+28833.96+86.13+4664.72+(20*125)+6714.55+2773.14+1400+133.6+550.18+15206.4+9888.12+4494.6+127807+127807+20000+7000-H41-H43-H45-H53-H56-H67-H69-H71-H78-H85-H87-H89-H91-H93-H95</f>
        <v>712886.66</v>
      </c>
      <c r="I39" s="42">
        <f>7000+(125*250)+90000</f>
        <v>128250</v>
      </c>
      <c r="J39" s="42">
        <f>+(100*125)</f>
        <v>12500</v>
      </c>
      <c r="K39" s="43">
        <f>SUM(D39:J39)</f>
        <v>949642.71</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f>3288.6+1032.06+45.54+7.97+6.69+7.97+210.55+5.21+156+2048+9.2+9.2+1.6+8+237.59+49.67</f>
        <v>7123.85</v>
      </c>
      <c r="H41" s="42">
        <f>350.35+692.56+4.97+140.4+6.48+5.21+14.27+263.5+4731.8+16812.97+15172.79+86.13+936.65+3731.32</f>
        <v>42949.4</v>
      </c>
      <c r="I41" s="42"/>
      <c r="J41" s="42"/>
      <c r="K41" s="43">
        <f>SUM(D41:J41)</f>
        <v>50073.25</v>
      </c>
      <c r="U41" s="83"/>
    </row>
    <row r="42" spans="1:11" ht="22.5">
      <c r="A42" s="5"/>
      <c r="B42" s="44" t="s">
        <v>31</v>
      </c>
      <c r="C42" s="44"/>
      <c r="D42" s="175"/>
      <c r="E42" s="175"/>
      <c r="F42" s="175"/>
      <c r="G42" s="175"/>
      <c r="H42" s="175"/>
      <c r="I42" s="175"/>
      <c r="J42" s="80"/>
      <c r="K42" s="5"/>
    </row>
    <row r="43" spans="1:11" ht="15.75">
      <c r="A43" s="5"/>
      <c r="B43" s="41" t="s">
        <v>32</v>
      </c>
      <c r="C43" s="86" t="s">
        <v>9</v>
      </c>
      <c r="D43" s="42"/>
      <c r="E43" s="42"/>
      <c r="F43" s="42"/>
      <c r="G43" s="42"/>
      <c r="H43" s="42"/>
      <c r="I43" s="42"/>
      <c r="J43" s="42"/>
      <c r="K43" s="43">
        <f>SUM(D43:J43)</f>
        <v>0</v>
      </c>
    </row>
    <row r="44" spans="1:11" ht="22.5">
      <c r="A44" s="5"/>
      <c r="B44" s="44" t="s">
        <v>33</v>
      </c>
      <c r="C44" s="44"/>
      <c r="D44" s="175"/>
      <c r="E44" s="175"/>
      <c r="F44" s="175"/>
      <c r="G44" s="175"/>
      <c r="H44" s="175"/>
      <c r="I44" s="175"/>
      <c r="J44" s="80"/>
      <c r="K44" s="5"/>
    </row>
    <row r="45" spans="1:11" ht="15.75">
      <c r="A45" s="5"/>
      <c r="B45" s="41" t="s">
        <v>34</v>
      </c>
      <c r="C45" s="86" t="s">
        <v>10</v>
      </c>
      <c r="D45" s="42"/>
      <c r="E45" s="42"/>
      <c r="F45" s="42">
        <f>12150+990.02</f>
        <v>13140.02</v>
      </c>
      <c r="G45" s="42">
        <f>6075+6075</f>
        <v>12150</v>
      </c>
      <c r="H45" s="42"/>
      <c r="I45" s="42"/>
      <c r="J45" s="42"/>
      <c r="K45" s="43">
        <f>SUM(D45:J45)</f>
        <v>25290.02</v>
      </c>
    </row>
    <row r="46" spans="1:11" ht="22.5">
      <c r="A46" s="5"/>
      <c r="B46" s="44" t="s">
        <v>33</v>
      </c>
      <c r="C46" s="44"/>
      <c r="D46" s="175"/>
      <c r="E46" s="175"/>
      <c r="F46" s="175"/>
      <c r="G46" s="175"/>
      <c r="H46" s="175"/>
      <c r="I46" s="175"/>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71999.18</v>
      </c>
      <c r="G48" s="45">
        <f t="shared" si="6"/>
        <v>56420.74</v>
      </c>
      <c r="H48" s="45">
        <f t="shared" si="6"/>
        <v>755836.06</v>
      </c>
      <c r="I48" s="45">
        <f t="shared" si="6"/>
        <v>128250</v>
      </c>
      <c r="J48" s="45">
        <f t="shared" si="6"/>
        <v>12500</v>
      </c>
      <c r="K48" s="45">
        <f t="shared" si="6"/>
        <v>1025005.98</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162" t="s">
        <v>287</v>
      </c>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f>210.6+210+105.3</f>
        <v>525.9</v>
      </c>
      <c r="G53" s="42"/>
      <c r="H53" s="42"/>
      <c r="I53" s="42"/>
      <c r="J53" s="42"/>
      <c r="K53" s="46">
        <f>SUM(D53:J53)</f>
        <v>525.9</v>
      </c>
    </row>
    <row r="54" spans="1:11" ht="12.75">
      <c r="A54" s="5"/>
      <c r="B54" s="44"/>
      <c r="C54" s="44"/>
      <c r="D54" s="175"/>
      <c r="E54" s="175"/>
      <c r="F54" s="175"/>
      <c r="G54" s="175"/>
      <c r="H54" s="175"/>
      <c r="I54" s="175"/>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75"/>
      <c r="E57" s="175"/>
      <c r="F57" s="175"/>
      <c r="G57" s="175"/>
      <c r="H57" s="175"/>
      <c r="I57" s="175"/>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f>900.37+285.12+58.33+363+148.5+432+216+27.64+448.5+31.6+47.2+508.07+439.87+110.5+65.08+371.88+3300</f>
        <v>7753.659999999999</v>
      </c>
      <c r="H59" s="42">
        <f>8100+1683.72+1130.11+43.83+334.75+123.1+1440+320+200+673.98+1280+389+247+2789+1416+2789+1132.5+1132.5+341.21+86.5+114+172.57+56.5+119+114+965.57+148</f>
        <v>27341.839999999997</v>
      </c>
      <c r="I59" s="42"/>
      <c r="J59" s="42"/>
      <c r="K59" s="46">
        <f>SUM(D59:J59)</f>
        <v>35095.49999999999</v>
      </c>
    </row>
    <row r="60" spans="1:11" ht="22.5">
      <c r="A60" s="5"/>
      <c r="B60" s="44" t="s">
        <v>41</v>
      </c>
      <c r="C60" s="44"/>
      <c r="D60" s="175"/>
      <c r="E60" s="175"/>
      <c r="F60" s="175"/>
      <c r="G60" s="175"/>
      <c r="H60" s="175"/>
      <c r="I60" s="175"/>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525.9</v>
      </c>
      <c r="G62" s="45">
        <f t="shared" si="9"/>
        <v>7753.659999999999</v>
      </c>
      <c r="H62" s="45">
        <f t="shared" si="9"/>
        <v>27341.839999999997</v>
      </c>
      <c r="I62" s="45">
        <f t="shared" si="9"/>
        <v>0</v>
      </c>
      <c r="J62" s="45">
        <f t="shared" si="9"/>
        <v>0</v>
      </c>
      <c r="K62" s="45">
        <f t="shared" si="9"/>
        <v>35621.399999999994</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162" t="s">
        <v>288</v>
      </c>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c r="H67" s="42">
        <f>96.12+216+16621.2+432+131.75+16621.2+131.75</f>
        <v>34250.020000000004</v>
      </c>
      <c r="I67" s="42"/>
      <c r="J67" s="42"/>
      <c r="K67" s="46">
        <f>SUM(D67:J67)</f>
        <v>34250.020000000004</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f>1500+147.2+156.15+75.17+1755.26+69.2+85+174.5+21600+5099.41+121+142.21</f>
        <v>30925.1</v>
      </c>
      <c r="I69" s="42"/>
      <c r="J69" s="42"/>
      <c r="K69" s="46">
        <f>SUM(D69:J69)</f>
        <v>30925.1</v>
      </c>
    </row>
    <row r="70" spans="1:11" ht="12.75">
      <c r="A70" s="5"/>
      <c r="B70" s="44"/>
      <c r="C70" s="44"/>
      <c r="D70" s="175"/>
      <c r="E70" s="175"/>
      <c r="F70" s="175"/>
      <c r="G70" s="175"/>
      <c r="H70" s="175"/>
      <c r="I70" s="175"/>
      <c r="J70" s="80"/>
      <c r="K70" s="5"/>
    </row>
    <row r="71" spans="1:11" ht="15.75">
      <c r="A71" s="5"/>
      <c r="B71" s="41" t="s">
        <v>46</v>
      </c>
      <c r="C71" s="86" t="s">
        <v>10</v>
      </c>
      <c r="D71" s="42"/>
      <c r="E71" s="42"/>
      <c r="F71" s="42"/>
      <c r="G71" s="42"/>
      <c r="H71" s="42"/>
      <c r="I71" s="42"/>
      <c r="J71" s="42"/>
      <c r="K71" s="46">
        <f>SUM(D71:J71)</f>
        <v>0</v>
      </c>
    </row>
    <row r="72" spans="1:11" ht="22.5">
      <c r="A72" s="5"/>
      <c r="B72" s="44" t="s">
        <v>47</v>
      </c>
      <c r="C72" s="44"/>
      <c r="D72" s="175"/>
      <c r="E72" s="175"/>
      <c r="F72" s="175"/>
      <c r="G72" s="175"/>
      <c r="H72" s="175"/>
      <c r="I72" s="175"/>
      <c r="J72" s="80"/>
      <c r="K72" s="5"/>
    </row>
    <row r="73" spans="1:11" ht="13.5" thickBot="1">
      <c r="A73" s="5"/>
      <c r="B73" s="41" t="s">
        <v>48</v>
      </c>
      <c r="C73" s="41"/>
      <c r="D73" s="45">
        <f aca="true" t="shared" si="12" ref="D73:K73">SUM(D67,D69,D71)</f>
        <v>0</v>
      </c>
      <c r="E73" s="45">
        <f t="shared" si="12"/>
        <v>0</v>
      </c>
      <c r="F73" s="45">
        <f t="shared" si="12"/>
        <v>0</v>
      </c>
      <c r="G73" s="45">
        <f t="shared" si="12"/>
        <v>0</v>
      </c>
      <c r="H73" s="45">
        <f>SUM(H67,H69,H71)</f>
        <v>65175.12</v>
      </c>
      <c r="I73" s="45">
        <f>SUM(I67,I69,I71)</f>
        <v>0</v>
      </c>
      <c r="J73" s="45">
        <f t="shared" si="12"/>
        <v>0</v>
      </c>
      <c r="K73" s="45">
        <f t="shared" si="12"/>
        <v>65175.12</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v>0</v>
      </c>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f>4006.89+645.8+2722.42+1615.93</f>
        <v>8991.039999999999</v>
      </c>
      <c r="G85" s="42"/>
      <c r="H85" s="42">
        <f>645+355+145+341+124+700+700+700+700+4200+700+700+700+700+700+700</f>
        <v>12810</v>
      </c>
      <c r="I85" s="42"/>
      <c r="J85" s="42"/>
      <c r="K85" s="46">
        <f>SUM(D85:J85)</f>
        <v>21801.04</v>
      </c>
    </row>
    <row r="86" spans="1:11" ht="12.75">
      <c r="A86" s="5"/>
      <c r="B86" s="44"/>
      <c r="C86" s="44"/>
      <c r="D86" s="175"/>
      <c r="E86" s="175"/>
      <c r="F86" s="175"/>
      <c r="G86" s="175"/>
      <c r="H86" s="175"/>
      <c r="I86" s="175"/>
      <c r="J86" s="80"/>
      <c r="K86" s="5"/>
    </row>
    <row r="87" spans="1:11" ht="15.75">
      <c r="A87" s="5"/>
      <c r="B87" s="41" t="s">
        <v>54</v>
      </c>
      <c r="C87" s="86" t="s">
        <v>10</v>
      </c>
      <c r="D87" s="42"/>
      <c r="E87" s="42"/>
      <c r="F87" s="42"/>
      <c r="G87" s="42"/>
      <c r="H87" s="42"/>
      <c r="I87" s="42"/>
      <c r="J87" s="42"/>
      <c r="K87" s="46">
        <f>SUM(D87:J87)</f>
        <v>0</v>
      </c>
    </row>
    <row r="88" spans="1:11" ht="12.75">
      <c r="A88" s="5"/>
      <c r="B88" s="44"/>
      <c r="C88" s="44"/>
      <c r="D88" s="175"/>
      <c r="E88" s="175"/>
      <c r="F88" s="175"/>
      <c r="G88" s="175"/>
      <c r="H88" s="175"/>
      <c r="I88" s="175"/>
      <c r="J88" s="80"/>
      <c r="K88" s="5"/>
    </row>
    <row r="89" spans="1:11" ht="15.75">
      <c r="A89" s="5"/>
      <c r="B89" s="41" t="s">
        <v>55</v>
      </c>
      <c r="C89" s="86" t="s">
        <v>10</v>
      </c>
      <c r="D89" s="42"/>
      <c r="E89" s="42"/>
      <c r="F89" s="42"/>
      <c r="G89" s="42">
        <f>571.18+477.6+114.56+486.54+3793.34</f>
        <v>5443.22</v>
      </c>
      <c r="H89" s="42">
        <f>72.5+5767.36+2098.12+165+675.54+625+637.4</f>
        <v>10040.92</v>
      </c>
      <c r="I89" s="42"/>
      <c r="J89" s="42"/>
      <c r="K89" s="46">
        <f>SUM(D89:J89)</f>
        <v>15484.14</v>
      </c>
    </row>
    <row r="90" spans="1:11" ht="12.75">
      <c r="A90" s="5"/>
      <c r="B90" s="44"/>
      <c r="C90" s="44"/>
      <c r="D90" s="175"/>
      <c r="E90" s="175"/>
      <c r="F90" s="175"/>
      <c r="G90" s="175"/>
      <c r="H90" s="175"/>
      <c r="I90" s="175"/>
      <c r="J90" s="80"/>
      <c r="K90" s="5"/>
    </row>
    <row r="91" spans="1:11" ht="15.75">
      <c r="A91" s="5"/>
      <c r="B91" s="41" t="s">
        <v>56</v>
      </c>
      <c r="C91" s="86" t="s">
        <v>10</v>
      </c>
      <c r="D91" s="42"/>
      <c r="E91" s="42"/>
      <c r="F91" s="42"/>
      <c r="G91" s="42">
        <f>145+2000+69.95+136.5</f>
        <v>2351.45</v>
      </c>
      <c r="H91" s="42"/>
      <c r="I91" s="42"/>
      <c r="J91" s="42"/>
      <c r="K91" s="46">
        <f>SUM(D91:J91)</f>
        <v>2351.45</v>
      </c>
    </row>
    <row r="92" spans="1:11" ht="12.75">
      <c r="A92" s="5"/>
      <c r="B92" s="44"/>
      <c r="C92" s="44"/>
      <c r="D92" s="175"/>
      <c r="E92" s="175"/>
      <c r="F92" s="175"/>
      <c r="G92" s="175"/>
      <c r="H92" s="175"/>
      <c r="I92" s="175"/>
      <c r="J92" s="80"/>
      <c r="K92" s="5"/>
    </row>
    <row r="93" spans="1:11" ht="15.75">
      <c r="A93" s="5"/>
      <c r="B93" s="41" t="s">
        <v>57</v>
      </c>
      <c r="C93" s="86" t="s">
        <v>10</v>
      </c>
      <c r="D93" s="42"/>
      <c r="E93" s="42">
        <f>3963.01+4246.49+3967.51+4123.76</f>
        <v>16300.77</v>
      </c>
      <c r="F93" s="42">
        <f>3985.07+3985.64+4048.27+159.49+4045.17</f>
        <v>16223.64</v>
      </c>
      <c r="G93" s="42">
        <f>4585.76+4297.83+4019.35+3970.28+1000.29+915+136.5</f>
        <v>18925.010000000002</v>
      </c>
      <c r="H93" s="42">
        <f>350+4552.1+3083.91+1495.98+1807.57</f>
        <v>11289.56</v>
      </c>
      <c r="I93" s="42"/>
      <c r="J93" s="42"/>
      <c r="K93" s="46">
        <f>SUM(D93:J93)</f>
        <v>62738.979999999996</v>
      </c>
    </row>
    <row r="94" spans="1:11" ht="12.75">
      <c r="A94" s="5"/>
      <c r="B94" s="44"/>
      <c r="D94" s="175"/>
      <c r="E94" s="175"/>
      <c r="F94" s="175"/>
      <c r="G94" s="175"/>
      <c r="H94" s="175"/>
      <c r="I94" s="175"/>
      <c r="J94" s="80"/>
      <c r="K94" s="5"/>
    </row>
    <row r="95" spans="1:11" ht="15.75">
      <c r="A95" s="5"/>
      <c r="B95" s="41" t="s">
        <v>58</v>
      </c>
      <c r="C95" s="86" t="s">
        <v>10</v>
      </c>
      <c r="D95" s="42"/>
      <c r="E95" s="42"/>
      <c r="F95" s="42"/>
      <c r="G95" s="42"/>
      <c r="H95" s="42"/>
      <c r="I95" s="42"/>
      <c r="J95" s="42"/>
      <c r="K95" s="46">
        <f>SUM(D95:J95)</f>
        <v>0</v>
      </c>
    </row>
    <row r="96" spans="1:11" ht="12.75">
      <c r="A96" s="5"/>
      <c r="B96" s="44"/>
      <c r="D96" s="175"/>
      <c r="E96" s="175"/>
      <c r="F96" s="175"/>
      <c r="G96" s="175"/>
      <c r="H96" s="175"/>
      <c r="I96" s="175"/>
      <c r="J96" s="80"/>
      <c r="K96" s="5"/>
    </row>
    <row r="97" spans="1:11" ht="13.5" thickBot="1">
      <c r="A97" s="5"/>
      <c r="B97" s="41" t="s">
        <v>59</v>
      </c>
      <c r="C97" s="41"/>
      <c r="D97" s="45">
        <f aca="true" t="shared" si="18" ref="D97:K97">SUM(D85,D87,D89,D91,D95,D93)</f>
        <v>0</v>
      </c>
      <c r="E97" s="45">
        <f t="shared" si="18"/>
        <v>16300.77</v>
      </c>
      <c r="F97" s="45">
        <f t="shared" si="18"/>
        <v>25214.68</v>
      </c>
      <c r="G97" s="45">
        <f t="shared" si="18"/>
        <v>26719.68</v>
      </c>
      <c r="H97" s="45">
        <f t="shared" si="18"/>
        <v>34140.479999999996</v>
      </c>
      <c r="I97" s="45">
        <f t="shared" si="18"/>
        <v>0</v>
      </c>
      <c r="J97" s="45">
        <f t="shared" si="18"/>
        <v>0</v>
      </c>
      <c r="K97" s="45">
        <f t="shared" si="18"/>
        <v>102375.60999999999</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16300.77</v>
      </c>
      <c r="F99" s="49">
        <f t="shared" si="19"/>
        <v>97739.75999999998</v>
      </c>
      <c r="G99" s="49">
        <f t="shared" si="19"/>
        <v>90894.07999999999</v>
      </c>
      <c r="H99" s="49">
        <f t="shared" si="19"/>
        <v>882493.5</v>
      </c>
      <c r="I99" s="49">
        <f t="shared" si="19"/>
        <v>128250</v>
      </c>
      <c r="J99" s="49">
        <f t="shared" si="19"/>
        <v>12500</v>
      </c>
      <c r="K99" s="49">
        <f t="shared" si="19"/>
        <v>1228178.1099999999</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f>674.41-F136</f>
        <v>0</v>
      </c>
      <c r="G105" s="42">
        <f>87+540.55-G136</f>
        <v>0</v>
      </c>
      <c r="H105" s="42">
        <f>725.68+6000+600</f>
        <v>7325.68</v>
      </c>
      <c r="I105" s="42">
        <f>11371.8+600+1500+11371.8</f>
        <v>24843.6</v>
      </c>
      <c r="J105" s="42"/>
      <c r="K105" s="46">
        <f>SUM(D105:J105)</f>
        <v>32169.28</v>
      </c>
    </row>
    <row r="106" spans="1:11" ht="12.75">
      <c r="A106" s="5"/>
      <c r="B106" s="44" t="s">
        <v>64</v>
      </c>
      <c r="C106" s="44"/>
      <c r="D106" s="175"/>
      <c r="E106" s="175"/>
      <c r="F106" s="175"/>
      <c r="G106" s="175"/>
      <c r="H106" s="175"/>
      <c r="I106" s="175"/>
      <c r="J106" s="80"/>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7325.68</v>
      </c>
      <c r="I107" s="45">
        <f t="shared" si="22"/>
        <v>24843.6</v>
      </c>
      <c r="J107" s="45">
        <f t="shared" si="22"/>
        <v>0</v>
      </c>
      <c r="K107" s="45">
        <f t="shared" si="22"/>
        <v>32169.28</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75"/>
      <c r="E111" s="175"/>
      <c r="F111" s="175"/>
      <c r="G111" s="175"/>
      <c r="H111" s="175"/>
      <c r="I111" s="175"/>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75"/>
      <c r="E117" s="175"/>
      <c r="F117" s="175"/>
      <c r="G117" s="175"/>
      <c r="H117" s="175"/>
      <c r="I117" s="175"/>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c r="I119" s="42"/>
      <c r="J119" s="42"/>
      <c r="K119" s="46">
        <f>SUM(D119:J119)</f>
        <v>0</v>
      </c>
    </row>
    <row r="120" spans="1:11" ht="12.75">
      <c r="A120" s="5"/>
      <c r="B120" s="44" t="s">
        <v>72</v>
      </c>
      <c r="C120" s="44"/>
      <c r="D120" s="175"/>
      <c r="E120" s="175"/>
      <c r="F120" s="175"/>
      <c r="G120" s="175"/>
      <c r="H120" s="175"/>
      <c r="I120" s="175"/>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0</v>
      </c>
      <c r="H122" s="45">
        <f t="shared" si="24"/>
        <v>0</v>
      </c>
      <c r="I122" s="45">
        <f t="shared" si="24"/>
        <v>0</v>
      </c>
      <c r="J122" s="45">
        <f t="shared" si="24"/>
        <v>0</v>
      </c>
      <c r="K122" s="45">
        <f t="shared" si="24"/>
        <v>0</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c r="I126" s="42"/>
      <c r="J126" s="42"/>
      <c r="K126" s="46">
        <f>SUM(D126:J126)</f>
        <v>0</v>
      </c>
    </row>
    <row r="127" spans="1:11" ht="12.75">
      <c r="A127" s="5"/>
      <c r="B127" s="44" t="s">
        <v>75</v>
      </c>
      <c r="C127" s="44"/>
      <c r="D127" s="175"/>
      <c r="E127" s="175"/>
      <c r="F127" s="175"/>
      <c r="G127" s="175"/>
      <c r="H127" s="175"/>
      <c r="I127" s="175"/>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0</v>
      </c>
      <c r="I129" s="45">
        <f t="shared" si="25"/>
        <v>0</v>
      </c>
      <c r="J129" s="45">
        <f t="shared" si="25"/>
        <v>0</v>
      </c>
      <c r="K129" s="45">
        <f t="shared" si="25"/>
        <v>0</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75"/>
      <c r="E133" s="175"/>
      <c r="F133" s="175"/>
      <c r="G133" s="175"/>
      <c r="H133" s="175"/>
      <c r="I133" s="175"/>
      <c r="J133" s="80"/>
      <c r="K133" s="5"/>
    </row>
    <row r="134" spans="1:11" ht="12.75">
      <c r="A134" s="5"/>
      <c r="B134" s="41" t="s">
        <v>79</v>
      </c>
      <c r="C134" s="41"/>
      <c r="D134" s="42"/>
      <c r="E134" s="42"/>
      <c r="F134" s="42"/>
      <c r="G134" s="42"/>
      <c r="H134" s="42"/>
      <c r="I134" s="42"/>
      <c r="J134" s="42"/>
      <c r="K134" s="46">
        <f>SUM(D134:J134)</f>
        <v>0</v>
      </c>
    </row>
    <row r="135" spans="1:11" ht="12.75">
      <c r="A135" s="5"/>
      <c r="B135" s="44" t="s">
        <v>80</v>
      </c>
      <c r="C135" s="44"/>
      <c r="D135" s="175"/>
      <c r="E135" s="175"/>
      <c r="F135" s="175"/>
      <c r="G135" s="175"/>
      <c r="H135" s="175"/>
      <c r="I135" s="175"/>
      <c r="J135" s="80"/>
      <c r="K135" s="5"/>
    </row>
    <row r="136" spans="1:11" ht="12.75">
      <c r="A136" s="5"/>
      <c r="B136" s="41" t="s">
        <v>81</v>
      </c>
      <c r="C136" s="41"/>
      <c r="D136" s="42"/>
      <c r="E136" s="42"/>
      <c r="F136" s="42">
        <v>674.41</v>
      </c>
      <c r="G136" s="42">
        <f>87+540.55</f>
        <v>627.55</v>
      </c>
      <c r="H136" s="42">
        <v>725.68</v>
      </c>
      <c r="I136" s="42"/>
      <c r="J136" s="42"/>
      <c r="K136" s="46">
        <f>SUM(D136:J136)</f>
        <v>2027.6399999999999</v>
      </c>
    </row>
    <row r="137" spans="1:11" ht="12.75">
      <c r="A137" s="5"/>
      <c r="B137" s="44"/>
      <c r="C137" s="44"/>
      <c r="D137" s="175"/>
      <c r="E137" s="175"/>
      <c r="F137" s="175"/>
      <c r="G137" s="175"/>
      <c r="H137" s="175"/>
      <c r="I137" s="175"/>
      <c r="J137" s="80"/>
      <c r="K137" s="5"/>
    </row>
    <row r="138" spans="1:11" ht="12.75">
      <c r="A138" s="5"/>
      <c r="B138" s="41" t="s">
        <v>82</v>
      </c>
      <c r="C138" s="41"/>
      <c r="D138" s="42"/>
      <c r="E138" s="42"/>
      <c r="F138" s="42"/>
      <c r="G138" s="42"/>
      <c r="H138" s="42"/>
      <c r="I138" s="42"/>
      <c r="J138" s="42"/>
      <c r="K138" s="46">
        <f>SUM(D138:J138)</f>
        <v>0</v>
      </c>
    </row>
    <row r="139" spans="1:11" ht="12.75">
      <c r="A139" s="5"/>
      <c r="B139" s="44" t="s">
        <v>83</v>
      </c>
      <c r="C139" s="44"/>
      <c r="D139" s="175"/>
      <c r="E139" s="175"/>
      <c r="F139" s="175"/>
      <c r="G139" s="175"/>
      <c r="H139" s="175"/>
      <c r="I139" s="175"/>
      <c r="J139" s="80"/>
      <c r="K139" s="5"/>
    </row>
    <row r="140" spans="1:11" ht="12.75">
      <c r="A140" s="5"/>
      <c r="B140" s="41" t="s">
        <v>84</v>
      </c>
      <c r="C140" s="41"/>
      <c r="D140" s="42"/>
      <c r="E140" s="42"/>
      <c r="F140" s="42"/>
      <c r="G140" s="42"/>
      <c r="H140" s="42"/>
      <c r="I140" s="42"/>
      <c r="J140" s="42"/>
      <c r="K140" s="46">
        <f>SUM(D140:J140)</f>
        <v>0</v>
      </c>
    </row>
    <row r="141" spans="1:11" ht="12.75">
      <c r="A141" s="5"/>
      <c r="B141" s="44"/>
      <c r="C141" s="44"/>
      <c r="D141" s="175"/>
      <c r="E141" s="175"/>
      <c r="F141" s="175"/>
      <c r="G141" s="175"/>
      <c r="H141" s="175"/>
      <c r="I141" s="175"/>
      <c r="J141" s="80"/>
      <c r="K141" s="5"/>
    </row>
    <row r="142" spans="1:11" ht="12.75">
      <c r="A142" s="5"/>
      <c r="B142" s="41" t="s">
        <v>85</v>
      </c>
      <c r="C142" s="41"/>
      <c r="D142" s="42"/>
      <c r="E142" s="42"/>
      <c r="F142" s="42"/>
      <c r="G142" s="42"/>
      <c r="H142" s="42"/>
      <c r="I142" s="42"/>
      <c r="J142" s="42"/>
      <c r="K142" s="46">
        <f>SUM(D142:J142)</f>
        <v>0</v>
      </c>
    </row>
    <row r="143" spans="1:11" ht="12.75">
      <c r="A143" s="5"/>
      <c r="B143" s="44"/>
      <c r="C143" s="44"/>
      <c r="D143" s="175"/>
      <c r="E143" s="175"/>
      <c r="F143" s="175"/>
      <c r="G143" s="175"/>
      <c r="H143" s="175"/>
      <c r="I143" s="175"/>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674.41</v>
      </c>
      <c r="G145" s="45">
        <f t="shared" si="26"/>
        <v>627.55</v>
      </c>
      <c r="H145" s="45">
        <f t="shared" si="26"/>
        <v>725.68</v>
      </c>
      <c r="I145" s="45">
        <f t="shared" si="26"/>
        <v>0</v>
      </c>
      <c r="J145" s="45">
        <f t="shared" si="26"/>
        <v>0</v>
      </c>
      <c r="K145" s="45">
        <f t="shared" si="26"/>
        <v>2027.6399999999999</v>
      </c>
    </row>
    <row r="147" spans="2:11" ht="18.75" thickBot="1">
      <c r="B147" s="28" t="s">
        <v>87</v>
      </c>
      <c r="C147" s="28"/>
      <c r="D147" s="51">
        <f aca="true" t="shared" si="27" ref="D147:K147">SUM(D107,D113,D122,D129,D145)</f>
        <v>0</v>
      </c>
      <c r="E147" s="51">
        <f t="shared" si="27"/>
        <v>0</v>
      </c>
      <c r="F147" s="51">
        <f t="shared" si="27"/>
        <v>674.41</v>
      </c>
      <c r="G147" s="51">
        <f t="shared" si="27"/>
        <v>627.55</v>
      </c>
      <c r="H147" s="51">
        <f t="shared" si="27"/>
        <v>8051.360000000001</v>
      </c>
      <c r="I147" s="51">
        <f t="shared" si="27"/>
        <v>24843.6</v>
      </c>
      <c r="J147" s="51">
        <f t="shared" si="27"/>
        <v>0</v>
      </c>
      <c r="K147" s="51">
        <f t="shared" si="27"/>
        <v>34196.92</v>
      </c>
    </row>
    <row r="148" ht="13.5" thickTop="1"/>
  </sheetData>
  <sheetProtection formatColumns="0" selectLockedCells="1"/>
  <mergeCells count="26">
    <mergeCell ref="D143:I143"/>
    <mergeCell ref="D135:I135"/>
    <mergeCell ref="D137:I137"/>
    <mergeCell ref="D120:I120"/>
    <mergeCell ref="D127:I127"/>
    <mergeCell ref="D133:I133"/>
    <mergeCell ref="D139:I139"/>
    <mergeCell ref="D141:I141"/>
    <mergeCell ref="D90:I90"/>
    <mergeCell ref="D92:I92"/>
    <mergeCell ref="D96:I96"/>
    <mergeCell ref="D88:I88"/>
    <mergeCell ref="D117:I117"/>
    <mergeCell ref="D106:I106"/>
    <mergeCell ref="D111:I111"/>
    <mergeCell ref="D94:I94"/>
    <mergeCell ref="D86:I86"/>
    <mergeCell ref="D46:I46"/>
    <mergeCell ref="D60:I60"/>
    <mergeCell ref="D70:I70"/>
    <mergeCell ref="D72:I72"/>
    <mergeCell ref="B1:I1"/>
    <mergeCell ref="D42:I42"/>
    <mergeCell ref="D54:I54"/>
    <mergeCell ref="D57:I57"/>
    <mergeCell ref="D44:I44"/>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3" horizontalDpi="600" verticalDpi="600" orientation="landscape" scale="54"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34" max="10" man="1"/>
    <brk id="100" max="10" man="1"/>
  </rowBreaks>
</worksheet>
</file>

<file path=xl/worksheets/sheet3.xml><?xml version="1.0" encoding="utf-8"?>
<worksheet xmlns="http://schemas.openxmlformats.org/spreadsheetml/2006/main" xmlns:r="http://schemas.openxmlformats.org/officeDocument/2006/relationships">
  <sheetPr codeName="Sheet1">
    <pageSetUpPr fitToPage="1"/>
  </sheetPr>
  <dimension ref="A1:M75"/>
  <sheetViews>
    <sheetView showGridLines="0" zoomScale="80" zoomScaleNormal="80" zoomScalePageLayoutView="0" workbookViewId="0" topLeftCell="B49">
      <selection activeCell="J21" sqref="J21"/>
    </sheetView>
  </sheetViews>
  <sheetFormatPr defaultColWidth="9.140625" defaultRowHeight="12.75"/>
  <cols>
    <col min="1" max="1" width="15.57421875" style="7" customWidth="1"/>
    <col min="2" max="2" width="58.8515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5.7109375" style="7" customWidth="1"/>
    <col min="11" max="16384" width="9.140625" style="7" customWidth="1"/>
  </cols>
  <sheetData>
    <row r="1" spans="1:12" s="3" customFormat="1" ht="21" customHeight="1">
      <c r="A1" s="1"/>
      <c r="B1" s="176" t="s">
        <v>88</v>
      </c>
      <c r="C1" s="176"/>
      <c r="D1" s="176"/>
      <c r="E1" s="176"/>
      <c r="F1" s="176"/>
      <c r="G1" s="176"/>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25.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249</v>
      </c>
      <c r="C14" s="5"/>
      <c r="D14"/>
      <c r="E14" s="123">
        <v>0.04</v>
      </c>
      <c r="F14" s="123">
        <v>0.04</v>
      </c>
      <c r="G14" s="123">
        <v>0.04</v>
      </c>
      <c r="H14" s="123">
        <v>0.04</v>
      </c>
      <c r="I14" s="123">
        <v>0.04</v>
      </c>
      <c r="J14" s="46"/>
      <c r="K14" s="46"/>
      <c r="L14" s="46"/>
    </row>
    <row r="15" spans="1:12" ht="12.75">
      <c r="A15" s="5"/>
      <c r="B15" s="54" t="s">
        <v>276</v>
      </c>
      <c r="C15" s="89">
        <v>0.5</v>
      </c>
      <c r="D15" s="89">
        <v>0.5</v>
      </c>
      <c r="E15" s="89">
        <v>0.493</v>
      </c>
      <c r="F15" s="89">
        <v>0.5267</v>
      </c>
      <c r="G15" s="89">
        <v>0.56</v>
      </c>
      <c r="H15" s="89">
        <v>0.56</v>
      </c>
      <c r="I15" s="89">
        <v>0.56</v>
      </c>
      <c r="J15" s="46"/>
      <c r="K15" s="46"/>
      <c r="L15" s="5"/>
    </row>
    <row r="16" spans="1:12" ht="12.75">
      <c r="A16" s="5"/>
      <c r="B16" s="54" t="s">
        <v>277</v>
      </c>
      <c r="C16" s="90">
        <f>1-C15</f>
        <v>0.5</v>
      </c>
      <c r="D16" s="90">
        <f>1-D15</f>
        <v>0.5</v>
      </c>
      <c r="E16" s="90">
        <f>1-E15-E14</f>
        <v>0.467</v>
      </c>
      <c r="F16" s="90">
        <f>1-F15-F14</f>
        <v>0.4333000000000001</v>
      </c>
      <c r="G16" s="90">
        <f>1-G15-G14</f>
        <v>0.39999999999999997</v>
      </c>
      <c r="H16" s="90">
        <f>1-H15-H14</f>
        <v>0.39999999999999997</v>
      </c>
      <c r="I16" s="90">
        <f>1-I15-I14</f>
        <v>0.39999999999999997</v>
      </c>
      <c r="J16" s="46"/>
      <c r="K16" s="46"/>
      <c r="L16" s="5"/>
    </row>
    <row r="17" ht="12.75"/>
    <row r="18" spans="1:12" ht="12.75">
      <c r="A18" s="5"/>
      <c r="B18" s="54" t="s">
        <v>250</v>
      </c>
      <c r="C18" s="90"/>
      <c r="D18" s="90"/>
      <c r="E18" s="124">
        <v>0.0447</v>
      </c>
      <c r="F18" s="163">
        <v>0.0447</v>
      </c>
      <c r="G18" s="163">
        <v>0.0447</v>
      </c>
      <c r="H18" s="163">
        <v>0.0447</v>
      </c>
      <c r="I18" s="163">
        <v>0.0447</v>
      </c>
      <c r="J18" s="46"/>
      <c r="K18" s="46"/>
      <c r="L18" s="5"/>
    </row>
    <row r="19" spans="1:12" ht="12.75">
      <c r="A19" s="5"/>
      <c r="B19" s="54" t="s">
        <v>278</v>
      </c>
      <c r="C19" s="91">
        <v>0.0725</v>
      </c>
      <c r="D19" s="91">
        <v>0.0725</v>
      </c>
      <c r="E19" s="91">
        <v>0.0625</v>
      </c>
      <c r="F19" s="91">
        <v>0.0625</v>
      </c>
      <c r="G19" s="91">
        <v>0.0625</v>
      </c>
      <c r="H19" s="91">
        <v>0.0625</v>
      </c>
      <c r="I19" s="91">
        <v>0.0625</v>
      </c>
      <c r="J19" s="46"/>
      <c r="K19" s="46"/>
      <c r="L19" s="5"/>
    </row>
    <row r="20" spans="1:12" ht="13.5" customHeight="1">
      <c r="A20" s="5"/>
      <c r="B20" s="54" t="s">
        <v>279</v>
      </c>
      <c r="C20" s="91">
        <v>0.09</v>
      </c>
      <c r="D20" s="91">
        <v>0.09</v>
      </c>
      <c r="E20" s="91">
        <v>0.0857</v>
      </c>
      <c r="F20" s="91">
        <v>0.0801</v>
      </c>
      <c r="G20" s="91">
        <v>0.0801</v>
      </c>
      <c r="H20" s="91">
        <v>0.0801</v>
      </c>
      <c r="I20" s="91">
        <v>0.0801</v>
      </c>
      <c r="J20" s="5"/>
      <c r="K20" s="5"/>
      <c r="L20" s="5"/>
    </row>
    <row r="21" spans="1:12" ht="18" customHeight="1">
      <c r="A21" s="5"/>
      <c r="B21" s="55" t="s">
        <v>94</v>
      </c>
      <c r="C21" s="95">
        <f>(C19*C15)+(C16*C20)</f>
        <v>0.08124999999999999</v>
      </c>
      <c r="D21" s="95">
        <f>(D19*D15)+(D16*D20)</f>
        <v>0.08124999999999999</v>
      </c>
      <c r="E21" s="95">
        <f>(E14*E18)+(E15*E19)+(E16*E20)</f>
        <v>0.0726224</v>
      </c>
      <c r="F21" s="95">
        <f>(F14*F18)+(F15*F19)+(F16*F20)</f>
        <v>0.06941408</v>
      </c>
      <c r="G21" s="95">
        <f>(G14*G18)+(G15*G19)+(G16*G20)</f>
        <v>0.068828</v>
      </c>
      <c r="H21" s="95">
        <f>(H14*H18)+(H15*H19)+(H16*H20)</f>
        <v>0.068828</v>
      </c>
      <c r="I21" s="95">
        <f>(I14*I18)+(I15*I19)+(I16*I20)</f>
        <v>0.068828</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0.32</v>
      </c>
      <c r="H26" s="91">
        <v>0.305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59385.06</v>
      </c>
      <c r="F31" s="96">
        <f>SUMIF('2. Smart Meter Data'!$C:$J,"Smart Meter",'2. Smart Meter Data'!G:G)</f>
        <v>52024.399999999994</v>
      </c>
      <c r="G31" s="96">
        <f>SUMIF('2. Smart Meter Data'!$C:$J,"Smart Meter",'2. Smart Meter Data'!H:H)</f>
        <v>783177.9</v>
      </c>
      <c r="H31" s="96">
        <f>SUMIF('2. Smart Meter Data'!$C:$J,"Smart Meter",'2. Smart Meter Data'!I:I)</f>
        <v>128250</v>
      </c>
      <c r="I31" s="96">
        <f>SUMIF('2. Smart Meter Data'!$C:$J,"Smart Meter",'2. Smart Meter Data'!J:J)</f>
        <v>12500</v>
      </c>
      <c r="J31" s="97">
        <f>SUM(C31:I31)</f>
        <v>1035337.36</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0</v>
      </c>
      <c r="G32" s="96">
        <f>SUMIF('2. Smart Meter Data'!$C:$J,"Comp. Hard.",'2. Smart Meter Data'!H:H)</f>
        <v>34250.020000000004</v>
      </c>
      <c r="H32" s="96">
        <f>SUMIF('2. Smart Meter Data'!$C:$J,"Comp. Hard.",'2. Smart Meter Data'!I:I)</f>
        <v>0</v>
      </c>
      <c r="I32" s="96">
        <f>SUMIF('2. Smart Meter Data'!$C:$J,"Comp. Hard.",'2. Smart Meter Data'!J:J)</f>
        <v>0</v>
      </c>
      <c r="J32" s="97">
        <f>SUM(C32:I32)</f>
        <v>34250.020000000004</v>
      </c>
      <c r="K32" s="5"/>
      <c r="L32" s="5"/>
      <c r="M32" s="5"/>
    </row>
    <row r="33" spans="1:13" ht="12.75">
      <c r="A33" s="5"/>
      <c r="B33" s="31" t="s">
        <v>99</v>
      </c>
      <c r="C33" s="96">
        <f>SUMIF('2. Smart Meter Data'!$C:$J,"Comp. Soft.",'2. Smart Meter Data'!D:D)</f>
        <v>0</v>
      </c>
      <c r="D33" s="96">
        <f>SUMIF('2. Smart Meter Data'!$C:$J,"Comp. Soft.",'2. Smart Meter Data'!E:E)</f>
        <v>16300.77</v>
      </c>
      <c r="E33" s="96">
        <f>SUMIF('2. Smart Meter Data'!$C:$J,"Comp. Soft.",'2. Smart Meter Data'!F:F)</f>
        <v>29363.66</v>
      </c>
      <c r="F33" s="96">
        <f>SUMIF('2. Smart Meter Data'!$C:$J,"Comp. Soft.",'2. Smart Meter Data'!G:G)</f>
        <v>38869.68000000001</v>
      </c>
      <c r="G33" s="96">
        <f>SUMIF('2. Smart Meter Data'!$C:$J,"Comp. Soft.",'2. Smart Meter Data'!H:H)</f>
        <v>52255.579999999994</v>
      </c>
      <c r="H33" s="96">
        <f>SUMIF('2. Smart Meter Data'!$C:$J,"Comp. Soft.",'2. Smart Meter Data'!I:I)</f>
        <v>0</v>
      </c>
      <c r="I33" s="96">
        <f>SUMIF('2. Smart Meter Data'!$C:$J,"Comp. Soft.",'2. Smart Meter Data'!J:J)</f>
        <v>0</v>
      </c>
      <c r="J33" s="97">
        <f>SUM(C33:I33)</f>
        <v>136789.69</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SUM(C34:I34)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8991.039999999999</v>
      </c>
      <c r="F35" s="96">
        <f>SUMIF('2. Smart Meter Data'!$C:$J,"Other Equip.",'2. Smart Meter Data'!G:G)</f>
        <v>0</v>
      </c>
      <c r="G35" s="96">
        <f>SUMIF('2. Smart Meter Data'!$C:$J,"Other Equip.",'2. Smart Meter Data'!H:H)</f>
        <v>12810</v>
      </c>
      <c r="H35" s="96">
        <f>SUMIF('2. Smart Meter Data'!$C:$J,"Other Equip.",'2. Smart Meter Data'!I:I)</f>
        <v>0</v>
      </c>
      <c r="I35" s="96">
        <f>SUMIF('2. Smart Meter Data'!$C:$J,"Other Equip.",'2. Smart Meter Data'!J:J)</f>
        <v>0</v>
      </c>
      <c r="J35" s="97">
        <f>SUM(C35:I35)</f>
        <v>21801.04</v>
      </c>
      <c r="K35" s="5"/>
      <c r="L35" s="5"/>
      <c r="M35" s="5"/>
    </row>
    <row r="36" spans="1:13" ht="13.5" thickBot="1">
      <c r="A36" s="5"/>
      <c r="B36" s="55" t="s">
        <v>60</v>
      </c>
      <c r="C36" s="98">
        <f>SUM(C31:C35)</f>
        <v>0</v>
      </c>
      <c r="D36" s="98">
        <f aca="true" t="shared" si="1" ref="D36:J36">SUM(D31:D35)</f>
        <v>16300.77</v>
      </c>
      <c r="E36" s="98">
        <f t="shared" si="1"/>
        <v>97739.76</v>
      </c>
      <c r="F36" s="98">
        <f t="shared" si="1"/>
        <v>90894.08</v>
      </c>
      <c r="G36" s="98">
        <f t="shared" si="1"/>
        <v>882493.5</v>
      </c>
      <c r="H36" s="98">
        <f t="shared" si="1"/>
        <v>128250</v>
      </c>
      <c r="I36" s="98">
        <f t="shared" si="1"/>
        <v>12500</v>
      </c>
      <c r="J36" s="98">
        <f t="shared" si="1"/>
        <v>1228178.1099999999</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0</v>
      </c>
      <c r="G41" s="99">
        <f>'2. Smart Meter Data'!H107</f>
        <v>7325.68</v>
      </c>
      <c r="H41" s="99">
        <f>'2. Smart Meter Data'!I107</f>
        <v>24843.6</v>
      </c>
      <c r="I41" s="99">
        <f>'2. Smart Meter Data'!J107</f>
        <v>0</v>
      </c>
      <c r="J41" s="97">
        <f>SUM(C41:H41)</f>
        <v>32169.28</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0</v>
      </c>
      <c r="G43" s="99">
        <f>'2. Smart Meter Data'!H122</f>
        <v>0</v>
      </c>
      <c r="H43" s="99">
        <f>'2. Smart Meter Data'!I122</f>
        <v>0</v>
      </c>
      <c r="I43" s="99">
        <f>'2. Smart Meter Data'!J122</f>
        <v>0</v>
      </c>
      <c r="J43" s="97">
        <f>SUM(C43:H43)</f>
        <v>0</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674.41</v>
      </c>
      <c r="F45" s="99">
        <f>'2. Smart Meter Data'!G145</f>
        <v>627.55</v>
      </c>
      <c r="G45" s="99">
        <f>'2. Smart Meter Data'!H145</f>
        <v>725.68</v>
      </c>
      <c r="H45" s="99">
        <f>'2. Smart Meter Data'!I145</f>
        <v>0</v>
      </c>
      <c r="I45" s="99">
        <f>'2. Smart Meter Data'!J145</f>
        <v>0</v>
      </c>
      <c r="J45" s="97">
        <f>SUM(C45:H45)</f>
        <v>2027.6399999999999</v>
      </c>
      <c r="K45" s="5"/>
      <c r="L45" s="5"/>
      <c r="M45" s="5"/>
    </row>
    <row r="46" spans="1:13" ht="13.5" thickBot="1">
      <c r="A46" s="5"/>
      <c r="B46" s="54" t="s">
        <v>87</v>
      </c>
      <c r="C46" s="100">
        <f aca="true" t="shared" si="4" ref="C46:J46">SUM(C41:C45)</f>
        <v>0</v>
      </c>
      <c r="D46" s="100">
        <f t="shared" si="4"/>
        <v>0</v>
      </c>
      <c r="E46" s="100">
        <f t="shared" si="4"/>
        <v>674.41</v>
      </c>
      <c r="F46" s="101">
        <f t="shared" si="4"/>
        <v>627.55</v>
      </c>
      <c r="G46" s="101">
        <f t="shared" si="4"/>
        <v>8051.360000000001</v>
      </c>
      <c r="H46" s="101">
        <f t="shared" si="4"/>
        <v>24843.6</v>
      </c>
      <c r="I46" s="101">
        <f t="shared" si="4"/>
        <v>0</v>
      </c>
      <c r="J46" s="101">
        <f t="shared" si="4"/>
        <v>34196.92</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289.60485594405594</v>
      </c>
      <c r="D50" s="103">
        <f>'2. Smart Meter Data'!K10</f>
        <v>3575</v>
      </c>
      <c r="E50" s="97">
        <f>J31</f>
        <v>1035337.36</v>
      </c>
      <c r="F50" s="104">
        <f aca="true" t="shared" si="6" ref="F50:F55">IF(ISERROR(E50/$E$56),0,E50/$E$56)</f>
        <v>0.8201503795587592</v>
      </c>
      <c r="G50" s="5"/>
      <c r="H50" s="5"/>
      <c r="I50" s="5"/>
      <c r="J50" s="5"/>
      <c r="K50" s="5"/>
      <c r="L50" s="5"/>
    </row>
    <row r="51" spans="1:12" ht="12.75">
      <c r="A51" s="5"/>
      <c r="B51" s="31" t="s">
        <v>112</v>
      </c>
      <c r="C51" s="102">
        <f t="shared" si="5"/>
        <v>9.580425174825177</v>
      </c>
      <c r="D51" s="103">
        <f>D50</f>
        <v>3575</v>
      </c>
      <c r="E51" s="97">
        <f>J32</f>
        <v>34250.020000000004</v>
      </c>
      <c r="F51" s="104">
        <f t="shared" si="6"/>
        <v>0.02713141434681262</v>
      </c>
      <c r="G51" s="5"/>
      <c r="H51" s="5"/>
      <c r="I51" s="5"/>
      <c r="J51" s="5"/>
      <c r="K51" s="5"/>
      <c r="L51" s="5"/>
    </row>
    <row r="52" spans="1:12" ht="12.75">
      <c r="A52" s="5"/>
      <c r="B52" s="31" t="s">
        <v>113</v>
      </c>
      <c r="C52" s="102">
        <f t="shared" si="5"/>
        <v>38.26285034965035</v>
      </c>
      <c r="D52" s="103">
        <f>D51</f>
        <v>3575</v>
      </c>
      <c r="E52" s="97">
        <f>J33</f>
        <v>136789.69</v>
      </c>
      <c r="F52" s="104">
        <f t="shared" si="6"/>
        <v>0.10835899534546403</v>
      </c>
      <c r="G52" s="5"/>
      <c r="H52" s="5"/>
      <c r="I52" s="5"/>
      <c r="J52" s="5"/>
      <c r="K52" s="5"/>
      <c r="L52" s="5"/>
    </row>
    <row r="53" spans="1:12" ht="12.75">
      <c r="A53" s="5"/>
      <c r="B53" s="31" t="s">
        <v>11</v>
      </c>
      <c r="C53" s="102">
        <f t="shared" si="5"/>
        <v>0</v>
      </c>
      <c r="D53" s="103">
        <f>D52</f>
        <v>3575</v>
      </c>
      <c r="E53" s="97">
        <f>J34</f>
        <v>0</v>
      </c>
      <c r="F53" s="104">
        <f t="shared" si="6"/>
        <v>0</v>
      </c>
      <c r="G53" s="5"/>
      <c r="H53" s="5"/>
      <c r="I53" s="5"/>
      <c r="J53" s="5"/>
      <c r="K53" s="5"/>
      <c r="L53" s="5"/>
    </row>
    <row r="54" spans="1:12" ht="12.75">
      <c r="A54" s="5"/>
      <c r="B54" s="31" t="s">
        <v>13</v>
      </c>
      <c r="C54" s="102">
        <f t="shared" si="5"/>
        <v>6.098193006993007</v>
      </c>
      <c r="D54" s="103">
        <f>D53</f>
        <v>3575</v>
      </c>
      <c r="E54" s="97">
        <f>J35</f>
        <v>21801.04</v>
      </c>
      <c r="F54" s="104">
        <f t="shared" si="6"/>
        <v>0.01726985997180252</v>
      </c>
      <c r="G54" s="5"/>
      <c r="H54" s="5"/>
      <c r="I54" s="5"/>
      <c r="J54" s="5"/>
      <c r="K54" s="5"/>
      <c r="L54" s="5"/>
    </row>
    <row r="55" spans="1:12" ht="12.75">
      <c r="A55" s="5"/>
      <c r="B55" s="31" t="s">
        <v>114</v>
      </c>
      <c r="C55" s="102">
        <f t="shared" si="5"/>
        <v>9.565572027972028</v>
      </c>
      <c r="D55" s="103">
        <f>D52</f>
        <v>3575</v>
      </c>
      <c r="E55" s="97">
        <f>J46</f>
        <v>34196.92</v>
      </c>
      <c r="F55" s="104">
        <f t="shared" si="6"/>
        <v>0.027089350777161684</v>
      </c>
      <c r="G55" s="5"/>
      <c r="H55" s="5"/>
      <c r="I55" s="5"/>
      <c r="J55" s="5"/>
      <c r="K55" s="5"/>
      <c r="L55" s="5"/>
    </row>
    <row r="56" spans="1:12" ht="12.75">
      <c r="A56" s="5"/>
      <c r="B56" s="5" t="s">
        <v>115</v>
      </c>
      <c r="C56" s="105">
        <f>SUM(C50:C55)</f>
        <v>353.11189650349655</v>
      </c>
      <c r="D56" s="106"/>
      <c r="E56" s="107">
        <f>SUM(E50:E55)</f>
        <v>1262375.0299999998</v>
      </c>
      <c r="F56" s="108">
        <f>SUM(F50:F55)</f>
        <v>1.0000000000000002</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W61"/>
  <sheetViews>
    <sheetView showGridLines="0" zoomScale="75" zoomScaleNormal="75" zoomScalePageLayoutView="0" workbookViewId="0" topLeftCell="L28">
      <selection activeCell="T48" sqref="T48"/>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83" t="s">
        <v>229</v>
      </c>
      <c r="C1" s="183"/>
      <c r="D1" s="183"/>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7">
        <f>'2. Smart Meter Data'!D4</f>
        <v>2006</v>
      </c>
      <c r="D6" s="178"/>
      <c r="E6" s="179"/>
      <c r="F6" s="177">
        <f>'2. Smart Meter Data'!E4</f>
        <v>2007</v>
      </c>
      <c r="G6" s="178"/>
      <c r="H6" s="179"/>
      <c r="I6" s="177">
        <f>'2. Smart Meter Data'!F4</f>
        <v>2008</v>
      </c>
      <c r="J6" s="178"/>
      <c r="K6" s="179"/>
      <c r="L6" s="177">
        <f>'2. Smart Meter Data'!G4</f>
        <v>2009</v>
      </c>
      <c r="M6" s="178"/>
      <c r="N6" s="179"/>
      <c r="O6" s="177">
        <f>'2. Smart Meter Data'!H4</f>
        <v>2010</v>
      </c>
      <c r="P6" s="178"/>
      <c r="Q6" s="179"/>
      <c r="R6" s="177">
        <f>'2. Smart Meter Data'!I4</f>
        <v>2011</v>
      </c>
      <c r="S6" s="178"/>
      <c r="T6" s="179"/>
      <c r="U6" s="177" t="str">
        <f>'2. Smart Meter Data'!J4</f>
        <v>Later</v>
      </c>
      <c r="V6" s="178"/>
      <c r="W6" s="179"/>
    </row>
    <row r="7" spans="1:23" ht="18.75" thickBot="1">
      <c r="A7" s="5"/>
      <c r="B7" s="28"/>
      <c r="C7" s="180" t="str">
        <f>'2. Smart Meter Data'!D5</f>
        <v>Audited Actual</v>
      </c>
      <c r="D7" s="181"/>
      <c r="E7" s="182"/>
      <c r="F7" s="180" t="str">
        <f>'2. Smart Meter Data'!E5</f>
        <v>Audited Actual</v>
      </c>
      <c r="G7" s="181"/>
      <c r="H7" s="182"/>
      <c r="I7" s="180" t="str">
        <f>'2. Smart Meter Data'!F5</f>
        <v>Audited Actual</v>
      </c>
      <c r="J7" s="181"/>
      <c r="K7" s="182"/>
      <c r="L7" s="180" t="str">
        <f>'2. Smart Meter Data'!G5</f>
        <v>Audited Actual</v>
      </c>
      <c r="M7" s="181"/>
      <c r="N7" s="182"/>
      <c r="O7" s="180" t="str">
        <f>'2. Smart Meter Data'!H5</f>
        <v>Actual</v>
      </c>
      <c r="P7" s="181"/>
      <c r="Q7" s="182"/>
      <c r="R7" s="180" t="str">
        <f>'2. Smart Meter Data'!I5</f>
        <v>Forecasted</v>
      </c>
      <c r="S7" s="181"/>
      <c r="T7" s="182"/>
      <c r="U7" s="180" t="str">
        <f>'2. Smart Meter Data'!J5</f>
        <v>Forecasted</v>
      </c>
      <c r="V7" s="181"/>
      <c r="W7" s="182"/>
    </row>
    <row r="8" spans="1:23" ht="12.75">
      <c r="A8" s="5"/>
      <c r="B8" s="61" t="s">
        <v>129</v>
      </c>
      <c r="C8" s="150">
        <f>'6. Avg Nt Fix Ass &amp;UCC'!C18</f>
        <v>0</v>
      </c>
      <c r="D8" s="6"/>
      <c r="E8" s="62"/>
      <c r="F8" s="150">
        <f>'6. Avg Nt Fix Ass &amp;UCC'!D18</f>
        <v>0</v>
      </c>
      <c r="G8" s="6"/>
      <c r="H8" s="62"/>
      <c r="I8" s="150">
        <f>'6. Avg Nt Fix Ass &amp;UCC'!E18</f>
        <v>28702.779</v>
      </c>
      <c r="J8" s="6"/>
      <c r="K8" s="62"/>
      <c r="L8" s="150">
        <f>'6. Avg Nt Fix Ass &amp;UCC'!F18</f>
        <v>80571.18266666666</v>
      </c>
      <c r="M8" s="6"/>
      <c r="N8" s="62"/>
      <c r="O8" s="150">
        <f>'6. Avg Nt Fix Ass &amp;UCC'!G18</f>
        <v>478559.14366666664</v>
      </c>
      <c r="P8" s="6"/>
      <c r="Q8" s="62"/>
      <c r="R8" s="150">
        <f>'6. Avg Nt Fix Ass &amp;UCC'!H18</f>
        <v>885549.4013333333</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0</v>
      </c>
      <c r="M9" s="63"/>
      <c r="N9" s="62"/>
      <c r="O9" s="150">
        <f>'6. Avg Nt Fix Ass &amp;UCC'!G33</f>
        <v>16268.759500000002</v>
      </c>
      <c r="P9" s="63"/>
      <c r="Q9" s="62"/>
      <c r="R9" s="150">
        <f>'6. Avg Nt Fix Ass &amp;UCC'!H33</f>
        <v>30825.018000000004</v>
      </c>
      <c r="S9" s="63"/>
      <c r="T9" s="62"/>
      <c r="U9" s="150">
        <f>'6. Avg Nt Fix Ass &amp;UCC'!I33</f>
        <v>0</v>
      </c>
      <c r="V9" s="63"/>
      <c r="W9" s="62"/>
    </row>
    <row r="10" spans="1:23" ht="12.75">
      <c r="A10" s="5"/>
      <c r="B10" s="61" t="s">
        <v>131</v>
      </c>
      <c r="C10" s="150">
        <f>'6. Avg Nt Fix Ass &amp;UCC'!C48</f>
        <v>0</v>
      </c>
      <c r="D10" s="64"/>
      <c r="E10" s="62"/>
      <c r="F10" s="150">
        <f>'6. Avg Nt Fix Ass &amp;UCC'!D48</f>
        <v>7335.346500000001</v>
      </c>
      <c r="G10" s="64"/>
      <c r="H10" s="62"/>
      <c r="I10" s="150">
        <f>'6. Avg Nt Fix Ass &amp;UCC'!E48</f>
        <v>26254.263</v>
      </c>
      <c r="J10" s="64"/>
      <c r="K10" s="62"/>
      <c r="L10" s="150">
        <f>'6. Avg Nt Fix Ass &amp;UCC'!F48</f>
        <v>50762.74600000001</v>
      </c>
      <c r="M10" s="64"/>
      <c r="N10" s="62"/>
      <c r="O10" s="150">
        <f>'6. Avg Nt Fix Ass &amp;UCC'!G48</f>
        <v>78749.259</v>
      </c>
      <c r="P10" s="64"/>
      <c r="Q10" s="62"/>
      <c r="R10" s="150">
        <f>'6. Avg Nt Fix Ass &amp;UCC'!H48</f>
        <v>80131.89</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4270.744</v>
      </c>
      <c r="J12" s="64"/>
      <c r="K12" s="62"/>
      <c r="L12" s="150">
        <f>'6. Avg Nt Fix Ass &amp;UCC'!F78</f>
        <v>8091.936</v>
      </c>
      <c r="M12" s="64"/>
      <c r="N12" s="62"/>
      <c r="O12" s="150">
        <f>'6. Avg Nt Fix Ass &amp;UCC'!G78</f>
        <v>13277.582</v>
      </c>
      <c r="P12" s="64"/>
      <c r="Q12" s="62"/>
      <c r="R12" s="150">
        <f>'6. Avg Nt Fix Ass &amp;UCC'!H78</f>
        <v>17822.728000000003</v>
      </c>
      <c r="S12" s="64"/>
      <c r="T12" s="62"/>
      <c r="U12" s="150">
        <f>'6. Avg Nt Fix Ass &amp;UCC'!I78</f>
        <v>0</v>
      </c>
      <c r="V12" s="64"/>
      <c r="W12" s="62"/>
    </row>
    <row r="13" spans="1:23" ht="12.75">
      <c r="A13" s="5"/>
      <c r="B13" s="61" t="s">
        <v>134</v>
      </c>
      <c r="C13" s="151">
        <f>SUM(C8:C12)</f>
        <v>0</v>
      </c>
      <c r="D13" s="152">
        <f>C13</f>
        <v>0</v>
      </c>
      <c r="E13" s="62"/>
      <c r="F13" s="151">
        <f>SUM(F8:F12)</f>
        <v>7335.346500000001</v>
      </c>
      <c r="G13" s="152">
        <f>F13</f>
        <v>7335.346500000001</v>
      </c>
      <c r="H13" s="62"/>
      <c r="I13" s="151">
        <f>SUM(I8:I12)</f>
        <v>59227.786</v>
      </c>
      <c r="J13" s="152">
        <f>I13</f>
        <v>59227.786</v>
      </c>
      <c r="K13" s="62"/>
      <c r="L13" s="151">
        <f>SUM(L8:L12)</f>
        <v>139425.86466666666</v>
      </c>
      <c r="M13" s="152">
        <f>L13</f>
        <v>139425.86466666666</v>
      </c>
      <c r="N13" s="62"/>
      <c r="O13" s="151">
        <f>SUM(O8:O12)</f>
        <v>586854.7441666666</v>
      </c>
      <c r="P13" s="152">
        <f>O13</f>
        <v>586854.7441666666</v>
      </c>
      <c r="Q13" s="62"/>
      <c r="R13" s="151">
        <f>SUM(R8:R12)</f>
        <v>1014329.0373333334</v>
      </c>
      <c r="S13" s="152">
        <f>R13</f>
        <v>1014329.0373333334</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674.41</v>
      </c>
      <c r="J16" s="64"/>
      <c r="K16" s="67"/>
      <c r="L16" s="153">
        <f>N33</f>
        <v>627.55</v>
      </c>
      <c r="M16" s="64"/>
      <c r="N16" s="67"/>
      <c r="O16" s="153">
        <f>Q33</f>
        <v>8051.360000000001</v>
      </c>
      <c r="P16" s="64"/>
      <c r="Q16" s="67"/>
      <c r="R16" s="153">
        <f>T33</f>
        <v>24843.6</v>
      </c>
      <c r="S16" s="64"/>
      <c r="T16" s="67"/>
      <c r="U16" s="153">
        <f>W33</f>
        <v>0</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101.16149999999999</v>
      </c>
      <c r="J17" s="152">
        <f>I17</f>
        <v>101.16149999999999</v>
      </c>
      <c r="K17" s="67"/>
      <c r="L17" s="153">
        <f>L16*'3.  LDC Assumptions and Data'!$F$23</f>
        <v>94.1325</v>
      </c>
      <c r="M17" s="152">
        <f>L17</f>
        <v>94.1325</v>
      </c>
      <c r="N17" s="67"/>
      <c r="O17" s="153">
        <f>O16*'3.  LDC Assumptions and Data'!$G$23</f>
        <v>1207.704</v>
      </c>
      <c r="P17" s="152">
        <f>O17</f>
        <v>1207.704</v>
      </c>
      <c r="Q17" s="67"/>
      <c r="R17" s="153">
        <f>R16*'3.  LDC Assumptions and Data'!$H$23</f>
        <v>3726.5399999999995</v>
      </c>
      <c r="S17" s="152">
        <f>R17</f>
        <v>3726.5399999999995</v>
      </c>
      <c r="T17" s="67"/>
      <c r="U17" s="153">
        <f>U16*'3.  LDC Assumptions and Data'!$I$23</f>
        <v>0</v>
      </c>
      <c r="V17" s="152">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7335.346500000001</v>
      </c>
      <c r="H19" s="67"/>
      <c r="I19" s="66"/>
      <c r="J19" s="140">
        <f>SUM(J9:J17)</f>
        <v>59328.9475</v>
      </c>
      <c r="K19" s="67"/>
      <c r="L19" s="66"/>
      <c r="M19" s="140">
        <f>SUM(M9:M17)</f>
        <v>139519.99716666667</v>
      </c>
      <c r="N19" s="67"/>
      <c r="O19" s="66"/>
      <c r="P19" s="140">
        <f>SUM(P9:P17)</f>
        <v>588062.4481666667</v>
      </c>
      <c r="Q19" s="67"/>
      <c r="R19" s="66"/>
      <c r="S19" s="140">
        <f>SUM(S9:S17)</f>
        <v>1018055.5773333334</v>
      </c>
      <c r="T19" s="67"/>
      <c r="U19" s="66"/>
      <c r="V19" s="140">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164">
        <f>'3.  LDC Assumptions and Data'!$E$14</f>
        <v>0.04</v>
      </c>
      <c r="J22" s="165">
        <f>J19*I22</f>
        <v>2373.1579</v>
      </c>
      <c r="K22" s="62"/>
      <c r="L22" s="164">
        <f>'3.  LDC Assumptions and Data'!$F14</f>
        <v>0.04</v>
      </c>
      <c r="M22" s="165">
        <f>L22*M19</f>
        <v>5580.799886666667</v>
      </c>
      <c r="N22" s="62"/>
      <c r="O22" s="164">
        <f>'3.  LDC Assumptions and Data'!$G14</f>
        <v>0.04</v>
      </c>
      <c r="P22" s="165">
        <f>O22*P19</f>
        <v>23522.497926666667</v>
      </c>
      <c r="Q22" s="62"/>
      <c r="R22" s="164">
        <f>'3.  LDC Assumptions and Data'!$H14</f>
        <v>0.04</v>
      </c>
      <c r="S22" s="165">
        <f>R22*S19</f>
        <v>40722.22309333334</v>
      </c>
      <c r="T22" s="62"/>
      <c r="U22" s="65">
        <f>'3.  LDC Assumptions and Data'!$I14</f>
        <v>0.04</v>
      </c>
      <c r="V22" s="6"/>
      <c r="W22" s="62"/>
    </row>
    <row r="23" spans="1:23" ht="12.75">
      <c r="A23" s="5"/>
      <c r="B23" s="2" t="s">
        <v>247</v>
      </c>
      <c r="C23" s="68">
        <f>'3.  LDC Assumptions and Data'!$C$15</f>
        <v>0.5</v>
      </c>
      <c r="D23" s="152">
        <f>D19*C23</f>
        <v>0</v>
      </c>
      <c r="E23" s="62"/>
      <c r="F23" s="68">
        <f>'3.  LDC Assumptions and Data'!$D$15</f>
        <v>0.5</v>
      </c>
      <c r="G23" s="152">
        <f>G19*F23</f>
        <v>3667.6732500000003</v>
      </c>
      <c r="H23" s="62"/>
      <c r="I23" s="68">
        <f>'3.  LDC Assumptions and Data'!$E$15</f>
        <v>0.493</v>
      </c>
      <c r="J23" s="152">
        <f>J19*I23</f>
        <v>29249.171117500002</v>
      </c>
      <c r="K23" s="62"/>
      <c r="L23" s="68">
        <f>'3.  LDC Assumptions and Data'!$F15</f>
        <v>0.5267</v>
      </c>
      <c r="M23" s="152">
        <f>M19*L23</f>
        <v>73485.18250768332</v>
      </c>
      <c r="N23" s="62"/>
      <c r="O23" s="68">
        <f>'3.  LDC Assumptions and Data'!$G15</f>
        <v>0.56</v>
      </c>
      <c r="P23" s="152">
        <f>P19*O23</f>
        <v>329314.97097333334</v>
      </c>
      <c r="Q23" s="62"/>
      <c r="R23" s="68">
        <f>'3.  LDC Assumptions and Data'!$H15</f>
        <v>0.56</v>
      </c>
      <c r="S23" s="152">
        <f>S19*R23</f>
        <v>570111.1233066667</v>
      </c>
      <c r="T23" s="62"/>
      <c r="U23" s="68">
        <f>'3.  LDC Assumptions and Data'!$I15</f>
        <v>0.56</v>
      </c>
      <c r="V23" s="152">
        <f>V19*U23</f>
        <v>0</v>
      </c>
      <c r="W23" s="62"/>
    </row>
    <row r="24" spans="1:23" ht="12.75">
      <c r="A24" s="5"/>
      <c r="B24" s="2" t="s">
        <v>248</v>
      </c>
      <c r="C24" s="68">
        <f>'3.  LDC Assumptions and Data'!$C$16</f>
        <v>0.5</v>
      </c>
      <c r="D24" s="152">
        <f>D19*C24</f>
        <v>0</v>
      </c>
      <c r="E24" s="62"/>
      <c r="F24" s="68">
        <f>'3.  LDC Assumptions and Data'!$D$16</f>
        <v>0.5</v>
      </c>
      <c r="G24" s="152">
        <f>G19*F24</f>
        <v>3667.6732500000003</v>
      </c>
      <c r="H24" s="62"/>
      <c r="I24" s="68">
        <f>'3.  LDC Assumptions and Data'!$E$16</f>
        <v>0.467</v>
      </c>
      <c r="J24" s="152">
        <f>J19*I24</f>
        <v>27706.618482500002</v>
      </c>
      <c r="K24" s="62"/>
      <c r="L24" s="68">
        <f>'3.  LDC Assumptions and Data'!$F$16</f>
        <v>0.4333000000000001</v>
      </c>
      <c r="M24" s="152">
        <f>M19*L24</f>
        <v>60454.01477231668</v>
      </c>
      <c r="N24" s="62"/>
      <c r="O24" s="68">
        <f>'3.  LDC Assumptions and Data'!$G$16</f>
        <v>0.39999999999999997</v>
      </c>
      <c r="P24" s="152">
        <f>P19*O24</f>
        <v>235224.97926666666</v>
      </c>
      <c r="Q24" s="62"/>
      <c r="R24" s="68">
        <f>'3.  LDC Assumptions and Data'!$H$16</f>
        <v>0.39999999999999997</v>
      </c>
      <c r="S24" s="152">
        <f>S19*R24</f>
        <v>407222.23093333334</v>
      </c>
      <c r="T24" s="62"/>
      <c r="U24" s="68">
        <f>'3.  LDC Assumptions and Data'!$I$16</f>
        <v>0.39999999999999997</v>
      </c>
      <c r="V24" s="152">
        <f>V19*U24</f>
        <v>0</v>
      </c>
      <c r="W24" s="62"/>
    </row>
    <row r="25" spans="1:23" ht="12.75">
      <c r="A25" s="5"/>
      <c r="B25" s="61"/>
      <c r="C25" s="69"/>
      <c r="D25" s="140">
        <f>SUM(D23:D24)</f>
        <v>0</v>
      </c>
      <c r="E25" s="62"/>
      <c r="F25" s="69"/>
      <c r="G25" s="140">
        <f>SUM(G23:G24)</f>
        <v>7335.346500000001</v>
      </c>
      <c r="H25" s="62"/>
      <c r="I25" s="69"/>
      <c r="J25" s="167">
        <f>SUM(J22:J24)</f>
        <v>59328.9475</v>
      </c>
      <c r="K25" s="62"/>
      <c r="L25" s="69"/>
      <c r="M25" s="167">
        <f>SUM(M22:M24)</f>
        <v>139519.99716666667</v>
      </c>
      <c r="N25" s="62"/>
      <c r="O25" s="69"/>
      <c r="P25" s="167">
        <f>SUM(P22:P24)</f>
        <v>588062.4481666667</v>
      </c>
      <c r="Q25" s="62"/>
      <c r="R25" s="69"/>
      <c r="S25" s="167">
        <f>SUM(S22:S24)</f>
        <v>1018055.5773333334</v>
      </c>
      <c r="T25" s="62"/>
      <c r="U25" s="69"/>
      <c r="V25" s="140">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0.0447</v>
      </c>
      <c r="J27" s="165">
        <f>I27*J22</f>
        <v>106.08015813</v>
      </c>
      <c r="K27" s="62"/>
      <c r="L27" s="68">
        <f>'3.  LDC Assumptions and Data'!$F18</f>
        <v>0.0447</v>
      </c>
      <c r="M27" s="165">
        <f>L27*M22</f>
        <v>249.46175493399997</v>
      </c>
      <c r="N27" s="62"/>
      <c r="O27" s="68">
        <f>'3.  LDC Assumptions and Data'!$G18</f>
        <v>0.0447</v>
      </c>
      <c r="P27" s="165">
        <f>O27*P22</f>
        <v>1051.455657322</v>
      </c>
      <c r="Q27" s="62"/>
      <c r="R27" s="166">
        <f>'3.  LDC Assumptions and Data'!$H18</f>
        <v>0.0447</v>
      </c>
      <c r="S27" s="165">
        <f>R27*S22</f>
        <v>1820.2833722720002</v>
      </c>
      <c r="T27" s="62"/>
      <c r="U27" s="68">
        <f>'3.  LDC Assumptions and Data'!$I18</f>
        <v>0.0447</v>
      </c>
      <c r="V27" s="6"/>
      <c r="W27" s="62"/>
    </row>
    <row r="28" spans="1:23" ht="12.75">
      <c r="A28" s="5"/>
      <c r="B28" s="61" t="s">
        <v>196</v>
      </c>
      <c r="C28" s="68">
        <f>'3.  LDC Assumptions and Data'!$C$19</f>
        <v>0.0725</v>
      </c>
      <c r="D28" s="152">
        <f>D23*C28</f>
        <v>0</v>
      </c>
      <c r="E28" s="67"/>
      <c r="F28" s="68">
        <f>'3.  LDC Assumptions and Data'!$D$19</f>
        <v>0.0725</v>
      </c>
      <c r="G28" s="152">
        <f>G23*F28</f>
        <v>265.906310625</v>
      </c>
      <c r="H28" s="67"/>
      <c r="I28" s="68">
        <f>'3.  LDC Assumptions and Data'!$E$19</f>
        <v>0.0625</v>
      </c>
      <c r="J28" s="152">
        <f>J23*I28</f>
        <v>1828.0731948437501</v>
      </c>
      <c r="K28" s="67"/>
      <c r="L28" s="68">
        <f>'3.  LDC Assumptions and Data'!$F19</f>
        <v>0.0625</v>
      </c>
      <c r="M28" s="152">
        <f>M23*L28</f>
        <v>4592.823906730207</v>
      </c>
      <c r="N28" s="67"/>
      <c r="O28" s="68">
        <f>'3.  LDC Assumptions and Data'!$G19</f>
        <v>0.0625</v>
      </c>
      <c r="P28" s="152">
        <f>P23*O28</f>
        <v>20582.185685833334</v>
      </c>
      <c r="Q28" s="67"/>
      <c r="R28" s="68">
        <f>'3.  LDC Assumptions and Data'!$H19</f>
        <v>0.0625</v>
      </c>
      <c r="S28" s="152">
        <f>S23*R28</f>
        <v>35631.94520666667</v>
      </c>
      <c r="T28" s="67"/>
      <c r="U28" s="68">
        <f>'3.  LDC Assumptions and Data'!$I19</f>
        <v>0.0625</v>
      </c>
      <c r="V28" s="152">
        <f>V23*U28</f>
        <v>0</v>
      </c>
      <c r="W28" s="67"/>
    </row>
    <row r="29" spans="1:23" ht="12.75">
      <c r="A29" s="5"/>
      <c r="B29" s="61" t="s">
        <v>197</v>
      </c>
      <c r="C29" s="68">
        <f>'3.  LDC Assumptions and Data'!$C$20</f>
        <v>0.09</v>
      </c>
      <c r="D29" s="152">
        <f>D24*C29</f>
        <v>0</v>
      </c>
      <c r="E29" s="67"/>
      <c r="F29" s="68">
        <f>'3.  LDC Assumptions and Data'!$D$20</f>
        <v>0.09</v>
      </c>
      <c r="G29" s="152">
        <f>G24*F29</f>
        <v>330.0905925</v>
      </c>
      <c r="H29" s="67"/>
      <c r="I29" s="68">
        <f>'3.  LDC Assumptions and Data'!$E$20</f>
        <v>0.0857</v>
      </c>
      <c r="J29" s="152">
        <f>J24*I29</f>
        <v>2374.45720395025</v>
      </c>
      <c r="K29" s="67"/>
      <c r="L29" s="68">
        <f>'3.  LDC Assumptions and Data'!$F$20</f>
        <v>0.0801</v>
      </c>
      <c r="M29" s="152">
        <f>M24*L29</f>
        <v>4842.366583262567</v>
      </c>
      <c r="N29" s="67"/>
      <c r="O29" s="68">
        <f>'3.  LDC Assumptions and Data'!$G$20</f>
        <v>0.0801</v>
      </c>
      <c r="P29" s="152">
        <f>P24*O29</f>
        <v>18841.52083926</v>
      </c>
      <c r="Q29" s="67"/>
      <c r="R29" s="68">
        <f>'3.  LDC Assumptions and Data'!$H$20</f>
        <v>0.0801</v>
      </c>
      <c r="S29" s="152">
        <f>S24*R29</f>
        <v>32618.500697760002</v>
      </c>
      <c r="T29" s="67"/>
      <c r="U29" s="68">
        <f>'3.  LDC Assumptions and Data'!$I$20</f>
        <v>0.0801</v>
      </c>
      <c r="V29" s="152">
        <f>V24*U29</f>
        <v>0</v>
      </c>
      <c r="W29" s="67"/>
    </row>
    <row r="30" spans="1:23" ht="15.75">
      <c r="A30" s="5"/>
      <c r="B30" s="52" t="s">
        <v>118</v>
      </c>
      <c r="C30" s="65"/>
      <c r="D30" s="140">
        <f>SUM(D28:D29)</f>
        <v>0</v>
      </c>
      <c r="E30" s="154">
        <f>D30</f>
        <v>0</v>
      </c>
      <c r="F30" s="65"/>
      <c r="G30" s="140">
        <f>SUM(G28:G29)</f>
        <v>595.996903125</v>
      </c>
      <c r="H30" s="154">
        <f>G30</f>
        <v>595.996903125</v>
      </c>
      <c r="I30" s="65"/>
      <c r="J30" s="167">
        <f>SUM(J27:J29)</f>
        <v>4308.610556924</v>
      </c>
      <c r="K30" s="154">
        <f>J30</f>
        <v>4308.610556924</v>
      </c>
      <c r="L30" s="65"/>
      <c r="M30" s="167">
        <f>SUM(M27:M29)</f>
        <v>9684.652244926774</v>
      </c>
      <c r="N30" s="154">
        <f>M30</f>
        <v>9684.652244926774</v>
      </c>
      <c r="O30" s="65"/>
      <c r="P30" s="167">
        <f>SUM(P27:P29)</f>
        <v>40475.16218241533</v>
      </c>
      <c r="Q30" s="154">
        <f>P30</f>
        <v>40475.16218241533</v>
      </c>
      <c r="R30" s="65"/>
      <c r="S30" s="167">
        <f>SUM(S27:S29)</f>
        <v>70070.72927669868</v>
      </c>
      <c r="T30" s="154">
        <f>S30</f>
        <v>70070.72927669868</v>
      </c>
      <c r="U30" s="65"/>
      <c r="V30" s="140">
        <f>SUM(V28:V29)</f>
        <v>0</v>
      </c>
      <c r="W30" s="154">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674.41</v>
      </c>
      <c r="L33" s="65"/>
      <c r="M33" s="64"/>
      <c r="N33" s="155">
        <f>'3.  LDC Assumptions and Data'!F46</f>
        <v>627.55</v>
      </c>
      <c r="O33" s="65"/>
      <c r="P33" s="64"/>
      <c r="Q33" s="155">
        <f>'3.  LDC Assumptions and Data'!G46</f>
        <v>8051.360000000001</v>
      </c>
      <c r="R33" s="65"/>
      <c r="S33" s="64"/>
      <c r="T33" s="155">
        <f>'3.  LDC Assumptions and Data'!H46</f>
        <v>24843.6</v>
      </c>
      <c r="U33" s="65"/>
      <c r="V33" s="64"/>
      <c r="W33" s="155">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1979.502</v>
      </c>
      <c r="K36" s="67"/>
      <c r="L36" s="65"/>
      <c r="M36" s="142">
        <f>SUM('6. Avg Nt Fix Ass &amp;UCC'!F13:F13)</f>
        <v>5693.150666666666</v>
      </c>
      <c r="N36" s="67"/>
      <c r="O36" s="65"/>
      <c r="P36" s="142">
        <f>SUM('6. Avg Nt Fix Ass &amp;UCC'!G13:G13)</f>
        <v>33533.227333333336</v>
      </c>
      <c r="Q36" s="67"/>
      <c r="R36" s="65"/>
      <c r="S36" s="142">
        <f>SUM('6. Avg Nt Fix Ass &amp;UCC'!H13:H13)</f>
        <v>63914.15733333333</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0</v>
      </c>
      <c r="N37" s="67"/>
      <c r="O37" s="65"/>
      <c r="P37" s="142">
        <f>SUM('6. Avg Nt Fix Ass &amp;UCC'!G28:G28)</f>
        <v>1712.5010000000002</v>
      </c>
      <c r="Q37" s="67"/>
      <c r="R37" s="65"/>
      <c r="S37" s="142">
        <f>SUM('6. Avg Nt Fix Ass &amp;UCC'!H28:H28)</f>
        <v>3425.0020000000004</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1630.077</v>
      </c>
      <c r="H38" s="67"/>
      <c r="I38" s="65"/>
      <c r="J38" s="142">
        <f>SUM('6. Avg Nt Fix Ass &amp;UCC'!E43:E43)</f>
        <v>6196.52</v>
      </c>
      <c r="K38" s="67"/>
      <c r="L38" s="65"/>
      <c r="M38" s="142">
        <f>SUM('6. Avg Nt Fix Ass &amp;UCC'!F43:F43)</f>
        <v>13019.854000000001</v>
      </c>
      <c r="N38" s="67"/>
      <c r="O38" s="65"/>
      <c r="P38" s="142">
        <f>SUM('6. Avg Nt Fix Ass &amp;UCC'!G43:G43)</f>
        <v>22132.380000000005</v>
      </c>
      <c r="Q38" s="67"/>
      <c r="R38" s="65"/>
      <c r="S38" s="142">
        <f>SUM('6. Avg Nt Fix Ass &amp;UCC'!H43:H43)</f>
        <v>27357.938000000002</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449.55199999999996</v>
      </c>
      <c r="K40" s="67"/>
      <c r="L40" s="65"/>
      <c r="M40" s="142">
        <f>SUM('6. Avg Nt Fix Ass &amp;UCC'!F73:F73)</f>
        <v>899.1039999999999</v>
      </c>
      <c r="N40" s="67"/>
      <c r="O40" s="65"/>
      <c r="P40" s="142">
        <f>SUM('6. Avg Nt Fix Ass &amp;UCC'!G73:G73)</f>
        <v>1539.6039999999998</v>
      </c>
      <c r="Q40" s="67"/>
      <c r="R40" s="65"/>
      <c r="S40" s="142">
        <f>SUM('6. Avg Nt Fix Ass &amp;UCC'!H73:H73)</f>
        <v>2180.1040000000003</v>
      </c>
      <c r="T40" s="67"/>
      <c r="U40" s="65"/>
      <c r="V40" s="142">
        <f>SUM('6. Avg Nt Fix Ass &amp;UCC'!I73:I73)</f>
        <v>0</v>
      </c>
      <c r="W40" s="67"/>
    </row>
    <row r="41" spans="1:23" ht="15.75">
      <c r="A41" s="5"/>
      <c r="B41" s="52" t="s">
        <v>142</v>
      </c>
      <c r="C41" s="65"/>
      <c r="D41" s="64"/>
      <c r="E41" s="156">
        <f>SUM(D36:D40)</f>
        <v>0</v>
      </c>
      <c r="F41" s="65"/>
      <c r="G41" s="64"/>
      <c r="H41" s="156">
        <f>SUM(G36:G40)</f>
        <v>1630.077</v>
      </c>
      <c r="I41" s="65"/>
      <c r="J41" s="64"/>
      <c r="K41" s="156">
        <f>SUM(J36:J40)</f>
        <v>8625.574</v>
      </c>
      <c r="L41" s="65"/>
      <c r="M41" s="64"/>
      <c r="N41" s="156">
        <f>SUM(M36:M40)</f>
        <v>19612.108666666667</v>
      </c>
      <c r="O41" s="65"/>
      <c r="P41" s="64"/>
      <c r="Q41" s="156">
        <f>SUM(P36:P40)</f>
        <v>58917.71233333334</v>
      </c>
      <c r="R41" s="65"/>
      <c r="S41" s="64"/>
      <c r="T41" s="156">
        <f>SUM(S36:S40)</f>
        <v>96877.20133333335</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2226.073903125</v>
      </c>
      <c r="I43" s="65"/>
      <c r="J43" s="64"/>
      <c r="K43" s="157">
        <f>SUM(K30,K41,K33)</f>
        <v>13608.594556924</v>
      </c>
      <c r="L43" s="65"/>
      <c r="M43" s="64"/>
      <c r="N43" s="157">
        <f>SUM(N30,N41,N33)</f>
        <v>29924.31091159344</v>
      </c>
      <c r="O43" s="65"/>
      <c r="P43" s="64"/>
      <c r="Q43" s="157">
        <f>SUM(Q30,Q41,Q33)</f>
        <v>107444.23451574867</v>
      </c>
      <c r="R43" s="65"/>
      <c r="S43" s="64"/>
      <c r="T43" s="157">
        <f>SUM(T30,T41,T33)</f>
        <v>191791.53061003203</v>
      </c>
      <c r="U43" s="65"/>
      <c r="V43" s="64"/>
      <c r="W43" s="157">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-674.41</v>
      </c>
      <c r="L46" s="65"/>
      <c r="M46" s="64"/>
      <c r="N46" s="154">
        <f>-N33</f>
        <v>-627.55</v>
      </c>
      <c r="O46" s="65"/>
      <c r="P46" s="64"/>
      <c r="Q46" s="154">
        <f>-Q33</f>
        <v>-8051.360000000001</v>
      </c>
      <c r="R46" s="65"/>
      <c r="S46" s="64"/>
      <c r="T46" s="154">
        <f>-T33</f>
        <v>-24843.6</v>
      </c>
      <c r="U46" s="65"/>
      <c r="V46" s="64"/>
      <c r="W46" s="154">
        <f>-W33</f>
        <v>0</v>
      </c>
    </row>
    <row r="47" spans="1:23" ht="12.75">
      <c r="A47" s="5"/>
      <c r="B47" s="57" t="s">
        <v>144</v>
      </c>
      <c r="C47" s="65"/>
      <c r="D47" s="64"/>
      <c r="E47" s="154">
        <f>-E41</f>
        <v>0</v>
      </c>
      <c r="F47" s="65"/>
      <c r="G47" s="64"/>
      <c r="H47" s="154">
        <f>-H41</f>
        <v>-1630.077</v>
      </c>
      <c r="I47" s="65"/>
      <c r="J47" s="64"/>
      <c r="K47" s="154">
        <f>-K41</f>
        <v>-8625.574</v>
      </c>
      <c r="L47" s="65"/>
      <c r="M47" s="64"/>
      <c r="N47" s="154">
        <f>-N41</f>
        <v>-19612.108666666667</v>
      </c>
      <c r="O47" s="65"/>
      <c r="P47" s="64"/>
      <c r="Q47" s="154">
        <f>-Q41</f>
        <v>-58917.71233333334</v>
      </c>
      <c r="R47" s="65"/>
      <c r="S47" s="64"/>
      <c r="T47" s="154">
        <f>-T41</f>
        <v>-96877.20133333335</v>
      </c>
      <c r="U47" s="65"/>
      <c r="V47" s="64"/>
      <c r="W47" s="154">
        <f>-W41</f>
        <v>0</v>
      </c>
    </row>
    <row r="48" spans="1:23" ht="12.75">
      <c r="A48" s="5"/>
      <c r="B48" s="57" t="s">
        <v>145</v>
      </c>
      <c r="C48" s="65"/>
      <c r="D48" s="64"/>
      <c r="E48" s="154">
        <f>-D28</f>
        <v>0</v>
      </c>
      <c r="F48" s="65"/>
      <c r="G48" s="64"/>
      <c r="H48" s="154">
        <f>-G28+-G27</f>
        <v>-265.906310625</v>
      </c>
      <c r="I48" s="65"/>
      <c r="J48" s="64"/>
      <c r="K48" s="168">
        <f>-J28+-J27</f>
        <v>-1934.15335297375</v>
      </c>
      <c r="L48" s="65"/>
      <c r="M48" s="64"/>
      <c r="N48" s="168">
        <f>-M28+-M27</f>
        <v>-4842.2856616642075</v>
      </c>
      <c r="O48" s="65"/>
      <c r="P48" s="64"/>
      <c r="Q48" s="168">
        <f>-P28+-P27</f>
        <v>-21633.641343155334</v>
      </c>
      <c r="R48" s="65"/>
      <c r="S48" s="64"/>
      <c r="T48" s="168">
        <f>-S28+-S27</f>
        <v>-37452.22857893867</v>
      </c>
      <c r="U48" s="65"/>
      <c r="V48" s="64"/>
      <c r="W48" s="154">
        <f>-V28</f>
        <v>0</v>
      </c>
    </row>
    <row r="49" spans="1:23" ht="15.75">
      <c r="A49" s="5"/>
      <c r="B49" s="52" t="s">
        <v>146</v>
      </c>
      <c r="C49" s="65"/>
      <c r="D49" s="64"/>
      <c r="E49" s="158">
        <f>SUM(E43:E48)</f>
        <v>0</v>
      </c>
      <c r="F49" s="65"/>
      <c r="G49" s="64"/>
      <c r="H49" s="158">
        <f>SUM(H43:H48)</f>
        <v>330.0905925</v>
      </c>
      <c r="I49" s="65"/>
      <c r="J49" s="64"/>
      <c r="K49" s="158">
        <f>SUM(K43:K48)</f>
        <v>2374.457203950249</v>
      </c>
      <c r="L49" s="65"/>
      <c r="M49" s="64"/>
      <c r="N49" s="158">
        <f>SUM(N43:N48)</f>
        <v>4842.366583262565</v>
      </c>
      <c r="O49" s="65"/>
      <c r="P49" s="64"/>
      <c r="Q49" s="158">
        <f>SUM(Q43:Q48)</f>
        <v>18841.52083926</v>
      </c>
      <c r="R49" s="65"/>
      <c r="S49" s="64"/>
      <c r="T49" s="158">
        <f>SUM(T43:T48)</f>
        <v>32618.500697760006</v>
      </c>
      <c r="U49" s="65"/>
      <c r="V49" s="64"/>
      <c r="W49" s="158">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-1393.3261782092989</v>
      </c>
      <c r="I51" s="65"/>
      <c r="J51" s="64"/>
      <c r="K51" s="155">
        <f>'5. PILs'!E42</f>
        <v>-3236.1589127149127</v>
      </c>
      <c r="L51" s="65"/>
      <c r="M51" s="64"/>
      <c r="N51" s="155">
        <f>'5. PILs'!F42</f>
        <v>-4119.447132812843</v>
      </c>
      <c r="O51" s="65"/>
      <c r="P51" s="64"/>
      <c r="Q51" s="155">
        <f>'5. PILs'!G42</f>
        <v>-4069.1932820813745</v>
      </c>
      <c r="R51" s="65"/>
      <c r="S51" s="64"/>
      <c r="T51" s="155">
        <f>'5. PILs'!H42</f>
        <v>3909.2140806759003</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2226.073903125</v>
      </c>
      <c r="I53" s="65"/>
      <c r="J53" s="64"/>
      <c r="K53" s="159">
        <f>K43</f>
        <v>13608.594556924</v>
      </c>
      <c r="L53" s="65"/>
      <c r="M53" s="64"/>
      <c r="N53" s="159">
        <f>N43</f>
        <v>29924.31091159344</v>
      </c>
      <c r="O53" s="65"/>
      <c r="P53" s="64"/>
      <c r="Q53" s="159">
        <f>Q43</f>
        <v>107444.23451574867</v>
      </c>
      <c r="R53" s="65"/>
      <c r="S53" s="64"/>
      <c r="T53" s="159">
        <f>T43</f>
        <v>191791.53061003203</v>
      </c>
      <c r="U53" s="65"/>
      <c r="V53" s="64"/>
      <c r="W53" s="159">
        <f>W43</f>
        <v>0</v>
      </c>
    </row>
    <row r="54" spans="1:23" ht="12.75">
      <c r="A54" s="5"/>
      <c r="B54" s="61" t="s">
        <v>147</v>
      </c>
      <c r="C54" s="65"/>
      <c r="D54" s="64"/>
      <c r="E54" s="159">
        <f>E51</f>
        <v>0</v>
      </c>
      <c r="F54" s="65"/>
      <c r="G54" s="64"/>
      <c r="H54" s="159">
        <f>H51</f>
        <v>-1393.3261782092989</v>
      </c>
      <c r="I54" s="65"/>
      <c r="J54" s="64"/>
      <c r="K54" s="159">
        <f>K51</f>
        <v>-3236.1589127149127</v>
      </c>
      <c r="L54" s="65"/>
      <c r="M54" s="64"/>
      <c r="N54" s="159">
        <f>N51</f>
        <v>-4119.447132812843</v>
      </c>
      <c r="O54" s="65"/>
      <c r="P54" s="64"/>
      <c r="Q54" s="159">
        <f>Q51</f>
        <v>-4069.1932820813745</v>
      </c>
      <c r="R54" s="65"/>
      <c r="S54" s="64"/>
      <c r="T54" s="159">
        <f>T51</f>
        <v>3909.2140806759003</v>
      </c>
      <c r="U54" s="65"/>
      <c r="V54" s="64"/>
      <c r="W54" s="159">
        <f>W51</f>
        <v>0</v>
      </c>
    </row>
    <row r="55" spans="1:23" ht="16.5" thickBot="1">
      <c r="A55" s="5"/>
      <c r="B55" s="52" t="s">
        <v>123</v>
      </c>
      <c r="C55" s="65"/>
      <c r="D55" s="64"/>
      <c r="E55" s="160">
        <f>SUM(E53:E54)</f>
        <v>0</v>
      </c>
      <c r="F55" s="65"/>
      <c r="G55" s="64"/>
      <c r="H55" s="160">
        <f>SUM(H53:H54)</f>
        <v>832.7477249157012</v>
      </c>
      <c r="I55" s="65"/>
      <c r="J55" s="64"/>
      <c r="K55" s="160">
        <f>SUM(K53:K54)</f>
        <v>10372.435644209087</v>
      </c>
      <c r="L55" s="65"/>
      <c r="M55" s="64"/>
      <c r="N55" s="160">
        <f>SUM(N53:N54)</f>
        <v>25804.863778780596</v>
      </c>
      <c r="O55" s="65"/>
      <c r="P55" s="64"/>
      <c r="Q55" s="160">
        <f>SUM(Q53:Q54)</f>
        <v>103375.04123366729</v>
      </c>
      <c r="R55" s="65"/>
      <c r="S55" s="64"/>
      <c r="T55" s="160">
        <f>SUM(T53:T54)</f>
        <v>195700.74469070794</v>
      </c>
      <c r="U55" s="65"/>
      <c r="V55" s="64"/>
      <c r="W55" s="160">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43" right="0.43" top="0.79" bottom="0.54" header="0.5" footer="0.5"/>
  <pageSetup fitToHeight="1" fitToWidth="1" horizontalDpi="600" verticalDpi="600" orientation="landscape" scale="2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I42"/>
  <sheetViews>
    <sheetView showGridLines="0" zoomScalePageLayoutView="0" workbookViewId="0" topLeftCell="B16">
      <selection activeCell="F21" sqref="F21"/>
    </sheetView>
  </sheetViews>
  <sheetFormatPr defaultColWidth="9.140625" defaultRowHeight="12.75"/>
  <cols>
    <col min="1" max="1" width="16.28125" style="7" customWidth="1"/>
    <col min="2" max="2" width="33.00390625" style="7" bestFit="1" customWidth="1"/>
    <col min="3" max="4" width="13.28125" style="7" bestFit="1" customWidth="1"/>
    <col min="5" max="7" width="12.00390625" style="7" bestFit="1" customWidth="1"/>
    <col min="8" max="8" width="14.00390625" style="7" bestFit="1" customWidth="1"/>
    <col min="9" max="9" width="15.28125" style="7" bestFit="1" customWidth="1"/>
    <col min="10" max="16384" width="9.140625" style="7" customWidth="1"/>
  </cols>
  <sheetData>
    <row r="1" spans="1:6" s="3" customFormat="1" ht="21" customHeight="1">
      <c r="A1" s="1"/>
      <c r="B1" s="183" t="s">
        <v>148</v>
      </c>
      <c r="C1" s="183"/>
      <c r="D1" s="183"/>
      <c r="E1" s="183"/>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330.0905925</v>
      </c>
      <c r="E8" s="139">
        <f>'4. Smart Meter Rev Req'!K49</f>
        <v>2374.457203950249</v>
      </c>
      <c r="F8" s="139">
        <f>'4. Smart Meter Rev Req'!N49</f>
        <v>4842.366583262565</v>
      </c>
      <c r="G8" s="139">
        <f>'4. Smart Meter Rev Req'!Q49</f>
        <v>18841.52083926</v>
      </c>
      <c r="H8" s="139">
        <f>'4. Smart Meter Rev Req'!T49</f>
        <v>32618.500697760006</v>
      </c>
      <c r="I8" s="139">
        <f>'4. Smart Meter Rev Req'!W49</f>
        <v>0</v>
      </c>
    </row>
    <row r="9" spans="1:9" ht="12.75">
      <c r="A9" s="5"/>
      <c r="B9" s="5" t="s">
        <v>200</v>
      </c>
      <c r="C9" s="139">
        <f>-'4. Smart Meter Rev Req'!E47</f>
        <v>0</v>
      </c>
      <c r="D9" s="139">
        <f>-'4. Smart Meter Rev Req'!H47</f>
        <v>1630.077</v>
      </c>
      <c r="E9" s="139">
        <f>-'4. Smart Meter Rev Req'!K47</f>
        <v>8625.574</v>
      </c>
      <c r="F9" s="139">
        <f>-'4. Smart Meter Rev Req'!N47</f>
        <v>19612.108666666667</v>
      </c>
      <c r="G9" s="139">
        <f>-'4. Smart Meter Rev Req'!Q47</f>
        <v>58917.71233333334</v>
      </c>
      <c r="H9" s="139">
        <f>-'4. Smart Meter Rev Req'!T47</f>
        <v>96877.20133333335</v>
      </c>
      <c r="I9" s="139">
        <f>-'4. Smart Meter Rev Req'!W47</f>
        <v>0</v>
      </c>
    </row>
    <row r="10" spans="1:9" ht="12.75">
      <c r="A10" s="5"/>
      <c r="B10" s="5" t="s">
        <v>225</v>
      </c>
      <c r="C10" s="139">
        <f>-'6. Avg Nt Fix Ass &amp;UCC'!C93</f>
        <v>0</v>
      </c>
      <c r="D10" s="139">
        <f>-'6. Avg Nt Fix Ass &amp;UCC'!D93</f>
        <v>0</v>
      </c>
      <c r="E10" s="139">
        <f>-'6. Avg Nt Fix Ass &amp;UCC'!E93</f>
        <v>-2375.4024</v>
      </c>
      <c r="F10" s="139">
        <f>-'6. Avg Nt Fix Ass &amp;UCC'!F93</f>
        <v>-6641.748607999999</v>
      </c>
      <c r="G10" s="139">
        <f>-'6. Avg Nt Fix Ass &amp;UCC'!G93</f>
        <v>-39518.50071936</v>
      </c>
      <c r="H10" s="139">
        <f>-'6. Avg Nt Fix Ass &amp;UCC'!H93</f>
        <v>-72814.13666181121</v>
      </c>
      <c r="I10" s="139">
        <f>-'6. Avg Nt Fix Ass &amp;UCC'!I93</f>
        <v>0</v>
      </c>
    </row>
    <row r="11" spans="1:9" ht="12.75">
      <c r="A11" s="5"/>
      <c r="B11" s="5" t="s">
        <v>227</v>
      </c>
      <c r="C11" s="139">
        <f>-'6. Avg Nt Fix Ass &amp;UCC'!C107</f>
        <v>0</v>
      </c>
      <c r="D11" s="139">
        <f>-'6. Avg Nt Fix Ass &amp;UCC'!D107</f>
        <v>-4482.71175</v>
      </c>
      <c r="E11" s="139">
        <f>-'6. Avg Nt Fix Ass &amp;UCC'!E107</f>
        <v>-14574.938537500002</v>
      </c>
      <c r="F11" s="139">
        <f>-'6. Avg Nt Fix Ass &amp;UCC'!F107</f>
        <v>-25322.890841875003</v>
      </c>
      <c r="G11" s="139">
        <f>-'6. Avg Nt Fix Ass &amp;UCC'!G107</f>
        <v>-45873.50287884375</v>
      </c>
      <c r="H11" s="139">
        <f>-'6. Avg Nt Fix Ass &amp;UCC'!H107</f>
        <v>-44432.11629547969</v>
      </c>
      <c r="I11" s="139">
        <f>-'6. Avg Nt Fix Ass &amp;UCC'!I107</f>
        <v>0</v>
      </c>
    </row>
    <row r="12" spans="1:9" ht="12.75">
      <c r="A12" s="5"/>
      <c r="B12" s="5" t="s">
        <v>226</v>
      </c>
      <c r="C12" s="139">
        <f>-'6. Avg Nt Fix Ass &amp;UCC'!C121</f>
        <v>0</v>
      </c>
      <c r="D12" s="139">
        <f>-'6. Avg Nt Fix Ass &amp;UCC'!D121</f>
        <v>0</v>
      </c>
      <c r="E12" s="139">
        <f>-'6. Avg Nt Fix Ass &amp;UCC'!E121</f>
        <v>-899.1039999999999</v>
      </c>
      <c r="F12" s="139">
        <f>-'6. Avg Nt Fix Ass &amp;UCC'!F121</f>
        <v>-1618.3872</v>
      </c>
      <c r="G12" s="139">
        <f>-'6. Avg Nt Fix Ass &amp;UCC'!G121</f>
        <v>-2575.7097599999997</v>
      </c>
      <c r="H12" s="139">
        <f>-'6. Avg Nt Fix Ass &amp;UCC'!H121</f>
        <v>-3341.567808</v>
      </c>
      <c r="I12" s="139">
        <f>-'6. Avg Nt Fix Ass &amp;UCC'!I121</f>
        <v>0</v>
      </c>
    </row>
    <row r="13" spans="1:9" ht="12.75">
      <c r="A13" s="5"/>
      <c r="B13" s="5" t="s">
        <v>152</v>
      </c>
      <c r="C13" s="140">
        <f aca="true" t="shared" si="0" ref="C13:I13">SUM(C8:C12)</f>
        <v>0</v>
      </c>
      <c r="D13" s="140">
        <f t="shared" si="0"/>
        <v>-2522.5441575000004</v>
      </c>
      <c r="E13" s="140">
        <f t="shared" si="0"/>
        <v>-6849.413733549752</v>
      </c>
      <c r="F13" s="140">
        <f t="shared" si="0"/>
        <v>-9128.55139994577</v>
      </c>
      <c r="G13" s="140">
        <f t="shared" si="0"/>
        <v>-10208.480185610419</v>
      </c>
      <c r="H13" s="140">
        <f t="shared" si="0"/>
        <v>8907.881265802462</v>
      </c>
      <c r="I13" s="140">
        <f t="shared" si="0"/>
        <v>0</v>
      </c>
    </row>
    <row r="14" spans="1:9" ht="12.75">
      <c r="A14" s="5"/>
      <c r="B14" s="5" t="s">
        <v>201</v>
      </c>
      <c r="C14" s="141">
        <f>'3.  LDC Assumptions and Data'!C26</f>
        <v>0.3612</v>
      </c>
      <c r="D14" s="141">
        <f>'3.  LDC Assumptions and Data'!D26</f>
        <v>0.3612</v>
      </c>
      <c r="E14" s="141">
        <f>'3.  LDC Assumptions and Data'!E26</f>
        <v>0.335</v>
      </c>
      <c r="F14" s="141">
        <f>'3.  LDC Assumptions and Data'!F26</f>
        <v>0.33</v>
      </c>
      <c r="G14" s="141">
        <f>'3.  LDC Assumptions and Data'!G26</f>
        <v>0.32</v>
      </c>
      <c r="H14" s="141">
        <f>'3.  LDC Assumptions and Data'!H26</f>
        <v>0.305</v>
      </c>
      <c r="I14" s="141">
        <f>'3.  LDC Assumptions and Data'!I26</f>
        <v>0.29</v>
      </c>
    </row>
    <row r="15" spans="1:9" ht="12.75">
      <c r="A15" s="5"/>
      <c r="B15" s="5" t="s">
        <v>153</v>
      </c>
      <c r="C15" s="140">
        <f aca="true" t="shared" si="1" ref="C15:I15">C13*C14</f>
        <v>0</v>
      </c>
      <c r="D15" s="140">
        <f t="shared" si="1"/>
        <v>-911.1429496890003</v>
      </c>
      <c r="E15" s="140">
        <f t="shared" si="1"/>
        <v>-2294.553600739167</v>
      </c>
      <c r="F15" s="140">
        <f t="shared" si="1"/>
        <v>-3012.4219619821047</v>
      </c>
      <c r="G15" s="140">
        <f t="shared" si="1"/>
        <v>-3266.713659395334</v>
      </c>
      <c r="H15" s="140">
        <f t="shared" si="1"/>
        <v>2716.903786069751</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57405.558</v>
      </c>
      <c r="F18" s="139">
        <f>'6. Avg Nt Fix Ass &amp;UCC'!F17</f>
        <v>103736.80733333333</v>
      </c>
      <c r="G18" s="139">
        <f>'6. Avg Nt Fix Ass &amp;UCC'!G17</f>
        <v>853381.48</v>
      </c>
      <c r="H18" s="139">
        <f>'6. Avg Nt Fix Ass &amp;UCC'!H17</f>
        <v>917717.3226666667</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0</v>
      </c>
      <c r="G19" s="139">
        <f>'6. Avg Nt Fix Ass &amp;UCC'!G32</f>
        <v>32537.519000000004</v>
      </c>
      <c r="H19" s="139">
        <f>'6. Avg Nt Fix Ass &amp;UCC'!H32</f>
        <v>29112.517000000003</v>
      </c>
      <c r="I19" s="139">
        <f>'6. Avg Nt Fix Ass &amp;UCC'!I32</f>
        <v>0</v>
      </c>
    </row>
    <row r="20" spans="1:9" ht="12.75">
      <c r="A20" s="5"/>
      <c r="B20" s="61" t="s">
        <v>99</v>
      </c>
      <c r="C20" s="142">
        <f>'6. Avg Nt Fix Ass &amp;UCC'!C47</f>
        <v>0</v>
      </c>
      <c r="D20" s="142">
        <f>'6. Avg Nt Fix Ass &amp;UCC'!D47</f>
        <v>14670.693000000001</v>
      </c>
      <c r="E20" s="142">
        <f>'6. Avg Nt Fix Ass &amp;UCC'!E47</f>
        <v>37837.833</v>
      </c>
      <c r="F20" s="142">
        <f>'6. Avg Nt Fix Ass &amp;UCC'!F47</f>
        <v>63687.659000000014</v>
      </c>
      <c r="G20" s="142">
        <f>'6. Avg Nt Fix Ass &amp;UCC'!G47</f>
        <v>93810.859</v>
      </c>
      <c r="H20" s="142">
        <f>'6. Avg Nt Fix Ass &amp;UCC'!H47</f>
        <v>66452.921</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8541.488</v>
      </c>
      <c r="F22" s="143">
        <f>'6. Avg Nt Fix Ass &amp;UCC'!F77</f>
        <v>7642.383999999999</v>
      </c>
      <c r="G22" s="143">
        <f>'6. Avg Nt Fix Ass &amp;UCC'!G77</f>
        <v>18912.780000000002</v>
      </c>
      <c r="H22" s="143">
        <f>'6. Avg Nt Fix Ass &amp;UCC'!H77</f>
        <v>16732.676</v>
      </c>
      <c r="I22" s="143">
        <f>'6. Avg Nt Fix Ass &amp;UCC'!I77</f>
        <v>0</v>
      </c>
    </row>
    <row r="23" spans="1:9" ht="12.75">
      <c r="A23" s="5"/>
      <c r="B23" s="5" t="s">
        <v>155</v>
      </c>
      <c r="C23" s="102">
        <f aca="true" t="shared" si="2" ref="C23:I23">SUM(C18:C20)</f>
        <v>0</v>
      </c>
      <c r="D23" s="102">
        <f t="shared" si="2"/>
        <v>14670.693000000001</v>
      </c>
      <c r="E23" s="102">
        <f t="shared" si="2"/>
        <v>95243.391</v>
      </c>
      <c r="F23" s="102">
        <f t="shared" si="2"/>
        <v>167424.46633333334</v>
      </c>
      <c r="G23" s="102">
        <f t="shared" si="2"/>
        <v>979729.858</v>
      </c>
      <c r="H23" s="102">
        <f t="shared" si="2"/>
        <v>1013282.7606666667</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14670.693000000001</v>
      </c>
      <c r="E25" s="140">
        <f t="shared" si="3"/>
        <v>95243.391</v>
      </c>
      <c r="F25" s="140">
        <f t="shared" si="3"/>
        <v>167424.46633333334</v>
      </c>
      <c r="G25" s="140">
        <f t="shared" si="3"/>
        <v>979729.858</v>
      </c>
      <c r="H25" s="140">
        <f t="shared" si="3"/>
        <v>1013282.7606666667</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33.00905925</v>
      </c>
      <c r="E27" s="140">
        <f t="shared" si="4"/>
        <v>214.29762975</v>
      </c>
      <c r="F27" s="140">
        <f t="shared" si="4"/>
        <v>376.70504925</v>
      </c>
      <c r="G27" s="140">
        <f t="shared" si="4"/>
        <v>734.7973935</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-911.1429496890003</v>
      </c>
      <c r="E32" s="102">
        <f t="shared" si="5"/>
        <v>-2294.553600739167</v>
      </c>
      <c r="F32" s="102">
        <f t="shared" si="5"/>
        <v>-3012.4219619821047</v>
      </c>
      <c r="G32" s="102">
        <f t="shared" si="5"/>
        <v>-3266.713659395334</v>
      </c>
      <c r="H32" s="102">
        <f t="shared" si="5"/>
        <v>2716.903786069751</v>
      </c>
      <c r="I32" s="102">
        <f t="shared" si="5"/>
        <v>0</v>
      </c>
    </row>
    <row r="33" spans="1:9" ht="12.75">
      <c r="A33" s="5"/>
      <c r="B33" s="5" t="s">
        <v>163</v>
      </c>
      <c r="C33" s="102">
        <f aca="true" t="shared" si="6" ref="C33:I33">C27</f>
        <v>0</v>
      </c>
      <c r="D33" s="102">
        <f t="shared" si="6"/>
        <v>33.00905925</v>
      </c>
      <c r="E33" s="102">
        <f t="shared" si="6"/>
        <v>214.29762975</v>
      </c>
      <c r="F33" s="102">
        <f t="shared" si="6"/>
        <v>376.70504925</v>
      </c>
      <c r="G33" s="102">
        <f t="shared" si="6"/>
        <v>734.7973935</v>
      </c>
      <c r="H33" s="102">
        <f t="shared" si="6"/>
        <v>0</v>
      </c>
      <c r="I33" s="102">
        <f t="shared" si="6"/>
        <v>0</v>
      </c>
    </row>
    <row r="34" spans="1:9" ht="12.75">
      <c r="A34" s="5"/>
      <c r="B34" s="5" t="s">
        <v>164</v>
      </c>
      <c r="C34" s="140">
        <f aca="true" t="shared" si="7" ref="C34:I34">SUM(C32:C33)</f>
        <v>0</v>
      </c>
      <c r="D34" s="140">
        <f t="shared" si="7"/>
        <v>-878.1338904390003</v>
      </c>
      <c r="E34" s="140">
        <f t="shared" si="7"/>
        <v>-2080.255970989167</v>
      </c>
      <c r="F34" s="140">
        <f t="shared" si="7"/>
        <v>-2635.716912732105</v>
      </c>
      <c r="G34" s="140">
        <f t="shared" si="7"/>
        <v>-2531.916265895334</v>
      </c>
      <c r="H34" s="140">
        <f t="shared" si="7"/>
        <v>2716.903786069751</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0.32</v>
      </c>
      <c r="H37" s="76">
        <f t="shared" si="8"/>
        <v>0.305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-1426.335237459299</v>
      </c>
      <c r="E40" s="102">
        <f t="shared" si="9"/>
        <v>-3450.4565424649127</v>
      </c>
      <c r="F40" s="102">
        <f t="shared" si="9"/>
        <v>-4496.152182062843</v>
      </c>
      <c r="G40" s="102">
        <f t="shared" si="9"/>
        <v>-4803.9906755813745</v>
      </c>
      <c r="H40" s="102">
        <f t="shared" si="9"/>
        <v>3909.2140806759003</v>
      </c>
      <c r="I40" s="102">
        <f t="shared" si="9"/>
        <v>0</v>
      </c>
    </row>
    <row r="41" spans="2:9" ht="12.75">
      <c r="B41" s="5" t="s">
        <v>163</v>
      </c>
      <c r="C41" s="102">
        <f aca="true" t="shared" si="10" ref="C41:I41">C33</f>
        <v>0</v>
      </c>
      <c r="D41" s="102">
        <f t="shared" si="10"/>
        <v>33.00905925</v>
      </c>
      <c r="E41" s="102">
        <f t="shared" si="10"/>
        <v>214.29762975</v>
      </c>
      <c r="F41" s="102">
        <f t="shared" si="10"/>
        <v>376.70504925</v>
      </c>
      <c r="G41" s="102">
        <f t="shared" si="10"/>
        <v>734.7973935</v>
      </c>
      <c r="H41" s="102">
        <f t="shared" si="10"/>
        <v>0</v>
      </c>
      <c r="I41" s="102">
        <f t="shared" si="10"/>
        <v>0</v>
      </c>
    </row>
    <row r="42" spans="2:9" ht="12.75">
      <c r="B42" s="5" t="s">
        <v>164</v>
      </c>
      <c r="C42" s="146">
        <f aca="true" t="shared" si="11" ref="C42:I42">SUM(C40:C41)</f>
        <v>0</v>
      </c>
      <c r="D42" s="146">
        <f t="shared" si="11"/>
        <v>-1393.3261782092989</v>
      </c>
      <c r="E42" s="146">
        <f t="shared" si="11"/>
        <v>-3236.1589127149127</v>
      </c>
      <c r="F42" s="146">
        <f t="shared" si="11"/>
        <v>-4119.447132812843</v>
      </c>
      <c r="G42" s="146">
        <f t="shared" si="11"/>
        <v>-4069.1932820813745</v>
      </c>
      <c r="H42" s="146">
        <f t="shared" si="11"/>
        <v>3909.2140806759003</v>
      </c>
      <c r="I42" s="146">
        <f t="shared" si="11"/>
        <v>0</v>
      </c>
    </row>
  </sheetData>
  <sheetProtection formatColumns="0" selectLockedCells="1"/>
  <mergeCells count="1">
    <mergeCell ref="B1:E1"/>
  </mergeCells>
  <printOptions/>
  <pageMargins left="0.42" right="0.44" top="0.64" bottom="0.75" header="0.5" footer="0.5"/>
  <pageSetup fitToHeight="1" fitToWidth="1" horizontalDpi="600" verticalDpi="600" orientation="landscape" scale="91"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I127"/>
  <sheetViews>
    <sheetView view="pageBreakPreview" zoomScaleSheetLayoutView="100" zoomScalePageLayoutView="0" workbookViewId="0" topLeftCell="B97">
      <selection activeCell="B25" sqref="B25"/>
    </sheetView>
  </sheetViews>
  <sheetFormatPr defaultColWidth="9.140625" defaultRowHeight="12.75"/>
  <cols>
    <col min="1" max="1" width="16.57421875" style="7" customWidth="1"/>
    <col min="2" max="2" width="75.28125" style="7" bestFit="1" customWidth="1"/>
    <col min="3" max="7" width="15.00390625" style="7" bestFit="1" customWidth="1"/>
    <col min="8" max="8" width="15.421875" style="7" bestFit="1" customWidth="1"/>
    <col min="9" max="16384" width="9.140625" style="7" customWidth="1"/>
  </cols>
  <sheetData>
    <row r="1" spans="1:9" s="3" customFormat="1" ht="21" customHeight="1">
      <c r="A1" s="1"/>
      <c r="B1" s="176" t="s">
        <v>219</v>
      </c>
      <c r="C1" s="176"/>
      <c r="D1" s="176"/>
      <c r="E1" s="176"/>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59385.06</v>
      </c>
      <c r="G8" s="140">
        <f>F10</f>
        <v>111409.45999999999</v>
      </c>
      <c r="H8" s="140">
        <f>G10</f>
        <v>894587.36</v>
      </c>
      <c r="I8" s="5"/>
    </row>
    <row r="9" spans="1:9" ht="12.75">
      <c r="A9" s="5"/>
      <c r="B9" s="5" t="s">
        <v>202</v>
      </c>
      <c r="C9" s="142">
        <f>'3.  LDC Assumptions and Data'!C31</f>
        <v>0</v>
      </c>
      <c r="D9" s="142">
        <f>'3.  LDC Assumptions and Data'!D31</f>
        <v>0</v>
      </c>
      <c r="E9" s="142">
        <f>'3.  LDC Assumptions and Data'!E31</f>
        <v>59385.06</v>
      </c>
      <c r="F9" s="142">
        <f>'3.  LDC Assumptions and Data'!F31</f>
        <v>52024.399999999994</v>
      </c>
      <c r="G9" s="142">
        <f>'3.  LDC Assumptions and Data'!G31</f>
        <v>783177.9</v>
      </c>
      <c r="H9" s="142">
        <f>'3.  LDC Assumptions and Data'!H31</f>
        <v>128250</v>
      </c>
      <c r="I9" s="5"/>
    </row>
    <row r="10" spans="1:9" ht="12.75">
      <c r="A10" s="5"/>
      <c r="B10" s="5" t="s">
        <v>169</v>
      </c>
      <c r="C10" s="140">
        <f aca="true" t="shared" si="0" ref="C10:H10">SUM(C8:C9)</f>
        <v>0</v>
      </c>
      <c r="D10" s="140">
        <f t="shared" si="0"/>
        <v>0</v>
      </c>
      <c r="E10" s="140">
        <f t="shared" si="0"/>
        <v>59385.06</v>
      </c>
      <c r="F10" s="140">
        <f t="shared" si="0"/>
        <v>111409.45999999999</v>
      </c>
      <c r="G10" s="140">
        <f t="shared" si="0"/>
        <v>894587.36</v>
      </c>
      <c r="H10" s="140">
        <f t="shared" si="0"/>
        <v>1022837.36</v>
      </c>
      <c r="I10" s="5"/>
    </row>
    <row r="11" spans="1:9" ht="12.75">
      <c r="A11" s="5"/>
      <c r="B11" s="5"/>
      <c r="C11" s="63"/>
      <c r="D11" s="63"/>
      <c r="E11" s="63"/>
      <c r="F11" s="63"/>
      <c r="G11" s="63"/>
      <c r="H11" s="5"/>
      <c r="I11" s="5"/>
    </row>
    <row r="12" spans="1:9" ht="12.75">
      <c r="A12" s="5"/>
      <c r="B12" s="5" t="s">
        <v>170</v>
      </c>
      <c r="C12" s="140">
        <v>0</v>
      </c>
      <c r="D12" s="140">
        <f>C14</f>
        <v>0</v>
      </c>
      <c r="E12" s="140">
        <f>D14</f>
        <v>0</v>
      </c>
      <c r="F12" s="140">
        <f>E14</f>
        <v>1979.502</v>
      </c>
      <c r="G12" s="140">
        <f>F14</f>
        <v>7672.652666666667</v>
      </c>
      <c r="H12" s="140">
        <f>G14</f>
        <v>41205.880000000005</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1979.502</v>
      </c>
      <c r="F13" s="102">
        <f>IF(F12+(F8/'3.  LDC Assumptions and Data'!F60)+(F9/'3.  LDC Assumptions and Data'!F60/2)&lt;F10,(F8/'3.  LDC Assumptions and Data'!F60)+(F9/'3.  LDC Assumptions and Data'!F60/2),F10-F12)</f>
        <v>5693.150666666666</v>
      </c>
      <c r="G13" s="102">
        <f>IF(G12+(G8/'3.  LDC Assumptions and Data'!G60)+(G9/'3.  LDC Assumptions and Data'!G60/2)&lt;G10,(G8/'3.  LDC Assumptions and Data'!G60)+(G9/'3.  LDC Assumptions and Data'!G60/2),G10-G12)</f>
        <v>33533.227333333336</v>
      </c>
      <c r="H13" s="102">
        <f>IF(H12+(H8/'3.  LDC Assumptions and Data'!H60)+(H9/'3.  LDC Assumptions and Data'!H60/2)&lt;H10,(H8/'3.  LDC Assumptions and Data'!H60)+(H9/'3.  LDC Assumptions and Data'!H60/2),H10-H12)</f>
        <v>63914.15733333333</v>
      </c>
      <c r="I13" s="5"/>
    </row>
    <row r="14" spans="1:9" ht="12.75">
      <c r="A14" s="5"/>
      <c r="B14" s="5" t="s">
        <v>171</v>
      </c>
      <c r="C14" s="140">
        <f aca="true" t="shared" si="1" ref="C14:H14">SUM(C12:C13)</f>
        <v>0</v>
      </c>
      <c r="D14" s="140">
        <f t="shared" si="1"/>
        <v>0</v>
      </c>
      <c r="E14" s="140">
        <f t="shared" si="1"/>
        <v>1979.502</v>
      </c>
      <c r="F14" s="140">
        <f t="shared" si="1"/>
        <v>7672.652666666667</v>
      </c>
      <c r="G14" s="140">
        <f t="shared" si="1"/>
        <v>41205.880000000005</v>
      </c>
      <c r="H14" s="140">
        <f t="shared" si="1"/>
        <v>105120.03733333334</v>
      </c>
      <c r="I14" s="5"/>
    </row>
    <row r="15" spans="1:9" ht="12.75">
      <c r="A15" s="5"/>
      <c r="B15" s="5"/>
      <c r="H15" s="5"/>
      <c r="I15" s="5"/>
    </row>
    <row r="16" spans="1:9" ht="16.5" customHeight="1">
      <c r="A16" s="5"/>
      <c r="B16" s="5" t="s">
        <v>172</v>
      </c>
      <c r="C16" s="102">
        <f>0</f>
        <v>0</v>
      </c>
      <c r="D16" s="102">
        <f>C17</f>
        <v>0</v>
      </c>
      <c r="E16" s="102">
        <f>D17</f>
        <v>0</v>
      </c>
      <c r="F16" s="102">
        <f>E17</f>
        <v>57405.558</v>
      </c>
      <c r="G16" s="102">
        <f>F17</f>
        <v>103736.80733333333</v>
      </c>
      <c r="H16" s="102">
        <f>G17</f>
        <v>853381.48</v>
      </c>
      <c r="I16" s="5"/>
    </row>
    <row r="17" spans="1:8" ht="12.75">
      <c r="A17" s="5"/>
      <c r="B17" s="5" t="s">
        <v>173</v>
      </c>
      <c r="C17" s="140">
        <f aca="true" t="shared" si="2" ref="C17:H17">C10-C14</f>
        <v>0</v>
      </c>
      <c r="D17" s="140">
        <f t="shared" si="2"/>
        <v>0</v>
      </c>
      <c r="E17" s="140">
        <f t="shared" si="2"/>
        <v>57405.558</v>
      </c>
      <c r="F17" s="140">
        <f t="shared" si="2"/>
        <v>103736.80733333333</v>
      </c>
      <c r="G17" s="140">
        <f t="shared" si="2"/>
        <v>853381.48</v>
      </c>
      <c r="H17" s="140">
        <f t="shared" si="2"/>
        <v>917717.3226666667</v>
      </c>
    </row>
    <row r="18" spans="1:8" ht="13.5" thickBot="1">
      <c r="A18" s="5"/>
      <c r="B18" s="5" t="s">
        <v>174</v>
      </c>
      <c r="C18" s="147">
        <f aca="true" t="shared" si="3" ref="C18:H18">(C17+C16)/2</f>
        <v>0</v>
      </c>
      <c r="D18" s="147">
        <f t="shared" si="3"/>
        <v>0</v>
      </c>
      <c r="E18" s="147">
        <f t="shared" si="3"/>
        <v>28702.779</v>
      </c>
      <c r="F18" s="147">
        <f t="shared" si="3"/>
        <v>80571.18266666666</v>
      </c>
      <c r="G18" s="147">
        <f t="shared" si="3"/>
        <v>478559.14366666664</v>
      </c>
      <c r="H18" s="147">
        <f t="shared" si="3"/>
        <v>885549.4013333333</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0</v>
      </c>
      <c r="H23" s="140">
        <f>G25</f>
        <v>34250.020000000004</v>
      </c>
      <c r="I23" s="5"/>
    </row>
    <row r="24" spans="1:9" ht="12.75">
      <c r="A24" s="5"/>
      <c r="B24" s="5" t="s">
        <v>203</v>
      </c>
      <c r="C24" s="142">
        <f>'3.  LDC Assumptions and Data'!C32</f>
        <v>0</v>
      </c>
      <c r="D24" s="142">
        <f>'3.  LDC Assumptions and Data'!D32</f>
        <v>0</v>
      </c>
      <c r="E24" s="142">
        <f>'3.  LDC Assumptions and Data'!E32</f>
        <v>0</v>
      </c>
      <c r="F24" s="142">
        <f>'3.  LDC Assumptions and Data'!F32</f>
        <v>0</v>
      </c>
      <c r="G24" s="142">
        <f>'3.  LDC Assumptions and Data'!G32</f>
        <v>34250.020000000004</v>
      </c>
      <c r="H24" s="142">
        <f>'3.  LDC Assumptions and Data'!H32</f>
        <v>0</v>
      </c>
      <c r="I24" s="5"/>
    </row>
    <row r="25" spans="1:9" ht="12.75">
      <c r="A25" s="5"/>
      <c r="B25" s="5" t="s">
        <v>169</v>
      </c>
      <c r="C25" s="140">
        <f aca="true" t="shared" si="5" ref="C25:H25">SUM(C23:C24)</f>
        <v>0</v>
      </c>
      <c r="D25" s="140">
        <f t="shared" si="5"/>
        <v>0</v>
      </c>
      <c r="E25" s="140">
        <f t="shared" si="5"/>
        <v>0</v>
      </c>
      <c r="F25" s="140">
        <f t="shared" si="5"/>
        <v>0</v>
      </c>
      <c r="G25" s="140">
        <f t="shared" si="5"/>
        <v>34250.020000000004</v>
      </c>
      <c r="H25" s="140">
        <f t="shared" si="5"/>
        <v>34250.020000000004</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0</v>
      </c>
      <c r="H27" s="140">
        <f>G29</f>
        <v>1712.5010000000002</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0</v>
      </c>
      <c r="G28" s="102">
        <f>IF(G27+(G23/'3.  LDC Assumptions and Data'!C61)+(G24/'3.  LDC Assumptions and Data'!C61/2)&lt;G25,(G23/'3.  LDC Assumptions and Data'!C61)+(G24/'3.  LDC Assumptions and Data'!C61/2),G25-G27)</f>
        <v>1712.5010000000002</v>
      </c>
      <c r="H28" s="102">
        <f>IF(H27+(H23/'3.  LDC Assumptions and Data'!D61)+(H24/'3.  LDC Assumptions and Data'!D61/2)&lt;H25,(H23/'3.  LDC Assumptions and Data'!D61)+(H24/'3.  LDC Assumptions and Data'!D61/2),H25-H27)</f>
        <v>3425.0020000000004</v>
      </c>
      <c r="I28" s="5"/>
    </row>
    <row r="29" spans="1:9" ht="12.75">
      <c r="A29" s="5"/>
      <c r="B29" s="5" t="s">
        <v>171</v>
      </c>
      <c r="C29" s="140">
        <f aca="true" t="shared" si="6" ref="C29:H29">SUM(C27:C28)</f>
        <v>0</v>
      </c>
      <c r="D29" s="140">
        <f t="shared" si="6"/>
        <v>0</v>
      </c>
      <c r="E29" s="140">
        <f t="shared" si="6"/>
        <v>0</v>
      </c>
      <c r="F29" s="140">
        <f t="shared" si="6"/>
        <v>0</v>
      </c>
      <c r="G29" s="140">
        <f t="shared" si="6"/>
        <v>1712.5010000000002</v>
      </c>
      <c r="H29" s="140">
        <f t="shared" si="6"/>
        <v>5137.503000000001</v>
      </c>
      <c r="I29" s="5"/>
    </row>
    <row r="30" spans="1:9" ht="12.75">
      <c r="A30" s="5"/>
      <c r="B30" s="5"/>
      <c r="H30" s="5"/>
      <c r="I30" s="5"/>
    </row>
    <row r="31" spans="1:9" ht="12.75">
      <c r="A31" s="5"/>
      <c r="B31" s="5" t="s">
        <v>172</v>
      </c>
      <c r="C31" s="102">
        <f>0</f>
        <v>0</v>
      </c>
      <c r="D31" s="102">
        <f>C32</f>
        <v>0</v>
      </c>
      <c r="E31" s="102">
        <f>D32</f>
        <v>0</v>
      </c>
      <c r="F31" s="102">
        <f>E32</f>
        <v>0</v>
      </c>
      <c r="G31" s="102">
        <f>F32</f>
        <v>0</v>
      </c>
      <c r="H31" s="102">
        <f>G32</f>
        <v>32537.519000000004</v>
      </c>
      <c r="I31" s="5"/>
    </row>
    <row r="32" spans="1:9" ht="12.75">
      <c r="A32" s="5"/>
      <c r="B32" s="5" t="s">
        <v>173</v>
      </c>
      <c r="C32" s="140">
        <f aca="true" t="shared" si="7" ref="C32:H32">C25-C29</f>
        <v>0</v>
      </c>
      <c r="D32" s="148">
        <f t="shared" si="7"/>
        <v>0</v>
      </c>
      <c r="E32" s="148">
        <f t="shared" si="7"/>
        <v>0</v>
      </c>
      <c r="F32" s="148">
        <f t="shared" si="7"/>
        <v>0</v>
      </c>
      <c r="G32" s="148">
        <f t="shared" si="7"/>
        <v>32537.519000000004</v>
      </c>
      <c r="H32" s="148">
        <f t="shared" si="7"/>
        <v>29112.517000000003</v>
      </c>
      <c r="I32" s="5"/>
    </row>
    <row r="33" spans="1:9" ht="13.5" thickBot="1">
      <c r="A33" s="5"/>
      <c r="B33" s="5" t="s">
        <v>174</v>
      </c>
      <c r="C33" s="147">
        <f aca="true" t="shared" si="8" ref="C33:H33">(C32+C31)/2</f>
        <v>0</v>
      </c>
      <c r="D33" s="149">
        <f t="shared" si="8"/>
        <v>0</v>
      </c>
      <c r="E33" s="149">
        <f t="shared" si="8"/>
        <v>0</v>
      </c>
      <c r="F33" s="149">
        <f t="shared" si="8"/>
        <v>0</v>
      </c>
      <c r="G33" s="149">
        <f t="shared" si="8"/>
        <v>16268.759500000002</v>
      </c>
      <c r="H33" s="149">
        <f t="shared" si="8"/>
        <v>30825.018000000004</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16300.77</v>
      </c>
      <c r="F38" s="140">
        <f>E40</f>
        <v>45664.43</v>
      </c>
      <c r="G38" s="140">
        <f>F40</f>
        <v>84534.11000000002</v>
      </c>
      <c r="H38" s="140">
        <f>G40</f>
        <v>136789.69</v>
      </c>
      <c r="I38" s="5"/>
    </row>
    <row r="39" spans="1:9" ht="12.75">
      <c r="A39" s="5"/>
      <c r="B39" s="5" t="s">
        <v>202</v>
      </c>
      <c r="C39" s="142">
        <f>'3.  LDC Assumptions and Data'!C33</f>
        <v>0</v>
      </c>
      <c r="D39" s="142">
        <f>'3.  LDC Assumptions and Data'!D33</f>
        <v>16300.77</v>
      </c>
      <c r="E39" s="142">
        <f>'3.  LDC Assumptions and Data'!E33</f>
        <v>29363.66</v>
      </c>
      <c r="F39" s="142">
        <f>'3.  LDC Assumptions and Data'!F33</f>
        <v>38869.68000000001</v>
      </c>
      <c r="G39" s="142">
        <f>'3.  LDC Assumptions and Data'!G33</f>
        <v>52255.579999999994</v>
      </c>
      <c r="H39" s="142">
        <f>'3.  LDC Assumptions and Data'!H33</f>
        <v>0</v>
      </c>
      <c r="I39" s="5"/>
    </row>
    <row r="40" spans="1:9" ht="12.75">
      <c r="A40" s="5"/>
      <c r="B40" s="5" t="s">
        <v>169</v>
      </c>
      <c r="C40" s="140">
        <f aca="true" t="shared" si="10" ref="C40:H40">SUM(C38:C39)</f>
        <v>0</v>
      </c>
      <c r="D40" s="140">
        <f t="shared" si="10"/>
        <v>16300.77</v>
      </c>
      <c r="E40" s="140">
        <f t="shared" si="10"/>
        <v>45664.43</v>
      </c>
      <c r="F40" s="140">
        <f t="shared" si="10"/>
        <v>84534.11000000002</v>
      </c>
      <c r="G40" s="140">
        <f t="shared" si="10"/>
        <v>136789.69</v>
      </c>
      <c r="H40" s="140">
        <f t="shared" si="10"/>
        <v>136789.69</v>
      </c>
      <c r="I40" s="5"/>
    </row>
    <row r="41" spans="1:9" ht="12.75">
      <c r="A41" s="5"/>
      <c r="B41" s="5"/>
      <c r="C41" s="64"/>
      <c r="D41" s="64"/>
      <c r="E41" s="64"/>
      <c r="F41" s="64"/>
      <c r="G41" s="64"/>
      <c r="H41" s="5"/>
      <c r="I41" s="5"/>
    </row>
    <row r="42" spans="1:9" ht="12.75">
      <c r="A42" s="5"/>
      <c r="B42" s="5" t="s">
        <v>170</v>
      </c>
      <c r="C42" s="140">
        <v>0</v>
      </c>
      <c r="D42" s="140">
        <f>C44</f>
        <v>0</v>
      </c>
      <c r="E42" s="140">
        <f>D44</f>
        <v>1630.077</v>
      </c>
      <c r="F42" s="140">
        <f>E44</f>
        <v>7826.597000000001</v>
      </c>
      <c r="G42" s="140">
        <f>F44</f>
        <v>20846.451</v>
      </c>
      <c r="H42" s="140">
        <f>G44</f>
        <v>42978.831000000006</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1630.077</v>
      </c>
      <c r="E43" s="102">
        <f>IF(E42+(E38/'3.  LDC Assumptions and Data'!C62)+(E39/'3.  LDC Assumptions and Data'!C62/2)&lt;E40,(E38/'3.  LDC Assumptions and Data'!C62)+(E39/'3.  LDC Assumptions and Data'!C62/2),E40-E42)</f>
        <v>6196.52</v>
      </c>
      <c r="F43" s="102">
        <f>IF(F42+(F38/'3.  LDC Assumptions and Data'!C62)+(F39/'3.  LDC Assumptions and Data'!C62/2)&lt;F40,(F38/'3.  LDC Assumptions and Data'!C62)+(F39/'3.  LDC Assumptions and Data'!C62/2),F40-F42)</f>
        <v>13019.854000000001</v>
      </c>
      <c r="G43" s="102">
        <f>IF(G42+(G38/'3.  LDC Assumptions and Data'!C62)+(G39/'3.  LDC Assumptions and Data'!C62/2)&lt;G40,(G38/'3.  LDC Assumptions and Data'!C62)+(G39/'3.  LDC Assumptions and Data'!C62/2),G40-G42)</f>
        <v>22132.380000000005</v>
      </c>
      <c r="H43" s="102">
        <f>IF(H42+(H38/'3.  LDC Assumptions and Data'!D62)+(H39/'3.  LDC Assumptions and Data'!D62/2)&lt;H40,(H38/'3.  LDC Assumptions and Data'!D62)+(H39/'3.  LDC Assumptions and Data'!D62/2),H40-H42)</f>
        <v>27357.938000000002</v>
      </c>
      <c r="I43" s="5"/>
    </row>
    <row r="44" spans="1:9" ht="12.75">
      <c r="A44" s="5"/>
      <c r="B44" s="5" t="s">
        <v>171</v>
      </c>
      <c r="C44" s="140">
        <f aca="true" t="shared" si="11" ref="C44:H44">SUM(C42:C43)</f>
        <v>0</v>
      </c>
      <c r="D44" s="140">
        <f t="shared" si="11"/>
        <v>1630.077</v>
      </c>
      <c r="E44" s="140">
        <f t="shared" si="11"/>
        <v>7826.597000000001</v>
      </c>
      <c r="F44" s="140">
        <f t="shared" si="11"/>
        <v>20846.451</v>
      </c>
      <c r="G44" s="140">
        <f t="shared" si="11"/>
        <v>42978.831000000006</v>
      </c>
      <c r="H44" s="140">
        <f t="shared" si="11"/>
        <v>70336.769</v>
      </c>
      <c r="I44" s="5"/>
    </row>
    <row r="45" spans="1:9" ht="12.75">
      <c r="A45" s="5"/>
      <c r="B45" s="5"/>
      <c r="H45" s="5"/>
      <c r="I45" s="5"/>
    </row>
    <row r="46" spans="1:9" ht="12.75">
      <c r="A46" s="5"/>
      <c r="B46" s="5" t="s">
        <v>172</v>
      </c>
      <c r="C46" s="102">
        <f>0</f>
        <v>0</v>
      </c>
      <c r="D46" s="102">
        <f>C47</f>
        <v>0</v>
      </c>
      <c r="E46" s="102">
        <f>D47</f>
        <v>14670.693000000001</v>
      </c>
      <c r="F46" s="102">
        <f>E47</f>
        <v>37837.833</v>
      </c>
      <c r="G46" s="102">
        <f>F47</f>
        <v>63687.659000000014</v>
      </c>
      <c r="H46" s="102">
        <f>G47</f>
        <v>93810.859</v>
      </c>
      <c r="I46" s="5"/>
    </row>
    <row r="47" spans="1:9" ht="12.75">
      <c r="A47" s="5"/>
      <c r="B47" s="5" t="s">
        <v>173</v>
      </c>
      <c r="C47" s="140">
        <f aca="true" t="shared" si="12" ref="C47:H47">C40-C44</f>
        <v>0</v>
      </c>
      <c r="D47" s="148">
        <f t="shared" si="12"/>
        <v>14670.693000000001</v>
      </c>
      <c r="E47" s="148">
        <f t="shared" si="12"/>
        <v>37837.833</v>
      </c>
      <c r="F47" s="148">
        <f t="shared" si="12"/>
        <v>63687.659000000014</v>
      </c>
      <c r="G47" s="148">
        <f t="shared" si="12"/>
        <v>93810.859</v>
      </c>
      <c r="H47" s="148">
        <f t="shared" si="12"/>
        <v>66452.921</v>
      </c>
      <c r="I47" s="5"/>
    </row>
    <row r="48" spans="1:9" ht="13.5" thickBot="1">
      <c r="A48" s="5"/>
      <c r="B48" s="5" t="s">
        <v>174</v>
      </c>
      <c r="C48" s="147">
        <f aca="true" t="shared" si="13" ref="C48:H48">(C47+C46)/2</f>
        <v>0</v>
      </c>
      <c r="D48" s="149">
        <f t="shared" si="13"/>
        <v>7335.346500000001</v>
      </c>
      <c r="E48" s="149">
        <f t="shared" si="13"/>
        <v>26254.263</v>
      </c>
      <c r="F48" s="149">
        <f t="shared" si="13"/>
        <v>50762.74600000001</v>
      </c>
      <c r="G48" s="149">
        <f t="shared" si="13"/>
        <v>78749.259</v>
      </c>
      <c r="H48" s="149">
        <f t="shared" si="13"/>
        <v>80131.89</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Data'!E34</f>
        <v>0</v>
      </c>
      <c r="F54" s="142">
        <f>'3.  LDC Assumptions and Data'!F34</f>
        <v>0</v>
      </c>
      <c r="G54" s="142">
        <f>'3.  LDC Assumptions and Data'!G34</f>
        <v>0</v>
      </c>
      <c r="H54" s="142">
        <f>'3.  LDC Assumptions and Data'!H34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8991.039999999999</v>
      </c>
      <c r="G68" s="140">
        <f>F70</f>
        <v>8991.039999999999</v>
      </c>
      <c r="H68" s="140">
        <f>G70</f>
        <v>21801.04</v>
      </c>
      <c r="I68" s="5"/>
    </row>
    <row r="69" spans="1:9" ht="12.75">
      <c r="A69" s="5"/>
      <c r="B69" s="5" t="s">
        <v>202</v>
      </c>
      <c r="C69" s="142">
        <f>'3.  LDC Assumptions and Data'!C35</f>
        <v>0</v>
      </c>
      <c r="D69" s="142">
        <f>'3.  LDC Assumptions and Data'!D35</f>
        <v>0</v>
      </c>
      <c r="E69" s="142">
        <f>'3.  LDC Assumptions and Data'!E35</f>
        <v>8991.039999999999</v>
      </c>
      <c r="F69" s="142">
        <f>'3.  LDC Assumptions and Data'!F35</f>
        <v>0</v>
      </c>
      <c r="G69" s="142">
        <f>'3.  LDC Assumptions and Data'!G35</f>
        <v>12810</v>
      </c>
      <c r="H69" s="142">
        <f>'3.  LDC Assumptions and Data'!H35</f>
        <v>0</v>
      </c>
      <c r="I69" s="5"/>
    </row>
    <row r="70" spans="1:9" ht="12.75">
      <c r="A70" s="5"/>
      <c r="B70" s="5" t="s">
        <v>169</v>
      </c>
      <c r="C70" s="140">
        <f aca="true" t="shared" si="20" ref="C70:H70">SUM(C68:C69)</f>
        <v>0</v>
      </c>
      <c r="D70" s="140">
        <f t="shared" si="20"/>
        <v>0</v>
      </c>
      <c r="E70" s="140">
        <f t="shared" si="20"/>
        <v>8991.039999999999</v>
      </c>
      <c r="F70" s="140">
        <f t="shared" si="20"/>
        <v>8991.039999999999</v>
      </c>
      <c r="G70" s="140">
        <f t="shared" si="20"/>
        <v>21801.04</v>
      </c>
      <c r="H70" s="140">
        <f t="shared" si="20"/>
        <v>21801.04</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449.55199999999996</v>
      </c>
      <c r="G72" s="140">
        <f>F74</f>
        <v>1348.656</v>
      </c>
      <c r="H72" s="140">
        <f>G74</f>
        <v>2888.2599999999998</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449.55199999999996</v>
      </c>
      <c r="F73" s="102">
        <f>IF(F72+(F68/'3.  LDC Assumptions and Data'!C64)+(F69/'3.  LDC Assumptions and Data'!C64/2)&lt;F70,(F68/'3.  LDC Assumptions and Data'!C64)+(F69/'3.  LDC Assumptions and Data'!C64/2),F70-F72)</f>
        <v>899.1039999999999</v>
      </c>
      <c r="G73" s="102">
        <f>IF(G72+(G68/'3.  LDC Assumptions and Data'!C64)+(G69/'3.  LDC Assumptions and Data'!C64/2)&lt;G70,(G68/'3.  LDC Assumptions and Data'!C64)+(G69/'3.  LDC Assumptions and Data'!C64/2),G70-G72)</f>
        <v>1539.6039999999998</v>
      </c>
      <c r="H73" s="102">
        <f>IF(H72+(H68/'3.  LDC Assumptions and Data'!D64)+(H69/'3.  LDC Assumptions and Data'!D64/2)&lt;H70,(H68/'3.  LDC Assumptions and Data'!D64)+(H69/'3.  LDC Assumptions and Data'!D64/2),H70-H72)</f>
        <v>2180.1040000000003</v>
      </c>
      <c r="I73" s="5"/>
    </row>
    <row r="74" spans="1:9" ht="12.75">
      <c r="A74" s="5"/>
      <c r="B74" s="5" t="s">
        <v>171</v>
      </c>
      <c r="C74" s="140">
        <f aca="true" t="shared" si="21" ref="C74:H74">SUM(C72:C73)</f>
        <v>0</v>
      </c>
      <c r="D74" s="140">
        <f t="shared" si="21"/>
        <v>0</v>
      </c>
      <c r="E74" s="140">
        <f t="shared" si="21"/>
        <v>449.55199999999996</v>
      </c>
      <c r="F74" s="140">
        <f t="shared" si="21"/>
        <v>1348.656</v>
      </c>
      <c r="G74" s="140">
        <f t="shared" si="21"/>
        <v>2888.2599999999998</v>
      </c>
      <c r="H74" s="140">
        <f t="shared" si="21"/>
        <v>5068.364</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8541.488</v>
      </c>
      <c r="G76" s="102">
        <f>F77</f>
        <v>7642.383999999999</v>
      </c>
      <c r="H76" s="102">
        <f>G77</f>
        <v>18912.780000000002</v>
      </c>
      <c r="I76" s="5"/>
    </row>
    <row r="77" spans="1:9" ht="12.75">
      <c r="A77" s="5"/>
      <c r="B77" s="5" t="s">
        <v>173</v>
      </c>
      <c r="C77" s="140">
        <f aca="true" t="shared" si="22" ref="C77:H77">C70-C74</f>
        <v>0</v>
      </c>
      <c r="D77" s="148">
        <f t="shared" si="22"/>
        <v>0</v>
      </c>
      <c r="E77" s="148">
        <f t="shared" si="22"/>
        <v>8541.488</v>
      </c>
      <c r="F77" s="148">
        <f t="shared" si="22"/>
        <v>7642.383999999999</v>
      </c>
      <c r="G77" s="148">
        <f t="shared" si="22"/>
        <v>18912.780000000002</v>
      </c>
      <c r="H77" s="148">
        <f t="shared" si="22"/>
        <v>16732.676</v>
      </c>
      <c r="I77" s="5"/>
    </row>
    <row r="78" spans="1:9" ht="13.5" thickBot="1">
      <c r="A78" s="5"/>
      <c r="B78" s="5" t="s">
        <v>174</v>
      </c>
      <c r="C78" s="147">
        <f aca="true" t="shared" si="23" ref="C78:H78">(C77+C76)/2</f>
        <v>0</v>
      </c>
      <c r="D78" s="149">
        <f t="shared" si="23"/>
        <v>0</v>
      </c>
      <c r="E78" s="149">
        <f t="shared" si="23"/>
        <v>4270.744</v>
      </c>
      <c r="F78" s="149">
        <f t="shared" si="23"/>
        <v>8091.936</v>
      </c>
      <c r="G78" s="149">
        <f t="shared" si="23"/>
        <v>13277.582</v>
      </c>
      <c r="H78" s="149">
        <f t="shared" si="23"/>
        <v>17822.728000000003</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57009.6576</v>
      </c>
      <c r="G86" s="140">
        <f>F88-F93</f>
        <v>102392.308992</v>
      </c>
      <c r="H86" s="140">
        <f>G88-G93</f>
        <v>846051.70827264</v>
      </c>
      <c r="I86" s="5"/>
    </row>
    <row r="87" spans="1:9" ht="12.75">
      <c r="A87" s="5"/>
      <c r="B87" s="5" t="s">
        <v>182</v>
      </c>
      <c r="C87" s="102">
        <f aca="true" t="shared" si="25" ref="C87:H87">C9</f>
        <v>0</v>
      </c>
      <c r="D87" s="102">
        <f t="shared" si="25"/>
        <v>0</v>
      </c>
      <c r="E87" s="102">
        <f t="shared" si="25"/>
        <v>59385.06</v>
      </c>
      <c r="F87" s="102">
        <f t="shared" si="25"/>
        <v>52024.399999999994</v>
      </c>
      <c r="G87" s="102">
        <f t="shared" si="25"/>
        <v>783177.9</v>
      </c>
      <c r="H87" s="102">
        <f t="shared" si="25"/>
        <v>128250</v>
      </c>
      <c r="I87" s="5"/>
    </row>
    <row r="88" spans="1:9" ht="12.75">
      <c r="A88" s="5"/>
      <c r="B88" s="5" t="s">
        <v>183</v>
      </c>
      <c r="C88" s="140">
        <f aca="true" t="shared" si="26" ref="C88:H88">SUM(C86:C87)</f>
        <v>0</v>
      </c>
      <c r="D88" s="140">
        <f t="shared" si="26"/>
        <v>0</v>
      </c>
      <c r="E88" s="140">
        <f t="shared" si="26"/>
        <v>59385.06</v>
      </c>
      <c r="F88" s="140">
        <f t="shared" si="26"/>
        <v>109034.0576</v>
      </c>
      <c r="G88" s="140">
        <f t="shared" si="26"/>
        <v>885570.208992</v>
      </c>
      <c r="H88" s="140">
        <f t="shared" si="26"/>
        <v>974301.70827264</v>
      </c>
      <c r="I88" s="5"/>
    </row>
    <row r="89" spans="1:9" ht="12.75">
      <c r="A89" s="5"/>
      <c r="B89" s="5" t="s">
        <v>184</v>
      </c>
      <c r="C89" s="102">
        <f aca="true" t="shared" si="27" ref="C89:H89">SUM(C87:C87)/2</f>
        <v>0</v>
      </c>
      <c r="D89" s="102">
        <f t="shared" si="27"/>
        <v>0</v>
      </c>
      <c r="E89" s="102">
        <f t="shared" si="27"/>
        <v>29692.53</v>
      </c>
      <c r="F89" s="102">
        <f t="shared" si="27"/>
        <v>26012.199999999997</v>
      </c>
      <c r="G89" s="102">
        <f t="shared" si="27"/>
        <v>391588.95</v>
      </c>
      <c r="H89" s="102">
        <f t="shared" si="27"/>
        <v>64125</v>
      </c>
      <c r="I89" s="5"/>
    </row>
    <row r="90" spans="1:9" ht="12.75">
      <c r="A90" s="5"/>
      <c r="B90" s="5" t="s">
        <v>185</v>
      </c>
      <c r="C90" s="140">
        <f aca="true" t="shared" si="28" ref="C90:H90">C86+C89</f>
        <v>0</v>
      </c>
      <c r="D90" s="140">
        <f t="shared" si="28"/>
        <v>0</v>
      </c>
      <c r="E90" s="140">
        <f t="shared" si="28"/>
        <v>29692.53</v>
      </c>
      <c r="F90" s="140">
        <f t="shared" si="28"/>
        <v>83021.85759999999</v>
      </c>
      <c r="G90" s="140">
        <f t="shared" si="28"/>
        <v>493981.258992</v>
      </c>
      <c r="H90" s="140">
        <f t="shared" si="28"/>
        <v>910176.70827264</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2375.4024</v>
      </c>
      <c r="F93" s="140">
        <f t="shared" si="29"/>
        <v>6641.748607999999</v>
      </c>
      <c r="G93" s="140">
        <f t="shared" si="29"/>
        <v>39518.50071936</v>
      </c>
      <c r="H93" s="140">
        <f t="shared" si="29"/>
        <v>72814.13666181121</v>
      </c>
      <c r="I93" s="5"/>
    </row>
    <row r="94" spans="1:9" ht="13.5" thickBot="1">
      <c r="A94" s="5"/>
      <c r="B94" s="5" t="s">
        <v>187</v>
      </c>
      <c r="C94" s="147">
        <f aca="true" t="shared" si="30" ref="C94:H94">IF((C88-C93)&lt;0,0,(C88-C93))</f>
        <v>0</v>
      </c>
      <c r="D94" s="147">
        <f t="shared" si="30"/>
        <v>0</v>
      </c>
      <c r="E94" s="147">
        <f t="shared" si="30"/>
        <v>57009.6576</v>
      </c>
      <c r="F94" s="147">
        <f t="shared" si="30"/>
        <v>102392.308992</v>
      </c>
      <c r="G94" s="147">
        <f t="shared" si="30"/>
        <v>846051.70827264</v>
      </c>
      <c r="H94" s="147">
        <f t="shared" si="30"/>
        <v>901487.5716108289</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11818.05825</v>
      </c>
      <c r="F99" s="140">
        <f>E108</f>
        <v>26606.779712499996</v>
      </c>
      <c r="G99" s="140">
        <f>F108</f>
        <v>40153.56887062499</v>
      </c>
      <c r="H99" s="140">
        <f>G108</f>
        <v>80785.66599178125</v>
      </c>
      <c r="I99" s="5"/>
    </row>
    <row r="100" spans="1:9" ht="12.75">
      <c r="A100" s="5"/>
      <c r="B100" s="5" t="s">
        <v>189</v>
      </c>
      <c r="C100" s="102">
        <f aca="true" t="shared" si="32" ref="C100:H100">C24</f>
        <v>0</v>
      </c>
      <c r="D100" s="102">
        <f t="shared" si="32"/>
        <v>0</v>
      </c>
      <c r="E100" s="102">
        <f t="shared" si="32"/>
        <v>0</v>
      </c>
      <c r="F100" s="102">
        <f t="shared" si="32"/>
        <v>0</v>
      </c>
      <c r="G100" s="102">
        <f t="shared" si="32"/>
        <v>34250.020000000004</v>
      </c>
      <c r="H100" s="102">
        <f t="shared" si="32"/>
        <v>0</v>
      </c>
      <c r="I100" s="5"/>
    </row>
    <row r="101" spans="1:9" ht="12.75">
      <c r="A101" s="5"/>
      <c r="B101" s="5" t="s">
        <v>190</v>
      </c>
      <c r="C101" s="102">
        <f aca="true" t="shared" si="33" ref="C101:H101">C39</f>
        <v>0</v>
      </c>
      <c r="D101" s="102">
        <f t="shared" si="33"/>
        <v>16300.77</v>
      </c>
      <c r="E101" s="102">
        <f t="shared" si="33"/>
        <v>29363.66</v>
      </c>
      <c r="F101" s="102">
        <f t="shared" si="33"/>
        <v>38869.68000000001</v>
      </c>
      <c r="G101" s="102">
        <f t="shared" si="33"/>
        <v>52255.579999999994</v>
      </c>
      <c r="H101" s="102">
        <f t="shared" si="33"/>
        <v>0</v>
      </c>
      <c r="I101" s="5"/>
    </row>
    <row r="102" spans="1:9" ht="12.75">
      <c r="A102" s="5"/>
      <c r="B102" s="5" t="s">
        <v>183</v>
      </c>
      <c r="C102" s="140">
        <f aca="true" t="shared" si="34" ref="C102:H102">SUM(C99:C101)</f>
        <v>0</v>
      </c>
      <c r="D102" s="140">
        <f t="shared" si="34"/>
        <v>16300.77</v>
      </c>
      <c r="E102" s="140">
        <f t="shared" si="34"/>
        <v>41181.71825</v>
      </c>
      <c r="F102" s="140">
        <f t="shared" si="34"/>
        <v>65476.4597125</v>
      </c>
      <c r="G102" s="140">
        <f t="shared" si="34"/>
        <v>126659.168870625</v>
      </c>
      <c r="H102" s="140">
        <f t="shared" si="34"/>
        <v>80785.66599178125</v>
      </c>
      <c r="I102" s="5"/>
    </row>
    <row r="103" spans="1:9" ht="12.75">
      <c r="A103" s="5"/>
      <c r="B103" s="5" t="s">
        <v>184</v>
      </c>
      <c r="C103" s="102">
        <f aca="true" t="shared" si="35" ref="C103:H103">SUM(C100:C101)/2</f>
        <v>0</v>
      </c>
      <c r="D103" s="102">
        <f t="shared" si="35"/>
        <v>8150.385</v>
      </c>
      <c r="E103" s="102">
        <f t="shared" si="35"/>
        <v>14681.83</v>
      </c>
      <c r="F103" s="102">
        <f t="shared" si="35"/>
        <v>19434.840000000004</v>
      </c>
      <c r="G103" s="102">
        <f t="shared" si="35"/>
        <v>43252.8</v>
      </c>
      <c r="H103" s="102">
        <f t="shared" si="35"/>
        <v>0</v>
      </c>
      <c r="I103" s="5"/>
    </row>
    <row r="104" spans="1:9" ht="12.75">
      <c r="A104" s="5"/>
      <c r="B104" s="5" t="s">
        <v>185</v>
      </c>
      <c r="C104" s="140">
        <f aca="true" t="shared" si="36" ref="C104:H104">C99+C103</f>
        <v>0</v>
      </c>
      <c r="D104" s="140">
        <f t="shared" si="36"/>
        <v>8150.385</v>
      </c>
      <c r="E104" s="140">
        <f t="shared" si="36"/>
        <v>26499.88825</v>
      </c>
      <c r="F104" s="140">
        <f t="shared" si="36"/>
        <v>46041.6197125</v>
      </c>
      <c r="G104" s="140">
        <f t="shared" si="36"/>
        <v>83406.368870625</v>
      </c>
      <c r="H104" s="140">
        <f t="shared" si="36"/>
        <v>80785.66599178125</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40">
        <f aca="true" t="shared" si="37" ref="C107:H107">IF((C104*C106)&lt;C104,(C104*C106),C104)</f>
        <v>0</v>
      </c>
      <c r="D107" s="140">
        <f t="shared" si="37"/>
        <v>4482.71175</v>
      </c>
      <c r="E107" s="140">
        <f t="shared" si="37"/>
        <v>14574.938537500002</v>
      </c>
      <c r="F107" s="140">
        <f t="shared" si="37"/>
        <v>25322.890841875003</v>
      </c>
      <c r="G107" s="140">
        <f t="shared" si="37"/>
        <v>45873.50287884375</v>
      </c>
      <c r="H107" s="140">
        <f t="shared" si="37"/>
        <v>44432.11629547969</v>
      </c>
      <c r="I107" s="5"/>
    </row>
    <row r="108" spans="1:9" ht="13.5" thickBot="1">
      <c r="A108" s="5"/>
      <c r="B108" s="5" t="s">
        <v>187</v>
      </c>
      <c r="C108" s="147">
        <f aca="true" t="shared" si="38" ref="C108:H108">IF((C102-C107)&lt;0,0,(C102-C107))</f>
        <v>0</v>
      </c>
      <c r="D108" s="147">
        <f t="shared" si="38"/>
        <v>11818.05825</v>
      </c>
      <c r="E108" s="147">
        <f t="shared" si="38"/>
        <v>26606.779712499996</v>
      </c>
      <c r="F108" s="147">
        <f t="shared" si="38"/>
        <v>40153.56887062499</v>
      </c>
      <c r="G108" s="147">
        <f t="shared" si="38"/>
        <v>80785.66599178125</v>
      </c>
      <c r="H108" s="147">
        <f t="shared" si="38"/>
        <v>36353.54969630156</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8091.935999999999</v>
      </c>
      <c r="G113" s="140">
        <f>F122</f>
        <v>6473.548799999999</v>
      </c>
      <c r="H113" s="140">
        <f>G122</f>
        <v>16707.83904</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8991.039999999999</v>
      </c>
      <c r="F115" s="102">
        <f t="shared" si="41"/>
        <v>0</v>
      </c>
      <c r="G115" s="102">
        <f t="shared" si="41"/>
        <v>12810</v>
      </c>
      <c r="H115" s="102">
        <f t="shared" si="41"/>
        <v>0</v>
      </c>
      <c r="I115" s="5"/>
    </row>
    <row r="116" spans="1:9" ht="12.75">
      <c r="A116" s="5"/>
      <c r="B116" s="5" t="s">
        <v>183</v>
      </c>
      <c r="C116" s="140">
        <f aca="true" t="shared" si="42" ref="C116:H116">SUM(C113:C115)</f>
        <v>0</v>
      </c>
      <c r="D116" s="140">
        <f t="shared" si="42"/>
        <v>0</v>
      </c>
      <c r="E116" s="140">
        <f t="shared" si="42"/>
        <v>8991.039999999999</v>
      </c>
      <c r="F116" s="140">
        <f t="shared" si="42"/>
        <v>8091.935999999999</v>
      </c>
      <c r="G116" s="140">
        <f t="shared" si="42"/>
        <v>19283.548799999997</v>
      </c>
      <c r="H116" s="140">
        <f t="shared" si="42"/>
        <v>16707.83904</v>
      </c>
      <c r="I116" s="5"/>
    </row>
    <row r="117" spans="1:9" ht="12.75">
      <c r="A117" s="5"/>
      <c r="B117" s="5" t="s">
        <v>184</v>
      </c>
      <c r="C117" s="102">
        <f aca="true" t="shared" si="43" ref="C117:H117">SUM(C114:C115)/2</f>
        <v>0</v>
      </c>
      <c r="D117" s="102">
        <f t="shared" si="43"/>
        <v>0</v>
      </c>
      <c r="E117" s="102">
        <f t="shared" si="43"/>
        <v>4495.5199999999995</v>
      </c>
      <c r="F117" s="102">
        <f t="shared" si="43"/>
        <v>0</v>
      </c>
      <c r="G117" s="102">
        <f t="shared" si="43"/>
        <v>6405</v>
      </c>
      <c r="H117" s="102">
        <f t="shared" si="43"/>
        <v>0</v>
      </c>
      <c r="I117" s="5"/>
    </row>
    <row r="118" spans="1:9" ht="12.75">
      <c r="A118" s="5"/>
      <c r="B118" s="5" t="s">
        <v>185</v>
      </c>
      <c r="C118" s="140">
        <f aca="true" t="shared" si="44" ref="C118:H118">C113+C117</f>
        <v>0</v>
      </c>
      <c r="D118" s="140">
        <f t="shared" si="44"/>
        <v>0</v>
      </c>
      <c r="E118" s="140">
        <f t="shared" si="44"/>
        <v>4495.5199999999995</v>
      </c>
      <c r="F118" s="140">
        <f t="shared" si="44"/>
        <v>8091.935999999999</v>
      </c>
      <c r="G118" s="140">
        <f t="shared" si="44"/>
        <v>12878.548799999999</v>
      </c>
      <c r="H118" s="140">
        <f t="shared" si="44"/>
        <v>16707.83904</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899.1039999999999</v>
      </c>
      <c r="F121" s="140">
        <f t="shared" si="45"/>
        <v>1618.3872</v>
      </c>
      <c r="G121" s="140">
        <f t="shared" si="45"/>
        <v>2575.7097599999997</v>
      </c>
      <c r="H121" s="140">
        <f t="shared" si="45"/>
        <v>3341.567808</v>
      </c>
      <c r="I121" s="5"/>
    </row>
    <row r="122" spans="1:9" ht="13.5" thickBot="1">
      <c r="A122" s="5"/>
      <c r="B122" s="5" t="s">
        <v>187</v>
      </c>
      <c r="C122" s="147">
        <f aca="true" t="shared" si="46" ref="C122:H122">IF((C116-C121)&lt;0,0,(C116-C121))</f>
        <v>0</v>
      </c>
      <c r="D122" s="147">
        <f t="shared" si="46"/>
        <v>0</v>
      </c>
      <c r="E122" s="147">
        <f t="shared" si="46"/>
        <v>8091.935999999999</v>
      </c>
      <c r="F122" s="147">
        <f t="shared" si="46"/>
        <v>6473.548799999999</v>
      </c>
      <c r="G122" s="147">
        <f t="shared" si="46"/>
        <v>16707.83904</v>
      </c>
      <c r="H122" s="147">
        <f t="shared" si="46"/>
        <v>13366.271232</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1" fitToWidth="1" horizontalDpi="600" verticalDpi="600" orientation="portrait" scale="4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K81"/>
  <sheetViews>
    <sheetView zoomScalePageLayoutView="0" workbookViewId="0" topLeftCell="A49">
      <selection activeCell="C67" sqref="C67"/>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0.0725</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0.0725</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0.0725</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 t="shared" si="2"/>
        <v>0</v>
      </c>
      <c r="I7" s="120" t="s">
        <v>242</v>
      </c>
      <c r="J7" s="122">
        <v>4.59</v>
      </c>
      <c r="K7" s="122">
        <v>4.72</v>
      </c>
    </row>
    <row r="8" spans="1:11" ht="15.75">
      <c r="A8" s="135">
        <v>38838</v>
      </c>
      <c r="B8" s="119">
        <f t="shared" si="1"/>
        <v>0</v>
      </c>
      <c r="C8" s="117">
        <f>15201.59/8</f>
        <v>1900.19875</v>
      </c>
      <c r="D8" s="137">
        <v>0.0414</v>
      </c>
      <c r="E8" s="118">
        <f t="shared" si="0"/>
        <v>0</v>
      </c>
      <c r="F8" s="118">
        <f t="shared" si="2"/>
        <v>1900.19875</v>
      </c>
      <c r="I8" s="120" t="s">
        <v>241</v>
      </c>
      <c r="J8" s="122">
        <v>4.59</v>
      </c>
      <c r="K8" s="122">
        <v>5.18</v>
      </c>
    </row>
    <row r="9" spans="1:11" ht="15.75">
      <c r="A9" s="135">
        <v>38869</v>
      </c>
      <c r="B9" s="119">
        <f t="shared" si="1"/>
        <v>1900.19875</v>
      </c>
      <c r="C9" s="117">
        <f aca="true" t="shared" si="3" ref="C9:C15">15201.59/8</f>
        <v>1900.19875</v>
      </c>
      <c r="D9" s="137">
        <v>0.0414</v>
      </c>
      <c r="E9" s="118">
        <f t="shared" si="0"/>
        <v>6.5556856875</v>
      </c>
      <c r="F9" s="118">
        <f t="shared" si="2"/>
        <v>3806.9531856875</v>
      </c>
      <c r="I9" s="120" t="s">
        <v>240</v>
      </c>
      <c r="J9" s="122">
        <v>5.14</v>
      </c>
      <c r="K9" s="122">
        <v>5.18</v>
      </c>
    </row>
    <row r="10" spans="1:11" ht="15.75">
      <c r="A10" s="135">
        <v>38899</v>
      </c>
      <c r="B10" s="119">
        <f t="shared" si="1"/>
        <v>3806.9531856875</v>
      </c>
      <c r="C10" s="117">
        <f t="shared" si="3"/>
        <v>1900.19875</v>
      </c>
      <c r="D10" s="137">
        <v>0.0459</v>
      </c>
      <c r="E10" s="118">
        <f t="shared" si="0"/>
        <v>14.561595935254688</v>
      </c>
      <c r="F10" s="118">
        <f t="shared" si="2"/>
        <v>5721.713531622754</v>
      </c>
      <c r="I10" s="120" t="s">
        <v>239</v>
      </c>
      <c r="J10" s="122">
        <v>5.14</v>
      </c>
      <c r="K10" s="122">
        <v>5.18</v>
      </c>
    </row>
    <row r="11" spans="1:11" ht="15.75">
      <c r="A11" s="135">
        <v>38930</v>
      </c>
      <c r="B11" s="119">
        <f t="shared" si="1"/>
        <v>5721.713531622754</v>
      </c>
      <c r="C11" s="117">
        <f t="shared" si="3"/>
        <v>1900.19875</v>
      </c>
      <c r="D11" s="137">
        <v>0.0459</v>
      </c>
      <c r="E11" s="118">
        <f t="shared" si="0"/>
        <v>21.885554258457034</v>
      </c>
      <c r="F11" s="118">
        <f t="shared" si="2"/>
        <v>7643.797835881211</v>
      </c>
      <c r="I11" s="120" t="s">
        <v>238</v>
      </c>
      <c r="J11" s="122">
        <v>4.08</v>
      </c>
      <c r="K11" s="122">
        <v>5.18</v>
      </c>
    </row>
    <row r="12" spans="1:11" ht="15.75">
      <c r="A12" s="135">
        <v>38961</v>
      </c>
      <c r="B12" s="119">
        <f t="shared" si="1"/>
        <v>7643.797835881211</v>
      </c>
      <c r="C12" s="117">
        <f t="shared" si="3"/>
        <v>1900.19875</v>
      </c>
      <c r="D12" s="137">
        <v>0.0459</v>
      </c>
      <c r="E12" s="118">
        <f t="shared" si="0"/>
        <v>29.237526722245633</v>
      </c>
      <c r="F12" s="118">
        <f t="shared" si="2"/>
        <v>9573.234112603455</v>
      </c>
      <c r="I12" s="120" t="s">
        <v>237</v>
      </c>
      <c r="J12" s="122">
        <v>3.35</v>
      </c>
      <c r="K12" s="122">
        <v>5.43</v>
      </c>
    </row>
    <row r="13" spans="1:11" ht="15.75">
      <c r="A13" s="135">
        <v>38991</v>
      </c>
      <c r="B13" s="119">
        <f t="shared" si="1"/>
        <v>9573.234112603455</v>
      </c>
      <c r="C13" s="117">
        <f t="shared" si="3"/>
        <v>1900.19875</v>
      </c>
      <c r="D13" s="137">
        <v>0.0459</v>
      </c>
      <c r="E13" s="118">
        <f t="shared" si="0"/>
        <v>36.61762048070822</v>
      </c>
      <c r="F13" s="118">
        <f t="shared" si="2"/>
        <v>11510.050483084164</v>
      </c>
      <c r="I13" s="120" t="s">
        <v>236</v>
      </c>
      <c r="J13" s="122">
        <v>3.35</v>
      </c>
      <c r="K13" s="122">
        <v>5.43</v>
      </c>
    </row>
    <row r="14" spans="1:11" ht="15.75">
      <c r="A14" s="135">
        <v>39022</v>
      </c>
      <c r="B14" s="119">
        <f t="shared" si="1"/>
        <v>11510.050483084164</v>
      </c>
      <c r="C14" s="117">
        <f t="shared" si="3"/>
        <v>1900.19875</v>
      </c>
      <c r="D14" s="137">
        <v>0.0459</v>
      </c>
      <c r="E14" s="118">
        <f t="shared" si="0"/>
        <v>44.025943097796926</v>
      </c>
      <c r="F14" s="118">
        <f t="shared" si="2"/>
        <v>13454.27517618196</v>
      </c>
      <c r="I14" s="120" t="s">
        <v>252</v>
      </c>
      <c r="J14" s="125">
        <v>2.45</v>
      </c>
      <c r="K14" s="125">
        <v>6.61</v>
      </c>
    </row>
    <row r="15" spans="1:11" ht="15.75">
      <c r="A15" s="135">
        <v>39052</v>
      </c>
      <c r="B15" s="119">
        <f t="shared" si="1"/>
        <v>13454.27517618196</v>
      </c>
      <c r="C15" s="117">
        <f t="shared" si="3"/>
        <v>1900.19875</v>
      </c>
      <c r="D15" s="137">
        <v>0.0459</v>
      </c>
      <c r="E15" s="118">
        <f t="shared" si="0"/>
        <v>51.462602548896</v>
      </c>
      <c r="F15" s="118">
        <f t="shared" si="2"/>
        <v>15405.936528730856</v>
      </c>
      <c r="I15" s="120" t="s">
        <v>253</v>
      </c>
      <c r="J15" s="125">
        <v>1</v>
      </c>
      <c r="K15" s="125">
        <v>6.61</v>
      </c>
    </row>
    <row r="16" spans="1:11" ht="15.75">
      <c r="A16" s="135">
        <v>39083</v>
      </c>
      <c r="B16" s="119">
        <f t="shared" si="1"/>
        <v>15405.936528730856</v>
      </c>
      <c r="C16" s="117">
        <f>17508.64/12</f>
        <v>1459.0533333333333</v>
      </c>
      <c r="D16" s="137">
        <v>0.0459</v>
      </c>
      <c r="E16" s="118">
        <f t="shared" si="0"/>
        <v>58.927707222395526</v>
      </c>
      <c r="F16" s="118">
        <f t="shared" si="2"/>
        <v>16923.917569286587</v>
      </c>
      <c r="I16" s="120" t="s">
        <v>254</v>
      </c>
      <c r="J16" s="125">
        <v>0.55</v>
      </c>
      <c r="K16" s="125">
        <v>5.67</v>
      </c>
    </row>
    <row r="17" spans="1:11" ht="15.75">
      <c r="A17" s="135">
        <v>39114</v>
      </c>
      <c r="B17" s="119">
        <f t="shared" si="1"/>
        <v>16923.917569286587</v>
      </c>
      <c r="C17" s="117">
        <f aca="true" t="shared" si="4" ref="C17:C27">17508.64/12</f>
        <v>1459.0533333333333</v>
      </c>
      <c r="D17" s="137">
        <v>0.0459</v>
      </c>
      <c r="E17" s="118">
        <f t="shared" si="0"/>
        <v>64.7339847025212</v>
      </c>
      <c r="F17" s="118">
        <f t="shared" si="2"/>
        <v>18447.70488732244</v>
      </c>
      <c r="I17" s="120" t="s">
        <v>256</v>
      </c>
      <c r="J17" s="125">
        <v>0.55</v>
      </c>
      <c r="K17" s="125">
        <v>4.66</v>
      </c>
    </row>
    <row r="18" spans="1:11" ht="15.75">
      <c r="A18" s="135">
        <v>39142</v>
      </c>
      <c r="B18" s="119">
        <f t="shared" si="1"/>
        <v>18447.70488732244</v>
      </c>
      <c r="C18" s="117">
        <f t="shared" si="4"/>
        <v>1459.0533333333333</v>
      </c>
      <c r="D18" s="137">
        <v>0.0459</v>
      </c>
      <c r="E18" s="118">
        <f t="shared" si="0"/>
        <v>70.56247119400834</v>
      </c>
      <c r="F18" s="118">
        <f t="shared" si="2"/>
        <v>19977.32069184978</v>
      </c>
      <c r="I18" s="120" t="s">
        <v>257</v>
      </c>
      <c r="J18" s="125">
        <v>0.55</v>
      </c>
      <c r="K18" s="125">
        <v>4.34</v>
      </c>
    </row>
    <row r="19" spans="1:11" ht="15.75">
      <c r="A19" s="135">
        <v>39173</v>
      </c>
      <c r="B19" s="119">
        <f t="shared" si="1"/>
        <v>19977.32069184978</v>
      </c>
      <c r="C19" s="117">
        <f t="shared" si="4"/>
        <v>1459.0533333333333</v>
      </c>
      <c r="D19" s="137">
        <v>0.0459</v>
      </c>
      <c r="E19" s="118">
        <f t="shared" si="0"/>
        <v>76.41325164632542</v>
      </c>
      <c r="F19" s="118">
        <f t="shared" si="2"/>
        <v>21512.78727682944</v>
      </c>
      <c r="I19" s="120" t="s">
        <v>258</v>
      </c>
      <c r="J19" s="125">
        <v>0.55</v>
      </c>
      <c r="K19" s="125">
        <v>4.34</v>
      </c>
    </row>
    <row r="20" spans="1:11" ht="15.75">
      <c r="A20" s="135">
        <v>39203</v>
      </c>
      <c r="B20" s="119">
        <f t="shared" si="1"/>
        <v>21512.78727682944</v>
      </c>
      <c r="C20" s="117">
        <f t="shared" si="4"/>
        <v>1459.0533333333333</v>
      </c>
      <c r="D20" s="137">
        <v>0.0459</v>
      </c>
      <c r="E20" s="118">
        <f t="shared" si="0"/>
        <v>82.2864113338726</v>
      </c>
      <c r="F20" s="118">
        <f t="shared" si="2"/>
        <v>23054.127021496646</v>
      </c>
      <c r="I20" s="120" t="s">
        <v>255</v>
      </c>
      <c r="J20" s="125">
        <v>0.89</v>
      </c>
      <c r="K20" s="125">
        <v>4.66</v>
      </c>
    </row>
    <row r="21" spans="1:6" ht="15">
      <c r="A21" s="135">
        <v>39234</v>
      </c>
      <c r="B21" s="119">
        <f t="shared" si="1"/>
        <v>23054.127021496646</v>
      </c>
      <c r="C21" s="117">
        <f t="shared" si="4"/>
        <v>1459.0533333333333</v>
      </c>
      <c r="D21" s="137">
        <v>0.0459</v>
      </c>
      <c r="E21" s="118">
        <f t="shared" si="0"/>
        <v>88.18203585722468</v>
      </c>
      <c r="F21" s="118">
        <f t="shared" si="2"/>
        <v>24601.362390687205</v>
      </c>
    </row>
    <row r="22" spans="1:6" ht="15">
      <c r="A22" s="135">
        <v>39264</v>
      </c>
      <c r="B22" s="119">
        <f t="shared" si="1"/>
        <v>24601.362390687205</v>
      </c>
      <c r="C22" s="117">
        <f t="shared" si="4"/>
        <v>1459.0533333333333</v>
      </c>
      <c r="D22" s="137">
        <v>0.0459</v>
      </c>
      <c r="E22" s="118">
        <f t="shared" si="0"/>
        <v>94.10021114437858</v>
      </c>
      <c r="F22" s="118">
        <f t="shared" si="2"/>
        <v>26154.515935164916</v>
      </c>
    </row>
    <row r="23" spans="1:10" ht="15">
      <c r="A23" s="135">
        <v>39295</v>
      </c>
      <c r="B23" s="119">
        <f t="shared" si="1"/>
        <v>26154.515935164916</v>
      </c>
      <c r="C23" s="117">
        <f t="shared" si="4"/>
        <v>1459.0533333333333</v>
      </c>
      <c r="D23" s="137">
        <v>0.0459</v>
      </c>
      <c r="E23" s="118">
        <f t="shared" si="0"/>
        <v>100.0410234520058</v>
      </c>
      <c r="F23" s="118">
        <f t="shared" si="2"/>
        <v>27713.610291950255</v>
      </c>
      <c r="J23" s="132" t="s">
        <v>235</v>
      </c>
    </row>
    <row r="24" spans="1:6" ht="15">
      <c r="A24" s="135">
        <v>39326</v>
      </c>
      <c r="B24" s="119">
        <f t="shared" si="1"/>
        <v>27713.610291950255</v>
      </c>
      <c r="C24" s="117">
        <f t="shared" si="4"/>
        <v>1459.0533333333333</v>
      </c>
      <c r="D24" s="137">
        <v>0.0459</v>
      </c>
      <c r="E24" s="118">
        <f t="shared" si="0"/>
        <v>106.00455936670973</v>
      </c>
      <c r="F24" s="118">
        <f t="shared" si="2"/>
        <v>29278.668184650298</v>
      </c>
    </row>
    <row r="25" spans="1:6" ht="15">
      <c r="A25" s="135">
        <v>39356</v>
      </c>
      <c r="B25" s="119">
        <f t="shared" si="1"/>
        <v>29278.668184650298</v>
      </c>
      <c r="C25" s="117">
        <f t="shared" si="4"/>
        <v>1459.0533333333333</v>
      </c>
      <c r="D25" s="137">
        <v>0.0514</v>
      </c>
      <c r="E25" s="118">
        <f t="shared" si="0"/>
        <v>125.41029539091879</v>
      </c>
      <c r="F25" s="118">
        <f t="shared" si="2"/>
        <v>30863.13181337455</v>
      </c>
    </row>
    <row r="26" spans="1:6" ht="15">
      <c r="A26" s="135">
        <v>39387</v>
      </c>
      <c r="B26" s="119">
        <f t="shared" si="1"/>
        <v>30863.13181337455</v>
      </c>
      <c r="C26" s="117">
        <f t="shared" si="4"/>
        <v>1459.0533333333333</v>
      </c>
      <c r="D26" s="137">
        <v>0.0514</v>
      </c>
      <c r="E26" s="118">
        <f t="shared" si="0"/>
        <v>132.19708126728767</v>
      </c>
      <c r="F26" s="118">
        <f t="shared" si="2"/>
        <v>32454.382227975173</v>
      </c>
    </row>
    <row r="27" spans="1:6" ht="15">
      <c r="A27" s="135">
        <v>39417</v>
      </c>
      <c r="B27" s="119">
        <f t="shared" si="1"/>
        <v>32454.382227975173</v>
      </c>
      <c r="C27" s="117">
        <f t="shared" si="4"/>
        <v>1459.0533333333333</v>
      </c>
      <c r="D27" s="137">
        <v>0.0514</v>
      </c>
      <c r="E27" s="118">
        <f t="shared" si="0"/>
        <v>139.012937209827</v>
      </c>
      <c r="F27" s="118">
        <f t="shared" si="2"/>
        <v>34052.44849851833</v>
      </c>
    </row>
    <row r="28" spans="1:6" ht="15">
      <c r="A28" s="135">
        <v>39448</v>
      </c>
      <c r="B28" s="119">
        <f t="shared" si="1"/>
        <v>34052.44849851833</v>
      </c>
      <c r="C28" s="117">
        <f>23247.71/12</f>
        <v>1937.3091666666667</v>
      </c>
      <c r="D28" s="137">
        <v>0.0514</v>
      </c>
      <c r="E28" s="118">
        <f aca="true" t="shared" si="5" ref="E28:E80">(B28*D28)/12</f>
        <v>145.85798773532017</v>
      </c>
      <c r="F28" s="118">
        <f aca="true" t="shared" si="6" ref="F28:F80">SUM(B28:C28,E28)</f>
        <v>36135.615652920314</v>
      </c>
    </row>
    <row r="29" spans="1:6" ht="15">
      <c r="A29" s="135">
        <v>39479</v>
      </c>
      <c r="B29" s="119">
        <f aca="true" t="shared" si="7" ref="B29:B80">F28</f>
        <v>36135.615652920314</v>
      </c>
      <c r="C29" s="117">
        <f aca="true" t="shared" si="8" ref="C29:C39">23247.71/12</f>
        <v>1937.3091666666667</v>
      </c>
      <c r="D29" s="137">
        <v>0.0514</v>
      </c>
      <c r="E29" s="118">
        <f t="shared" si="5"/>
        <v>154.78088704667536</v>
      </c>
      <c r="F29" s="118">
        <f t="shared" si="6"/>
        <v>38227.70570663366</v>
      </c>
    </row>
    <row r="30" spans="1:6" ht="15">
      <c r="A30" s="135">
        <v>39508</v>
      </c>
      <c r="B30" s="119">
        <f t="shared" si="7"/>
        <v>38227.70570663366</v>
      </c>
      <c r="C30" s="117">
        <f t="shared" si="8"/>
        <v>1937.3091666666667</v>
      </c>
      <c r="D30" s="137">
        <v>0.0514</v>
      </c>
      <c r="E30" s="118">
        <f t="shared" si="5"/>
        <v>163.74200611008084</v>
      </c>
      <c r="F30" s="118">
        <f t="shared" si="6"/>
        <v>40328.7568794104</v>
      </c>
    </row>
    <row r="31" spans="1:10" ht="15">
      <c r="A31" s="135">
        <v>39539</v>
      </c>
      <c r="B31" s="119">
        <f t="shared" si="7"/>
        <v>40328.7568794104</v>
      </c>
      <c r="C31" s="117">
        <f t="shared" si="8"/>
        <v>1937.3091666666667</v>
      </c>
      <c r="D31" s="137">
        <v>0.0408</v>
      </c>
      <c r="E31" s="118">
        <f t="shared" si="5"/>
        <v>137.11777338999536</v>
      </c>
      <c r="F31" s="118">
        <f t="shared" si="6"/>
        <v>42403.18381946706</v>
      </c>
      <c r="J31" s="132" t="s">
        <v>235</v>
      </c>
    </row>
    <row r="32" spans="1:6" ht="15">
      <c r="A32" s="135">
        <v>39569</v>
      </c>
      <c r="B32" s="119">
        <f t="shared" si="7"/>
        <v>42403.18381946706</v>
      </c>
      <c r="C32" s="117">
        <f t="shared" si="8"/>
        <v>1937.3091666666667</v>
      </c>
      <c r="D32" s="137">
        <v>0.0408</v>
      </c>
      <c r="E32" s="118">
        <f t="shared" si="5"/>
        <v>144.17082498618802</v>
      </c>
      <c r="F32" s="118">
        <f t="shared" si="6"/>
        <v>44484.66381111992</v>
      </c>
    </row>
    <row r="33" spans="1:6" ht="15">
      <c r="A33" s="135">
        <v>39600</v>
      </c>
      <c r="B33" s="119">
        <f t="shared" si="7"/>
        <v>44484.66381111992</v>
      </c>
      <c r="C33" s="117">
        <f t="shared" si="8"/>
        <v>1937.3091666666667</v>
      </c>
      <c r="D33" s="137">
        <v>0.0408</v>
      </c>
      <c r="E33" s="118">
        <f t="shared" si="5"/>
        <v>151.24785695780773</v>
      </c>
      <c r="F33" s="118">
        <f t="shared" si="6"/>
        <v>46573.220834744396</v>
      </c>
    </row>
    <row r="34" spans="1:6" ht="15">
      <c r="A34" s="135">
        <v>39630</v>
      </c>
      <c r="B34" s="119">
        <f t="shared" si="7"/>
        <v>46573.220834744396</v>
      </c>
      <c r="C34" s="117">
        <f t="shared" si="8"/>
        <v>1937.3091666666667</v>
      </c>
      <c r="D34" s="137">
        <v>0.0335</v>
      </c>
      <c r="E34" s="118">
        <f t="shared" si="5"/>
        <v>130.01690816366144</v>
      </c>
      <c r="F34" s="118">
        <f t="shared" si="6"/>
        <v>48640.546909574725</v>
      </c>
    </row>
    <row r="35" spans="1:10" ht="15">
      <c r="A35" s="135">
        <v>39661</v>
      </c>
      <c r="B35" s="119">
        <f t="shared" si="7"/>
        <v>48640.546909574725</v>
      </c>
      <c r="C35" s="117">
        <f t="shared" si="8"/>
        <v>1937.3091666666667</v>
      </c>
      <c r="D35" s="137">
        <v>0.0335</v>
      </c>
      <c r="E35" s="118">
        <f t="shared" si="5"/>
        <v>135.7881934558961</v>
      </c>
      <c r="F35" s="118">
        <f t="shared" si="6"/>
        <v>50713.64426969729</v>
      </c>
      <c r="J35" s="132" t="s">
        <v>235</v>
      </c>
    </row>
    <row r="36" spans="1:6" ht="15">
      <c r="A36" s="135">
        <v>39692</v>
      </c>
      <c r="B36" s="119">
        <f t="shared" si="7"/>
        <v>50713.64426969729</v>
      </c>
      <c r="C36" s="117">
        <f t="shared" si="8"/>
        <v>1937.3091666666667</v>
      </c>
      <c r="D36" s="137">
        <v>0.0335</v>
      </c>
      <c r="E36" s="118">
        <f t="shared" si="5"/>
        <v>141.57559025290493</v>
      </c>
      <c r="F36" s="118">
        <f t="shared" si="6"/>
        <v>52792.52902661686</v>
      </c>
    </row>
    <row r="37" spans="1:6" ht="15">
      <c r="A37" s="135">
        <v>39722</v>
      </c>
      <c r="B37" s="119">
        <f t="shared" si="7"/>
        <v>52792.52902661686</v>
      </c>
      <c r="C37" s="117">
        <f t="shared" si="8"/>
        <v>1937.3091666666667</v>
      </c>
      <c r="D37" s="137">
        <v>0.0335</v>
      </c>
      <c r="E37" s="118">
        <f t="shared" si="5"/>
        <v>147.37914353263875</v>
      </c>
      <c r="F37" s="118">
        <f t="shared" si="6"/>
        <v>54877.21733681617</v>
      </c>
    </row>
    <row r="38" spans="1:6" ht="15">
      <c r="A38" s="135">
        <v>39753</v>
      </c>
      <c r="B38" s="119">
        <f t="shared" si="7"/>
        <v>54877.21733681617</v>
      </c>
      <c r="C38" s="117">
        <f t="shared" si="8"/>
        <v>1937.3091666666667</v>
      </c>
      <c r="D38" s="137">
        <v>0.0335</v>
      </c>
      <c r="E38" s="118">
        <f t="shared" si="5"/>
        <v>153.19889839861182</v>
      </c>
      <c r="F38" s="118">
        <f t="shared" si="6"/>
        <v>56967.72540188144</v>
      </c>
    </row>
    <row r="39" spans="1:10" ht="15">
      <c r="A39" s="135">
        <v>39783</v>
      </c>
      <c r="B39" s="119">
        <f t="shared" si="7"/>
        <v>56967.72540188144</v>
      </c>
      <c r="C39" s="117">
        <f t="shared" si="8"/>
        <v>1937.3091666666667</v>
      </c>
      <c r="D39" s="137">
        <v>0.0335</v>
      </c>
      <c r="E39" s="118">
        <f t="shared" si="5"/>
        <v>159.03490008025236</v>
      </c>
      <c r="F39" s="118">
        <f t="shared" si="6"/>
        <v>59064.06946862836</v>
      </c>
      <c r="J39" s="132" t="s">
        <v>235</v>
      </c>
    </row>
    <row r="40" spans="1:6" ht="15">
      <c r="A40" s="135">
        <v>39814</v>
      </c>
      <c r="B40" s="119">
        <f t="shared" si="7"/>
        <v>59064.06946862836</v>
      </c>
      <c r="C40" s="117">
        <f>45993.81/12</f>
        <v>3832.8174999999997</v>
      </c>
      <c r="D40" s="137">
        <v>0.0245</v>
      </c>
      <c r="E40" s="118">
        <f t="shared" si="5"/>
        <v>120.58914183178291</v>
      </c>
      <c r="F40" s="118">
        <f t="shared" si="6"/>
        <v>63017.47611046014</v>
      </c>
    </row>
    <row r="41" spans="1:6" ht="15">
      <c r="A41" s="135">
        <v>39845</v>
      </c>
      <c r="B41" s="119">
        <f t="shared" si="7"/>
        <v>63017.47611046014</v>
      </c>
      <c r="C41" s="117">
        <f aca="true" t="shared" si="9" ref="C41:C51">45993.81/12</f>
        <v>3832.8174999999997</v>
      </c>
      <c r="D41" s="137">
        <v>0.0245</v>
      </c>
      <c r="E41" s="118">
        <f t="shared" si="5"/>
        <v>128.66068039218945</v>
      </c>
      <c r="F41" s="118">
        <f t="shared" si="6"/>
        <v>66978.95429085233</v>
      </c>
    </row>
    <row r="42" spans="1:6" ht="15">
      <c r="A42" s="135">
        <v>39873</v>
      </c>
      <c r="B42" s="119">
        <f t="shared" si="7"/>
        <v>66978.95429085233</v>
      </c>
      <c r="C42" s="117">
        <f t="shared" si="9"/>
        <v>3832.8174999999997</v>
      </c>
      <c r="D42" s="137">
        <v>0.0245</v>
      </c>
      <c r="E42" s="118">
        <f t="shared" si="5"/>
        <v>136.74869834382352</v>
      </c>
      <c r="F42" s="118">
        <f t="shared" si="6"/>
        <v>70948.52048919616</v>
      </c>
    </row>
    <row r="43" spans="1:10" ht="15">
      <c r="A43" s="135">
        <v>39904</v>
      </c>
      <c r="B43" s="119">
        <f t="shared" si="7"/>
        <v>70948.52048919616</v>
      </c>
      <c r="C43" s="117">
        <f t="shared" si="9"/>
        <v>3832.8174999999997</v>
      </c>
      <c r="D43" s="137">
        <v>0.01</v>
      </c>
      <c r="E43" s="118">
        <f t="shared" si="5"/>
        <v>59.12376707433014</v>
      </c>
      <c r="F43" s="118">
        <f t="shared" si="6"/>
        <v>74840.4617562705</v>
      </c>
      <c r="J43" s="132" t="s">
        <v>235</v>
      </c>
    </row>
    <row r="44" spans="1:6" ht="15">
      <c r="A44" s="135">
        <v>39934</v>
      </c>
      <c r="B44" s="119">
        <f t="shared" si="7"/>
        <v>74840.4617562705</v>
      </c>
      <c r="C44" s="117">
        <f t="shared" si="9"/>
        <v>3832.8174999999997</v>
      </c>
      <c r="D44" s="137">
        <v>0.01</v>
      </c>
      <c r="E44" s="118">
        <f t="shared" si="5"/>
        <v>62.367051463558745</v>
      </c>
      <c r="F44" s="118">
        <f t="shared" si="6"/>
        <v>78735.64630773406</v>
      </c>
    </row>
    <row r="45" spans="1:6" ht="15">
      <c r="A45" s="135">
        <v>39965</v>
      </c>
      <c r="B45" s="119">
        <f t="shared" si="7"/>
        <v>78735.64630773406</v>
      </c>
      <c r="C45" s="117">
        <f t="shared" si="9"/>
        <v>3832.8174999999997</v>
      </c>
      <c r="D45" s="137">
        <v>0.01</v>
      </c>
      <c r="E45" s="118">
        <f t="shared" si="5"/>
        <v>65.61303858977838</v>
      </c>
      <c r="F45" s="118">
        <f t="shared" si="6"/>
        <v>82634.07684632385</v>
      </c>
    </row>
    <row r="46" spans="1:6" ht="15">
      <c r="A46" s="135">
        <v>39995</v>
      </c>
      <c r="B46" s="119">
        <f t="shared" si="7"/>
        <v>82634.07684632385</v>
      </c>
      <c r="C46" s="117">
        <f t="shared" si="9"/>
        <v>3832.8174999999997</v>
      </c>
      <c r="D46" s="137">
        <v>0.0055</v>
      </c>
      <c r="E46" s="118">
        <f t="shared" si="5"/>
        <v>37.87395188789843</v>
      </c>
      <c r="F46" s="118">
        <f t="shared" si="6"/>
        <v>86504.76829821175</v>
      </c>
    </row>
    <row r="47" spans="1:10" ht="15">
      <c r="A47" s="135">
        <v>40026</v>
      </c>
      <c r="B47" s="119">
        <f t="shared" si="7"/>
        <v>86504.76829821175</v>
      </c>
      <c r="C47" s="117">
        <f t="shared" si="9"/>
        <v>3832.8174999999997</v>
      </c>
      <c r="D47" s="137">
        <v>0.0055</v>
      </c>
      <c r="E47" s="118">
        <f t="shared" si="5"/>
        <v>39.64801880334705</v>
      </c>
      <c r="F47" s="118">
        <f t="shared" si="6"/>
        <v>90377.2338170151</v>
      </c>
      <c r="J47" s="132" t="s">
        <v>235</v>
      </c>
    </row>
    <row r="48" spans="1:6" ht="15">
      <c r="A48" s="135">
        <v>40057</v>
      </c>
      <c r="B48" s="119">
        <f t="shared" si="7"/>
        <v>90377.2338170151</v>
      </c>
      <c r="C48" s="117">
        <f t="shared" si="9"/>
        <v>3832.8174999999997</v>
      </c>
      <c r="D48" s="137">
        <v>0.0055</v>
      </c>
      <c r="E48" s="118">
        <f t="shared" si="5"/>
        <v>41.42289883279859</v>
      </c>
      <c r="F48" s="118">
        <f t="shared" si="6"/>
        <v>94251.4742158479</v>
      </c>
    </row>
    <row r="49" spans="1:6" ht="15">
      <c r="A49" s="135">
        <v>40087</v>
      </c>
      <c r="B49" s="119">
        <f t="shared" si="7"/>
        <v>94251.4742158479</v>
      </c>
      <c r="C49" s="117">
        <f t="shared" si="9"/>
        <v>3832.8174999999997</v>
      </c>
      <c r="D49" s="137">
        <v>0.0055</v>
      </c>
      <c r="E49" s="118">
        <f t="shared" si="5"/>
        <v>43.19859234893028</v>
      </c>
      <c r="F49" s="118">
        <f t="shared" si="6"/>
        <v>98127.49030819684</v>
      </c>
    </row>
    <row r="50" spans="1:6" ht="15">
      <c r="A50" s="135">
        <v>40118</v>
      </c>
      <c r="B50" s="119">
        <f t="shared" si="7"/>
        <v>98127.49030819684</v>
      </c>
      <c r="C50" s="117">
        <f t="shared" si="9"/>
        <v>3832.8174999999997</v>
      </c>
      <c r="D50" s="137">
        <v>0.0055</v>
      </c>
      <c r="E50" s="118">
        <f t="shared" si="5"/>
        <v>44.975099724590216</v>
      </c>
      <c r="F50" s="118">
        <f t="shared" si="6"/>
        <v>102005.28290792143</v>
      </c>
    </row>
    <row r="51" spans="1:10" ht="15">
      <c r="A51" s="135">
        <v>40148</v>
      </c>
      <c r="B51" s="119">
        <f t="shared" si="7"/>
        <v>102005.28290792143</v>
      </c>
      <c r="C51" s="117">
        <f t="shared" si="9"/>
        <v>3832.8174999999997</v>
      </c>
      <c r="D51" s="137">
        <v>0.0055</v>
      </c>
      <c r="E51" s="118">
        <f t="shared" si="5"/>
        <v>46.75242133279732</v>
      </c>
      <c r="F51" s="118">
        <f t="shared" si="6"/>
        <v>105884.85282925423</v>
      </c>
      <c r="J51" s="132" t="s">
        <v>235</v>
      </c>
    </row>
    <row r="52" spans="1:6" ht="15">
      <c r="A52" s="135">
        <v>40179</v>
      </c>
      <c r="B52" s="119">
        <f t="shared" si="7"/>
        <v>105884.85282925423</v>
      </c>
      <c r="C52" s="117">
        <f>25227.38/7</f>
        <v>3603.9114285714286</v>
      </c>
      <c r="D52" s="137">
        <v>0.0055</v>
      </c>
      <c r="E52" s="118">
        <f t="shared" si="5"/>
        <v>48.53055754674153</v>
      </c>
      <c r="F52" s="118">
        <f t="shared" si="6"/>
        <v>109537.2948153724</v>
      </c>
    </row>
    <row r="53" spans="1:6" ht="15">
      <c r="A53" s="135">
        <v>40210</v>
      </c>
      <c r="B53" s="119">
        <f t="shared" si="7"/>
        <v>109537.2948153724</v>
      </c>
      <c r="C53" s="117">
        <f aca="true" t="shared" si="10" ref="C53:C67">25227.38/7</f>
        <v>3603.9114285714286</v>
      </c>
      <c r="D53" s="137">
        <v>0.0055</v>
      </c>
      <c r="E53" s="118">
        <f t="shared" si="5"/>
        <v>50.20459345704568</v>
      </c>
      <c r="F53" s="118">
        <f t="shared" si="6"/>
        <v>113191.41083740088</v>
      </c>
    </row>
    <row r="54" spans="1:6" ht="15">
      <c r="A54" s="135">
        <v>40238</v>
      </c>
      <c r="B54" s="119">
        <f t="shared" si="7"/>
        <v>113191.41083740088</v>
      </c>
      <c r="C54" s="117">
        <f t="shared" si="10"/>
        <v>3603.9114285714286</v>
      </c>
      <c r="D54" s="137">
        <v>0.0055</v>
      </c>
      <c r="E54" s="118">
        <f t="shared" si="5"/>
        <v>51.87939663380873</v>
      </c>
      <c r="F54" s="118">
        <f t="shared" si="6"/>
        <v>116847.20166260612</v>
      </c>
    </row>
    <row r="55" spans="1:10" ht="15">
      <c r="A55" s="135">
        <v>40269</v>
      </c>
      <c r="B55" s="119">
        <f t="shared" si="7"/>
        <v>116847.20166260612</v>
      </c>
      <c r="C55" s="117">
        <f t="shared" si="10"/>
        <v>3603.9114285714286</v>
      </c>
      <c r="D55" s="137">
        <v>0.0055</v>
      </c>
      <c r="E55" s="118">
        <f t="shared" si="5"/>
        <v>53.554967428694475</v>
      </c>
      <c r="F55" s="118">
        <f t="shared" si="6"/>
        <v>120504.66805860624</v>
      </c>
      <c r="J55" s="132" t="s">
        <v>235</v>
      </c>
    </row>
    <row r="56" spans="1:6" ht="15">
      <c r="A56" s="135">
        <v>40299</v>
      </c>
      <c r="B56" s="119">
        <f t="shared" si="7"/>
        <v>120504.66805860624</v>
      </c>
      <c r="C56" s="117">
        <f t="shared" si="10"/>
        <v>3603.9114285714286</v>
      </c>
      <c r="D56" s="137">
        <v>0.0055</v>
      </c>
      <c r="E56" s="118">
        <f t="shared" si="5"/>
        <v>55.231306193527864</v>
      </c>
      <c r="F56" s="118">
        <f t="shared" si="6"/>
        <v>124163.8107933712</v>
      </c>
    </row>
    <row r="57" spans="1:6" ht="15">
      <c r="A57" s="135">
        <v>40330</v>
      </c>
      <c r="B57" s="119">
        <f t="shared" si="7"/>
        <v>124163.8107933712</v>
      </c>
      <c r="C57" s="117">
        <f t="shared" si="10"/>
        <v>3603.9114285714286</v>
      </c>
      <c r="D57" s="137">
        <v>0.0055</v>
      </c>
      <c r="E57" s="118">
        <f t="shared" si="5"/>
        <v>56.90841328029513</v>
      </c>
      <c r="F57" s="118">
        <f t="shared" si="6"/>
        <v>127824.63063522293</v>
      </c>
    </row>
    <row r="58" spans="1:6" ht="15">
      <c r="A58" s="135">
        <v>40360</v>
      </c>
      <c r="B58" s="119">
        <f t="shared" si="7"/>
        <v>127824.63063522293</v>
      </c>
      <c r="C58" s="117">
        <f t="shared" si="10"/>
        <v>3603.9114285714286</v>
      </c>
      <c r="D58" s="137">
        <v>0.0089</v>
      </c>
      <c r="E58" s="118">
        <f t="shared" si="5"/>
        <v>94.80326772112367</v>
      </c>
      <c r="F58" s="118">
        <f t="shared" si="6"/>
        <v>131523.34533151548</v>
      </c>
    </row>
    <row r="59" spans="1:6" ht="15">
      <c r="A59" s="135">
        <v>40391</v>
      </c>
      <c r="B59" s="119">
        <f t="shared" si="7"/>
        <v>131523.34533151548</v>
      </c>
      <c r="C59" s="117">
        <f t="shared" si="10"/>
        <v>3603.9114285714286</v>
      </c>
      <c r="D59" s="137">
        <v>0.0089</v>
      </c>
      <c r="E59" s="118">
        <f t="shared" si="5"/>
        <v>97.54648112087398</v>
      </c>
      <c r="F59" s="118">
        <f t="shared" si="6"/>
        <v>135224.80324120776</v>
      </c>
    </row>
    <row r="60" spans="1:6" ht="15">
      <c r="A60" s="135">
        <v>40422</v>
      </c>
      <c r="B60" s="119">
        <f t="shared" si="7"/>
        <v>135224.80324120776</v>
      </c>
      <c r="C60" s="117">
        <f t="shared" si="10"/>
        <v>3603.9114285714286</v>
      </c>
      <c r="D60" s="137">
        <v>0.0089</v>
      </c>
      <c r="E60" s="118">
        <f t="shared" si="5"/>
        <v>100.29172907056243</v>
      </c>
      <c r="F60" s="118">
        <f t="shared" si="6"/>
        <v>138929.00639884974</v>
      </c>
    </row>
    <row r="61" spans="1:6" ht="15">
      <c r="A61" s="135">
        <v>40452</v>
      </c>
      <c r="B61" s="119">
        <f t="shared" si="7"/>
        <v>138929.00639884974</v>
      </c>
      <c r="C61" s="117">
        <f t="shared" si="10"/>
        <v>3603.9114285714286</v>
      </c>
      <c r="D61" s="137">
        <v>0.0089</v>
      </c>
      <c r="E61" s="118">
        <f t="shared" si="5"/>
        <v>103.0390130791469</v>
      </c>
      <c r="F61" s="118">
        <f t="shared" si="6"/>
        <v>142635.9568405003</v>
      </c>
    </row>
    <row r="62" spans="1:6" ht="15">
      <c r="A62" s="135">
        <v>40483</v>
      </c>
      <c r="B62" s="119">
        <f t="shared" si="7"/>
        <v>142635.9568405003</v>
      </c>
      <c r="C62" s="117">
        <f t="shared" si="10"/>
        <v>3603.9114285714286</v>
      </c>
      <c r="D62" s="137">
        <v>0.0089</v>
      </c>
      <c r="E62" s="118">
        <f t="shared" si="5"/>
        <v>105.78833465670438</v>
      </c>
      <c r="F62" s="118">
        <f t="shared" si="6"/>
        <v>146345.65660372842</v>
      </c>
    </row>
    <row r="63" spans="1:6" ht="15">
      <c r="A63" s="135">
        <v>40513</v>
      </c>
      <c r="B63" s="119">
        <f t="shared" si="7"/>
        <v>146345.65660372842</v>
      </c>
      <c r="C63" s="117">
        <f t="shared" si="10"/>
        <v>3603.9114285714286</v>
      </c>
      <c r="D63" s="137">
        <v>0.0089</v>
      </c>
      <c r="E63" s="118">
        <f t="shared" si="5"/>
        <v>108.53969531443191</v>
      </c>
      <c r="F63" s="118">
        <f t="shared" si="6"/>
        <v>150058.10772761426</v>
      </c>
    </row>
    <row r="64" spans="1:6" ht="15">
      <c r="A64" s="135">
        <v>40544</v>
      </c>
      <c r="B64" s="119">
        <f t="shared" si="7"/>
        <v>150058.10772761426</v>
      </c>
      <c r="C64" s="117">
        <f t="shared" si="10"/>
        <v>3603.9114285714286</v>
      </c>
      <c r="D64" s="137">
        <v>0.0089</v>
      </c>
      <c r="E64" s="118">
        <f t="shared" si="5"/>
        <v>111.29309656464723</v>
      </c>
      <c r="F64" s="118">
        <f t="shared" si="6"/>
        <v>153773.31225275033</v>
      </c>
    </row>
    <row r="65" spans="1:6" ht="15">
      <c r="A65" s="135">
        <v>40575</v>
      </c>
      <c r="B65" s="119">
        <f t="shared" si="7"/>
        <v>153773.31225275033</v>
      </c>
      <c r="C65" s="117">
        <f t="shared" si="10"/>
        <v>3603.9114285714286</v>
      </c>
      <c r="D65" s="137">
        <v>0.0089</v>
      </c>
      <c r="E65" s="118">
        <f t="shared" si="5"/>
        <v>114.04853992078984</v>
      </c>
      <c r="F65" s="118">
        <f t="shared" si="6"/>
        <v>157491.27222124254</v>
      </c>
    </row>
    <row r="66" spans="1:6" ht="15">
      <c r="A66" s="135">
        <v>40603</v>
      </c>
      <c r="B66" s="119">
        <f t="shared" si="7"/>
        <v>157491.27222124254</v>
      </c>
      <c r="C66" s="117">
        <f t="shared" si="10"/>
        <v>3603.9114285714286</v>
      </c>
      <c r="D66" s="137">
        <v>0.0089</v>
      </c>
      <c r="E66" s="118">
        <f t="shared" si="5"/>
        <v>116.80602689742155</v>
      </c>
      <c r="F66" s="118">
        <f t="shared" si="6"/>
        <v>161211.98967671138</v>
      </c>
    </row>
    <row r="67" spans="1:6" ht="15">
      <c r="A67" s="135">
        <v>40634</v>
      </c>
      <c r="B67" s="119">
        <f t="shared" si="7"/>
        <v>161211.98967671138</v>
      </c>
      <c r="C67" s="117">
        <f t="shared" si="10"/>
        <v>3603.9114285714286</v>
      </c>
      <c r="D67" s="137">
        <v>0.0089</v>
      </c>
      <c r="E67" s="118">
        <f t="shared" si="5"/>
        <v>119.56555901022762</v>
      </c>
      <c r="F67" s="118">
        <f t="shared" si="6"/>
        <v>164935.46666429302</v>
      </c>
    </row>
    <row r="68" spans="1:6" ht="15">
      <c r="A68" s="135">
        <v>40664</v>
      </c>
      <c r="B68" s="119">
        <f t="shared" si="7"/>
        <v>164935.46666429302</v>
      </c>
      <c r="C68" s="117">
        <v>0</v>
      </c>
      <c r="D68" s="137"/>
      <c r="E68" s="118">
        <f t="shared" si="5"/>
        <v>0</v>
      </c>
      <c r="F68" s="118">
        <f t="shared" si="6"/>
        <v>164935.46666429302</v>
      </c>
    </row>
    <row r="69" spans="1:6" ht="15">
      <c r="A69" s="135">
        <v>40695</v>
      </c>
      <c r="B69" s="119">
        <f t="shared" si="7"/>
        <v>164935.46666429302</v>
      </c>
      <c r="C69" s="117">
        <v>0</v>
      </c>
      <c r="D69" s="137"/>
      <c r="E69" s="118">
        <f t="shared" si="5"/>
        <v>0</v>
      </c>
      <c r="F69" s="118">
        <f t="shared" si="6"/>
        <v>164935.46666429302</v>
      </c>
    </row>
    <row r="70" spans="1:6" ht="15">
      <c r="A70" s="135">
        <v>40725</v>
      </c>
      <c r="B70" s="119">
        <f t="shared" si="7"/>
        <v>164935.46666429302</v>
      </c>
      <c r="C70" s="117">
        <v>0</v>
      </c>
      <c r="D70" s="137"/>
      <c r="E70" s="118">
        <f t="shared" si="5"/>
        <v>0</v>
      </c>
      <c r="F70" s="118">
        <f t="shared" si="6"/>
        <v>164935.46666429302</v>
      </c>
    </row>
    <row r="71" spans="1:6" ht="15">
      <c r="A71" s="135">
        <v>40756</v>
      </c>
      <c r="B71" s="119">
        <f t="shared" si="7"/>
        <v>164935.46666429302</v>
      </c>
      <c r="C71" s="117">
        <v>0</v>
      </c>
      <c r="D71" s="137"/>
      <c r="E71" s="118">
        <f t="shared" si="5"/>
        <v>0</v>
      </c>
      <c r="F71" s="118">
        <f t="shared" si="6"/>
        <v>164935.46666429302</v>
      </c>
    </row>
    <row r="72" spans="1:6" ht="15">
      <c r="A72" s="135">
        <v>40787</v>
      </c>
      <c r="B72" s="119">
        <f t="shared" si="7"/>
        <v>164935.46666429302</v>
      </c>
      <c r="C72" s="117">
        <v>0</v>
      </c>
      <c r="D72" s="137"/>
      <c r="E72" s="118">
        <f t="shared" si="5"/>
        <v>0</v>
      </c>
      <c r="F72" s="118">
        <f t="shared" si="6"/>
        <v>164935.46666429302</v>
      </c>
    </row>
    <row r="73" spans="1:6" ht="15">
      <c r="A73" s="135">
        <v>40817</v>
      </c>
      <c r="B73" s="119">
        <f t="shared" si="7"/>
        <v>164935.46666429302</v>
      </c>
      <c r="C73" s="117">
        <v>0</v>
      </c>
      <c r="D73" s="137"/>
      <c r="E73" s="118">
        <f t="shared" si="5"/>
        <v>0</v>
      </c>
      <c r="F73" s="118">
        <f t="shared" si="6"/>
        <v>164935.46666429302</v>
      </c>
    </row>
    <row r="74" spans="1:6" ht="15">
      <c r="A74" s="135">
        <v>40848</v>
      </c>
      <c r="B74" s="119">
        <f t="shared" si="7"/>
        <v>164935.46666429302</v>
      </c>
      <c r="C74" s="117">
        <v>0</v>
      </c>
      <c r="D74" s="137"/>
      <c r="E74" s="118">
        <f t="shared" si="5"/>
        <v>0</v>
      </c>
      <c r="F74" s="118">
        <f t="shared" si="6"/>
        <v>164935.46666429302</v>
      </c>
    </row>
    <row r="75" spans="1:6" ht="15">
      <c r="A75" s="135">
        <v>40878</v>
      </c>
      <c r="B75" s="119">
        <f t="shared" si="7"/>
        <v>164935.46666429302</v>
      </c>
      <c r="C75" s="117">
        <v>0</v>
      </c>
      <c r="D75" s="137"/>
      <c r="E75" s="118">
        <f t="shared" si="5"/>
        <v>0</v>
      </c>
      <c r="F75" s="118">
        <f t="shared" si="6"/>
        <v>164935.46666429302</v>
      </c>
    </row>
    <row r="76" spans="1:6" ht="15">
      <c r="A76" s="135">
        <v>40909</v>
      </c>
      <c r="B76" s="119">
        <f t="shared" si="7"/>
        <v>164935.46666429302</v>
      </c>
      <c r="C76" s="117">
        <v>0</v>
      </c>
      <c r="D76" s="137"/>
      <c r="E76" s="118">
        <f t="shared" si="5"/>
        <v>0</v>
      </c>
      <c r="F76" s="118">
        <f t="shared" si="6"/>
        <v>164935.46666429302</v>
      </c>
    </row>
    <row r="77" spans="1:6" ht="15">
      <c r="A77" s="135">
        <v>40940</v>
      </c>
      <c r="B77" s="119">
        <f t="shared" si="7"/>
        <v>164935.46666429302</v>
      </c>
      <c r="C77" s="117">
        <v>0</v>
      </c>
      <c r="D77" s="137"/>
      <c r="E77" s="118">
        <f t="shared" si="5"/>
        <v>0</v>
      </c>
      <c r="F77" s="118">
        <f t="shared" si="6"/>
        <v>164935.46666429302</v>
      </c>
    </row>
    <row r="78" spans="1:6" ht="15">
      <c r="A78" s="135">
        <v>40969</v>
      </c>
      <c r="B78" s="119">
        <f t="shared" si="7"/>
        <v>164935.46666429302</v>
      </c>
      <c r="C78" s="117">
        <v>0</v>
      </c>
      <c r="D78" s="137"/>
      <c r="E78" s="118">
        <f t="shared" si="5"/>
        <v>0</v>
      </c>
      <c r="F78" s="118">
        <f t="shared" si="6"/>
        <v>164935.46666429302</v>
      </c>
    </row>
    <row r="79" spans="1:6" ht="15">
      <c r="A79" s="135">
        <v>41000</v>
      </c>
      <c r="B79" s="119">
        <f t="shared" si="7"/>
        <v>164935.46666429302</v>
      </c>
      <c r="C79" s="117">
        <v>0</v>
      </c>
      <c r="D79" s="137"/>
      <c r="E79" s="118">
        <f t="shared" si="5"/>
        <v>0</v>
      </c>
      <c r="F79" s="118">
        <f t="shared" si="6"/>
        <v>164935.46666429302</v>
      </c>
    </row>
    <row r="80" spans="1:6" ht="15">
      <c r="A80" s="135">
        <v>41030</v>
      </c>
      <c r="B80" s="119">
        <f t="shared" si="7"/>
        <v>164935.46666429302</v>
      </c>
      <c r="C80" s="117">
        <v>0</v>
      </c>
      <c r="D80" s="137"/>
      <c r="E80" s="118">
        <f t="shared" si="5"/>
        <v>0</v>
      </c>
      <c r="F80" s="118">
        <f t="shared" si="6"/>
        <v>164935.46666429302</v>
      </c>
    </row>
    <row r="81" spans="3:6" ht="15.75" thickBot="1">
      <c r="C81" s="126">
        <f>SUM(C4:C80)</f>
        <v>159614.3328571428</v>
      </c>
      <c r="E81" s="126">
        <f>SUM(E4:E80)</f>
        <v>5321.133807150235</v>
      </c>
      <c r="F81" s="58"/>
    </row>
  </sheetData>
  <sheetProtection/>
  <printOptions/>
  <pageMargins left="0.75" right="0.75" top="0.75" bottom="0.75" header="0.5" footer="0.5"/>
  <pageSetup fitToHeight="1" fitToWidth="1" horizontalDpi="600" verticalDpi="600" orientation="portrait"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workbookViewId="0" topLeftCell="A1">
      <selection activeCell="C24" sqref="C24"/>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832.7477249157012</v>
      </c>
    </row>
    <row r="7" spans="2:3" ht="12.75">
      <c r="B7" s="128" t="s">
        <v>263</v>
      </c>
      <c r="C7" s="129">
        <f>'4. Smart Meter Rev Req'!K55</f>
        <v>10372.435644209087</v>
      </c>
    </row>
    <row r="8" spans="2:3" ht="12.75">
      <c r="B8" s="128" t="s">
        <v>264</v>
      </c>
      <c r="C8" s="129">
        <f>'4. Smart Meter Rev Req'!N55</f>
        <v>25804.863778780596</v>
      </c>
    </row>
    <row r="9" spans="2:3" ht="12.75">
      <c r="B9" s="128" t="s">
        <v>265</v>
      </c>
      <c r="C9" s="129">
        <f>'4. Smart Meter Rev Req'!Q55</f>
        <v>103375.04123366729</v>
      </c>
    </row>
    <row r="10" spans="2:3" ht="12.75">
      <c r="B10" s="128" t="s">
        <v>266</v>
      </c>
      <c r="C10" s="129">
        <f>'4. Smart Meter Rev Req'!T55</f>
        <v>195700.74469070794</v>
      </c>
    </row>
    <row r="11" spans="2:3" ht="13.5" thickBot="1">
      <c r="B11" s="7" t="s">
        <v>267</v>
      </c>
      <c r="C11" s="130">
        <f>SUM(C5:C10)</f>
        <v>336085.8330722806</v>
      </c>
    </row>
    <row r="13" spans="2:3" ht="12.75">
      <c r="B13" s="7" t="s">
        <v>270</v>
      </c>
      <c r="C13" s="131">
        <f>-'7. Funding Adder Collected'!C81</f>
        <v>-159614.3328571428</v>
      </c>
    </row>
    <row r="14" spans="2:3" ht="12.75">
      <c r="B14" s="7" t="s">
        <v>271</v>
      </c>
      <c r="C14" s="131">
        <f>-'7. Funding Adder Collected'!E81</f>
        <v>-5321.133807150235</v>
      </c>
    </row>
    <row r="16" spans="2:3" ht="13.5" thickBot="1">
      <c r="B16" s="7" t="s">
        <v>272</v>
      </c>
      <c r="C16" s="130">
        <f>SUM(C11:C14)</f>
        <v>171150.36640798757</v>
      </c>
    </row>
    <row r="18" spans="2:3" ht="12.75">
      <c r="B18" s="7" t="s">
        <v>274</v>
      </c>
      <c r="C18" s="37">
        <f>482+3073+38+2+5+20+36+40</f>
        <v>3696</v>
      </c>
    </row>
    <row r="20" spans="2:3" ht="12.75">
      <c r="B20" s="127" t="s">
        <v>275</v>
      </c>
      <c r="C20" s="138">
        <f>IF(C18&lt;&gt;0,C16/C18/12,0)</f>
        <v>3.858909776514871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vogtsu</cp:lastModifiedBy>
  <cp:lastPrinted>2010-11-24T14:44:13Z</cp:lastPrinted>
  <dcterms:created xsi:type="dcterms:W3CDTF">2007-08-13T15:48:29Z</dcterms:created>
  <dcterms:modified xsi:type="dcterms:W3CDTF">2011-01-14T16:28:14Z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