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tabRatio="699" firstSheet="10" activeTab="10"/>
  </bookViews>
  <sheets>
    <sheet name="Program YTD" sheetId="1" state="hidden" r:id="rId1"/>
    <sheet name="Program YTD (Before Changes (2)" sheetId="2" state="hidden" r:id="rId2"/>
    <sheet name="Program YTD (After Changes)" sheetId="3" state="hidden" r:id="rId3"/>
    <sheet name="Program YTD (Before Changes)" sheetId="4" state="hidden" r:id="rId4"/>
    <sheet name="7. Funding Adder Collected" sheetId="5" state="hidden" r:id="rId5"/>
    <sheet name="Explanations" sheetId="6" state="hidden" r:id="rId6"/>
    <sheet name="Title page" sheetId="7" r:id="rId7"/>
    <sheet name="Rate Rider Revenue Req (1)" sheetId="8" state="hidden" r:id="rId8"/>
    <sheet name="Rate Rider Revenue Req (2)" sheetId="9" state="hidden" r:id="rId9"/>
    <sheet name="Rate Rider Revenue Req (3)" sheetId="10" state="hidden" r:id="rId10"/>
    <sheet name="Rate Rider Revenue Req (4)" sheetId="11" r:id="rId11"/>
    <sheet name="Actual 2006" sheetId="12" r:id="rId12"/>
    <sheet name="Actual 2007" sheetId="13" r:id="rId13"/>
    <sheet name="Actual 2008" sheetId="14" r:id="rId14"/>
    <sheet name="Actual 2009" sheetId="15" r:id="rId15"/>
    <sheet name="Forecast 2010" sheetId="16" r:id="rId16"/>
    <sheet name="Forecast 2011" sheetId="17" r:id="rId17"/>
    <sheet name="SM FA Continuity" sheetId="18" r:id="rId18"/>
    <sheet name="SM UCC Continuity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CDM_2007">#REF!</definedName>
    <definedName name="EDR_06_OthInfo">'[8]4. 2006 Smart Meter Information'!#REF!</definedName>
    <definedName name="EDR06Tariffs">'[8]3. 2006 Tariff Sheet'!#REF!</definedName>
    <definedName name="impactdata">'[9]8-7 OTHER CHGS, COMMOD (Input)'!$B$15:$AS$118</definedName>
    <definedName name="Model_Organization">#REF!</definedName>
    <definedName name="OtherRateCharges">#REF!</definedName>
    <definedName name="PriceCapParams">#REF!</definedName>
    <definedName name="_xlnm.Print_Area" localSheetId="11">'Actual 2006'!$A$1:$D$81</definedName>
    <definedName name="_xlnm.Print_Area" localSheetId="12">'Actual 2007'!$A$1:$D$81</definedName>
    <definedName name="_xlnm.Print_Area" localSheetId="13">'Actual 2008'!$A$1:$D$81</definedName>
    <definedName name="_xlnm.Print_Area" localSheetId="14">'Actual 2009'!$A$1:$D$81</definedName>
    <definedName name="_xlnm.Print_Area" localSheetId="5">'Explanations'!$A$1:$N$75</definedName>
    <definedName name="_xlnm.Print_Area" localSheetId="15">'Forecast 2010'!$A$1:$D$81</definedName>
    <definedName name="_xlnm.Print_Area" localSheetId="16">'Forecast 2011'!$A$1:$D$81</definedName>
    <definedName name="_xlnm.Print_Area" localSheetId="0">'Program YTD'!$A$1:$D$16</definedName>
    <definedName name="_xlnm.Print_Area" localSheetId="2">'Program YTD (After Changes)'!$A$1:$F$46</definedName>
    <definedName name="_xlnm.Print_Area" localSheetId="1">'Program YTD (Before Changes (2)'!$A$1:$F$26</definedName>
    <definedName name="_xlnm.Print_Area" localSheetId="3">'Program YTD (Before Changes)'!$A$1:$F$46</definedName>
    <definedName name="_xlnm.Print_Area" localSheetId="7">'Rate Rider Revenue Req (1)'!$A$1:$F$26</definedName>
    <definedName name="_xlnm.Print_Area" localSheetId="8">'Rate Rider Revenue Req (2)'!$A$1:$F$25</definedName>
    <definedName name="_xlnm.Print_Area" localSheetId="9">'Rate Rider Revenue Req (3)'!$A$1:$F$26</definedName>
    <definedName name="_xlnm.Print_Area" localSheetId="10">'Rate Rider Revenue Req (4)'!$A$1:$F$27</definedName>
    <definedName name="_xlnm.Print_Area" localSheetId="17">'SM FA Continuity'!$A$1:$G$51</definedName>
    <definedName name="_xlnm.Print_Area" localSheetId="18">'SM UCC Continuity'!$A$1:$I$51</definedName>
    <definedName name="Rate_Riders">#REF!</definedName>
    <definedName name="RPP_Data">#REF!</definedName>
    <definedName name="terr_name">'[9]1-1 GENERAL (Input)'!$C$56:$D$59</definedName>
    <definedName name="UtilityInfo">#REF!</definedName>
    <definedName name="Z_Factor_Analysis">#REF!</definedName>
  </definedNames>
  <calcPr fullCalcOnLoad="1"/>
</workbook>
</file>

<file path=xl/sharedStrings.xml><?xml version="1.0" encoding="utf-8"?>
<sst xmlns="http://schemas.openxmlformats.org/spreadsheetml/2006/main" count="899" uniqueCount="253">
  <si>
    <t>SMART METERS (Not incl CC313)</t>
  </si>
  <si>
    <t>Horizon Actuals / Forecast</t>
  </si>
  <si>
    <t>Year</t>
  </si>
  <si>
    <t>Capital (additions)</t>
  </si>
  <si>
    <t>OM&amp;A</t>
  </si>
  <si>
    <t>Program YTD</t>
  </si>
  <si>
    <t>Actual</t>
  </si>
  <si>
    <t>Forecast</t>
  </si>
  <si>
    <t>Figures below have been taken from ED-2006-0031 Smart Meter Funding Adder</t>
  </si>
  <si>
    <t>Table 3 Capital spending by Calendar Year</t>
  </si>
  <si>
    <t>Table 7 OM&amp;A Expenses 2009 and 2010</t>
  </si>
  <si>
    <t>Smart Meter Adder (as of May 19th)</t>
  </si>
  <si>
    <t>Underspent</t>
  </si>
  <si>
    <t>E-mobile ($470k Capital + $160k OM&amp;A)</t>
  </si>
  <si>
    <t>Less Salary reversals (OM&amp;A Net Salaries)</t>
  </si>
  <si>
    <t>Less Salary reversals (OM&amp;A Below Net Salaries)</t>
  </si>
  <si>
    <t>Add in Daffron Capital (from other CC's incl.)</t>
  </si>
  <si>
    <t>Add in John Norkus / Grant Archibald Salaries</t>
  </si>
  <si>
    <t>Overspent</t>
  </si>
  <si>
    <t>Add in Daffron Capital (from other CC's)</t>
  </si>
  <si>
    <t>Captured in CC312</t>
  </si>
  <si>
    <t>$350k</t>
  </si>
  <si>
    <t>$100k</t>
  </si>
  <si>
    <r>
      <t xml:space="preserve">5,085 Poly Phase Smart Meters @ $450 each </t>
    </r>
    <r>
      <rPr>
        <b/>
        <sz val="10"/>
        <color indexed="10"/>
        <rFont val="Arial"/>
        <family val="2"/>
      </rPr>
      <t>(MATERIALS ONLY)</t>
    </r>
  </si>
  <si>
    <r>
      <t>Less Salary reversals (Capital Salaries)</t>
    </r>
    <r>
      <rPr>
        <b/>
        <sz val="10"/>
        <color indexed="10"/>
        <rFont val="Arial"/>
        <family val="2"/>
      </rPr>
      <t>(2007- Aug 31, 2008 ONLY)</t>
    </r>
  </si>
  <si>
    <r>
      <t>Less Salary reversals (Capital Salaries)</t>
    </r>
    <r>
      <rPr>
        <b/>
        <sz val="10"/>
        <color indexed="10"/>
        <rFont val="Arial"/>
        <family val="2"/>
      </rPr>
      <t>(Sep'09- Dec 31, 2009 ONLY)</t>
    </r>
  </si>
  <si>
    <r>
      <t>Less Salary reversals (Capital Salaries)</t>
    </r>
    <r>
      <rPr>
        <b/>
        <sz val="10"/>
        <color indexed="10"/>
        <rFont val="Arial"/>
        <family val="2"/>
      </rPr>
      <t>(2010 &amp; 2011 FORECAST ONLY)</t>
    </r>
  </si>
  <si>
    <r>
      <t xml:space="preserve">Add in Incremental Salaries / Burden </t>
    </r>
    <r>
      <rPr>
        <b/>
        <sz val="10"/>
        <color indexed="10"/>
        <rFont val="Arial"/>
        <family val="2"/>
      </rPr>
      <t>(OM&amp;A CC313 2009-2011)</t>
    </r>
  </si>
  <si>
    <r>
      <t xml:space="preserve">Add in Incremental Salaries / Burden </t>
    </r>
    <r>
      <rPr>
        <b/>
        <sz val="10"/>
        <color indexed="10"/>
        <rFont val="Arial"/>
        <family val="2"/>
      </rPr>
      <t>(Temps - Start date to Dec 31, 2011)</t>
    </r>
  </si>
  <si>
    <t>SMART METERS</t>
  </si>
  <si>
    <t>Original Amount</t>
  </si>
  <si>
    <t>Grand Total</t>
  </si>
  <si>
    <t>GRAND TOTAL</t>
  </si>
  <si>
    <t>CK</t>
  </si>
  <si>
    <t>Capital (Additions)</t>
  </si>
  <si>
    <t>IT Salaries</t>
  </si>
  <si>
    <t>1) IT Salaries: John Norkus and Grant Archibald</t>
  </si>
  <si>
    <t>Notes:</t>
  </si>
  <si>
    <t>Polyphase Meters</t>
  </si>
  <si>
    <t>2012-2015</t>
  </si>
  <si>
    <t>2) Polyphase Meters (5,085 meters x $450) no non-regular labour required</t>
  </si>
  <si>
    <t>Salary Add-Ins (CC313)</t>
  </si>
  <si>
    <t>Salary Add-Ins (Incremental - Shelly Parker)</t>
  </si>
  <si>
    <t>Salary Back-out (Smart Meters)</t>
  </si>
  <si>
    <t>***Need 2006-Aug'08 Below the line</t>
  </si>
  <si>
    <t>3) Salary Add-Ins (Incr SP), there was no CAPEX in 2006, therefore moved add-ins to OM&amp;A</t>
  </si>
  <si>
    <t>Smart Meter Funding Adder</t>
  </si>
  <si>
    <t xml:space="preserve"> Approved Deferral and Variance Accounts </t>
  </si>
  <si>
    <t xml:space="preserve"> CWIP Account</t>
  </si>
  <si>
    <t>Prescribed Interest Rate (per the Bankers' Acceptances-3 months Plus 0.25 Spread)</t>
  </si>
  <si>
    <t>Prescribed Interest Rate (per the DEX Mid Term Corporate Bond Index Yield 2)</t>
  </si>
  <si>
    <t xml:space="preserve">Opening </t>
  </si>
  <si>
    <t>Fund Adder</t>
  </si>
  <si>
    <t>Int. Rate</t>
  </si>
  <si>
    <t>Interest</t>
  </si>
  <si>
    <t>Closing</t>
  </si>
  <si>
    <t xml:space="preserve">Q2 2006 </t>
  </si>
  <si>
    <t xml:space="preserve">Q3 2006 </t>
  </si>
  <si>
    <t xml:space="preserve">Q4 2006 </t>
  </si>
  <si>
    <t xml:space="preserve">Q1 2007 </t>
  </si>
  <si>
    <t xml:space="preserve">Q2 2007 </t>
  </si>
  <si>
    <t xml:space="preserve">Q3 2007 </t>
  </si>
  <si>
    <t xml:space="preserve">Q4 2007 </t>
  </si>
  <si>
    <t xml:space="preserve">Q1 2008 </t>
  </si>
  <si>
    <t xml:space="preserve">Q2 2008 </t>
  </si>
  <si>
    <t xml:space="preserve">Q3 2008 </t>
  </si>
  <si>
    <t xml:space="preserve">Q4 2008 </t>
  </si>
  <si>
    <t>Q1 2009</t>
  </si>
  <si>
    <t>Q2 2009</t>
  </si>
  <si>
    <t>Q3 2009</t>
  </si>
  <si>
    <t>Q4 2009</t>
  </si>
  <si>
    <t xml:space="preserve"> </t>
  </si>
  <si>
    <t>Attachment A</t>
  </si>
  <si>
    <t>Horizon Utilities Corporation</t>
  </si>
  <si>
    <t>2010 Smart Meter Rate Rider Application</t>
  </si>
  <si>
    <t>Revenue Requirement:</t>
  </si>
  <si>
    <t>2006 Rate Year Entitlement</t>
  </si>
  <si>
    <t>2007 Rate Year Entitlement</t>
  </si>
  <si>
    <t>2008 Rate Year Entitlement</t>
  </si>
  <si>
    <t>2009 Rate Year Entitlement</t>
  </si>
  <si>
    <t>2010 Rate Year Entitlement</t>
  </si>
  <si>
    <t>2011 Rate Year Entitlement</t>
  </si>
  <si>
    <t>Smart Rate Rider Billed:</t>
  </si>
  <si>
    <t>2006 Rate Year Billed May 1/06 - April 30/07</t>
  </si>
  <si>
    <t>2007 Rate Year Billed May 1/07 - April 30/08</t>
  </si>
  <si>
    <t>2008 Rate Year Billed May 1/08 - April 30/09</t>
  </si>
  <si>
    <t>2010 Rate Year Billed May 1/10 - April 30/11</t>
  </si>
  <si>
    <t>Number of Customers</t>
  </si>
  <si>
    <t>Number of Months</t>
  </si>
  <si>
    <t>Rate Rider</t>
  </si>
  <si>
    <t>Revenue Requirement Calculations</t>
  </si>
  <si>
    <t>Average Fixed Asset Values</t>
  </si>
  <si>
    <t>Actual 2006</t>
  </si>
  <si>
    <t>OH &amp; UG Services</t>
  </si>
  <si>
    <t>General Office</t>
  </si>
  <si>
    <t>Building Renovations</t>
  </si>
  <si>
    <t>Smart meters</t>
  </si>
  <si>
    <t>Computer Hardware</t>
  </si>
  <si>
    <t>Computer Software</t>
  </si>
  <si>
    <t>Stores &amp; Tools</t>
  </si>
  <si>
    <t>Working Capital</t>
  </si>
  <si>
    <t>Operation Expense</t>
  </si>
  <si>
    <t>15% Working Capital</t>
  </si>
  <si>
    <t>Smart Meters Fixed Assets in Rate Base</t>
  </si>
  <si>
    <t>Return on Rate Base</t>
  </si>
  <si>
    <t xml:space="preserve">   Deemed Debt - Long Term</t>
  </si>
  <si>
    <t xml:space="preserve">   Deemed Debt - Short Term</t>
  </si>
  <si>
    <t xml:space="preserve">   Deemed Equity</t>
  </si>
  <si>
    <t xml:space="preserve">   Weighted Debt Rate - Long Term</t>
  </si>
  <si>
    <t xml:space="preserve">   Short Term Debt Rate</t>
  </si>
  <si>
    <t xml:space="preserve">   Equity Rate</t>
  </si>
  <si>
    <t xml:space="preserve">   Return on Rate Base</t>
  </si>
  <si>
    <t>Operating Expenses</t>
  </si>
  <si>
    <t>Incremental Operating Expenses</t>
  </si>
  <si>
    <t>Amortization Expenses</t>
  </si>
  <si>
    <t xml:space="preserve">   Revenue Requirement before PILs</t>
  </si>
  <si>
    <t>Calculation of Taxable Income</t>
  </si>
  <si>
    <t xml:space="preserve">   Incremental Operating Expenses</t>
  </si>
  <si>
    <t xml:space="preserve">   Depreciation Expense</t>
  </si>
  <si>
    <t xml:space="preserve">   Interest Expense</t>
  </si>
  <si>
    <t>Taxable Income for PILs</t>
  </si>
  <si>
    <t>Grossed up PILs</t>
  </si>
  <si>
    <t>Revenue Requirement before PILs</t>
  </si>
  <si>
    <t>2008 Revenue Requirement for Smart Meters</t>
  </si>
  <si>
    <t>2008 Smart Meter Rate Adder</t>
  </si>
  <si>
    <t>Revenue Requirement for Smart Meters</t>
  </si>
  <si>
    <t>March 2009 Total Metered Customers</t>
  </si>
  <si>
    <t>Annualized amount required per metered customer</t>
  </si>
  <si>
    <t>Number of months in year</t>
  </si>
  <si>
    <t>Smart Meter Deferral Account Balance - PILs Calculation</t>
  </si>
  <si>
    <t>Income Tax</t>
  </si>
  <si>
    <t>Net Income</t>
  </si>
  <si>
    <t>Amortization</t>
  </si>
  <si>
    <t>CCA</t>
  </si>
  <si>
    <t>Revised Taxable Income</t>
  </si>
  <si>
    <t>Tax Rate</t>
  </si>
  <si>
    <t>Income Taxes Payable</t>
  </si>
  <si>
    <t>Ontario Capital Tax</t>
  </si>
  <si>
    <t>Smart Meter Related Fixed Assets</t>
  </si>
  <si>
    <t>Less: Exemption</t>
  </si>
  <si>
    <t>Deemed Taxable Capital</t>
  </si>
  <si>
    <t>Ontario Capital Tax Rate</t>
  </si>
  <si>
    <t>NET OCT Amount</t>
  </si>
  <si>
    <t>PILs Payable</t>
  </si>
  <si>
    <t>Gross Up</t>
  </si>
  <si>
    <t>Grossed Up PILs</t>
  </si>
  <si>
    <t>Change in Income Taxes Payable</t>
  </si>
  <si>
    <t>Change in OCT</t>
  </si>
  <si>
    <t>PIL's</t>
  </si>
  <si>
    <t>Actual 2007</t>
  </si>
  <si>
    <t>Actual 2008</t>
  </si>
  <si>
    <t>Actual 2009</t>
  </si>
  <si>
    <t>Forecast 2010</t>
  </si>
  <si>
    <t>Smart Meter Fixed Asset Continuity</t>
  </si>
  <si>
    <t>For Accounting</t>
  </si>
  <si>
    <t>Amortization Period</t>
  </si>
  <si>
    <t>Opening NBV Balance</t>
  </si>
  <si>
    <t>Actual 2007 Additions</t>
  </si>
  <si>
    <t>Actual Amortization For 2007</t>
  </si>
  <si>
    <t>2007 Net Book Value</t>
  </si>
  <si>
    <t>2007 Average NBV</t>
  </si>
  <si>
    <t>Smart meters-1860</t>
  </si>
  <si>
    <t>Computers-1921</t>
  </si>
  <si>
    <t>Computers-1925</t>
  </si>
  <si>
    <t>Tools, Shops - 1940</t>
  </si>
  <si>
    <t>Actual 2008 Additions</t>
  </si>
  <si>
    <t>Actual Amortization For 2008</t>
  </si>
  <si>
    <t>2008 Net Book Value</t>
  </si>
  <si>
    <t>2008 Average NBV</t>
  </si>
  <si>
    <t>Actual 2009 Additions</t>
  </si>
  <si>
    <t>Actual Amortization For 2009</t>
  </si>
  <si>
    <t>2009 Net Book Value</t>
  </si>
  <si>
    <t>2009 Average NBV</t>
  </si>
  <si>
    <t>Forecast 2010 Additions</t>
  </si>
  <si>
    <t>Forecast Amortization For 2010</t>
  </si>
  <si>
    <t>2010 Net Book Value</t>
  </si>
  <si>
    <t>2010 Average NBV</t>
  </si>
  <si>
    <t>Forecast 2011 Additions</t>
  </si>
  <si>
    <t>Forecast Amortization For 2011</t>
  </si>
  <si>
    <t>2011 Net Book Value</t>
  </si>
  <si>
    <t>2011 Average NBV</t>
  </si>
  <si>
    <t>For Tax Purposes</t>
  </si>
  <si>
    <t>CCA Class</t>
  </si>
  <si>
    <t>CCA Rate</t>
  </si>
  <si>
    <t>Opening UCC Balance</t>
  </si>
  <si>
    <t>2007 Actual Additions</t>
  </si>
  <si>
    <t>CCA For Opening UCC</t>
  </si>
  <si>
    <t>CCA For 2007 Additions</t>
  </si>
  <si>
    <t>Total CCA - 2007</t>
  </si>
  <si>
    <t>Closing UCC Balance</t>
  </si>
  <si>
    <t>Class 47</t>
  </si>
  <si>
    <t>Class 45.1</t>
  </si>
  <si>
    <t>Class 12</t>
  </si>
  <si>
    <t>Class 8</t>
  </si>
  <si>
    <t>2008 Actual Additions</t>
  </si>
  <si>
    <t>CCA For 2008 Additions</t>
  </si>
  <si>
    <t>Total CCA - 2008</t>
  </si>
  <si>
    <t>2009 Actual Additions</t>
  </si>
  <si>
    <t>CCA For 2009 Additions</t>
  </si>
  <si>
    <t>Total CCA - 2009</t>
  </si>
  <si>
    <t>Class 6</t>
  </si>
  <si>
    <t>2010 Forecast Additions</t>
  </si>
  <si>
    <t>CCA For 2010 Additions</t>
  </si>
  <si>
    <t>Total CCA - 2010</t>
  </si>
  <si>
    <t>2011 Forecast Additions</t>
  </si>
  <si>
    <t>CCA For 2011 Additions</t>
  </si>
  <si>
    <t>Total CCA - 2011</t>
  </si>
  <si>
    <t>***Capital or OM&amp;A?</t>
  </si>
  <si>
    <t>Daffron</t>
  </si>
  <si>
    <t>To go</t>
  </si>
  <si>
    <t>Avg revenue per month</t>
  </si>
  <si>
    <t>Non-Salary Add-Ins (CC313)</t>
  </si>
  <si>
    <t>E-Mobile</t>
  </si>
  <si>
    <t>Daffron CAPEX 2011</t>
  </si>
  <si>
    <t>Original 2010 CAPEX Budget</t>
  </si>
  <si>
    <t>Original 2011 CAPEX Budget</t>
  </si>
  <si>
    <t>Revenue Requirement for Recovery May 1/11 to April 30/12</t>
  </si>
  <si>
    <t>14% Working Capital</t>
  </si>
  <si>
    <t>Original Amt before Lynn's change</t>
  </si>
  <si>
    <t>2009 Rate Year Billed May 1/09 - April 30/10</t>
  </si>
  <si>
    <t>2009 Rate Year Billed May 1/09 - July 31/10</t>
  </si>
  <si>
    <t>2010 Rate Year Billed Aug 1/10 - Dec 31/10</t>
  </si>
  <si>
    <t>Revenue Requirement for Recovery Jan 1/11 to Dec 31/11</t>
  </si>
  <si>
    <t>2010 Rate Year Billed Aug 1/10 - Oct 31/10</t>
  </si>
  <si>
    <t>SMART METER RATE ADDER EXPLANATIONS</t>
  </si>
  <si>
    <t>2009 Rate Year Forecast May 1/09 - August 31/09</t>
  </si>
  <si>
    <t>Revenue Requirement for Recovery Sept 1/09 to April 30/11</t>
  </si>
  <si>
    <t>Revenue Requirement for Recovery Nov 1/10 to Dec 31/11</t>
  </si>
  <si>
    <t>-In this scenario we used the old rate year parameters, which conflicts with the</t>
  </si>
  <si>
    <t>Cost of Service calendar / rate year alignment</t>
  </si>
  <si>
    <r>
      <t xml:space="preserve">Rate Rider Revenue Req </t>
    </r>
    <r>
      <rPr>
        <b/>
        <i/>
        <u val="single"/>
        <sz val="10"/>
        <color indexed="61"/>
        <rFont val="Arial"/>
        <family val="2"/>
      </rPr>
      <t>(2)</t>
    </r>
  </si>
  <si>
    <r>
      <t xml:space="preserve">Rate Rider Revenue Req </t>
    </r>
    <r>
      <rPr>
        <b/>
        <i/>
        <u val="single"/>
        <sz val="10"/>
        <color indexed="61"/>
        <rFont val="Arial"/>
        <family val="2"/>
      </rPr>
      <t>(1)</t>
    </r>
    <r>
      <rPr>
        <b/>
        <i/>
        <u val="single"/>
        <sz val="10"/>
        <color indexed="21"/>
        <rFont val="Arial"/>
        <family val="2"/>
      </rPr>
      <t xml:space="preserve"> (Original 2010)</t>
    </r>
  </si>
  <si>
    <r>
      <t xml:space="preserve">Rate Rider Revenue May 19, 2009 </t>
    </r>
    <r>
      <rPr>
        <b/>
        <i/>
        <u val="single"/>
        <sz val="10"/>
        <color indexed="61"/>
        <rFont val="Arial"/>
        <family val="2"/>
      </rPr>
      <t>(Last Smart Meter Adder Filed)</t>
    </r>
  </si>
  <si>
    <t>to $1.56 change in the Smart Meter rate</t>
  </si>
  <si>
    <t>-We should not use this model for our purposes, as we do not want to wait till May 1, 2011</t>
  </si>
  <si>
    <t>to change our rate to $1.98</t>
  </si>
  <si>
    <t xml:space="preserve">-We actually received an approval for Nov 1, 2009 from the OEB to change our rate to the </t>
  </si>
  <si>
    <t>$1.56 we currently have</t>
  </si>
  <si>
    <t>-We have actuals up to and including July 2010 which are reflected above</t>
  </si>
  <si>
    <t>-We the multiply $1.56 (current rate) x 233,707 Smart Meter customers x 5 months</t>
  </si>
  <si>
    <t>(Aug - Dec 2010)</t>
  </si>
  <si>
    <t>-We then ask for $2.51 per month for 12 months for the period Jan 1, 2011- Dec 31, 2011</t>
  </si>
  <si>
    <t>-We the multiply $1.56 (current rate) x 233,707 Smart Meter customers x 3 months</t>
  </si>
  <si>
    <t>(Aug - Oct 2010)</t>
  </si>
  <si>
    <t>-We then ask for $2.38 per month for 14 months for the period Nov 1, 2011- Dec 31, 2011</t>
  </si>
  <si>
    <r>
      <t xml:space="preserve">Rate Rider Revenue Req </t>
    </r>
    <r>
      <rPr>
        <b/>
        <i/>
        <u val="single"/>
        <sz val="10"/>
        <color indexed="61"/>
        <rFont val="Arial"/>
        <family val="2"/>
      </rPr>
      <t>(3)</t>
    </r>
  </si>
  <si>
    <t xml:space="preserve">-In the last Smart Meter Adder application we sought a Sep 1, 2009 change from $0.82 </t>
  </si>
  <si>
    <t>2010 Rate Year Billed Aug 1/10 - Nov 30/10</t>
  </si>
  <si>
    <t>2010 Revenue Requirement for Smart Meters</t>
  </si>
  <si>
    <t>2010 Smart Meter Rate Adder</t>
  </si>
  <si>
    <t>Revenue Requirement Recovery Mar 1, 2011 to Mar 31, 2012</t>
  </si>
  <si>
    <t>Forecast Billing December 1, 2010 to February 28, 2011</t>
  </si>
  <si>
    <t>Forecast 2011/2012 Three Months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</si>
</sst>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&quot;$&quot;* #,##0_);_(&quot;$&quot;* \(#,##0\);_(&quot;$&quot;* &quot;-&quot;??_);_(@_)"/>
    <numFmt numFmtId="174" formatCode="_-* #,##0_-;\-* #,##0_-;_-* &quot;-&quot;??_-;_-@_-"/>
    <numFmt numFmtId="175" formatCode="_(* #,##0.00_);_(* \(#,##0.00\);_(* &quot;-&quot;_);_(@_)"/>
    <numFmt numFmtId="176" formatCode="0.000%"/>
    <numFmt numFmtId="177" formatCode="_-&quot;$&quot;* #,##0.0_-;\-&quot;$&quot;* #,##0.0_-;_-&quot;$&quot;* &quot;-&quot;??_-;_-@_-"/>
    <numFmt numFmtId="178" formatCode="_-&quot;$&quot;* #,##0_-;\-&quot;$&quot;* #,##0_-;_-&quot;$&quot;* &quot;-&quot;??_-;_-@_-"/>
    <numFmt numFmtId="179" formatCode="0.0%"/>
    <numFmt numFmtId="180" formatCode="_-* #,##0.0_-;\-* #,##0.0_-;_-* &quot;-&quot;??_-;_-@_-"/>
    <numFmt numFmtId="181" formatCode="_-* #,##0.0_-;\-* #,##0.0_-;_-* &quot;-&quot;?_-;_-@_-"/>
    <numFmt numFmtId="182" formatCode="_-&quot;$&quot;* #,##0.000_-;\-&quot;$&quot;* #,##0.000_-;_-&quot;$&quot;* &quot;-&quot;??_-;_-@_-"/>
    <numFmt numFmtId="183" formatCode="_-&quot;$&quot;* #,##0.0000_-;\-&quot;$&quot;* #,##0.0000_-;_-&quot;$&quot;* &quot;-&quot;??_-;_-@_-"/>
    <numFmt numFmtId="184" formatCode="0.0000000000000000%"/>
    <numFmt numFmtId="185" formatCode="_-* #,##0.0000_-;\-* #,##0.0000_-;_-* &quot;-&quot;????_-;_-@_-"/>
    <numFmt numFmtId="186" formatCode="_-&quot;$&quot;* #,##0.00000_-;\-&quot;$&quot;* #,##0.00000_-;_-&quot;$&quot;* &quot;-&quot;??_-;_-@_-"/>
    <numFmt numFmtId="187" formatCode="_-&quot;$&quot;* #,##0.000000_-;\-&quot;$&quot;* #,##0.000000_-;_-&quot;$&quot;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$&quot;#,##0.00"/>
    <numFmt numFmtId="193" formatCode="0.0000"/>
    <numFmt numFmtId="194" formatCode="&quot;$&quot;#,##0.0000"/>
    <numFmt numFmtId="195" formatCode="[&lt;=9999999]###\-####;###\-###\-####"/>
    <numFmt numFmtId="196" formatCode="[$-409]h:mm:ss\ AM/PM"/>
    <numFmt numFmtId="197" formatCode="[$-1009]mmmm\ d\,\ yyyy"/>
    <numFmt numFmtId="198" formatCode="[$-F800]dddd\,\ mmmm\ dd\,\ yyyy"/>
    <numFmt numFmtId="199" formatCode="0.000"/>
    <numFmt numFmtId="200" formatCode="&quot;$&quot;#,##0.000;[Red]\-&quot;$&quot;#,##0.000"/>
    <numFmt numFmtId="201" formatCode="&quot;$&quot;#,##0.0000;[Red]\-&quot;$&quot;#,##0.0000"/>
    <numFmt numFmtId="202" formatCode="0.0"/>
    <numFmt numFmtId="203" formatCode="#,##0.0000_);\(#,##0.0000\)"/>
    <numFmt numFmtId="204" formatCode="#,##0.0000"/>
    <numFmt numFmtId="205" formatCode="#,##0.00_ ;\-#,##0.00\ "/>
    <numFmt numFmtId="206" formatCode="_-&quot;$&quot;* #,##0.0000_-;\-&quot;$&quot;* #,##0.0000_-;_-&quot;$&quot;* &quot;-&quot;????_-;_-@_-"/>
    <numFmt numFmtId="207" formatCode="&quot;$&quot;#,##0.0000;\-&quot;$&quot;#,##0.0000"/>
    <numFmt numFmtId="208" formatCode="#,##0.00000_);\(#,##0.00000\)"/>
    <numFmt numFmtId="209" formatCode="#,##0.000000_);\(#,##0.000000\)"/>
    <numFmt numFmtId="210" formatCode="#,##0.0000000_);\(#,##0.0000000\)"/>
    <numFmt numFmtId="211" formatCode="#,##0.000"/>
    <numFmt numFmtId="212" formatCode="#,##0.0"/>
    <numFmt numFmtId="213" formatCode="[$-409]dddd\,\ mmmm\ dd\,\ yyyy"/>
    <numFmt numFmtId="214" formatCode="&quot;$&quot;#,##0.000"/>
    <numFmt numFmtId="215" formatCode="[$-409]mmmm\ d\,\ yyyy;@"/>
    <numFmt numFmtId="216" formatCode="#,##0.00;\(#,##0.00\)"/>
    <numFmt numFmtId="217" formatCode="#,##0.00_ ;\(#,##0.00\)"/>
    <numFmt numFmtId="218" formatCode="00000"/>
    <numFmt numFmtId="219" formatCode="#,##0.0000_ ;\(#,##0.0000\)"/>
    <numFmt numFmtId="220" formatCode="#,##0.0000;\(#,##0.0000\)"/>
    <numFmt numFmtId="221" formatCode="_-* #,##0.000_-;\-* #,##0.000_-;_-* &quot;-&quot;??_-;_-@_-"/>
    <numFmt numFmtId="222" formatCode="&quot;$&quot;#,##0.0"/>
    <numFmt numFmtId="223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i/>
      <u val="single"/>
      <sz val="14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4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color indexed="21"/>
      <name val="Arial"/>
      <family val="2"/>
    </font>
    <font>
      <b/>
      <i/>
      <u val="single"/>
      <sz val="10"/>
      <color indexed="6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7" fontId="0" fillId="0" borderId="0" xfId="0" applyNumberFormat="1" applyAlignment="1">
      <alignment/>
    </xf>
    <xf numFmtId="167" fontId="24" fillId="0" borderId="0" xfId="0" applyNumberFormat="1" applyFont="1" applyAlignment="1">
      <alignment/>
    </xf>
    <xf numFmtId="167" fontId="25" fillId="0" borderId="0" xfId="0" applyNumberFormat="1" applyFont="1" applyAlignment="1">
      <alignment/>
    </xf>
    <xf numFmtId="167" fontId="24" fillId="0" borderId="10" xfId="0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167" fontId="24" fillId="22" borderId="10" xfId="0" applyNumberFormat="1" applyFont="1" applyFill="1" applyBorder="1" applyAlignment="1">
      <alignment/>
    </xf>
    <xf numFmtId="173" fontId="0" fillId="0" borderId="0" xfId="45" applyNumberFormat="1" applyFont="1" applyFill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7" fontId="0" fillId="0" borderId="0" xfId="45" applyNumberFormat="1" applyAlignment="1">
      <alignment/>
    </xf>
    <xf numFmtId="167" fontId="0" fillId="4" borderId="0" xfId="0" applyNumberFormat="1" applyFill="1" applyAlignment="1">
      <alignment/>
    </xf>
    <xf numFmtId="0" fontId="0" fillId="0" borderId="0" xfId="0" applyFill="1" applyAlignment="1">
      <alignment/>
    </xf>
    <xf numFmtId="167" fontId="24" fillId="0" borderId="0" xfId="0" applyNumberFormat="1" applyFont="1" applyFill="1" applyBorder="1" applyAlignment="1">
      <alignment/>
    </xf>
    <xf numFmtId="167" fontId="24" fillId="0" borderId="0" xfId="0" applyNumberFormat="1" applyFont="1" applyFill="1" applyAlignment="1">
      <alignment/>
    </xf>
    <xf numFmtId="167" fontId="25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167" fontId="0" fillId="10" borderId="0" xfId="0" applyNumberFormat="1" applyFill="1" applyAlignment="1">
      <alignment/>
    </xf>
    <xf numFmtId="167" fontId="0" fillId="22" borderId="0" xfId="0" applyNumberFormat="1" applyFill="1" applyAlignment="1">
      <alignment/>
    </xf>
    <xf numFmtId="167" fontId="24" fillId="22" borderId="0" xfId="0" applyNumberFormat="1" applyFont="1" applyFill="1" applyAlignment="1">
      <alignment/>
    </xf>
    <xf numFmtId="167" fontId="25" fillId="22" borderId="0" xfId="0" applyNumberFormat="1" applyFont="1" applyFill="1" applyAlignment="1">
      <alignment/>
    </xf>
    <xf numFmtId="0" fontId="0" fillId="22" borderId="0" xfId="0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67" fontId="0" fillId="24" borderId="0" xfId="0" applyNumberFormat="1" applyFill="1" applyAlignment="1">
      <alignment/>
    </xf>
    <xf numFmtId="0" fontId="0" fillId="24" borderId="0" xfId="0" applyNumberFormat="1" applyFill="1" applyAlignment="1">
      <alignment/>
    </xf>
    <xf numFmtId="0" fontId="25" fillId="22" borderId="0" xfId="0" applyFont="1" applyFill="1" applyAlignment="1">
      <alignment/>
    </xf>
    <xf numFmtId="167" fontId="0" fillId="25" borderId="0" xfId="0" applyNumberFormat="1" applyFill="1" applyAlignment="1">
      <alignment/>
    </xf>
    <xf numFmtId="167" fontId="29" fillId="0" borderId="0" xfId="0" applyNumberFormat="1" applyFont="1" applyFill="1" applyAlignment="1">
      <alignment/>
    </xf>
    <xf numFmtId="0" fontId="22" fillId="0" borderId="0" xfId="0" applyFont="1" applyAlignment="1">
      <alignment horizontal="center" wrapText="1"/>
    </xf>
    <xf numFmtId="167" fontId="0" fillId="26" borderId="0" xfId="0" applyNumberFormat="1" applyFill="1" applyAlignment="1">
      <alignment/>
    </xf>
    <xf numFmtId="0" fontId="25" fillId="4" borderId="0" xfId="0" applyFont="1" applyFill="1" applyAlignment="1">
      <alignment/>
    </xf>
    <xf numFmtId="0" fontId="30" fillId="0" borderId="0" xfId="58">
      <alignment/>
      <protection/>
    </xf>
    <xf numFmtId="0" fontId="32" fillId="24" borderId="0" xfId="58" applyFont="1" applyFill="1">
      <alignment/>
      <protection/>
    </xf>
    <xf numFmtId="0" fontId="32" fillId="24" borderId="0" xfId="58" applyFont="1" applyFill="1" applyAlignment="1">
      <alignment horizontal="center" wrapText="1"/>
      <protection/>
    </xf>
    <xf numFmtId="0" fontId="30" fillId="0" borderId="0" xfId="58" applyAlignment="1">
      <alignment horizontal="center"/>
      <protection/>
    </xf>
    <xf numFmtId="0" fontId="30" fillId="0" borderId="0" xfId="58" applyFont="1">
      <alignment/>
      <protection/>
    </xf>
    <xf numFmtId="0" fontId="32" fillId="24" borderId="0" xfId="58" applyFont="1" applyFill="1" applyAlignment="1">
      <alignment horizontal="center"/>
      <protection/>
    </xf>
    <xf numFmtId="17" fontId="30" fillId="0" borderId="0" xfId="58" applyNumberFormat="1" applyAlignment="1">
      <alignment horizontal="center"/>
      <protection/>
    </xf>
    <xf numFmtId="178" fontId="30" fillId="24" borderId="0" xfId="45" applyNumberFormat="1" applyFont="1" applyFill="1" applyAlignment="1">
      <alignment/>
    </xf>
    <xf numFmtId="178" fontId="30" fillId="4" borderId="0" xfId="45" applyNumberFormat="1" applyFont="1" applyFill="1" applyAlignment="1">
      <alignment/>
    </xf>
    <xf numFmtId="10" fontId="30" fillId="0" borderId="0" xfId="58" applyNumberFormat="1">
      <alignment/>
      <protection/>
    </xf>
    <xf numFmtId="178" fontId="30" fillId="24" borderId="0" xfId="58" applyNumberFormat="1" applyFill="1">
      <alignment/>
      <protection/>
    </xf>
    <xf numFmtId="10" fontId="30" fillId="0" borderId="0" xfId="61" applyNumberFormat="1" applyFont="1" applyAlignment="1">
      <alignment/>
    </xf>
    <xf numFmtId="178" fontId="30" fillId="0" borderId="0" xfId="58" applyNumberFormat="1">
      <alignment/>
      <protection/>
    </xf>
    <xf numFmtId="2" fontId="32" fillId="24" borderId="0" xfId="58" applyNumberFormat="1" applyFont="1" applyFill="1" applyAlignment="1">
      <alignment horizontal="center"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169" fontId="0" fillId="26" borderId="0" xfId="0" applyNumberFormat="1" applyFill="1" applyAlignment="1">
      <alignment/>
    </xf>
    <xf numFmtId="0" fontId="0" fillId="0" borderId="0" xfId="0" applyFill="1" applyBorder="1" applyAlignment="1">
      <alignment/>
    </xf>
    <xf numFmtId="10" fontId="0" fillId="0" borderId="0" xfId="61" applyNumberFormat="1" applyFill="1" applyAlignment="1">
      <alignment horizontal="center"/>
    </xf>
    <xf numFmtId="173" fontId="0" fillId="0" borderId="0" xfId="45" applyNumberFormat="1" applyFill="1" applyBorder="1" applyAlignment="1">
      <alignment horizontal="center"/>
    </xf>
    <xf numFmtId="169" fontId="0" fillId="0" borderId="0" xfId="44" applyNumberFormat="1" applyFill="1" applyBorder="1" applyAlignment="1">
      <alignment horizontal="center"/>
    </xf>
    <xf numFmtId="174" fontId="0" fillId="0" borderId="0" xfId="44" applyNumberFormat="1" applyFill="1" applyAlignment="1">
      <alignment horizontal="center"/>
    </xf>
    <xf numFmtId="174" fontId="0" fillId="0" borderId="11" xfId="0" applyNumberFormat="1" applyFill="1" applyBorder="1" applyAlignment="1">
      <alignment horizontal="center"/>
    </xf>
    <xf numFmtId="10" fontId="0" fillId="0" borderId="0" xfId="61" applyNumberFormat="1" applyFill="1" applyAlignment="1">
      <alignment horizontal="right"/>
    </xf>
    <xf numFmtId="174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4" fontId="0" fillId="0" borderId="11" xfId="44" applyNumberFormat="1" applyFill="1" applyBorder="1" applyAlignment="1">
      <alignment horizontal="center"/>
    </xf>
    <xf numFmtId="176" fontId="0" fillId="0" borderId="0" xfId="61" applyNumberFormat="1" applyFill="1" applyAlignment="1">
      <alignment horizontal="center"/>
    </xf>
    <xf numFmtId="173" fontId="0" fillId="0" borderId="0" xfId="45" applyNumberFormat="1" applyFill="1" applyAlignment="1">
      <alignment horizontal="center"/>
    </xf>
    <xf numFmtId="169" fontId="0" fillId="0" borderId="0" xfId="44" applyNumberFormat="1" applyFill="1" applyAlignment="1">
      <alignment horizontal="center"/>
    </xf>
    <xf numFmtId="9" fontId="0" fillId="0" borderId="0" xfId="61" applyFill="1" applyAlignment="1">
      <alignment horizontal="right"/>
    </xf>
    <xf numFmtId="174" fontId="35" fillId="0" borderId="0" xfId="44" applyNumberFormat="1" applyFont="1" applyFill="1" applyAlignment="1">
      <alignment horizontal="center"/>
    </xf>
    <xf numFmtId="175" fontId="0" fillId="0" borderId="13" xfId="0" applyNumberForma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43" fontId="0" fillId="0" borderId="13" xfId="42" applyFon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173" fontId="0" fillId="0" borderId="0" xfId="45" applyNumberFormat="1" applyFont="1" applyFill="1" applyAlignment="1">
      <alignment/>
    </xf>
    <xf numFmtId="173" fontId="0" fillId="0" borderId="12" xfId="45" applyNumberFormat="1" applyFill="1" applyBorder="1" applyAlignment="1">
      <alignment horizontal="center"/>
    </xf>
    <xf numFmtId="173" fontId="35" fillId="0" borderId="0" xfId="45" applyNumberFormat="1" applyFont="1" applyFill="1" applyAlignment="1">
      <alignment horizontal="center"/>
    </xf>
    <xf numFmtId="0" fontId="34" fillId="0" borderId="0" xfId="0" applyFont="1" applyFill="1" applyAlignment="1">
      <alignment/>
    </xf>
    <xf numFmtId="0" fontId="24" fillId="0" borderId="0" xfId="0" applyFont="1" applyFill="1" applyAlignment="1">
      <alignment/>
    </xf>
    <xf numFmtId="1" fontId="24" fillId="0" borderId="0" xfId="44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35" fillId="0" borderId="0" xfId="45" applyNumberFormat="1" applyFont="1" applyFill="1" applyAlignment="1">
      <alignment/>
    </xf>
    <xf numFmtId="173" fontId="36" fillId="0" borderId="0" xfId="45" applyNumberFormat="1" applyFont="1" applyFill="1" applyAlignment="1">
      <alignment/>
    </xf>
    <xf numFmtId="173" fontId="0" fillId="0" borderId="14" xfId="45" applyNumberFormat="1" applyFill="1" applyBorder="1" applyAlignment="1">
      <alignment horizontal="center"/>
    </xf>
    <xf numFmtId="169" fontId="0" fillId="0" borderId="14" xfId="44" applyNumberFormat="1" applyFill="1" applyBorder="1" applyAlignment="1">
      <alignment horizontal="center"/>
    </xf>
    <xf numFmtId="169" fontId="0" fillId="0" borderId="12" xfId="44" applyNumberFormat="1" applyFill="1" applyBorder="1" applyAlignment="1">
      <alignment horizontal="center"/>
    </xf>
    <xf numFmtId="0" fontId="37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174" fontId="0" fillId="0" borderId="0" xfId="44" applyNumberFormat="1" applyFill="1" applyAlignment="1">
      <alignment/>
    </xf>
    <xf numFmtId="174" fontId="0" fillId="0" borderId="0" xfId="0" applyNumberFormat="1" applyFill="1" applyAlignment="1">
      <alignment/>
    </xf>
    <xf numFmtId="174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4" fontId="0" fillId="0" borderId="13" xfId="0" applyNumberFormat="1" applyFill="1" applyBorder="1" applyAlignment="1">
      <alignment/>
    </xf>
    <xf numFmtId="169" fontId="0" fillId="0" borderId="0" xfId="44" applyNumberFormat="1" applyFont="1" applyFill="1" applyBorder="1" applyAlignment="1">
      <alignment horizontal="center"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0" borderId="13" xfId="42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4" fillId="24" borderId="15" xfId="0" applyNumberFormat="1" applyFont="1" applyFill="1" applyBorder="1" applyAlignment="1">
      <alignment horizontal="center"/>
    </xf>
    <xf numFmtId="169" fontId="0" fillId="22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167" fontId="0" fillId="0" borderId="13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11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0" fontId="23" fillId="0" borderId="0" xfId="0" applyFont="1" applyAlignment="1">
      <alignment/>
    </xf>
    <xf numFmtId="167" fontId="0" fillId="25" borderId="13" xfId="0" applyNumberFormat="1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2" fontId="0" fillId="0" borderId="0" xfId="42" applyNumberFormat="1" applyFont="1" applyFill="1" applyAlignment="1">
      <alignment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3" xfId="0" applyNumberFormat="1" applyBorder="1" applyAlignment="1">
      <alignment/>
    </xf>
    <xf numFmtId="173" fontId="0" fillId="0" borderId="0" xfId="0" applyNumberFormat="1" applyFill="1" applyAlignment="1">
      <alignment/>
    </xf>
    <xf numFmtId="0" fontId="38" fillId="0" borderId="0" xfId="0" applyFont="1" applyFill="1" applyAlignment="1">
      <alignment/>
    </xf>
    <xf numFmtId="2" fontId="0" fillId="0" borderId="0" xfId="0" applyNumberFormat="1" applyFill="1" applyAlignment="1">
      <alignment wrapText="1"/>
    </xf>
    <xf numFmtId="171" fontId="0" fillId="0" borderId="0" xfId="0" applyNumberFormat="1" applyFill="1" applyAlignment="1">
      <alignment/>
    </xf>
    <xf numFmtId="43" fontId="24" fillId="0" borderId="10" xfId="42" applyFont="1" applyFill="1" applyBorder="1" applyAlignment="1">
      <alignment/>
    </xf>
    <xf numFmtId="43" fontId="0" fillId="0" borderId="0" xfId="42" applyFill="1" applyAlignment="1">
      <alignment/>
    </xf>
    <xf numFmtId="9" fontId="0" fillId="0" borderId="0" xfId="61" applyFont="1" applyFill="1" applyAlignment="1">
      <alignment/>
    </xf>
    <xf numFmtId="43" fontId="0" fillId="0" borderId="0" xfId="42" applyFill="1" applyAlignment="1">
      <alignment/>
    </xf>
    <xf numFmtId="0" fontId="0" fillId="0" borderId="13" xfId="0" applyFill="1" applyBorder="1" applyAlignment="1">
      <alignment/>
    </xf>
    <xf numFmtId="43" fontId="0" fillId="0" borderId="13" xfId="42" applyFill="1" applyBorder="1" applyAlignment="1">
      <alignment/>
    </xf>
    <xf numFmtId="43" fontId="0" fillId="0" borderId="0" xfId="42" applyFont="1" applyFill="1" applyAlignment="1">
      <alignment/>
    </xf>
    <xf numFmtId="0" fontId="0" fillId="0" borderId="0" xfId="0" applyFill="1" applyAlignment="1">
      <alignment horizontal="left" indent="1"/>
    </xf>
    <xf numFmtId="10" fontId="0" fillId="10" borderId="0" xfId="61" applyNumberFormat="1" applyFont="1" applyFill="1" applyAlignment="1">
      <alignment horizontal="right"/>
    </xf>
    <xf numFmtId="10" fontId="0" fillId="10" borderId="0" xfId="61" applyNumberFormat="1" applyFill="1" applyAlignment="1">
      <alignment horizontal="center"/>
    </xf>
    <xf numFmtId="43" fontId="0" fillId="27" borderId="0" xfId="42" applyFont="1" applyFill="1" applyAlignment="1">
      <alignment/>
    </xf>
    <xf numFmtId="43" fontId="0" fillId="27" borderId="0" xfId="42" applyFill="1" applyAlignment="1">
      <alignment/>
    </xf>
    <xf numFmtId="172" fontId="0" fillId="27" borderId="0" xfId="42" applyNumberFormat="1" applyFont="1" applyFill="1" applyAlignment="1">
      <alignment/>
    </xf>
    <xf numFmtId="165" fontId="0" fillId="27" borderId="0" xfId="0" applyNumberFormat="1" applyFill="1" applyAlignment="1">
      <alignment/>
    </xf>
    <xf numFmtId="0" fontId="24" fillId="27" borderId="0" xfId="0" applyFont="1" applyFill="1" applyAlignment="1">
      <alignment/>
    </xf>
    <xf numFmtId="0" fontId="0" fillId="27" borderId="0" xfId="0" applyFill="1" applyAlignment="1">
      <alignment/>
    </xf>
    <xf numFmtId="0" fontId="21" fillId="0" borderId="0" xfId="0" applyFont="1" applyAlignment="1">
      <alignment horizontal="center"/>
    </xf>
    <xf numFmtId="0" fontId="31" fillId="0" borderId="16" xfId="58" applyFont="1" applyBorder="1" applyAlignment="1">
      <alignment horizontal="center"/>
      <protection/>
    </xf>
    <xf numFmtId="0" fontId="31" fillId="0" borderId="17" xfId="58" applyFont="1" applyBorder="1" applyAlignment="1">
      <alignment horizontal="center"/>
      <protection/>
    </xf>
    <xf numFmtId="0" fontId="31" fillId="0" borderId="18" xfId="58" applyFont="1" applyBorder="1" applyAlignment="1">
      <alignment horizontal="center"/>
      <protection/>
    </xf>
    <xf numFmtId="1" fontId="24" fillId="0" borderId="16" xfId="44" applyNumberFormat="1" applyFont="1" applyFill="1" applyBorder="1" applyAlignment="1">
      <alignment horizontal="center"/>
    </xf>
    <xf numFmtId="1" fontId="24" fillId="0" borderId="18" xfId="44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mart Meter Rate Rider Calculation For 2008 Rate Year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alculation of Revenue Requiremen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18</xdr:row>
      <xdr:rowOff>19050</xdr:rowOff>
    </xdr:from>
    <xdr:to>
      <xdr:col>3</xdr:col>
      <xdr:colOff>209550</xdr:colOff>
      <xdr:row>19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905000" y="34004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57150</xdr:rowOff>
    </xdr:from>
    <xdr:to>
      <xdr:col>3</xdr:col>
      <xdr:colOff>85725</xdr:colOff>
      <xdr:row>21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905000" y="3924300"/>
          <a:ext cx="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1323975</xdr:colOff>
      <xdr:row>18</xdr:row>
      <xdr:rowOff>9525</xdr:rowOff>
    </xdr:from>
    <xdr:to>
      <xdr:col>6</xdr:col>
      <xdr:colOff>295275</xdr:colOff>
      <xdr:row>21</xdr:row>
      <xdr:rowOff>133350</xdr:rowOff>
    </xdr:to>
    <xdr:sp>
      <xdr:nvSpPr>
        <xdr:cNvPr id="3" name="Line 4"/>
        <xdr:cNvSpPr>
          <a:spLocks/>
        </xdr:cNvSpPr>
      </xdr:nvSpPr>
      <xdr:spPr>
        <a:xfrm flipH="1">
          <a:off x="1905000" y="33909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9525</xdr:rowOff>
    </xdr:from>
    <xdr:to>
      <xdr:col>6</xdr:col>
      <xdr:colOff>266700</xdr:colOff>
      <xdr:row>22</xdr:row>
      <xdr:rowOff>19050</xdr:rowOff>
    </xdr:to>
    <xdr:sp>
      <xdr:nvSpPr>
        <xdr:cNvPr id="4" name="Line 5"/>
        <xdr:cNvSpPr>
          <a:spLocks/>
        </xdr:cNvSpPr>
      </xdr:nvSpPr>
      <xdr:spPr>
        <a:xfrm flipH="1">
          <a:off x="1905000" y="33909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1323975</xdr:colOff>
      <xdr:row>18</xdr:row>
      <xdr:rowOff>9525</xdr:rowOff>
    </xdr:from>
    <xdr:to>
      <xdr:col>6</xdr:col>
      <xdr:colOff>295275</xdr:colOff>
      <xdr:row>21</xdr:row>
      <xdr:rowOff>133350</xdr:rowOff>
    </xdr:to>
    <xdr:sp>
      <xdr:nvSpPr>
        <xdr:cNvPr id="5" name="Line 6"/>
        <xdr:cNvSpPr>
          <a:spLocks/>
        </xdr:cNvSpPr>
      </xdr:nvSpPr>
      <xdr:spPr>
        <a:xfrm flipH="1">
          <a:off x="1905000" y="33909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9525</xdr:rowOff>
    </xdr:from>
    <xdr:to>
      <xdr:col>6</xdr:col>
      <xdr:colOff>266700</xdr:colOff>
      <xdr:row>22</xdr:row>
      <xdr:rowOff>19050</xdr:rowOff>
    </xdr:to>
    <xdr:sp>
      <xdr:nvSpPr>
        <xdr:cNvPr id="6" name="Line 7"/>
        <xdr:cNvSpPr>
          <a:spLocks/>
        </xdr:cNvSpPr>
      </xdr:nvSpPr>
      <xdr:spPr>
        <a:xfrm flipH="1">
          <a:off x="1905000" y="33909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1323975</xdr:colOff>
      <xdr:row>18</xdr:row>
      <xdr:rowOff>9525</xdr:rowOff>
    </xdr:from>
    <xdr:to>
      <xdr:col>6</xdr:col>
      <xdr:colOff>295275</xdr:colOff>
      <xdr:row>21</xdr:row>
      <xdr:rowOff>133350</xdr:rowOff>
    </xdr:to>
    <xdr:sp>
      <xdr:nvSpPr>
        <xdr:cNvPr id="7" name="Line 8"/>
        <xdr:cNvSpPr>
          <a:spLocks/>
        </xdr:cNvSpPr>
      </xdr:nvSpPr>
      <xdr:spPr>
        <a:xfrm flipH="1">
          <a:off x="1905000" y="33909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9525</xdr:rowOff>
    </xdr:from>
    <xdr:to>
      <xdr:col>6</xdr:col>
      <xdr:colOff>266700</xdr:colOff>
      <xdr:row>22</xdr:row>
      <xdr:rowOff>19050</xdr:rowOff>
    </xdr:to>
    <xdr:sp>
      <xdr:nvSpPr>
        <xdr:cNvPr id="8" name="Line 9"/>
        <xdr:cNvSpPr>
          <a:spLocks/>
        </xdr:cNvSpPr>
      </xdr:nvSpPr>
      <xdr:spPr>
        <a:xfrm flipH="1">
          <a:off x="1905000" y="33909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11</xdr:row>
      <xdr:rowOff>0</xdr:rowOff>
    </xdr:from>
    <xdr:to>
      <xdr:col>1</xdr:col>
      <xdr:colOff>409575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66750" y="1733550"/>
          <a:ext cx="352425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133350</xdr:rowOff>
    </xdr:from>
    <xdr:to>
      <xdr:col>1</xdr:col>
      <xdr:colOff>466725</xdr:colOff>
      <xdr:row>18</xdr:row>
      <xdr:rowOff>28575</xdr:rowOff>
    </xdr:to>
    <xdr:sp>
      <xdr:nvSpPr>
        <xdr:cNvPr id="2" name="Line 2"/>
        <xdr:cNvSpPr>
          <a:spLocks/>
        </xdr:cNvSpPr>
      </xdr:nvSpPr>
      <xdr:spPr>
        <a:xfrm flipV="1">
          <a:off x="619125" y="1543050"/>
          <a:ext cx="4572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jh\Local%20Settings\Temporary%20Internet%20Files\OLK5\Salary%20Back-out\OM%20&amp;%20A\OM&amp;A%20Smart%20Meters%20Salary%20Back-ou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jh\Local%20Settings\Temporary%20Internet%20Files\OLK5\Shelley%20Parker\CC313\CC313%20(Shelley%20A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jh\Local%20Settings\Temporary%20Internet%20Files\OLK5\Smart%20Meters\Back-up\smart%20meter%20hours%20(Jim%20Ree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jh\Local%20Settings\Temporary%20Internet%20Files\OLK5\Add-%20ins\OM&amp;A%20Smart%20Meters%20Salary%20Add-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jh\Local%20Settings\Temporary%20Internet%20Files\OLK5\Add-%20ins\Temporary%20Employees%20list%20from%20ADP%202%20(2)%20(3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jh\Local%20Settings\Temporary%20Internet%20Files\OLK5\Salary%20Back-out\CAPEX\Capital%20Smart%20Meters%20Salary%20Back-ou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H\Local%20Settings\Temporary%20Internet%20Files\OLK18D\SM%20Adder%20December%2031,%202009%20Residential%20&amp;%20GS%20Less%20Than%2050%20&amp;%20GS%20Greated%20Than%205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jh\Local%20Settings\Temporary%20Internet%20Files\OLK5\Smart%20Meter%20Funding%20Adder%20Model%20(USE%20THIS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ebfs01\Home\BenumMa\Assignments\2007%20EDR%20Model\2007_irmmodel_ope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2005\RP-2005-0020\EB-2005-0389\Board\Applications\Decision%20Material\London%20Hydro%202006%20EDR_modified%20for%20smart%20met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D5">
            <v>0</v>
          </cell>
        </row>
        <row r="6">
          <cell r="D6">
            <v>130742</v>
          </cell>
        </row>
        <row r="7">
          <cell r="D7">
            <v>134219</v>
          </cell>
        </row>
        <row r="8">
          <cell r="D8">
            <v>292720</v>
          </cell>
        </row>
        <row r="9">
          <cell r="D9">
            <v>254354</v>
          </cell>
        </row>
        <row r="10">
          <cell r="D10">
            <v>178334</v>
          </cell>
        </row>
        <row r="12">
          <cell r="B12">
            <v>990369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OPEX_2011_R6"/>
    </sheetNames>
    <sheetDataSet>
      <sheetData sheetId="0">
        <row r="29">
          <cell r="R29">
            <v>593800</v>
          </cell>
        </row>
        <row r="31">
          <cell r="R31">
            <v>15200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Grant 2009"/>
      <sheetName val="John 2009"/>
      <sheetName val="Grant 2010"/>
      <sheetName val="John 2010"/>
    </sheetNames>
    <sheetDataSet>
      <sheetData sheetId="0">
        <row r="7">
          <cell r="B7">
            <v>89650</v>
          </cell>
          <cell r="C7">
            <v>54700</v>
          </cell>
          <cell r="D7">
            <v>144350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B8">
            <v>141829.43300000002</v>
          </cell>
        </row>
        <row r="9">
          <cell r="B9">
            <v>365702.70800000004</v>
          </cell>
        </row>
        <row r="10">
          <cell r="B10">
            <v>376673.7892400001</v>
          </cell>
        </row>
        <row r="12">
          <cell r="B12">
            <v>884205.9302400001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sht_1 (2011)"/>
      <sheetName val="tmpsht_1 (2006)"/>
      <sheetName val="tmpsht_1 (2007)"/>
      <sheetName val="tmpsht_1 (2008)"/>
      <sheetName val="tmpsht_1 (2009)"/>
      <sheetName val="tmpsht_1 (2010)"/>
      <sheetName val="tmpsht_1 (2011)YR ONLY"/>
      <sheetName val="2006"/>
      <sheetName val="2008"/>
      <sheetName val="2009"/>
      <sheetName val="2010"/>
      <sheetName val="2011"/>
    </sheetNames>
    <sheetDataSet>
      <sheetData sheetId="0">
        <row r="30">
          <cell r="O30">
            <v>1304543.5740000003</v>
          </cell>
        </row>
      </sheetData>
      <sheetData sheetId="1">
        <row r="30">
          <cell r="O30">
            <v>12494.79</v>
          </cell>
        </row>
      </sheetData>
      <sheetData sheetId="2">
        <row r="30">
          <cell r="O30">
            <v>49221.899999999994</v>
          </cell>
        </row>
      </sheetData>
      <sheetData sheetId="3">
        <row r="30">
          <cell r="O30">
            <v>137253.375</v>
          </cell>
        </row>
      </sheetData>
      <sheetData sheetId="4">
        <row r="30">
          <cell r="O30">
            <v>407867.9849999999</v>
          </cell>
        </row>
      </sheetData>
      <sheetData sheetId="5">
        <row r="30">
          <cell r="O30">
            <v>505204.61400000006</v>
          </cell>
        </row>
      </sheetData>
      <sheetData sheetId="6">
        <row r="30">
          <cell r="O30">
            <v>192500.90999999997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Wages"/>
      <sheetName val="2008 PT"/>
      <sheetName val="2009 PT"/>
      <sheetName val="2010 (JAN-APR) PT"/>
      <sheetName val="2010 Budget"/>
      <sheetName val="2011 Budget"/>
    </sheetNames>
    <sheetDataSet>
      <sheetData sheetId="0">
        <row r="7">
          <cell r="B7">
            <v>394679.95</v>
          </cell>
        </row>
        <row r="8">
          <cell r="B8">
            <v>1247390.0200000084</v>
          </cell>
        </row>
        <row r="9">
          <cell r="B9">
            <v>0</v>
          </cell>
        </row>
        <row r="10">
          <cell r="B10">
            <v>36847.6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mart Meter Rider"/>
      <sheetName val="2006-2010 Revenue Requirement"/>
      <sheetName val="SM FA Continuity"/>
      <sheetName val="SM UCC Continuity"/>
    </sheetNames>
    <sheetDataSet>
      <sheetData sheetId="2">
        <row r="12">
          <cell r="C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Smart Meter Data"/>
      <sheetName val="3.  LDC Assumptions and Data"/>
      <sheetName val="4. Smart Meter Rev Req"/>
      <sheetName val="5. PILs"/>
      <sheetName val="6. Avg Nt Fix Ass &amp;UCC"/>
      <sheetName val="7. Funding Adder Collected"/>
      <sheetName val="8. Adder Calculation"/>
    </sheetNames>
    <sheetDataSet>
      <sheetData sheetId="2">
        <row r="16">
          <cell r="C16">
            <v>0.07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2006 Rate Classes"/>
      <sheetName val="3. 2006 Tariff Sheet"/>
      <sheetName val="4. 2006 Smart Meter Information"/>
      <sheetName val="5. Removal of SM"/>
      <sheetName val="6. CDM Adjustment"/>
      <sheetName val="7. LCT Adjustment"/>
      <sheetName val="8. Dx IRM Adjustment"/>
      <sheetName val="9. Addback of Smart Meter Amt"/>
      <sheetName val="10. 2007 Tariff Sheet"/>
      <sheetName val="11. Bill Impact - Summer"/>
      <sheetName val="12. Bill Impact - Winter"/>
      <sheetName val="13. Bill Impact - Annualized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2">
        <row r="56">
          <cell r="C56" t="str">
            <v>A</v>
          </cell>
          <cell r="D56" t="str">
            <v>Territory "A"</v>
          </cell>
        </row>
        <row r="57">
          <cell r="C57" t="str">
            <v>B</v>
          </cell>
          <cell r="D57" t="str">
            <v>Territory "B"</v>
          </cell>
        </row>
        <row r="58">
          <cell r="C58" t="str">
            <v>C</v>
          </cell>
          <cell r="D58" t="str">
            <v>Territory "C"</v>
          </cell>
        </row>
        <row r="59">
          <cell r="C59" t="str">
            <v>D</v>
          </cell>
          <cell r="D59" t="str">
            <v>Territory "D"</v>
          </cell>
        </row>
      </sheetData>
      <sheetData sheetId="40">
        <row r="15">
          <cell r="B15">
            <v>1</v>
          </cell>
          <cell r="C15" t="str">
            <v/>
          </cell>
          <cell r="D15" t="str">
            <v>RESIDENTIAL</v>
          </cell>
          <cell r="F15" t="str">
            <v/>
          </cell>
          <cell r="G15" t="str">
            <v>X</v>
          </cell>
        </row>
        <row r="16">
          <cell r="B16">
            <v>2</v>
          </cell>
          <cell r="C16" t="str">
            <v>RESIDENTIAL</v>
          </cell>
          <cell r="D16" t="str">
            <v>Regular</v>
          </cell>
          <cell r="E16" t="str">
            <v>A</v>
          </cell>
          <cell r="F16" t="str">
            <v>X</v>
          </cell>
          <cell r="G16" t="str">
            <v>X</v>
          </cell>
          <cell r="H16">
            <v>0.0104</v>
          </cell>
          <cell r="I16">
            <v>0.0062</v>
          </cell>
          <cell r="J16">
            <v>0.007</v>
          </cell>
          <cell r="K16">
            <v>0.0236</v>
          </cell>
          <cell r="L16">
            <v>0.02412117041378766</v>
          </cell>
          <cell r="M16">
            <v>0</v>
          </cell>
          <cell r="Q16">
            <v>0</v>
          </cell>
          <cell r="R16">
            <v>0.0631</v>
          </cell>
          <cell r="S16">
            <v>0.0631</v>
          </cell>
          <cell r="T16">
            <v>1.0422</v>
          </cell>
          <cell r="U16">
            <v>1.0421</v>
          </cell>
          <cell r="V16">
            <v>0.0146</v>
          </cell>
          <cell r="W16">
            <v>0</v>
          </cell>
          <cell r="X16">
            <v>9.9</v>
          </cell>
          <cell r="Y16">
            <v>0.013036245268828545</v>
          </cell>
          <cell r="Z16">
            <v>0</v>
          </cell>
          <cell r="AA16">
            <v>12.00262074194569</v>
          </cell>
          <cell r="AB16">
            <v>0.0036</v>
          </cell>
          <cell r="AC16">
            <v>100</v>
          </cell>
          <cell r="AD16">
            <v>0</v>
          </cell>
          <cell r="AE16">
            <v>250</v>
          </cell>
          <cell r="AF16">
            <v>0</v>
          </cell>
          <cell r="AG16">
            <v>500</v>
          </cell>
          <cell r="AH16">
            <v>0</v>
          </cell>
          <cell r="AI16">
            <v>750</v>
          </cell>
          <cell r="AJ16">
            <v>0</v>
          </cell>
          <cell r="AK16">
            <v>1000</v>
          </cell>
          <cell r="AL16">
            <v>0</v>
          </cell>
          <cell r="AM16">
            <v>1500</v>
          </cell>
          <cell r="AN16">
            <v>0</v>
          </cell>
          <cell r="AO16">
            <v>2000</v>
          </cell>
          <cell r="AP16">
            <v>0</v>
          </cell>
          <cell r="AQ16">
            <v>7</v>
          </cell>
          <cell r="AR16" t="str">
            <v>kWh</v>
          </cell>
          <cell r="AS16" t="str">
            <v>X</v>
          </cell>
        </row>
        <row r="17">
          <cell r="B17">
            <v>3</v>
          </cell>
          <cell r="C17" t="str">
            <v>RESIDENTIAL</v>
          </cell>
          <cell r="D17" t="str">
            <v>Regular</v>
          </cell>
          <cell r="E17" t="str">
            <v>B</v>
          </cell>
          <cell r="F17" t="str">
            <v/>
          </cell>
          <cell r="G17" t="str">
            <v/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Q17">
            <v>0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100</v>
          </cell>
          <cell r="AD17">
            <v>0</v>
          </cell>
          <cell r="AE17">
            <v>250</v>
          </cell>
          <cell r="AF17">
            <v>0</v>
          </cell>
          <cell r="AG17">
            <v>500</v>
          </cell>
          <cell r="AH17">
            <v>0</v>
          </cell>
          <cell r="AI17">
            <v>750</v>
          </cell>
          <cell r="AJ17">
            <v>0</v>
          </cell>
          <cell r="AK17">
            <v>1000</v>
          </cell>
          <cell r="AL17">
            <v>0</v>
          </cell>
          <cell r="AM17">
            <v>1500</v>
          </cell>
          <cell r="AN17">
            <v>0</v>
          </cell>
          <cell r="AO17">
            <v>2000</v>
          </cell>
          <cell r="AP17">
            <v>0</v>
          </cell>
          <cell r="AQ17">
            <v>7</v>
          </cell>
          <cell r="AR17" t="str">
            <v>kWh</v>
          </cell>
          <cell r="AS17" t="str">
            <v/>
          </cell>
        </row>
        <row r="18">
          <cell r="B18">
            <v>4</v>
          </cell>
          <cell r="C18" t="str">
            <v>RESIDENTIAL</v>
          </cell>
          <cell r="D18" t="str">
            <v>Regular</v>
          </cell>
          <cell r="E18" t="str">
            <v>C</v>
          </cell>
          <cell r="F18" t="str">
            <v/>
          </cell>
          <cell r="G18" t="str">
            <v/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Q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</v>
          </cell>
          <cell r="AD18">
            <v>0</v>
          </cell>
          <cell r="AE18">
            <v>250</v>
          </cell>
          <cell r="AF18">
            <v>0</v>
          </cell>
          <cell r="AG18">
            <v>500</v>
          </cell>
          <cell r="AH18">
            <v>0</v>
          </cell>
          <cell r="AI18">
            <v>750</v>
          </cell>
          <cell r="AJ18">
            <v>0</v>
          </cell>
          <cell r="AK18">
            <v>1000</v>
          </cell>
          <cell r="AL18">
            <v>0</v>
          </cell>
          <cell r="AM18">
            <v>1500</v>
          </cell>
          <cell r="AN18">
            <v>0</v>
          </cell>
          <cell r="AO18">
            <v>2000</v>
          </cell>
          <cell r="AP18">
            <v>0</v>
          </cell>
          <cell r="AQ18">
            <v>7</v>
          </cell>
          <cell r="AR18" t="str">
            <v>kWh</v>
          </cell>
          <cell r="AS18" t="str">
            <v/>
          </cell>
        </row>
        <row r="19">
          <cell r="B19">
            <v>5</v>
          </cell>
          <cell r="C19" t="str">
            <v>RESIDENTIAL</v>
          </cell>
          <cell r="D19" t="str">
            <v>Regular</v>
          </cell>
          <cell r="E19" t="str">
            <v>D</v>
          </cell>
          <cell r="F19" t="str">
            <v/>
          </cell>
          <cell r="G19" t="str">
            <v/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Q19">
            <v>0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100</v>
          </cell>
          <cell r="AD19">
            <v>0</v>
          </cell>
          <cell r="AE19">
            <v>250</v>
          </cell>
          <cell r="AF19">
            <v>0</v>
          </cell>
          <cell r="AG19">
            <v>500</v>
          </cell>
          <cell r="AH19">
            <v>0</v>
          </cell>
          <cell r="AI19">
            <v>750</v>
          </cell>
          <cell r="AJ19">
            <v>0</v>
          </cell>
          <cell r="AK19">
            <v>1000</v>
          </cell>
          <cell r="AL19">
            <v>0</v>
          </cell>
          <cell r="AM19">
            <v>1500</v>
          </cell>
          <cell r="AN19">
            <v>0</v>
          </cell>
          <cell r="AO19">
            <v>2000</v>
          </cell>
          <cell r="AP19">
            <v>0</v>
          </cell>
          <cell r="AQ19">
            <v>7</v>
          </cell>
          <cell r="AR19" t="str">
            <v>kWh</v>
          </cell>
          <cell r="AS19" t="str">
            <v/>
          </cell>
        </row>
        <row r="20">
          <cell r="B20">
            <v>6</v>
          </cell>
          <cell r="C20" t="str">
            <v>RESIDENTIAL</v>
          </cell>
          <cell r="D20" t="str">
            <v>Time of Use</v>
          </cell>
          <cell r="E20" t="str">
            <v>A</v>
          </cell>
          <cell r="F20" t="str">
            <v/>
          </cell>
          <cell r="G20" t="str">
            <v/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Q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</v>
          </cell>
          <cell r="AD20">
            <v>0</v>
          </cell>
          <cell r="AE20">
            <v>250</v>
          </cell>
          <cell r="AF20">
            <v>0</v>
          </cell>
          <cell r="AG20">
            <v>500</v>
          </cell>
          <cell r="AH20">
            <v>0</v>
          </cell>
          <cell r="AI20">
            <v>750</v>
          </cell>
          <cell r="AJ20">
            <v>0</v>
          </cell>
          <cell r="AK20">
            <v>1000</v>
          </cell>
          <cell r="AL20">
            <v>0</v>
          </cell>
          <cell r="AM20">
            <v>1500</v>
          </cell>
          <cell r="AN20">
            <v>0</v>
          </cell>
          <cell r="AO20">
            <v>2000</v>
          </cell>
          <cell r="AP20">
            <v>0</v>
          </cell>
          <cell r="AQ20">
            <v>7</v>
          </cell>
          <cell r="AR20" t="str">
            <v>kWh</v>
          </cell>
          <cell r="AS20" t="str">
            <v/>
          </cell>
        </row>
        <row r="21">
          <cell r="B21">
            <v>7</v>
          </cell>
          <cell r="C21" t="str">
            <v>RESIDENTIAL</v>
          </cell>
          <cell r="D21" t="str">
            <v>Time of Use</v>
          </cell>
          <cell r="E21" t="str">
            <v>B</v>
          </cell>
          <cell r="F21" t="str">
            <v/>
          </cell>
          <cell r="G21" t="str">
            <v/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Q21">
            <v>0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</v>
          </cell>
          <cell r="AD21">
            <v>0</v>
          </cell>
          <cell r="AE21">
            <v>250</v>
          </cell>
          <cell r="AF21">
            <v>0</v>
          </cell>
          <cell r="AG21">
            <v>500</v>
          </cell>
          <cell r="AH21">
            <v>0</v>
          </cell>
          <cell r="AI21">
            <v>750</v>
          </cell>
          <cell r="AJ21">
            <v>0</v>
          </cell>
          <cell r="AK21">
            <v>1000</v>
          </cell>
          <cell r="AL21">
            <v>0</v>
          </cell>
          <cell r="AM21">
            <v>1500</v>
          </cell>
          <cell r="AN21">
            <v>0</v>
          </cell>
          <cell r="AO21">
            <v>2000</v>
          </cell>
          <cell r="AP21">
            <v>0</v>
          </cell>
          <cell r="AQ21">
            <v>7</v>
          </cell>
          <cell r="AR21" t="str">
            <v>kWh</v>
          </cell>
          <cell r="AS21" t="str">
            <v/>
          </cell>
        </row>
        <row r="22">
          <cell r="B22">
            <v>8</v>
          </cell>
          <cell r="C22" t="str">
            <v>RESIDENTIAL</v>
          </cell>
          <cell r="D22" t="str">
            <v>Time of Use</v>
          </cell>
          <cell r="E22" t="str">
            <v>C</v>
          </cell>
          <cell r="F22" t="str">
            <v/>
          </cell>
          <cell r="G22" t="str">
            <v/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Q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</v>
          </cell>
          <cell r="AD22">
            <v>0</v>
          </cell>
          <cell r="AE22">
            <v>250</v>
          </cell>
          <cell r="AF22">
            <v>0</v>
          </cell>
          <cell r="AG22">
            <v>500</v>
          </cell>
          <cell r="AH22">
            <v>0</v>
          </cell>
          <cell r="AI22">
            <v>750</v>
          </cell>
          <cell r="AJ22">
            <v>0</v>
          </cell>
          <cell r="AK22">
            <v>1000</v>
          </cell>
          <cell r="AL22">
            <v>0</v>
          </cell>
          <cell r="AM22">
            <v>1500</v>
          </cell>
          <cell r="AN22">
            <v>0</v>
          </cell>
          <cell r="AO22">
            <v>2000</v>
          </cell>
          <cell r="AP22">
            <v>0</v>
          </cell>
          <cell r="AQ22">
            <v>7</v>
          </cell>
          <cell r="AR22" t="str">
            <v>kWh</v>
          </cell>
          <cell r="AS22" t="str">
            <v/>
          </cell>
        </row>
        <row r="23">
          <cell r="B23">
            <v>9</v>
          </cell>
          <cell r="C23" t="str">
            <v>RESIDENTIAL</v>
          </cell>
          <cell r="D23" t="str">
            <v>Time of Use</v>
          </cell>
          <cell r="E23" t="str">
            <v>D</v>
          </cell>
          <cell r="F23" t="str">
            <v/>
          </cell>
          <cell r="G23" t="str">
            <v/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Q23">
            <v>0</v>
          </cell>
          <cell r="T23">
            <v>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100</v>
          </cell>
          <cell r="AD23">
            <v>0</v>
          </cell>
          <cell r="AE23">
            <v>250</v>
          </cell>
          <cell r="AF23">
            <v>0</v>
          </cell>
          <cell r="AG23">
            <v>500</v>
          </cell>
          <cell r="AH23">
            <v>0</v>
          </cell>
          <cell r="AI23">
            <v>750</v>
          </cell>
          <cell r="AJ23">
            <v>0</v>
          </cell>
          <cell r="AK23">
            <v>1000</v>
          </cell>
          <cell r="AL23">
            <v>0</v>
          </cell>
          <cell r="AM23">
            <v>1500</v>
          </cell>
          <cell r="AN23">
            <v>0</v>
          </cell>
          <cell r="AO23">
            <v>2000</v>
          </cell>
          <cell r="AP23">
            <v>0</v>
          </cell>
          <cell r="AQ23">
            <v>7</v>
          </cell>
          <cell r="AR23" t="str">
            <v>kWh</v>
          </cell>
          <cell r="AS23" t="str">
            <v/>
          </cell>
        </row>
        <row r="24">
          <cell r="B24">
            <v>10</v>
          </cell>
          <cell r="C24" t="str">
            <v>RESIDENTIAL</v>
          </cell>
          <cell r="D24" t="str">
            <v>Urban</v>
          </cell>
          <cell r="E24" t="str">
            <v>A</v>
          </cell>
          <cell r="F24" t="str">
            <v/>
          </cell>
          <cell r="G24" t="str">
            <v/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Q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</v>
          </cell>
          <cell r="AD24">
            <v>0</v>
          </cell>
          <cell r="AE24">
            <v>250</v>
          </cell>
          <cell r="AF24">
            <v>0</v>
          </cell>
          <cell r="AG24">
            <v>500</v>
          </cell>
          <cell r="AH24">
            <v>0</v>
          </cell>
          <cell r="AI24">
            <v>750</v>
          </cell>
          <cell r="AJ24">
            <v>0</v>
          </cell>
          <cell r="AK24">
            <v>1000</v>
          </cell>
          <cell r="AL24">
            <v>0</v>
          </cell>
          <cell r="AM24">
            <v>1500</v>
          </cell>
          <cell r="AN24">
            <v>0</v>
          </cell>
          <cell r="AO24">
            <v>2000</v>
          </cell>
          <cell r="AP24">
            <v>0</v>
          </cell>
          <cell r="AQ24">
            <v>7</v>
          </cell>
          <cell r="AR24" t="str">
            <v>kWh</v>
          </cell>
          <cell r="AS24" t="str">
            <v/>
          </cell>
        </row>
        <row r="25">
          <cell r="B25">
            <v>11</v>
          </cell>
          <cell r="C25" t="str">
            <v>RESIDENTIAL</v>
          </cell>
          <cell r="D25" t="str">
            <v>Urban</v>
          </cell>
          <cell r="E25" t="str">
            <v>B</v>
          </cell>
          <cell r="F25" t="str">
            <v/>
          </cell>
          <cell r="G25" t="str">
            <v/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Q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250</v>
          </cell>
          <cell r="AF25">
            <v>0</v>
          </cell>
          <cell r="AG25">
            <v>500</v>
          </cell>
          <cell r="AH25">
            <v>0</v>
          </cell>
          <cell r="AI25">
            <v>750</v>
          </cell>
          <cell r="AJ25">
            <v>0</v>
          </cell>
          <cell r="AK25">
            <v>1000</v>
          </cell>
          <cell r="AL25">
            <v>0</v>
          </cell>
          <cell r="AM25">
            <v>1500</v>
          </cell>
          <cell r="AN25">
            <v>0</v>
          </cell>
          <cell r="AO25">
            <v>2000</v>
          </cell>
          <cell r="AP25">
            <v>0</v>
          </cell>
          <cell r="AQ25">
            <v>7</v>
          </cell>
          <cell r="AR25" t="str">
            <v>kWh</v>
          </cell>
          <cell r="AS25" t="str">
            <v/>
          </cell>
        </row>
        <row r="26">
          <cell r="B26">
            <v>12</v>
          </cell>
          <cell r="C26" t="str">
            <v>RESIDENTIAL</v>
          </cell>
          <cell r="D26" t="str">
            <v>Urban</v>
          </cell>
          <cell r="E26" t="str">
            <v>C</v>
          </cell>
          <cell r="F26" t="str">
            <v/>
          </cell>
          <cell r="G26" t="str">
            <v/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Q26">
            <v>0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100</v>
          </cell>
          <cell r="AD26">
            <v>0</v>
          </cell>
          <cell r="AE26">
            <v>250</v>
          </cell>
          <cell r="AF26">
            <v>0</v>
          </cell>
          <cell r="AG26">
            <v>500</v>
          </cell>
          <cell r="AH26">
            <v>0</v>
          </cell>
          <cell r="AI26">
            <v>750</v>
          </cell>
          <cell r="AJ26">
            <v>0</v>
          </cell>
          <cell r="AK26">
            <v>1000</v>
          </cell>
          <cell r="AL26">
            <v>0</v>
          </cell>
          <cell r="AM26">
            <v>1500</v>
          </cell>
          <cell r="AN26">
            <v>0</v>
          </cell>
          <cell r="AO26">
            <v>2000</v>
          </cell>
          <cell r="AP26">
            <v>0</v>
          </cell>
          <cell r="AQ26">
            <v>7</v>
          </cell>
          <cell r="AR26" t="str">
            <v>kWh</v>
          </cell>
          <cell r="AS26" t="str">
            <v/>
          </cell>
        </row>
        <row r="27">
          <cell r="B27">
            <v>13</v>
          </cell>
          <cell r="C27" t="str">
            <v>RESIDENTIAL</v>
          </cell>
          <cell r="D27" t="str">
            <v>Urban</v>
          </cell>
          <cell r="E27" t="str">
            <v>D</v>
          </cell>
          <cell r="F27" t="str">
            <v/>
          </cell>
          <cell r="G27" t="str">
            <v/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100</v>
          </cell>
          <cell r="AD27">
            <v>0</v>
          </cell>
          <cell r="AE27">
            <v>250</v>
          </cell>
          <cell r="AF27">
            <v>0</v>
          </cell>
          <cell r="AG27">
            <v>500</v>
          </cell>
          <cell r="AH27">
            <v>0</v>
          </cell>
          <cell r="AI27">
            <v>750</v>
          </cell>
          <cell r="AJ27">
            <v>0</v>
          </cell>
          <cell r="AK27">
            <v>1000</v>
          </cell>
          <cell r="AL27">
            <v>0</v>
          </cell>
          <cell r="AM27">
            <v>1500</v>
          </cell>
          <cell r="AN27">
            <v>0</v>
          </cell>
          <cell r="AO27">
            <v>2000</v>
          </cell>
          <cell r="AP27">
            <v>0</v>
          </cell>
          <cell r="AQ27">
            <v>7</v>
          </cell>
          <cell r="AR27" t="str">
            <v>kWh</v>
          </cell>
          <cell r="AS27" t="str">
            <v/>
          </cell>
        </row>
        <row r="28">
          <cell r="B28">
            <v>14</v>
          </cell>
          <cell r="C28" t="str">
            <v>RESIDENTIAL</v>
          </cell>
          <cell r="D28" t="str">
            <v>Suburban</v>
          </cell>
          <cell r="E28" t="str">
            <v>A</v>
          </cell>
          <cell r="F28" t="str">
            <v/>
          </cell>
          <cell r="G28" t="str">
            <v/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Q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</v>
          </cell>
          <cell r="AD28">
            <v>0</v>
          </cell>
          <cell r="AE28">
            <v>250</v>
          </cell>
          <cell r="AF28">
            <v>0</v>
          </cell>
          <cell r="AG28">
            <v>500</v>
          </cell>
          <cell r="AH28">
            <v>0</v>
          </cell>
          <cell r="AI28">
            <v>750</v>
          </cell>
          <cell r="AJ28">
            <v>0</v>
          </cell>
          <cell r="AK28">
            <v>1000</v>
          </cell>
          <cell r="AL28">
            <v>0</v>
          </cell>
          <cell r="AM28">
            <v>1500</v>
          </cell>
          <cell r="AN28">
            <v>0</v>
          </cell>
          <cell r="AO28">
            <v>2000</v>
          </cell>
          <cell r="AP28">
            <v>0</v>
          </cell>
          <cell r="AQ28">
            <v>7</v>
          </cell>
          <cell r="AR28" t="str">
            <v>kWh</v>
          </cell>
          <cell r="AS28" t="str">
            <v/>
          </cell>
        </row>
        <row r="29">
          <cell r="B29">
            <v>15</v>
          </cell>
          <cell r="C29" t="str">
            <v>RESIDENTIAL</v>
          </cell>
          <cell r="D29" t="str">
            <v>Suburban</v>
          </cell>
          <cell r="E29" t="str">
            <v>B</v>
          </cell>
          <cell r="F29" t="str">
            <v/>
          </cell>
          <cell r="G29" t="str">
            <v/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Q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</v>
          </cell>
          <cell r="AD29">
            <v>0</v>
          </cell>
          <cell r="AE29">
            <v>250</v>
          </cell>
          <cell r="AF29">
            <v>0</v>
          </cell>
          <cell r="AG29">
            <v>500</v>
          </cell>
          <cell r="AH29">
            <v>0</v>
          </cell>
          <cell r="AI29">
            <v>750</v>
          </cell>
          <cell r="AJ29">
            <v>0</v>
          </cell>
          <cell r="AK29">
            <v>1000</v>
          </cell>
          <cell r="AL29">
            <v>0</v>
          </cell>
          <cell r="AM29">
            <v>1500</v>
          </cell>
          <cell r="AN29">
            <v>0</v>
          </cell>
          <cell r="AO29">
            <v>2000</v>
          </cell>
          <cell r="AP29">
            <v>0</v>
          </cell>
          <cell r="AQ29">
            <v>7</v>
          </cell>
          <cell r="AR29" t="str">
            <v>kWh</v>
          </cell>
          <cell r="AS29" t="str">
            <v/>
          </cell>
        </row>
        <row r="30">
          <cell r="B30">
            <v>16</v>
          </cell>
          <cell r="C30" t="str">
            <v>RESIDENTIAL</v>
          </cell>
          <cell r="D30" t="str">
            <v>Suburban</v>
          </cell>
          <cell r="E30" t="str">
            <v>C</v>
          </cell>
          <cell r="F30" t="str">
            <v/>
          </cell>
          <cell r="G30" t="str">
            <v/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100</v>
          </cell>
          <cell r="AD30">
            <v>0</v>
          </cell>
          <cell r="AE30">
            <v>250</v>
          </cell>
          <cell r="AF30">
            <v>0</v>
          </cell>
          <cell r="AG30">
            <v>500</v>
          </cell>
          <cell r="AH30">
            <v>0</v>
          </cell>
          <cell r="AI30">
            <v>750</v>
          </cell>
          <cell r="AJ30">
            <v>0</v>
          </cell>
          <cell r="AK30">
            <v>1000</v>
          </cell>
          <cell r="AL30">
            <v>0</v>
          </cell>
          <cell r="AM30">
            <v>1500</v>
          </cell>
          <cell r="AN30">
            <v>0</v>
          </cell>
          <cell r="AO30">
            <v>2000</v>
          </cell>
          <cell r="AP30">
            <v>0</v>
          </cell>
          <cell r="AQ30">
            <v>7</v>
          </cell>
          <cell r="AR30" t="str">
            <v>kWh</v>
          </cell>
          <cell r="AS30" t="str">
            <v/>
          </cell>
        </row>
        <row r="31">
          <cell r="B31">
            <v>17</v>
          </cell>
          <cell r="C31" t="str">
            <v>RESIDENTIAL</v>
          </cell>
          <cell r="D31" t="str">
            <v>Suburban</v>
          </cell>
          <cell r="E31" t="str">
            <v>D</v>
          </cell>
          <cell r="F31" t="str">
            <v/>
          </cell>
          <cell r="G31" t="str">
            <v/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Q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0</v>
          </cell>
          <cell r="AE31">
            <v>250</v>
          </cell>
          <cell r="AF31">
            <v>0</v>
          </cell>
          <cell r="AG31">
            <v>500</v>
          </cell>
          <cell r="AH31">
            <v>0</v>
          </cell>
          <cell r="AI31">
            <v>750</v>
          </cell>
          <cell r="AJ31">
            <v>0</v>
          </cell>
          <cell r="AK31">
            <v>1000</v>
          </cell>
          <cell r="AL31">
            <v>0</v>
          </cell>
          <cell r="AM31">
            <v>1500</v>
          </cell>
          <cell r="AN31">
            <v>0</v>
          </cell>
          <cell r="AO31">
            <v>2000</v>
          </cell>
          <cell r="AP31">
            <v>0</v>
          </cell>
          <cell r="AQ31">
            <v>7</v>
          </cell>
          <cell r="AR31" t="str">
            <v>kWh</v>
          </cell>
          <cell r="AS31" t="str">
            <v/>
          </cell>
        </row>
        <row r="32">
          <cell r="B32">
            <v>18</v>
          </cell>
          <cell r="C32" t="str">
            <v>RESIDENTIAL</v>
          </cell>
          <cell r="D32" t="str">
            <v>Other (specify) . . . . . . . .</v>
          </cell>
          <cell r="E32" t="str">
            <v>A</v>
          </cell>
          <cell r="F32" t="str">
            <v/>
          </cell>
          <cell r="G32" t="str">
            <v/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Q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</v>
          </cell>
          <cell r="AD32">
            <v>0</v>
          </cell>
          <cell r="AE32">
            <v>250</v>
          </cell>
          <cell r="AF32">
            <v>0</v>
          </cell>
          <cell r="AG32">
            <v>500</v>
          </cell>
          <cell r="AH32">
            <v>0</v>
          </cell>
          <cell r="AI32">
            <v>750</v>
          </cell>
          <cell r="AJ32">
            <v>0</v>
          </cell>
          <cell r="AK32">
            <v>1000</v>
          </cell>
          <cell r="AL32">
            <v>0</v>
          </cell>
          <cell r="AM32">
            <v>1500</v>
          </cell>
          <cell r="AN32">
            <v>0</v>
          </cell>
          <cell r="AO32">
            <v>2000</v>
          </cell>
          <cell r="AP32">
            <v>0</v>
          </cell>
          <cell r="AQ32">
            <v>7</v>
          </cell>
          <cell r="AR32" t="str">
            <v>kWh</v>
          </cell>
          <cell r="AS32" t="str">
            <v/>
          </cell>
        </row>
        <row r="33">
          <cell r="B33">
            <v>19</v>
          </cell>
          <cell r="C33" t="str">
            <v>RESIDENTIAL</v>
          </cell>
          <cell r="D33" t="str">
            <v>Other (specify) . . . . . . . .</v>
          </cell>
          <cell r="E33" t="str">
            <v>B</v>
          </cell>
          <cell r="F33" t="str">
            <v/>
          </cell>
          <cell r="G33" t="str">
            <v/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Q33">
            <v>0</v>
          </cell>
          <cell r="T33">
            <v>1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100</v>
          </cell>
          <cell r="AD33">
            <v>0</v>
          </cell>
          <cell r="AE33">
            <v>250</v>
          </cell>
          <cell r="AF33">
            <v>0</v>
          </cell>
          <cell r="AG33">
            <v>500</v>
          </cell>
          <cell r="AH33">
            <v>0</v>
          </cell>
          <cell r="AI33">
            <v>750</v>
          </cell>
          <cell r="AJ33">
            <v>0</v>
          </cell>
          <cell r="AK33">
            <v>1000</v>
          </cell>
          <cell r="AL33">
            <v>0</v>
          </cell>
          <cell r="AM33">
            <v>1500</v>
          </cell>
          <cell r="AN33">
            <v>0</v>
          </cell>
          <cell r="AO33">
            <v>2000</v>
          </cell>
          <cell r="AP33">
            <v>0</v>
          </cell>
          <cell r="AQ33">
            <v>7</v>
          </cell>
          <cell r="AR33" t="str">
            <v>kWh</v>
          </cell>
          <cell r="AS33" t="str">
            <v/>
          </cell>
        </row>
        <row r="34">
          <cell r="B34">
            <v>20</v>
          </cell>
          <cell r="C34" t="str">
            <v>RESIDENTIAL</v>
          </cell>
          <cell r="D34" t="str">
            <v>Other (specify) . . . . . . . .</v>
          </cell>
          <cell r="E34" t="str">
            <v>C</v>
          </cell>
          <cell r="F34" t="str">
            <v/>
          </cell>
          <cell r="G34" t="str">
            <v/>
          </cell>
          <cell r="H34">
            <v>0</v>
          </cell>
          <cell r="K34">
            <v>0</v>
          </cell>
          <cell r="L34">
            <v>0</v>
          </cell>
          <cell r="M34">
            <v>0</v>
          </cell>
          <cell r="Q34">
            <v>0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100</v>
          </cell>
          <cell r="AD34">
            <v>0</v>
          </cell>
          <cell r="AE34">
            <v>250</v>
          </cell>
          <cell r="AF34">
            <v>0</v>
          </cell>
          <cell r="AG34">
            <v>500</v>
          </cell>
          <cell r="AH34">
            <v>0</v>
          </cell>
          <cell r="AI34">
            <v>750</v>
          </cell>
          <cell r="AJ34">
            <v>0</v>
          </cell>
          <cell r="AK34">
            <v>1000</v>
          </cell>
          <cell r="AL34">
            <v>0</v>
          </cell>
          <cell r="AM34">
            <v>1500</v>
          </cell>
          <cell r="AN34">
            <v>0</v>
          </cell>
          <cell r="AO34">
            <v>2000</v>
          </cell>
          <cell r="AP34">
            <v>0</v>
          </cell>
          <cell r="AQ34">
            <v>7</v>
          </cell>
          <cell r="AR34" t="str">
            <v>kWh</v>
          </cell>
          <cell r="AS34" t="str">
            <v/>
          </cell>
        </row>
        <row r="35">
          <cell r="B35">
            <v>21</v>
          </cell>
          <cell r="C35" t="str">
            <v>RESIDENTIAL</v>
          </cell>
          <cell r="D35" t="str">
            <v>Other (specify) . . . . . . . .</v>
          </cell>
          <cell r="E35" t="str">
            <v>D</v>
          </cell>
          <cell r="F35" t="str">
            <v/>
          </cell>
          <cell r="G35" t="str">
            <v/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</v>
          </cell>
          <cell r="AD35">
            <v>0</v>
          </cell>
          <cell r="AE35">
            <v>250</v>
          </cell>
          <cell r="AF35">
            <v>0</v>
          </cell>
          <cell r="AG35">
            <v>500</v>
          </cell>
          <cell r="AH35">
            <v>0</v>
          </cell>
          <cell r="AI35">
            <v>750</v>
          </cell>
          <cell r="AJ35">
            <v>0</v>
          </cell>
          <cell r="AK35">
            <v>1000</v>
          </cell>
          <cell r="AL35">
            <v>0</v>
          </cell>
          <cell r="AM35">
            <v>1500</v>
          </cell>
          <cell r="AN35">
            <v>0</v>
          </cell>
          <cell r="AO35">
            <v>2000</v>
          </cell>
          <cell r="AP35">
            <v>0</v>
          </cell>
          <cell r="AQ35">
            <v>7</v>
          </cell>
          <cell r="AR35" t="str">
            <v>kWh</v>
          </cell>
          <cell r="AS35" t="str">
            <v/>
          </cell>
        </row>
        <row r="36">
          <cell r="B36">
            <v>22</v>
          </cell>
          <cell r="C36" t="str">
            <v>RESIDENTIAL</v>
          </cell>
          <cell r="D36" t="str">
            <v>Other (specify) . . . . . . . .</v>
          </cell>
          <cell r="E36" t="str">
            <v>A</v>
          </cell>
          <cell r="F36" t="str">
            <v/>
          </cell>
          <cell r="G36" t="str">
            <v/>
          </cell>
          <cell r="H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100</v>
          </cell>
          <cell r="AD36">
            <v>0</v>
          </cell>
          <cell r="AE36">
            <v>250</v>
          </cell>
          <cell r="AF36">
            <v>0</v>
          </cell>
          <cell r="AG36">
            <v>500</v>
          </cell>
          <cell r="AH36">
            <v>0</v>
          </cell>
          <cell r="AI36">
            <v>750</v>
          </cell>
          <cell r="AJ36">
            <v>0</v>
          </cell>
          <cell r="AK36">
            <v>1000</v>
          </cell>
          <cell r="AL36">
            <v>0</v>
          </cell>
          <cell r="AM36">
            <v>1500</v>
          </cell>
          <cell r="AN36">
            <v>0</v>
          </cell>
          <cell r="AO36">
            <v>2000</v>
          </cell>
          <cell r="AP36">
            <v>0</v>
          </cell>
          <cell r="AQ36">
            <v>7</v>
          </cell>
          <cell r="AR36" t="str">
            <v>kWh</v>
          </cell>
          <cell r="AS36" t="str">
            <v/>
          </cell>
        </row>
        <row r="37">
          <cell r="B37">
            <v>23</v>
          </cell>
          <cell r="C37" t="str">
            <v>RESIDENTIAL</v>
          </cell>
          <cell r="D37" t="str">
            <v>Other (specify) . . . . . . . .</v>
          </cell>
          <cell r="E37" t="str">
            <v>B</v>
          </cell>
          <cell r="F37" t="str">
            <v/>
          </cell>
          <cell r="G37" t="str">
            <v/>
          </cell>
          <cell r="H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</v>
          </cell>
          <cell r="AD37">
            <v>0</v>
          </cell>
          <cell r="AE37">
            <v>250</v>
          </cell>
          <cell r="AF37">
            <v>0</v>
          </cell>
          <cell r="AG37">
            <v>500</v>
          </cell>
          <cell r="AH37">
            <v>0</v>
          </cell>
          <cell r="AI37">
            <v>750</v>
          </cell>
          <cell r="AJ37">
            <v>0</v>
          </cell>
          <cell r="AK37">
            <v>1000</v>
          </cell>
          <cell r="AL37">
            <v>0</v>
          </cell>
          <cell r="AM37">
            <v>1500</v>
          </cell>
          <cell r="AN37">
            <v>0</v>
          </cell>
          <cell r="AO37">
            <v>2000</v>
          </cell>
          <cell r="AP37">
            <v>0</v>
          </cell>
          <cell r="AQ37">
            <v>7</v>
          </cell>
          <cell r="AR37" t="str">
            <v>kWh</v>
          </cell>
          <cell r="AS37" t="str">
            <v/>
          </cell>
        </row>
        <row r="38">
          <cell r="B38">
            <v>24</v>
          </cell>
          <cell r="C38" t="str">
            <v>RESIDENTIAL</v>
          </cell>
          <cell r="D38" t="str">
            <v>Other (specify) . . . . . . . .</v>
          </cell>
          <cell r="E38" t="str">
            <v>C</v>
          </cell>
          <cell r="F38" t="str">
            <v/>
          </cell>
          <cell r="G38" t="str">
            <v/>
          </cell>
          <cell r="H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</v>
          </cell>
          <cell r="AD38">
            <v>0</v>
          </cell>
          <cell r="AE38">
            <v>250</v>
          </cell>
          <cell r="AF38">
            <v>0</v>
          </cell>
          <cell r="AG38">
            <v>500</v>
          </cell>
          <cell r="AH38">
            <v>0</v>
          </cell>
          <cell r="AI38">
            <v>750</v>
          </cell>
          <cell r="AJ38">
            <v>0</v>
          </cell>
          <cell r="AK38">
            <v>1000</v>
          </cell>
          <cell r="AL38">
            <v>0</v>
          </cell>
          <cell r="AM38">
            <v>1500</v>
          </cell>
          <cell r="AN38">
            <v>0</v>
          </cell>
          <cell r="AO38">
            <v>2000</v>
          </cell>
          <cell r="AP38">
            <v>0</v>
          </cell>
          <cell r="AQ38">
            <v>7</v>
          </cell>
          <cell r="AR38" t="str">
            <v>kWh</v>
          </cell>
          <cell r="AS38" t="str">
            <v/>
          </cell>
        </row>
        <row r="39">
          <cell r="B39">
            <v>25</v>
          </cell>
          <cell r="C39" t="str">
            <v>RESIDENTIAL</v>
          </cell>
          <cell r="D39" t="str">
            <v>Other (specify) . . . . . . . .</v>
          </cell>
          <cell r="E39" t="str">
            <v>D</v>
          </cell>
          <cell r="F39" t="str">
            <v/>
          </cell>
          <cell r="G39" t="str">
            <v/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100</v>
          </cell>
          <cell r="AD39">
            <v>0</v>
          </cell>
          <cell r="AE39">
            <v>250</v>
          </cell>
          <cell r="AF39">
            <v>0</v>
          </cell>
          <cell r="AG39">
            <v>500</v>
          </cell>
          <cell r="AH39">
            <v>0</v>
          </cell>
          <cell r="AI39">
            <v>750</v>
          </cell>
          <cell r="AJ39">
            <v>0</v>
          </cell>
          <cell r="AK39">
            <v>1000</v>
          </cell>
          <cell r="AL39">
            <v>0</v>
          </cell>
          <cell r="AM39">
            <v>1500</v>
          </cell>
          <cell r="AN39">
            <v>0</v>
          </cell>
          <cell r="AO39">
            <v>2000</v>
          </cell>
          <cell r="AP39">
            <v>0</v>
          </cell>
          <cell r="AQ39">
            <v>7</v>
          </cell>
          <cell r="AR39" t="str">
            <v>kWh</v>
          </cell>
          <cell r="AS39" t="str">
            <v/>
          </cell>
        </row>
        <row r="40">
          <cell r="B40">
            <v>26</v>
          </cell>
          <cell r="C40" t="str">
            <v>RESIDENTIAL</v>
          </cell>
          <cell r="D40" t="str">
            <v>Other (specify) . . . . . . . .</v>
          </cell>
          <cell r="E40" t="str">
            <v>A</v>
          </cell>
          <cell r="F40" t="str">
            <v/>
          </cell>
          <cell r="G40" t="str">
            <v/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250</v>
          </cell>
          <cell r="AF40">
            <v>0</v>
          </cell>
          <cell r="AG40">
            <v>500</v>
          </cell>
          <cell r="AH40">
            <v>0</v>
          </cell>
          <cell r="AI40">
            <v>750</v>
          </cell>
          <cell r="AJ40">
            <v>0</v>
          </cell>
          <cell r="AK40">
            <v>1000</v>
          </cell>
          <cell r="AL40">
            <v>0</v>
          </cell>
          <cell r="AM40">
            <v>1500</v>
          </cell>
          <cell r="AN40">
            <v>0</v>
          </cell>
          <cell r="AO40">
            <v>2000</v>
          </cell>
          <cell r="AP40">
            <v>0</v>
          </cell>
          <cell r="AQ40">
            <v>7</v>
          </cell>
          <cell r="AR40" t="str">
            <v>kWh</v>
          </cell>
          <cell r="AS40" t="str">
            <v/>
          </cell>
        </row>
        <row r="41">
          <cell r="B41">
            <v>27</v>
          </cell>
          <cell r="C41" t="str">
            <v>RESIDENTIAL</v>
          </cell>
          <cell r="D41" t="str">
            <v>Other (specify) . . . . . . . .</v>
          </cell>
          <cell r="E41" t="str">
            <v>B</v>
          </cell>
          <cell r="F41" t="str">
            <v/>
          </cell>
          <cell r="G41" t="str">
            <v/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100</v>
          </cell>
          <cell r="AD41">
            <v>0</v>
          </cell>
          <cell r="AE41">
            <v>250</v>
          </cell>
          <cell r="AF41">
            <v>0</v>
          </cell>
          <cell r="AG41">
            <v>500</v>
          </cell>
          <cell r="AH41">
            <v>0</v>
          </cell>
          <cell r="AI41">
            <v>750</v>
          </cell>
          <cell r="AJ41">
            <v>0</v>
          </cell>
          <cell r="AK41">
            <v>1000</v>
          </cell>
          <cell r="AL41">
            <v>0</v>
          </cell>
          <cell r="AM41">
            <v>1500</v>
          </cell>
          <cell r="AN41">
            <v>0</v>
          </cell>
          <cell r="AO41">
            <v>2000</v>
          </cell>
          <cell r="AP41">
            <v>0</v>
          </cell>
          <cell r="AQ41">
            <v>7</v>
          </cell>
          <cell r="AR41" t="str">
            <v>kWh</v>
          </cell>
          <cell r="AS41" t="str">
            <v/>
          </cell>
        </row>
        <row r="42">
          <cell r="B42">
            <v>28</v>
          </cell>
          <cell r="C42" t="str">
            <v>RESIDENTIAL</v>
          </cell>
          <cell r="D42" t="str">
            <v>Other (specify) . . . . . . . .</v>
          </cell>
          <cell r="E42" t="str">
            <v>C</v>
          </cell>
          <cell r="F42" t="str">
            <v/>
          </cell>
          <cell r="G42" t="str">
            <v/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100</v>
          </cell>
          <cell r="AD42">
            <v>0</v>
          </cell>
          <cell r="AE42">
            <v>250</v>
          </cell>
          <cell r="AF42">
            <v>0</v>
          </cell>
          <cell r="AG42">
            <v>500</v>
          </cell>
          <cell r="AH42">
            <v>0</v>
          </cell>
          <cell r="AI42">
            <v>750</v>
          </cell>
          <cell r="AJ42">
            <v>0</v>
          </cell>
          <cell r="AK42">
            <v>1000</v>
          </cell>
          <cell r="AL42">
            <v>0</v>
          </cell>
          <cell r="AM42">
            <v>1500</v>
          </cell>
          <cell r="AN42">
            <v>0</v>
          </cell>
          <cell r="AO42">
            <v>2000</v>
          </cell>
          <cell r="AP42">
            <v>0</v>
          </cell>
          <cell r="AQ42">
            <v>7</v>
          </cell>
          <cell r="AR42" t="str">
            <v>kWh</v>
          </cell>
          <cell r="AS42" t="str">
            <v/>
          </cell>
        </row>
        <row r="43">
          <cell r="B43">
            <v>29</v>
          </cell>
          <cell r="C43" t="str">
            <v>RESIDENTIAL</v>
          </cell>
          <cell r="D43" t="str">
            <v>Other (specify) . . . . . . . .</v>
          </cell>
          <cell r="E43" t="str">
            <v>D</v>
          </cell>
          <cell r="F43" t="str">
            <v/>
          </cell>
          <cell r="G43" t="str">
            <v/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</v>
          </cell>
          <cell r="AD43">
            <v>0</v>
          </cell>
          <cell r="AE43">
            <v>250</v>
          </cell>
          <cell r="AF43">
            <v>0</v>
          </cell>
          <cell r="AG43">
            <v>500</v>
          </cell>
          <cell r="AH43">
            <v>0</v>
          </cell>
          <cell r="AI43">
            <v>750</v>
          </cell>
          <cell r="AJ43">
            <v>0</v>
          </cell>
          <cell r="AK43">
            <v>1000</v>
          </cell>
          <cell r="AL43">
            <v>0</v>
          </cell>
          <cell r="AM43">
            <v>1500</v>
          </cell>
          <cell r="AN43">
            <v>0</v>
          </cell>
          <cell r="AO43">
            <v>2000</v>
          </cell>
          <cell r="AP43">
            <v>0</v>
          </cell>
          <cell r="AQ43">
            <v>7</v>
          </cell>
          <cell r="AR43" t="str">
            <v>kWh</v>
          </cell>
          <cell r="AS43" t="str">
            <v/>
          </cell>
        </row>
        <row r="44">
          <cell r="B44">
            <v>30</v>
          </cell>
          <cell r="C44" t="str">
            <v>RESIDENTIAL</v>
          </cell>
          <cell r="D44" t="str">
            <v>Other (specify) . . . . . . . .</v>
          </cell>
          <cell r="E44" t="str">
            <v>A</v>
          </cell>
          <cell r="F44" t="str">
            <v/>
          </cell>
          <cell r="G44" t="str">
            <v/>
          </cell>
          <cell r="H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100</v>
          </cell>
          <cell r="AD44">
            <v>0</v>
          </cell>
          <cell r="AE44">
            <v>250</v>
          </cell>
          <cell r="AF44">
            <v>0</v>
          </cell>
          <cell r="AG44">
            <v>500</v>
          </cell>
          <cell r="AH44">
            <v>0</v>
          </cell>
          <cell r="AI44">
            <v>750</v>
          </cell>
          <cell r="AJ44">
            <v>0</v>
          </cell>
          <cell r="AK44">
            <v>1000</v>
          </cell>
          <cell r="AL44">
            <v>0</v>
          </cell>
          <cell r="AM44">
            <v>1500</v>
          </cell>
          <cell r="AN44">
            <v>0</v>
          </cell>
          <cell r="AO44">
            <v>2000</v>
          </cell>
          <cell r="AP44">
            <v>0</v>
          </cell>
          <cell r="AQ44">
            <v>7</v>
          </cell>
          <cell r="AR44" t="str">
            <v>kWh</v>
          </cell>
          <cell r="AS44" t="str">
            <v/>
          </cell>
        </row>
        <row r="45">
          <cell r="B45">
            <v>31</v>
          </cell>
          <cell r="C45" t="str">
            <v>RESIDENTIAL</v>
          </cell>
          <cell r="D45" t="str">
            <v>Other (specify) . . . . . . . .</v>
          </cell>
          <cell r="E45" t="str">
            <v>B</v>
          </cell>
          <cell r="F45" t="str">
            <v/>
          </cell>
          <cell r="G45" t="str">
            <v/>
          </cell>
          <cell r="H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100</v>
          </cell>
          <cell r="AD45">
            <v>0</v>
          </cell>
          <cell r="AE45">
            <v>250</v>
          </cell>
          <cell r="AF45">
            <v>0</v>
          </cell>
          <cell r="AG45">
            <v>500</v>
          </cell>
          <cell r="AH45">
            <v>0</v>
          </cell>
          <cell r="AI45">
            <v>750</v>
          </cell>
          <cell r="AJ45">
            <v>0</v>
          </cell>
          <cell r="AK45">
            <v>1000</v>
          </cell>
          <cell r="AL45">
            <v>0</v>
          </cell>
          <cell r="AM45">
            <v>1500</v>
          </cell>
          <cell r="AN45">
            <v>0</v>
          </cell>
          <cell r="AO45">
            <v>2000</v>
          </cell>
          <cell r="AP45">
            <v>0</v>
          </cell>
          <cell r="AQ45">
            <v>7</v>
          </cell>
          <cell r="AR45" t="str">
            <v>kWh</v>
          </cell>
          <cell r="AS45" t="str">
            <v/>
          </cell>
        </row>
        <row r="46">
          <cell r="B46">
            <v>32</v>
          </cell>
          <cell r="C46" t="str">
            <v>RESIDENTIAL</v>
          </cell>
          <cell r="D46" t="str">
            <v>Other (specify) . . . . . . . .</v>
          </cell>
          <cell r="E46" t="str">
            <v>C</v>
          </cell>
          <cell r="F46" t="str">
            <v/>
          </cell>
          <cell r="G46" t="str">
            <v/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T46">
            <v>1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100</v>
          </cell>
          <cell r="AD46">
            <v>0</v>
          </cell>
          <cell r="AE46">
            <v>250</v>
          </cell>
          <cell r="AF46">
            <v>0</v>
          </cell>
          <cell r="AG46">
            <v>500</v>
          </cell>
          <cell r="AH46">
            <v>0</v>
          </cell>
          <cell r="AI46">
            <v>750</v>
          </cell>
          <cell r="AJ46">
            <v>0</v>
          </cell>
          <cell r="AK46">
            <v>1000</v>
          </cell>
          <cell r="AL46">
            <v>0</v>
          </cell>
          <cell r="AM46">
            <v>1500</v>
          </cell>
          <cell r="AN46">
            <v>0</v>
          </cell>
          <cell r="AO46">
            <v>2000</v>
          </cell>
          <cell r="AP46">
            <v>0</v>
          </cell>
          <cell r="AQ46">
            <v>7</v>
          </cell>
          <cell r="AR46" t="str">
            <v>kWh</v>
          </cell>
          <cell r="AS46" t="str">
            <v/>
          </cell>
        </row>
        <row r="47">
          <cell r="B47">
            <v>33</v>
          </cell>
          <cell r="C47" t="str">
            <v>RESIDENTIAL</v>
          </cell>
          <cell r="D47" t="str">
            <v>Other (specify) . . . . . . . .</v>
          </cell>
          <cell r="E47" t="str">
            <v>D</v>
          </cell>
          <cell r="F47" t="str">
            <v/>
          </cell>
          <cell r="G47" t="str">
            <v/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100</v>
          </cell>
          <cell r="AD47">
            <v>0</v>
          </cell>
          <cell r="AE47">
            <v>250</v>
          </cell>
          <cell r="AF47">
            <v>0</v>
          </cell>
          <cell r="AG47">
            <v>500</v>
          </cell>
          <cell r="AH47">
            <v>0</v>
          </cell>
          <cell r="AI47">
            <v>750</v>
          </cell>
          <cell r="AJ47">
            <v>0</v>
          </cell>
          <cell r="AK47">
            <v>1000</v>
          </cell>
          <cell r="AL47">
            <v>0</v>
          </cell>
          <cell r="AM47">
            <v>1500</v>
          </cell>
          <cell r="AN47">
            <v>0</v>
          </cell>
          <cell r="AO47">
            <v>2000</v>
          </cell>
          <cell r="AP47">
            <v>0</v>
          </cell>
          <cell r="AQ47">
            <v>7</v>
          </cell>
          <cell r="AR47" t="str">
            <v>kWh</v>
          </cell>
          <cell r="AS47" t="str">
            <v/>
          </cell>
        </row>
        <row r="48">
          <cell r="B48">
            <v>34</v>
          </cell>
          <cell r="C48" t="str">
            <v>RESIDENTIAL</v>
          </cell>
          <cell r="D48" t="str">
            <v>Other (specify) . . . . . . . .</v>
          </cell>
          <cell r="E48" t="str">
            <v>A</v>
          </cell>
          <cell r="F48" t="str">
            <v/>
          </cell>
          <cell r="G48" t="str">
            <v/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100</v>
          </cell>
          <cell r="AD48">
            <v>0</v>
          </cell>
          <cell r="AE48">
            <v>250</v>
          </cell>
          <cell r="AF48">
            <v>0</v>
          </cell>
          <cell r="AG48">
            <v>500</v>
          </cell>
          <cell r="AH48">
            <v>0</v>
          </cell>
          <cell r="AI48">
            <v>750</v>
          </cell>
          <cell r="AJ48">
            <v>0</v>
          </cell>
          <cell r="AK48">
            <v>1000</v>
          </cell>
          <cell r="AL48">
            <v>0</v>
          </cell>
          <cell r="AM48">
            <v>1500</v>
          </cell>
          <cell r="AN48">
            <v>0</v>
          </cell>
          <cell r="AO48">
            <v>2000</v>
          </cell>
          <cell r="AP48">
            <v>0</v>
          </cell>
          <cell r="AQ48">
            <v>7</v>
          </cell>
          <cell r="AR48" t="str">
            <v>kWh</v>
          </cell>
          <cell r="AS48" t="str">
            <v/>
          </cell>
        </row>
        <row r="49">
          <cell r="B49">
            <v>35</v>
          </cell>
          <cell r="C49" t="str">
            <v>RESIDENTIAL</v>
          </cell>
          <cell r="D49" t="str">
            <v>Other (specify) . . . . . . . .</v>
          </cell>
          <cell r="E49" t="str">
            <v>B</v>
          </cell>
          <cell r="F49" t="str">
            <v/>
          </cell>
          <cell r="G49" t="str">
            <v/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100</v>
          </cell>
          <cell r="AD49">
            <v>0</v>
          </cell>
          <cell r="AE49">
            <v>250</v>
          </cell>
          <cell r="AF49">
            <v>0</v>
          </cell>
          <cell r="AG49">
            <v>500</v>
          </cell>
          <cell r="AH49">
            <v>0</v>
          </cell>
          <cell r="AI49">
            <v>750</v>
          </cell>
          <cell r="AJ49">
            <v>0</v>
          </cell>
          <cell r="AK49">
            <v>1000</v>
          </cell>
          <cell r="AL49">
            <v>0</v>
          </cell>
          <cell r="AM49">
            <v>1500</v>
          </cell>
          <cell r="AN49">
            <v>0</v>
          </cell>
          <cell r="AO49">
            <v>2000</v>
          </cell>
          <cell r="AP49">
            <v>0</v>
          </cell>
          <cell r="AQ49">
            <v>7</v>
          </cell>
          <cell r="AR49" t="str">
            <v>kWh</v>
          </cell>
          <cell r="AS49" t="str">
            <v/>
          </cell>
        </row>
        <row r="50">
          <cell r="B50">
            <v>36</v>
          </cell>
          <cell r="C50" t="str">
            <v>RESIDENTIAL</v>
          </cell>
          <cell r="D50" t="str">
            <v>Other (specify) . . . . . . . .</v>
          </cell>
          <cell r="E50" t="str">
            <v>C</v>
          </cell>
          <cell r="F50" t="str">
            <v/>
          </cell>
          <cell r="G50" t="str">
            <v/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100</v>
          </cell>
          <cell r="AD50">
            <v>0</v>
          </cell>
          <cell r="AE50">
            <v>250</v>
          </cell>
          <cell r="AF50">
            <v>0</v>
          </cell>
          <cell r="AG50">
            <v>500</v>
          </cell>
          <cell r="AH50">
            <v>0</v>
          </cell>
          <cell r="AI50">
            <v>750</v>
          </cell>
          <cell r="AJ50">
            <v>0</v>
          </cell>
          <cell r="AK50">
            <v>1000</v>
          </cell>
          <cell r="AL50">
            <v>0</v>
          </cell>
          <cell r="AM50">
            <v>1500</v>
          </cell>
          <cell r="AN50">
            <v>0</v>
          </cell>
          <cell r="AO50">
            <v>2000</v>
          </cell>
          <cell r="AP50">
            <v>0</v>
          </cell>
          <cell r="AQ50">
            <v>7</v>
          </cell>
          <cell r="AR50" t="str">
            <v>kWh</v>
          </cell>
          <cell r="AS50" t="str">
            <v/>
          </cell>
        </row>
        <row r="51">
          <cell r="B51">
            <v>37</v>
          </cell>
          <cell r="C51" t="str">
            <v>RESIDENTIAL</v>
          </cell>
          <cell r="D51" t="str">
            <v>Other (specify) . . . . . . . .</v>
          </cell>
          <cell r="E51" t="str">
            <v>D</v>
          </cell>
          <cell r="F51" t="str">
            <v/>
          </cell>
          <cell r="G51" t="str">
            <v/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100</v>
          </cell>
          <cell r="AD51">
            <v>0</v>
          </cell>
          <cell r="AE51">
            <v>250</v>
          </cell>
          <cell r="AF51">
            <v>0</v>
          </cell>
          <cell r="AG51">
            <v>500</v>
          </cell>
          <cell r="AH51">
            <v>0</v>
          </cell>
          <cell r="AI51">
            <v>750</v>
          </cell>
          <cell r="AJ51">
            <v>0</v>
          </cell>
          <cell r="AK51">
            <v>1000</v>
          </cell>
          <cell r="AL51">
            <v>0</v>
          </cell>
          <cell r="AM51">
            <v>1500</v>
          </cell>
          <cell r="AN51">
            <v>0</v>
          </cell>
          <cell r="AO51">
            <v>2000</v>
          </cell>
          <cell r="AP51">
            <v>0</v>
          </cell>
          <cell r="AQ51">
            <v>7</v>
          </cell>
          <cell r="AR51" t="str">
            <v>kWh</v>
          </cell>
          <cell r="AS51" t="str">
            <v/>
          </cell>
        </row>
        <row r="52">
          <cell r="B52">
            <v>38</v>
          </cell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AQ52">
            <v>0</v>
          </cell>
          <cell r="AR52">
            <v>0</v>
          </cell>
          <cell r="AS52" t="str">
            <v/>
          </cell>
        </row>
        <row r="53">
          <cell r="B53">
            <v>39</v>
          </cell>
          <cell r="C53" t="str">
            <v/>
          </cell>
          <cell r="D53" t="str">
            <v>GENERAL SERVICE</v>
          </cell>
          <cell r="F53" t="str">
            <v/>
          </cell>
          <cell r="G53" t="str">
            <v>X</v>
          </cell>
          <cell r="AQ53">
            <v>0</v>
          </cell>
          <cell r="AR53">
            <v>0</v>
          </cell>
          <cell r="AS53" t="str">
            <v>XXX</v>
          </cell>
        </row>
        <row r="54">
          <cell r="B54">
            <v>40</v>
          </cell>
          <cell r="C54" t="str">
            <v>GENERAL SERVICE</v>
          </cell>
          <cell r="D54" t="str">
            <v>Less than 50 kW</v>
          </cell>
          <cell r="E54" t="str">
            <v>A</v>
          </cell>
          <cell r="F54" t="str">
            <v>X</v>
          </cell>
          <cell r="G54" t="str">
            <v>X</v>
          </cell>
          <cell r="H54">
            <v>0.0094</v>
          </cell>
          <cell r="I54">
            <v>0.0062</v>
          </cell>
          <cell r="J54">
            <v>0.007</v>
          </cell>
          <cell r="K54">
            <v>0.0226</v>
          </cell>
          <cell r="L54">
            <v>0.0230731202818941</v>
          </cell>
          <cell r="M54">
            <v>0</v>
          </cell>
          <cell r="Q54">
            <v>0</v>
          </cell>
          <cell r="R54">
            <v>0.0631</v>
          </cell>
          <cell r="S54">
            <v>0.0631</v>
          </cell>
          <cell r="T54">
            <v>1.0422</v>
          </cell>
          <cell r="U54">
            <v>1.0421</v>
          </cell>
          <cell r="V54">
            <v>0.0101</v>
          </cell>
          <cell r="W54">
            <v>0</v>
          </cell>
          <cell r="X54">
            <v>27.31</v>
          </cell>
          <cell r="Y54">
            <v>0.009724400356871393</v>
          </cell>
          <cell r="Z54">
            <v>0</v>
          </cell>
          <cell r="AA54">
            <v>32.26679201760937</v>
          </cell>
          <cell r="AB54">
            <v>0.0018</v>
          </cell>
          <cell r="AC54">
            <v>1000</v>
          </cell>
          <cell r="AD54">
            <v>0</v>
          </cell>
          <cell r="AE54">
            <v>2000</v>
          </cell>
          <cell r="AF54">
            <v>0</v>
          </cell>
          <cell r="AG54">
            <v>5000</v>
          </cell>
          <cell r="AH54">
            <v>0</v>
          </cell>
          <cell r="AI54">
            <v>10000</v>
          </cell>
          <cell r="AJ54">
            <v>0</v>
          </cell>
          <cell r="AK54">
            <v>15000</v>
          </cell>
          <cell r="AQ54">
            <v>5</v>
          </cell>
          <cell r="AR54" t="str">
            <v>kWh</v>
          </cell>
          <cell r="AS54" t="str">
            <v>X</v>
          </cell>
        </row>
        <row r="55">
          <cell r="B55">
            <v>41</v>
          </cell>
          <cell r="C55" t="str">
            <v>GENERAL SERVICE</v>
          </cell>
          <cell r="D55" t="str">
            <v>Less than 50 kW</v>
          </cell>
          <cell r="E55" t="str">
            <v>B</v>
          </cell>
          <cell r="F55" t="str">
            <v/>
          </cell>
          <cell r="G55" t="str">
            <v/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1000</v>
          </cell>
          <cell r="AD55">
            <v>0</v>
          </cell>
          <cell r="AE55">
            <v>2000</v>
          </cell>
          <cell r="AF55">
            <v>0</v>
          </cell>
          <cell r="AG55">
            <v>5000</v>
          </cell>
          <cell r="AH55">
            <v>0</v>
          </cell>
          <cell r="AI55">
            <v>10000</v>
          </cell>
          <cell r="AJ55">
            <v>0</v>
          </cell>
          <cell r="AK55">
            <v>15000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5</v>
          </cell>
          <cell r="AR55" t="str">
            <v>kWh</v>
          </cell>
          <cell r="AS55" t="str">
            <v/>
          </cell>
        </row>
        <row r="56">
          <cell r="B56">
            <v>42</v>
          </cell>
          <cell r="C56" t="str">
            <v>GENERAL SERVICE</v>
          </cell>
          <cell r="D56" t="str">
            <v>Less than 50 kW</v>
          </cell>
          <cell r="E56" t="str">
            <v>C</v>
          </cell>
          <cell r="F56" t="str">
            <v/>
          </cell>
          <cell r="G56" t="str">
            <v/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1000</v>
          </cell>
          <cell r="AD56">
            <v>0</v>
          </cell>
          <cell r="AE56">
            <v>2000</v>
          </cell>
          <cell r="AF56">
            <v>0</v>
          </cell>
          <cell r="AG56">
            <v>5000</v>
          </cell>
          <cell r="AH56">
            <v>0</v>
          </cell>
          <cell r="AI56">
            <v>10000</v>
          </cell>
          <cell r="AJ56">
            <v>0</v>
          </cell>
          <cell r="AK56">
            <v>15000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</v>
          </cell>
          <cell r="AR56" t="str">
            <v>kWh</v>
          </cell>
          <cell r="AS56" t="str">
            <v/>
          </cell>
        </row>
        <row r="57">
          <cell r="B57">
            <v>43</v>
          </cell>
          <cell r="C57" t="str">
            <v>GENERAL SERVICE</v>
          </cell>
          <cell r="D57" t="str">
            <v>Less than 50 kW</v>
          </cell>
          <cell r="E57" t="str">
            <v>D</v>
          </cell>
          <cell r="F57" t="str">
            <v/>
          </cell>
          <cell r="G57" t="str">
            <v/>
          </cell>
          <cell r="H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1000</v>
          </cell>
          <cell r="AD57">
            <v>0</v>
          </cell>
          <cell r="AE57">
            <v>2000</v>
          </cell>
          <cell r="AF57">
            <v>0</v>
          </cell>
          <cell r="AG57">
            <v>5000</v>
          </cell>
          <cell r="AH57">
            <v>0</v>
          </cell>
          <cell r="AI57">
            <v>10000</v>
          </cell>
          <cell r="AJ57">
            <v>0</v>
          </cell>
          <cell r="AK57">
            <v>15000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5</v>
          </cell>
          <cell r="AR57" t="str">
            <v>kWh</v>
          </cell>
          <cell r="AS57" t="str">
            <v/>
          </cell>
        </row>
        <row r="58">
          <cell r="B58">
            <v>44</v>
          </cell>
          <cell r="C58" t="str">
            <v>GENERAL SERVICE</v>
          </cell>
          <cell r="D58" t="str">
            <v>Less than 50 kW Time of Use</v>
          </cell>
          <cell r="E58" t="str">
            <v>A</v>
          </cell>
          <cell r="F58" t="str">
            <v/>
          </cell>
          <cell r="G58" t="str">
            <v/>
          </cell>
          <cell r="H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1000</v>
          </cell>
          <cell r="AD58">
            <v>0</v>
          </cell>
          <cell r="AE58">
            <v>2000</v>
          </cell>
          <cell r="AF58">
            <v>0</v>
          </cell>
          <cell r="AG58">
            <v>5000</v>
          </cell>
          <cell r="AH58">
            <v>0</v>
          </cell>
          <cell r="AI58">
            <v>10000</v>
          </cell>
          <cell r="AJ58">
            <v>0</v>
          </cell>
          <cell r="AK58">
            <v>15000</v>
          </cell>
          <cell r="AQ58">
            <v>5</v>
          </cell>
          <cell r="AR58" t="str">
            <v>kWh</v>
          </cell>
          <cell r="AS58" t="str">
            <v/>
          </cell>
        </row>
        <row r="59">
          <cell r="B59">
            <v>45</v>
          </cell>
          <cell r="C59" t="str">
            <v>GENERAL SERVICE</v>
          </cell>
          <cell r="D59" t="str">
            <v>Less than 50 kW Time of Use</v>
          </cell>
          <cell r="E59" t="str">
            <v>B</v>
          </cell>
          <cell r="F59" t="str">
            <v/>
          </cell>
          <cell r="G59" t="str">
            <v/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1000</v>
          </cell>
          <cell r="AD59">
            <v>0</v>
          </cell>
          <cell r="AE59">
            <v>2000</v>
          </cell>
          <cell r="AF59">
            <v>0</v>
          </cell>
          <cell r="AG59">
            <v>5000</v>
          </cell>
          <cell r="AH59">
            <v>0</v>
          </cell>
          <cell r="AI59">
            <v>10000</v>
          </cell>
          <cell r="AJ59">
            <v>0</v>
          </cell>
          <cell r="AK59">
            <v>15000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5</v>
          </cell>
          <cell r="AR59" t="str">
            <v>kWh</v>
          </cell>
          <cell r="AS59" t="str">
            <v/>
          </cell>
        </row>
        <row r="60">
          <cell r="B60">
            <v>46</v>
          </cell>
          <cell r="C60" t="str">
            <v>GENERAL SERVICE</v>
          </cell>
          <cell r="D60" t="str">
            <v>Less than 50 kW Time of Use</v>
          </cell>
          <cell r="E60" t="str">
            <v>C</v>
          </cell>
          <cell r="F60" t="str">
            <v/>
          </cell>
          <cell r="G60" t="str">
            <v/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1000</v>
          </cell>
          <cell r="AD60">
            <v>0</v>
          </cell>
          <cell r="AE60">
            <v>2000</v>
          </cell>
          <cell r="AF60">
            <v>0</v>
          </cell>
          <cell r="AG60">
            <v>5000</v>
          </cell>
          <cell r="AH60">
            <v>0</v>
          </cell>
          <cell r="AI60">
            <v>10000</v>
          </cell>
          <cell r="AJ60">
            <v>0</v>
          </cell>
          <cell r="AK60">
            <v>15000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</v>
          </cell>
          <cell r="AR60" t="str">
            <v>kWh</v>
          </cell>
          <cell r="AS60" t="str">
            <v/>
          </cell>
        </row>
        <row r="61">
          <cell r="B61">
            <v>47</v>
          </cell>
          <cell r="C61" t="str">
            <v>GENERAL SERVICE</v>
          </cell>
          <cell r="D61" t="str">
            <v>Less than 50 kW Time of Use</v>
          </cell>
          <cell r="E61" t="str">
            <v>D</v>
          </cell>
          <cell r="F61" t="str">
            <v/>
          </cell>
          <cell r="G61" t="str">
            <v/>
          </cell>
          <cell r="H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1000</v>
          </cell>
          <cell r="AD61">
            <v>0</v>
          </cell>
          <cell r="AE61">
            <v>2000</v>
          </cell>
          <cell r="AF61">
            <v>0</v>
          </cell>
          <cell r="AG61">
            <v>5000</v>
          </cell>
          <cell r="AH61">
            <v>0</v>
          </cell>
          <cell r="AI61">
            <v>10000</v>
          </cell>
          <cell r="AJ61">
            <v>0</v>
          </cell>
          <cell r="AK61">
            <v>15000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</v>
          </cell>
          <cell r="AR61" t="str">
            <v>kWh</v>
          </cell>
          <cell r="AS61" t="str">
            <v/>
          </cell>
        </row>
        <row r="62">
          <cell r="B62">
            <v>48</v>
          </cell>
          <cell r="C62" t="str">
            <v>GENERAL SERVICE</v>
          </cell>
          <cell r="D62" t="str">
            <v>Other &lt; 50 kW (specify) .</v>
          </cell>
          <cell r="E62" t="str">
            <v>A</v>
          </cell>
          <cell r="F62" t="str">
            <v/>
          </cell>
          <cell r="G62" t="str">
            <v/>
          </cell>
          <cell r="H62">
            <v>0</v>
          </cell>
          <cell r="K62">
            <v>0</v>
          </cell>
          <cell r="L62">
            <v>0</v>
          </cell>
          <cell r="M62">
            <v>0</v>
          </cell>
          <cell r="Q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1000</v>
          </cell>
          <cell r="AD62">
            <v>0</v>
          </cell>
          <cell r="AE62">
            <v>2000</v>
          </cell>
          <cell r="AF62">
            <v>0</v>
          </cell>
          <cell r="AG62">
            <v>5000</v>
          </cell>
          <cell r="AH62">
            <v>0</v>
          </cell>
          <cell r="AI62">
            <v>10000</v>
          </cell>
          <cell r="AJ62">
            <v>0</v>
          </cell>
          <cell r="AK62">
            <v>15000</v>
          </cell>
          <cell r="AQ62">
            <v>5</v>
          </cell>
          <cell r="AR62" t="str">
            <v>kWh</v>
          </cell>
          <cell r="AS62" t="str">
            <v/>
          </cell>
        </row>
        <row r="63">
          <cell r="B63">
            <v>49</v>
          </cell>
          <cell r="C63" t="str">
            <v>GENERAL SERVICE</v>
          </cell>
          <cell r="D63" t="str">
            <v>Other &lt; 50 kW (specify) .</v>
          </cell>
          <cell r="E63" t="str">
            <v>B</v>
          </cell>
          <cell r="F63" t="str">
            <v/>
          </cell>
          <cell r="G63" t="str">
            <v/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1000</v>
          </cell>
          <cell r="AD63">
            <v>0</v>
          </cell>
          <cell r="AE63">
            <v>2000</v>
          </cell>
          <cell r="AF63">
            <v>0</v>
          </cell>
          <cell r="AG63">
            <v>5000</v>
          </cell>
          <cell r="AH63">
            <v>0</v>
          </cell>
          <cell r="AI63">
            <v>10000</v>
          </cell>
          <cell r="AJ63">
            <v>0</v>
          </cell>
          <cell r="AK63">
            <v>15000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</v>
          </cell>
          <cell r="AR63" t="str">
            <v>kWh</v>
          </cell>
          <cell r="AS63" t="str">
            <v/>
          </cell>
        </row>
        <row r="64">
          <cell r="B64">
            <v>50</v>
          </cell>
          <cell r="C64" t="str">
            <v>GENERAL SERVICE</v>
          </cell>
          <cell r="D64" t="str">
            <v>Other &lt; 50 kW (specify) .</v>
          </cell>
          <cell r="E64" t="str">
            <v>C</v>
          </cell>
          <cell r="F64" t="str">
            <v/>
          </cell>
          <cell r="G64" t="str">
            <v/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1000</v>
          </cell>
          <cell r="AD64">
            <v>0</v>
          </cell>
          <cell r="AE64">
            <v>2000</v>
          </cell>
          <cell r="AF64">
            <v>0</v>
          </cell>
          <cell r="AG64">
            <v>5000</v>
          </cell>
          <cell r="AH64">
            <v>0</v>
          </cell>
          <cell r="AI64">
            <v>10000</v>
          </cell>
          <cell r="AJ64">
            <v>0</v>
          </cell>
          <cell r="AK64">
            <v>15000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</v>
          </cell>
          <cell r="AR64" t="str">
            <v>kWh</v>
          </cell>
          <cell r="AS64" t="str">
            <v/>
          </cell>
        </row>
        <row r="65">
          <cell r="B65">
            <v>51</v>
          </cell>
          <cell r="C65" t="str">
            <v>GENERAL SERVICE</v>
          </cell>
          <cell r="D65" t="str">
            <v>Other &lt; 50 kW (specify) .</v>
          </cell>
          <cell r="E65" t="str">
            <v>D</v>
          </cell>
          <cell r="F65" t="str">
            <v/>
          </cell>
          <cell r="G65" t="str">
            <v/>
          </cell>
          <cell r="H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1000</v>
          </cell>
          <cell r="AD65">
            <v>0</v>
          </cell>
          <cell r="AE65">
            <v>2000</v>
          </cell>
          <cell r="AF65">
            <v>0</v>
          </cell>
          <cell r="AG65">
            <v>5000</v>
          </cell>
          <cell r="AH65">
            <v>0</v>
          </cell>
          <cell r="AI65">
            <v>10000</v>
          </cell>
          <cell r="AJ65">
            <v>0</v>
          </cell>
          <cell r="AK65">
            <v>15000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5</v>
          </cell>
          <cell r="AR65" t="str">
            <v>kWh</v>
          </cell>
          <cell r="AS65" t="str">
            <v/>
          </cell>
        </row>
        <row r="66">
          <cell r="B66">
            <v>52</v>
          </cell>
          <cell r="C66" t="str">
            <v>GENERAL SERVICE</v>
          </cell>
          <cell r="D66" t="str">
            <v>Greater than 50 kW (to 3000 kW)</v>
          </cell>
          <cell r="E66" t="str">
            <v>A</v>
          </cell>
          <cell r="F66" t="str">
            <v/>
          </cell>
          <cell r="G66" t="str">
            <v/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15000</v>
          </cell>
          <cell r="AD66">
            <v>60</v>
          </cell>
          <cell r="AE66">
            <v>40000</v>
          </cell>
          <cell r="AF66">
            <v>100</v>
          </cell>
          <cell r="AG66">
            <v>100000</v>
          </cell>
          <cell r="AH66">
            <v>500</v>
          </cell>
          <cell r="AI66">
            <v>400000</v>
          </cell>
          <cell r="AJ66">
            <v>1000</v>
          </cell>
          <cell r="AK66">
            <v>1000000</v>
          </cell>
          <cell r="AL66">
            <v>3000</v>
          </cell>
          <cell r="AQ66">
            <v>5</v>
          </cell>
          <cell r="AR66" t="str">
            <v>kW</v>
          </cell>
          <cell r="AS66" t="str">
            <v/>
          </cell>
        </row>
        <row r="67">
          <cell r="B67">
            <v>53</v>
          </cell>
          <cell r="C67" t="str">
            <v>GENERAL SERVICE</v>
          </cell>
          <cell r="D67" t="str">
            <v>Greater than 50 kW (to 3000 kW)</v>
          </cell>
          <cell r="E67" t="str">
            <v>B</v>
          </cell>
          <cell r="F67" t="str">
            <v/>
          </cell>
          <cell r="G67" t="str">
            <v/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15000</v>
          </cell>
          <cell r="AD67">
            <v>60</v>
          </cell>
          <cell r="AE67">
            <v>40000</v>
          </cell>
          <cell r="AF67">
            <v>100</v>
          </cell>
          <cell r="AG67">
            <v>100000</v>
          </cell>
          <cell r="AH67">
            <v>500</v>
          </cell>
          <cell r="AI67">
            <v>400000</v>
          </cell>
          <cell r="AJ67">
            <v>1000</v>
          </cell>
          <cell r="AK67">
            <v>1000000</v>
          </cell>
          <cell r="AL67">
            <v>3000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</v>
          </cell>
          <cell r="AR67" t="str">
            <v>kW</v>
          </cell>
          <cell r="AS67" t="str">
            <v/>
          </cell>
        </row>
        <row r="68">
          <cell r="B68">
            <v>54</v>
          </cell>
          <cell r="C68" t="str">
            <v>GENERAL SERVICE</v>
          </cell>
          <cell r="D68" t="str">
            <v>Greater than 50 kW (to 3000 kW)</v>
          </cell>
          <cell r="E68" t="str">
            <v>C</v>
          </cell>
          <cell r="F68" t="str">
            <v/>
          </cell>
          <cell r="G68" t="str">
            <v/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15000</v>
          </cell>
          <cell r="AD68">
            <v>60</v>
          </cell>
          <cell r="AE68">
            <v>40000</v>
          </cell>
          <cell r="AF68">
            <v>100</v>
          </cell>
          <cell r="AG68">
            <v>100000</v>
          </cell>
          <cell r="AH68">
            <v>500</v>
          </cell>
          <cell r="AI68">
            <v>400000</v>
          </cell>
          <cell r="AJ68">
            <v>1000</v>
          </cell>
          <cell r="AK68">
            <v>1000000</v>
          </cell>
          <cell r="AL68">
            <v>3000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</v>
          </cell>
          <cell r="AR68" t="str">
            <v>kW</v>
          </cell>
          <cell r="AS68" t="str">
            <v/>
          </cell>
        </row>
        <row r="69">
          <cell r="B69">
            <v>55</v>
          </cell>
          <cell r="C69" t="str">
            <v>GENERAL SERVICE</v>
          </cell>
          <cell r="D69" t="str">
            <v>Greater than 50 kW (to 3000 kW)</v>
          </cell>
          <cell r="E69" t="str">
            <v>D</v>
          </cell>
          <cell r="F69" t="str">
            <v/>
          </cell>
          <cell r="G69" t="str">
            <v/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15000</v>
          </cell>
          <cell r="AD69">
            <v>60</v>
          </cell>
          <cell r="AE69">
            <v>40000</v>
          </cell>
          <cell r="AF69">
            <v>100</v>
          </cell>
          <cell r="AG69">
            <v>100000</v>
          </cell>
          <cell r="AH69">
            <v>500</v>
          </cell>
          <cell r="AI69">
            <v>400000</v>
          </cell>
          <cell r="AJ69">
            <v>1000</v>
          </cell>
          <cell r="AK69">
            <v>1000000</v>
          </cell>
          <cell r="AL69">
            <v>3000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5</v>
          </cell>
          <cell r="AR69" t="str">
            <v>kW</v>
          </cell>
          <cell r="AS69" t="str">
            <v/>
          </cell>
        </row>
        <row r="70">
          <cell r="B70">
            <v>56</v>
          </cell>
          <cell r="C70" t="str">
            <v>GENERAL SERVICE</v>
          </cell>
          <cell r="D70" t="str">
            <v>Greater than 50 kW Time of Use</v>
          </cell>
          <cell r="E70" t="str">
            <v>A</v>
          </cell>
          <cell r="F70" t="str">
            <v/>
          </cell>
          <cell r="G70" t="str">
            <v/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15000</v>
          </cell>
          <cell r="AD70">
            <v>60</v>
          </cell>
          <cell r="AE70">
            <v>40000</v>
          </cell>
          <cell r="AF70">
            <v>100</v>
          </cell>
          <cell r="AG70">
            <v>100000</v>
          </cell>
          <cell r="AH70">
            <v>500</v>
          </cell>
          <cell r="AI70">
            <v>400000</v>
          </cell>
          <cell r="AJ70">
            <v>1000</v>
          </cell>
          <cell r="AK70">
            <v>1000000</v>
          </cell>
          <cell r="AL70">
            <v>3000</v>
          </cell>
          <cell r="AQ70">
            <v>5</v>
          </cell>
          <cell r="AR70" t="str">
            <v>kW</v>
          </cell>
          <cell r="AS70" t="str">
            <v/>
          </cell>
        </row>
        <row r="71">
          <cell r="B71">
            <v>57</v>
          </cell>
          <cell r="C71" t="str">
            <v>GENERAL SERVICE</v>
          </cell>
          <cell r="D71" t="str">
            <v>Greater than 50 kW Time of Use</v>
          </cell>
          <cell r="E71" t="str">
            <v>B</v>
          </cell>
          <cell r="F71" t="str">
            <v/>
          </cell>
          <cell r="G71" t="str">
            <v/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  <cell r="AD71">
            <v>60</v>
          </cell>
          <cell r="AE71">
            <v>40000</v>
          </cell>
          <cell r="AF71">
            <v>100</v>
          </cell>
          <cell r="AG71">
            <v>100000</v>
          </cell>
          <cell r="AH71">
            <v>500</v>
          </cell>
          <cell r="AI71">
            <v>400000</v>
          </cell>
          <cell r="AJ71">
            <v>1000</v>
          </cell>
          <cell r="AK71">
            <v>1000000</v>
          </cell>
          <cell r="AL71">
            <v>3000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5</v>
          </cell>
          <cell r="AR71" t="str">
            <v>kW</v>
          </cell>
          <cell r="AS71" t="str">
            <v/>
          </cell>
        </row>
        <row r="72">
          <cell r="B72">
            <v>58</v>
          </cell>
          <cell r="C72" t="str">
            <v>GENERAL SERVICE</v>
          </cell>
          <cell r="D72" t="str">
            <v>Greater than 50 kW Time of Use</v>
          </cell>
          <cell r="E72" t="str">
            <v>C</v>
          </cell>
          <cell r="F72" t="str">
            <v/>
          </cell>
          <cell r="G72" t="str">
            <v/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  <cell r="Q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15000</v>
          </cell>
          <cell r="AD72">
            <v>60</v>
          </cell>
          <cell r="AE72">
            <v>40000</v>
          </cell>
          <cell r="AF72">
            <v>100</v>
          </cell>
          <cell r="AG72">
            <v>100000</v>
          </cell>
          <cell r="AH72">
            <v>500</v>
          </cell>
          <cell r="AI72">
            <v>400000</v>
          </cell>
          <cell r="AJ72">
            <v>1000</v>
          </cell>
          <cell r="AK72">
            <v>1000000</v>
          </cell>
          <cell r="AL72">
            <v>3000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5</v>
          </cell>
          <cell r="AR72" t="str">
            <v>kW</v>
          </cell>
          <cell r="AS72" t="str">
            <v/>
          </cell>
        </row>
        <row r="73">
          <cell r="B73">
            <v>59</v>
          </cell>
          <cell r="C73" t="str">
            <v>GENERAL SERVICE</v>
          </cell>
          <cell r="D73" t="str">
            <v>Greater than 50 kW Time of Use</v>
          </cell>
          <cell r="E73" t="str">
            <v>D</v>
          </cell>
          <cell r="F73" t="str">
            <v/>
          </cell>
          <cell r="G73" t="str">
            <v/>
          </cell>
          <cell r="H73">
            <v>0</v>
          </cell>
          <cell r="K73">
            <v>0</v>
          </cell>
          <cell r="L73">
            <v>0</v>
          </cell>
          <cell r="M73">
            <v>0</v>
          </cell>
          <cell r="P73">
            <v>0</v>
          </cell>
          <cell r="Q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15000</v>
          </cell>
          <cell r="AD73">
            <v>60</v>
          </cell>
          <cell r="AE73">
            <v>40000</v>
          </cell>
          <cell r="AF73">
            <v>100</v>
          </cell>
          <cell r="AG73">
            <v>100000</v>
          </cell>
          <cell r="AH73">
            <v>500</v>
          </cell>
          <cell r="AI73">
            <v>400000</v>
          </cell>
          <cell r="AJ73">
            <v>1000</v>
          </cell>
          <cell r="AK73">
            <v>1000000</v>
          </cell>
          <cell r="AL73">
            <v>3000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5</v>
          </cell>
          <cell r="AR73" t="str">
            <v>kW</v>
          </cell>
          <cell r="AS73" t="str">
            <v/>
          </cell>
        </row>
        <row r="74">
          <cell r="B74">
            <v>60</v>
          </cell>
          <cell r="C74" t="str">
            <v>GENERAL SERVICE</v>
          </cell>
          <cell r="D74" t="str">
            <v>Other &gt; 50 kW (specify) .CoGen - Distribution</v>
          </cell>
          <cell r="E74" t="str">
            <v>A</v>
          </cell>
          <cell r="F74" t="str">
            <v>X</v>
          </cell>
          <cell r="G74" t="str">
            <v>X</v>
          </cell>
          <cell r="H74">
            <v>0</v>
          </cell>
          <cell r="I74">
            <v>0.0062</v>
          </cell>
          <cell r="J74">
            <v>0.007</v>
          </cell>
          <cell r="K74">
            <v>0.0132</v>
          </cell>
          <cell r="L74">
            <v>0.0132</v>
          </cell>
          <cell r="M74">
            <v>5.1</v>
          </cell>
          <cell r="P74">
            <v>5.1</v>
          </cell>
          <cell r="Q74">
            <v>5.358997550018666</v>
          </cell>
          <cell r="R74">
            <v>0.0631</v>
          </cell>
          <cell r="S74">
            <v>0.0631</v>
          </cell>
          <cell r="T74">
            <v>1.0422</v>
          </cell>
          <cell r="U74">
            <v>1.0421</v>
          </cell>
          <cell r="V74">
            <v>0</v>
          </cell>
          <cell r="W74">
            <v>3.8577</v>
          </cell>
          <cell r="X74">
            <v>2480.78</v>
          </cell>
          <cell r="Y74">
            <v>0</v>
          </cell>
          <cell r="Z74">
            <v>4.586031579662963</v>
          </cell>
          <cell r="AA74">
            <v>3001.387260332978</v>
          </cell>
          <cell r="AB74">
            <v>0.0668</v>
          </cell>
          <cell r="AC74">
            <v>206784.25555555557</v>
          </cell>
          <cell r="AD74">
            <v>484.50833333333327</v>
          </cell>
          <cell r="AQ74">
            <v>1</v>
          </cell>
          <cell r="AR74" t="str">
            <v>kW</v>
          </cell>
          <cell r="AS74" t="str">
            <v>X</v>
          </cell>
        </row>
        <row r="75">
          <cell r="B75">
            <v>61</v>
          </cell>
          <cell r="C75" t="str">
            <v>GENERAL SERVICE</v>
          </cell>
          <cell r="D75" t="str">
            <v>Other &gt; 50 kW (specify) .CoGen - Distribution</v>
          </cell>
          <cell r="E75" t="str">
            <v>B</v>
          </cell>
          <cell r="F75" t="str">
            <v/>
          </cell>
          <cell r="G75" t="str">
            <v/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206784.25555555557</v>
          </cell>
          <cell r="AD75">
            <v>484.50833333333327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</v>
          </cell>
          <cell r="AR75" t="str">
            <v>kW</v>
          </cell>
          <cell r="AS75" t="str">
            <v/>
          </cell>
        </row>
        <row r="76">
          <cell r="B76">
            <v>62</v>
          </cell>
          <cell r="C76" t="str">
            <v>GENERAL SERVICE</v>
          </cell>
          <cell r="D76" t="str">
            <v>Other &gt; 50 kW (specify) .CoGen - Distribution</v>
          </cell>
          <cell r="E76" t="str">
            <v>C</v>
          </cell>
          <cell r="F76" t="str">
            <v/>
          </cell>
          <cell r="G76" t="str">
            <v/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T76">
            <v>1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206784.25555555557</v>
          </cell>
          <cell r="AD76">
            <v>484.50833333333327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</v>
          </cell>
          <cell r="AR76" t="str">
            <v>kW</v>
          </cell>
          <cell r="AS76" t="str">
            <v/>
          </cell>
        </row>
        <row r="77">
          <cell r="B77">
            <v>63</v>
          </cell>
          <cell r="C77" t="str">
            <v>GENERAL SERVICE</v>
          </cell>
          <cell r="D77" t="str">
            <v>Other &gt; 50 kW (specify) .CoGen - Distribution</v>
          </cell>
          <cell r="E77" t="str">
            <v>D</v>
          </cell>
          <cell r="F77" t="str">
            <v/>
          </cell>
          <cell r="G77" t="str">
            <v/>
          </cell>
          <cell r="H77">
            <v>0</v>
          </cell>
          <cell r="K77">
            <v>0</v>
          </cell>
          <cell r="L77">
            <v>0</v>
          </cell>
          <cell r="M77">
            <v>0</v>
          </cell>
          <cell r="P77">
            <v>0</v>
          </cell>
          <cell r="Q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206784.25555555557</v>
          </cell>
          <cell r="AD77">
            <v>484.50833333333327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1</v>
          </cell>
          <cell r="AR77" t="str">
            <v>kW</v>
          </cell>
          <cell r="AS77" t="str">
            <v/>
          </cell>
        </row>
        <row r="78">
          <cell r="B78">
            <v>64</v>
          </cell>
          <cell r="C78" t="str">
            <v>GENERAL SERVICE</v>
          </cell>
          <cell r="D78" t="str">
            <v>Other &gt; 50 kW (specify) .Blended Non &amp; TOU Rates</v>
          </cell>
          <cell r="E78" t="str">
            <v>A</v>
          </cell>
          <cell r="F78" t="str">
            <v>X</v>
          </cell>
          <cell r="G78" t="str">
            <v>X</v>
          </cell>
          <cell r="H78">
            <v>0</v>
          </cell>
          <cell r="I78">
            <v>0.0062</v>
          </cell>
          <cell r="J78">
            <v>0.007</v>
          </cell>
          <cell r="K78">
            <v>0.0132</v>
          </cell>
          <cell r="L78">
            <v>0.0132</v>
          </cell>
          <cell r="M78">
            <v>3.3886</v>
          </cell>
          <cell r="P78">
            <v>3.3886</v>
          </cell>
          <cell r="Q78">
            <v>3.5585544834309846</v>
          </cell>
          <cell r="R78">
            <v>0.0631</v>
          </cell>
          <cell r="S78">
            <v>0.0631</v>
          </cell>
          <cell r="T78">
            <v>1.0422</v>
          </cell>
          <cell r="U78">
            <v>1.0421</v>
          </cell>
          <cell r="V78">
            <v>0</v>
          </cell>
          <cell r="W78">
            <v>1.7029</v>
          </cell>
          <cell r="X78">
            <v>201.12</v>
          </cell>
          <cell r="Y78">
            <v>0</v>
          </cell>
          <cell r="Z78">
            <v>1.2893884885616216</v>
          </cell>
          <cell r="AA78">
            <v>237.05032580306187</v>
          </cell>
          <cell r="AB78">
            <v>0.6077</v>
          </cell>
          <cell r="AC78">
            <v>15000</v>
          </cell>
          <cell r="AD78">
            <v>60</v>
          </cell>
          <cell r="AE78">
            <v>40000</v>
          </cell>
          <cell r="AF78">
            <v>100</v>
          </cell>
          <cell r="AG78">
            <v>100000</v>
          </cell>
          <cell r="AH78">
            <v>500</v>
          </cell>
          <cell r="AI78">
            <v>400000</v>
          </cell>
          <cell r="AJ78">
            <v>1000</v>
          </cell>
          <cell r="AK78">
            <v>1000000</v>
          </cell>
          <cell r="AL78">
            <v>3000</v>
          </cell>
          <cell r="AQ78">
            <v>5</v>
          </cell>
          <cell r="AR78" t="str">
            <v>kW</v>
          </cell>
          <cell r="AS78" t="str">
            <v>X</v>
          </cell>
        </row>
        <row r="79">
          <cell r="B79">
            <v>65</v>
          </cell>
          <cell r="C79" t="str">
            <v>GENERAL SERVICE</v>
          </cell>
          <cell r="D79" t="str">
            <v>Other &gt; 50 kW (specify) .Blended Non &amp; TOU Rates</v>
          </cell>
          <cell r="E79" t="str">
            <v>B</v>
          </cell>
          <cell r="F79" t="str">
            <v/>
          </cell>
          <cell r="G79" t="str">
            <v/>
          </cell>
          <cell r="H79">
            <v>0</v>
          </cell>
          <cell r="K79">
            <v>0</v>
          </cell>
          <cell r="L79">
            <v>0</v>
          </cell>
          <cell r="M79">
            <v>0</v>
          </cell>
          <cell r="P79">
            <v>0</v>
          </cell>
          <cell r="Q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15000</v>
          </cell>
          <cell r="AD79">
            <v>60</v>
          </cell>
          <cell r="AE79">
            <v>40000</v>
          </cell>
          <cell r="AF79">
            <v>100</v>
          </cell>
          <cell r="AG79">
            <v>100000</v>
          </cell>
          <cell r="AH79">
            <v>500</v>
          </cell>
          <cell r="AI79">
            <v>400000</v>
          </cell>
          <cell r="AJ79">
            <v>1000</v>
          </cell>
          <cell r="AK79">
            <v>1000000</v>
          </cell>
          <cell r="AL79">
            <v>3000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5</v>
          </cell>
          <cell r="AR79" t="str">
            <v>kW</v>
          </cell>
          <cell r="AS79" t="str">
            <v/>
          </cell>
        </row>
        <row r="80">
          <cell r="B80">
            <v>66</v>
          </cell>
          <cell r="C80" t="str">
            <v>GENERAL SERVICE</v>
          </cell>
          <cell r="D80" t="str">
            <v>Other &gt; 50 kW (specify) .Blended Non &amp; TOU Rates</v>
          </cell>
          <cell r="E80" t="str">
            <v>C</v>
          </cell>
          <cell r="F80" t="str">
            <v/>
          </cell>
          <cell r="G80" t="str">
            <v/>
          </cell>
          <cell r="H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15000</v>
          </cell>
          <cell r="AD80">
            <v>60</v>
          </cell>
          <cell r="AE80">
            <v>40000</v>
          </cell>
          <cell r="AF80">
            <v>100</v>
          </cell>
          <cell r="AG80">
            <v>100000</v>
          </cell>
          <cell r="AH80">
            <v>500</v>
          </cell>
          <cell r="AI80">
            <v>400000</v>
          </cell>
          <cell r="AJ80">
            <v>1000</v>
          </cell>
          <cell r="AK80">
            <v>1000000</v>
          </cell>
          <cell r="AL80">
            <v>3000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5</v>
          </cell>
          <cell r="AR80" t="str">
            <v>kW</v>
          </cell>
          <cell r="AS80" t="str">
            <v/>
          </cell>
        </row>
        <row r="81">
          <cell r="B81">
            <v>67</v>
          </cell>
          <cell r="C81" t="str">
            <v>GENERAL SERVICE</v>
          </cell>
          <cell r="D81" t="str">
            <v>Other &gt; 50 kW (specify) .Blended Non &amp; TOU Rates</v>
          </cell>
          <cell r="E81" t="str">
            <v>D</v>
          </cell>
          <cell r="F81" t="str">
            <v/>
          </cell>
          <cell r="G81" t="str">
            <v/>
          </cell>
          <cell r="H81">
            <v>0</v>
          </cell>
          <cell r="K81">
            <v>0</v>
          </cell>
          <cell r="L81">
            <v>0</v>
          </cell>
          <cell r="M81">
            <v>0</v>
          </cell>
          <cell r="P81">
            <v>0</v>
          </cell>
          <cell r="Q81">
            <v>0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15000</v>
          </cell>
          <cell r="AD81">
            <v>60</v>
          </cell>
          <cell r="AE81">
            <v>40000</v>
          </cell>
          <cell r="AF81">
            <v>100</v>
          </cell>
          <cell r="AG81">
            <v>100000</v>
          </cell>
          <cell r="AH81">
            <v>500</v>
          </cell>
          <cell r="AI81">
            <v>400000</v>
          </cell>
          <cell r="AJ81">
            <v>1000</v>
          </cell>
          <cell r="AK81">
            <v>1000000</v>
          </cell>
          <cell r="AL81">
            <v>3000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5</v>
          </cell>
          <cell r="AR81" t="str">
            <v>kW</v>
          </cell>
          <cell r="AS81" t="str">
            <v/>
          </cell>
        </row>
        <row r="82">
          <cell r="B82">
            <v>68</v>
          </cell>
          <cell r="C82" t="str">
            <v>GENERAL SERVICE</v>
          </cell>
          <cell r="D82" t="str">
            <v>Other &gt; 50 kW (specify) .</v>
          </cell>
          <cell r="E82" t="str">
            <v>A</v>
          </cell>
          <cell r="F82" t="str">
            <v/>
          </cell>
          <cell r="G82" t="str">
            <v/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Q82">
            <v>0</v>
          </cell>
          <cell r="AR82" t="str">
            <v>kW</v>
          </cell>
          <cell r="AS82" t="str">
            <v/>
          </cell>
        </row>
        <row r="83">
          <cell r="B83">
            <v>69</v>
          </cell>
          <cell r="C83" t="str">
            <v>GENERAL SERVICE</v>
          </cell>
          <cell r="D83" t="str">
            <v>Other &gt; 50 kW (specify) .</v>
          </cell>
          <cell r="E83" t="str">
            <v>B</v>
          </cell>
          <cell r="F83" t="str">
            <v/>
          </cell>
          <cell r="G83" t="str">
            <v/>
          </cell>
          <cell r="H83">
            <v>0</v>
          </cell>
          <cell r="K83">
            <v>0</v>
          </cell>
          <cell r="L83">
            <v>0</v>
          </cell>
          <cell r="M83">
            <v>0</v>
          </cell>
          <cell r="P83">
            <v>0</v>
          </cell>
          <cell r="Q83">
            <v>0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 t="str">
            <v>kW</v>
          </cell>
          <cell r="AS83" t="str">
            <v/>
          </cell>
        </row>
        <row r="84">
          <cell r="B84">
            <v>70</v>
          </cell>
          <cell r="C84" t="str">
            <v>GENERAL SERVICE</v>
          </cell>
          <cell r="D84" t="str">
            <v>Other &gt; 50 kW (specify) .</v>
          </cell>
          <cell r="E84" t="str">
            <v>C</v>
          </cell>
          <cell r="F84" t="str">
            <v/>
          </cell>
          <cell r="G84" t="str">
            <v/>
          </cell>
          <cell r="H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 t="str">
            <v>kW</v>
          </cell>
          <cell r="AS84" t="str">
            <v/>
          </cell>
        </row>
        <row r="85">
          <cell r="B85">
            <v>71</v>
          </cell>
          <cell r="C85" t="str">
            <v>GENERAL SERVICE</v>
          </cell>
          <cell r="D85" t="str">
            <v>Other &gt; 50 kW (specify) .</v>
          </cell>
          <cell r="E85" t="str">
            <v>D</v>
          </cell>
          <cell r="F85" t="str">
            <v/>
          </cell>
          <cell r="G85" t="str">
            <v/>
          </cell>
          <cell r="H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 t="str">
            <v>kW</v>
          </cell>
          <cell r="AS85" t="str">
            <v/>
          </cell>
        </row>
        <row r="86">
          <cell r="B86">
            <v>72</v>
          </cell>
          <cell r="C86" t="str">
            <v>GENERAL SERVICE</v>
          </cell>
          <cell r="D86" t="str">
            <v>Intermediate Use  (3000 - 5000 kW)</v>
          </cell>
          <cell r="E86" t="str">
            <v>A</v>
          </cell>
          <cell r="F86" t="str">
            <v/>
          </cell>
          <cell r="G86" t="str">
            <v/>
          </cell>
          <cell r="H86">
            <v>0</v>
          </cell>
          <cell r="K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800000</v>
          </cell>
          <cell r="AD86">
            <v>3000</v>
          </cell>
          <cell r="AE86">
            <v>1000000</v>
          </cell>
          <cell r="AF86">
            <v>3000</v>
          </cell>
          <cell r="AG86">
            <v>1200000</v>
          </cell>
          <cell r="AH86">
            <v>4000</v>
          </cell>
          <cell r="AI86">
            <v>1800000</v>
          </cell>
          <cell r="AJ86">
            <v>4000</v>
          </cell>
          <cell r="AQ86">
            <v>4</v>
          </cell>
          <cell r="AR86" t="str">
            <v>kW</v>
          </cell>
          <cell r="AS86" t="str">
            <v/>
          </cell>
        </row>
        <row r="87">
          <cell r="B87">
            <v>73</v>
          </cell>
          <cell r="C87" t="str">
            <v>GENERAL SERVICE</v>
          </cell>
          <cell r="D87" t="str">
            <v>Intermediate Use </v>
          </cell>
          <cell r="E87" t="str">
            <v>B</v>
          </cell>
          <cell r="F87" t="str">
            <v/>
          </cell>
          <cell r="G87" t="str">
            <v/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800000</v>
          </cell>
          <cell r="AD87">
            <v>3000</v>
          </cell>
          <cell r="AE87">
            <v>1000000</v>
          </cell>
          <cell r="AF87">
            <v>3000</v>
          </cell>
          <cell r="AG87">
            <v>1200000</v>
          </cell>
          <cell r="AH87">
            <v>4000</v>
          </cell>
          <cell r="AI87">
            <v>1800000</v>
          </cell>
          <cell r="AJ87">
            <v>4000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</v>
          </cell>
          <cell r="AR87" t="str">
            <v>kW</v>
          </cell>
          <cell r="AS87" t="str">
            <v/>
          </cell>
        </row>
        <row r="88">
          <cell r="B88">
            <v>74</v>
          </cell>
          <cell r="C88" t="str">
            <v>GENERAL SERVICE</v>
          </cell>
          <cell r="D88" t="str">
            <v>Intermediate Use </v>
          </cell>
          <cell r="E88" t="str">
            <v>C</v>
          </cell>
          <cell r="F88" t="str">
            <v/>
          </cell>
          <cell r="G88" t="str">
            <v/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800000</v>
          </cell>
          <cell r="AD88">
            <v>3000</v>
          </cell>
          <cell r="AE88">
            <v>1000000</v>
          </cell>
          <cell r="AF88">
            <v>3000</v>
          </cell>
          <cell r="AG88">
            <v>1200000</v>
          </cell>
          <cell r="AH88">
            <v>4000</v>
          </cell>
          <cell r="AI88">
            <v>1800000</v>
          </cell>
          <cell r="AJ88">
            <v>4000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</v>
          </cell>
          <cell r="AR88" t="str">
            <v>kW</v>
          </cell>
          <cell r="AS88" t="str">
            <v/>
          </cell>
        </row>
        <row r="89">
          <cell r="B89">
            <v>75</v>
          </cell>
          <cell r="C89" t="str">
            <v>GENERAL SERVICE</v>
          </cell>
          <cell r="D89" t="str">
            <v>Intermediate Use </v>
          </cell>
          <cell r="E89" t="str">
            <v>D</v>
          </cell>
          <cell r="F89" t="str">
            <v/>
          </cell>
          <cell r="G89" t="str">
            <v/>
          </cell>
          <cell r="H89">
            <v>0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800000</v>
          </cell>
          <cell r="AD89">
            <v>3000</v>
          </cell>
          <cell r="AE89">
            <v>1000000</v>
          </cell>
          <cell r="AF89">
            <v>3000</v>
          </cell>
          <cell r="AG89">
            <v>1200000</v>
          </cell>
          <cell r="AH89">
            <v>4000</v>
          </cell>
          <cell r="AI89">
            <v>1800000</v>
          </cell>
          <cell r="AJ89">
            <v>4000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4</v>
          </cell>
          <cell r="AR89" t="str">
            <v>kW</v>
          </cell>
          <cell r="AS89" t="str">
            <v/>
          </cell>
        </row>
        <row r="90">
          <cell r="B90">
            <v>76</v>
          </cell>
          <cell r="C90" t="str">
            <v>GENERAL SERVICE</v>
          </cell>
          <cell r="D90" t="str">
            <v>Large Use (&gt; 5000 kW)</v>
          </cell>
          <cell r="E90" t="str">
            <v>A</v>
          </cell>
          <cell r="F90" t="str">
            <v>X</v>
          </cell>
          <cell r="G90" t="str">
            <v>X</v>
          </cell>
          <cell r="H90">
            <v>0</v>
          </cell>
          <cell r="I90">
            <v>0.0062</v>
          </cell>
          <cell r="J90">
            <v>0.007</v>
          </cell>
          <cell r="K90">
            <v>0.0132</v>
          </cell>
          <cell r="L90">
            <v>0.0132</v>
          </cell>
          <cell r="M90">
            <v>4.5756</v>
          </cell>
          <cell r="P90">
            <v>4.5756</v>
          </cell>
          <cell r="Q90">
            <v>4.801480002060249</v>
          </cell>
          <cell r="R90">
            <v>0.0631</v>
          </cell>
          <cell r="S90">
            <v>0.0631</v>
          </cell>
          <cell r="T90">
            <v>1.0147</v>
          </cell>
          <cell r="U90">
            <v>1.0147</v>
          </cell>
          <cell r="V90">
            <v>0</v>
          </cell>
          <cell r="W90">
            <v>1.3474</v>
          </cell>
          <cell r="X90">
            <v>11398.07</v>
          </cell>
          <cell r="Y90">
            <v>0</v>
          </cell>
          <cell r="Z90">
            <v>1.4463533260726062</v>
          </cell>
          <cell r="AA90">
            <v>13402.136885056816</v>
          </cell>
          <cell r="AB90">
            <v>0.1173</v>
          </cell>
          <cell r="AC90">
            <v>2800000</v>
          </cell>
          <cell r="AD90">
            <v>6000</v>
          </cell>
          <cell r="AE90">
            <v>10000000</v>
          </cell>
          <cell r="AF90">
            <v>15000</v>
          </cell>
          <cell r="AG90">
            <v>1200000</v>
          </cell>
          <cell r="AQ90">
            <v>3</v>
          </cell>
          <cell r="AR90" t="str">
            <v>kW</v>
          </cell>
          <cell r="AS90" t="str">
            <v>X</v>
          </cell>
        </row>
        <row r="91">
          <cell r="B91">
            <v>77</v>
          </cell>
          <cell r="C91" t="str">
            <v>GENERAL SERVICE</v>
          </cell>
          <cell r="D91" t="str">
            <v>Large Use (&gt; 5000 kW)</v>
          </cell>
          <cell r="E91" t="str">
            <v>B</v>
          </cell>
          <cell r="F91" t="str">
            <v/>
          </cell>
          <cell r="G91" t="str">
            <v/>
          </cell>
          <cell r="H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T91">
            <v>1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2800000</v>
          </cell>
          <cell r="AD91">
            <v>6000</v>
          </cell>
          <cell r="AE91">
            <v>10000000</v>
          </cell>
          <cell r="AF91">
            <v>15000</v>
          </cell>
          <cell r="AG91">
            <v>1200000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</v>
          </cell>
          <cell r="AR91" t="str">
            <v>kW</v>
          </cell>
          <cell r="AS91" t="str">
            <v/>
          </cell>
        </row>
        <row r="92">
          <cell r="B92">
            <v>78</v>
          </cell>
          <cell r="C92" t="str">
            <v>GENERAL SERVICE</v>
          </cell>
          <cell r="D92" t="str">
            <v>Large Use (&gt; 5000 kW)</v>
          </cell>
          <cell r="E92" t="str">
            <v>C</v>
          </cell>
          <cell r="F92" t="str">
            <v/>
          </cell>
          <cell r="G92" t="str">
            <v/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P92">
            <v>0</v>
          </cell>
          <cell r="Q92">
            <v>0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2800000</v>
          </cell>
          <cell r="AD92">
            <v>6000</v>
          </cell>
          <cell r="AE92">
            <v>10000000</v>
          </cell>
          <cell r="AF92">
            <v>15000</v>
          </cell>
          <cell r="AG92">
            <v>1200000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</v>
          </cell>
          <cell r="AR92" t="str">
            <v>kW</v>
          </cell>
          <cell r="AS92" t="str">
            <v/>
          </cell>
        </row>
        <row r="93">
          <cell r="B93">
            <v>79</v>
          </cell>
          <cell r="C93" t="str">
            <v>GENERAL SERVICE</v>
          </cell>
          <cell r="D93" t="str">
            <v>Large Use (&gt; 5000 kW)</v>
          </cell>
          <cell r="E93" t="str">
            <v>D</v>
          </cell>
          <cell r="F93" t="str">
            <v/>
          </cell>
          <cell r="G93" t="str">
            <v/>
          </cell>
          <cell r="H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2800000</v>
          </cell>
          <cell r="AD93">
            <v>6000</v>
          </cell>
          <cell r="AE93">
            <v>10000000</v>
          </cell>
          <cell r="AF93">
            <v>15000</v>
          </cell>
          <cell r="AG93">
            <v>1200000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3</v>
          </cell>
          <cell r="AR93" t="str">
            <v>kW</v>
          </cell>
          <cell r="AS93" t="str">
            <v/>
          </cell>
        </row>
        <row r="94">
          <cell r="B94">
            <v>80</v>
          </cell>
          <cell r="C94" t="str">
            <v>GENERAL SERVICE</v>
          </cell>
          <cell r="D94" t="str">
            <v>Unmetered Scattered Load</v>
          </cell>
          <cell r="E94" t="str">
            <v>A</v>
          </cell>
          <cell r="F94" t="str">
            <v>X</v>
          </cell>
          <cell r="G94" t="str">
            <v>X</v>
          </cell>
          <cell r="H94">
            <v>0.0094</v>
          </cell>
          <cell r="I94">
            <v>0.0062</v>
          </cell>
          <cell r="J94">
            <v>0.007</v>
          </cell>
          <cell r="K94">
            <v>0.0226</v>
          </cell>
          <cell r="L94">
            <v>0.0230731202818941</v>
          </cell>
          <cell r="M94">
            <v>0</v>
          </cell>
          <cell r="Q94">
            <v>0</v>
          </cell>
          <cell r="R94">
            <v>0.0631</v>
          </cell>
          <cell r="S94">
            <v>0.0631</v>
          </cell>
          <cell r="T94">
            <v>1.0422</v>
          </cell>
          <cell r="U94">
            <v>1.0421</v>
          </cell>
          <cell r="V94">
            <v>0.0101</v>
          </cell>
          <cell r="W94">
            <v>0</v>
          </cell>
          <cell r="X94">
            <v>0.41</v>
          </cell>
          <cell r="Y94">
            <v>0.00852640678391292</v>
          </cell>
          <cell r="Z94">
            <v>0</v>
          </cell>
          <cell r="AA94">
            <v>0.4211839495667826</v>
          </cell>
          <cell r="AB94">
            <v>0.0018</v>
          </cell>
          <cell r="AQ94">
            <v>0</v>
          </cell>
          <cell r="AR94" t="str">
            <v>kWh</v>
          </cell>
          <cell r="AS94" t="str">
            <v>X</v>
          </cell>
        </row>
        <row r="95">
          <cell r="B95">
            <v>81</v>
          </cell>
          <cell r="C95" t="str">
            <v>GENERAL SERVICE</v>
          </cell>
          <cell r="D95" t="str">
            <v>Unmetered Scattered Load</v>
          </cell>
          <cell r="E95" t="str">
            <v>B</v>
          </cell>
          <cell r="F95" t="str">
            <v/>
          </cell>
          <cell r="G95" t="str">
            <v/>
          </cell>
          <cell r="H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 t="str">
            <v>kWh</v>
          </cell>
          <cell r="AS95" t="str">
            <v/>
          </cell>
        </row>
        <row r="96">
          <cell r="B96">
            <v>82</v>
          </cell>
          <cell r="C96" t="str">
            <v>GENERAL SERVICE</v>
          </cell>
          <cell r="D96" t="str">
            <v>Unmetered Scattered Load</v>
          </cell>
          <cell r="E96" t="str">
            <v>C</v>
          </cell>
          <cell r="F96" t="str">
            <v/>
          </cell>
          <cell r="G96" t="str">
            <v/>
          </cell>
          <cell r="H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T96">
            <v>1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 t="str">
            <v>kWh</v>
          </cell>
          <cell r="AS96" t="str">
            <v/>
          </cell>
        </row>
        <row r="97">
          <cell r="B97">
            <v>83</v>
          </cell>
          <cell r="C97" t="str">
            <v>GENERAL SERVICE</v>
          </cell>
          <cell r="D97" t="str">
            <v>Unmetered Scattered Load</v>
          </cell>
          <cell r="E97" t="str">
            <v>D</v>
          </cell>
          <cell r="F97" t="str">
            <v/>
          </cell>
          <cell r="G97" t="str">
            <v/>
          </cell>
          <cell r="H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 t="str">
            <v>kWh</v>
          </cell>
          <cell r="AS97" t="str">
            <v/>
          </cell>
        </row>
        <row r="98">
          <cell r="B98">
            <v>84</v>
          </cell>
          <cell r="C98" t="str">
            <v/>
          </cell>
          <cell r="D98" t="str">
            <v/>
          </cell>
          <cell r="F98" t="str">
            <v/>
          </cell>
          <cell r="G98" t="str">
            <v/>
          </cell>
          <cell r="AQ98">
            <v>0</v>
          </cell>
          <cell r="AR98">
            <v>0</v>
          </cell>
          <cell r="AS98" t="str">
            <v/>
          </cell>
        </row>
        <row r="99">
          <cell r="B99">
            <v>85</v>
          </cell>
          <cell r="C99" t="str">
            <v/>
          </cell>
          <cell r="D99" t="str">
            <v>Sentinel Lighting</v>
          </cell>
          <cell r="E99" t="str">
            <v>A</v>
          </cell>
          <cell r="F99" t="str">
            <v>X</v>
          </cell>
          <cell r="G99" t="str">
            <v>X</v>
          </cell>
          <cell r="H99">
            <v>0</v>
          </cell>
          <cell r="I99">
            <v>0.0062</v>
          </cell>
          <cell r="J99">
            <v>0.007</v>
          </cell>
          <cell r="K99">
            <v>0.0132</v>
          </cell>
          <cell r="L99">
            <v>0.0132</v>
          </cell>
          <cell r="M99">
            <v>2.9875</v>
          </cell>
          <cell r="P99">
            <v>2.9875</v>
          </cell>
          <cell r="Q99">
            <v>3.137337019496001</v>
          </cell>
          <cell r="R99">
            <v>0.0631</v>
          </cell>
          <cell r="S99">
            <v>0.0631</v>
          </cell>
          <cell r="T99">
            <v>1.0422</v>
          </cell>
          <cell r="U99">
            <v>1.0421</v>
          </cell>
          <cell r="V99">
            <v>0</v>
          </cell>
          <cell r="W99">
            <v>1.8526</v>
          </cell>
          <cell r="X99">
            <v>0.41</v>
          </cell>
          <cell r="Y99">
            <v>0</v>
          </cell>
          <cell r="Z99">
            <v>1.5874314177096485</v>
          </cell>
          <cell r="AA99">
            <v>0.4855254615896725</v>
          </cell>
          <cell r="AB99">
            <v>0.5121</v>
          </cell>
          <cell r="AC99">
            <v>150</v>
          </cell>
          <cell r="AD99">
            <v>0.5</v>
          </cell>
          <cell r="AE99">
            <v>200</v>
          </cell>
          <cell r="AF99">
            <v>1</v>
          </cell>
          <cell r="AQ99">
            <v>2</v>
          </cell>
          <cell r="AR99" t="str">
            <v>kW</v>
          </cell>
          <cell r="AS99" t="str">
            <v>X</v>
          </cell>
        </row>
        <row r="100">
          <cell r="B100">
            <v>86</v>
          </cell>
          <cell r="C100" t="str">
            <v/>
          </cell>
          <cell r="D100" t="str">
            <v>Sentinel Lighting</v>
          </cell>
          <cell r="E100" t="str">
            <v>B</v>
          </cell>
          <cell r="F100" t="str">
            <v/>
          </cell>
          <cell r="G100" t="str">
            <v/>
          </cell>
          <cell r="H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150</v>
          </cell>
          <cell r="AD100">
            <v>0.5</v>
          </cell>
          <cell r="AE100">
            <v>200</v>
          </cell>
          <cell r="AF100">
            <v>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2</v>
          </cell>
          <cell r="AR100" t="str">
            <v>kW</v>
          </cell>
          <cell r="AS100" t="str">
            <v/>
          </cell>
        </row>
        <row r="101">
          <cell r="B101">
            <v>87</v>
          </cell>
          <cell r="C101" t="str">
            <v/>
          </cell>
          <cell r="D101" t="str">
            <v>Sentinel Lighting</v>
          </cell>
          <cell r="E101" t="str">
            <v>C</v>
          </cell>
          <cell r="F101" t="str">
            <v/>
          </cell>
          <cell r="G101" t="str">
            <v/>
          </cell>
          <cell r="H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150</v>
          </cell>
          <cell r="AD101">
            <v>0.5</v>
          </cell>
          <cell r="AE101">
            <v>200</v>
          </cell>
          <cell r="AF101">
            <v>1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 t="str">
            <v>kW</v>
          </cell>
          <cell r="AS101" t="str">
            <v/>
          </cell>
        </row>
        <row r="102">
          <cell r="B102">
            <v>88</v>
          </cell>
          <cell r="C102" t="str">
            <v/>
          </cell>
          <cell r="D102" t="str">
            <v>Sentinel Lighting</v>
          </cell>
          <cell r="E102" t="str">
            <v>D</v>
          </cell>
          <cell r="F102" t="str">
            <v/>
          </cell>
          <cell r="G102" t="str">
            <v/>
          </cell>
          <cell r="H102">
            <v>0</v>
          </cell>
          <cell r="K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150</v>
          </cell>
          <cell r="AD102">
            <v>0.5</v>
          </cell>
          <cell r="AE102">
            <v>200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 t="str">
            <v>kW</v>
          </cell>
          <cell r="AS102" t="str">
            <v/>
          </cell>
        </row>
        <row r="103">
          <cell r="B103">
            <v>89</v>
          </cell>
          <cell r="C103" t="str">
            <v/>
          </cell>
          <cell r="D103" t="str">
            <v>Street Lighting</v>
          </cell>
          <cell r="E103" t="str">
            <v>A</v>
          </cell>
          <cell r="F103" t="str">
            <v>X</v>
          </cell>
          <cell r="G103" t="str">
            <v>X</v>
          </cell>
          <cell r="H103">
            <v>0</v>
          </cell>
          <cell r="I103">
            <v>0.0062</v>
          </cell>
          <cell r="J103">
            <v>0.007</v>
          </cell>
          <cell r="K103">
            <v>0.0132</v>
          </cell>
          <cell r="L103">
            <v>0.0132</v>
          </cell>
          <cell r="M103">
            <v>2.9837</v>
          </cell>
          <cell r="P103">
            <v>2.9837</v>
          </cell>
          <cell r="Q103">
            <v>3.1333437044737584</v>
          </cell>
          <cell r="R103">
            <v>0.0631</v>
          </cell>
          <cell r="S103">
            <v>0.0631</v>
          </cell>
          <cell r="T103">
            <v>1.0422</v>
          </cell>
          <cell r="U103">
            <v>1.0421</v>
          </cell>
          <cell r="V103">
            <v>0</v>
          </cell>
          <cell r="W103">
            <v>1.2936</v>
          </cell>
          <cell r="X103">
            <v>0.24</v>
          </cell>
          <cell r="Y103">
            <v>0</v>
          </cell>
          <cell r="Z103">
            <v>1.4143537706275209</v>
          </cell>
          <cell r="AA103">
            <v>0.2840305455197097</v>
          </cell>
          <cell r="AB103">
            <v>0.0985</v>
          </cell>
          <cell r="AC103">
            <v>150</v>
          </cell>
          <cell r="AD103">
            <v>0.5</v>
          </cell>
          <cell r="AQ103">
            <v>1</v>
          </cell>
          <cell r="AR103" t="str">
            <v>kW</v>
          </cell>
          <cell r="AS103" t="str">
            <v>X</v>
          </cell>
        </row>
        <row r="104">
          <cell r="B104">
            <v>90</v>
          </cell>
          <cell r="C104" t="str">
            <v/>
          </cell>
          <cell r="D104" t="str">
            <v>Street Lighting</v>
          </cell>
          <cell r="E104" t="str">
            <v>B</v>
          </cell>
          <cell r="F104" t="str">
            <v/>
          </cell>
          <cell r="G104" t="str">
            <v/>
          </cell>
          <cell r="H104">
            <v>0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150</v>
          </cell>
          <cell r="AD104">
            <v>0.5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</v>
          </cell>
          <cell r="AR104" t="str">
            <v>kW</v>
          </cell>
          <cell r="AS104" t="str">
            <v/>
          </cell>
        </row>
        <row r="105">
          <cell r="B105">
            <v>91</v>
          </cell>
          <cell r="C105" t="str">
            <v/>
          </cell>
          <cell r="D105" t="str">
            <v>Street Lighting</v>
          </cell>
          <cell r="E105" t="str">
            <v>C</v>
          </cell>
          <cell r="F105" t="str">
            <v/>
          </cell>
          <cell r="G105" t="str">
            <v/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150</v>
          </cell>
          <cell r="AD105">
            <v>0.5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</v>
          </cell>
          <cell r="AR105" t="str">
            <v>kW</v>
          </cell>
          <cell r="AS105" t="str">
            <v/>
          </cell>
        </row>
        <row r="106">
          <cell r="B106">
            <v>92</v>
          </cell>
          <cell r="C106" t="str">
            <v/>
          </cell>
          <cell r="D106" t="str">
            <v>Street Lighting</v>
          </cell>
          <cell r="E106" t="str">
            <v>D</v>
          </cell>
          <cell r="F106" t="str">
            <v/>
          </cell>
          <cell r="G106" t="str">
            <v/>
          </cell>
          <cell r="H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T106">
            <v>1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150</v>
          </cell>
          <cell r="AD106">
            <v>0.5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 t="str">
            <v>kW</v>
          </cell>
          <cell r="AS106" t="str">
            <v/>
          </cell>
        </row>
        <row r="107">
          <cell r="B107">
            <v>93</v>
          </cell>
          <cell r="C107" t="str">
            <v/>
          </cell>
          <cell r="D107" t="str">
            <v>Back-up/Standby Power</v>
          </cell>
          <cell r="E107" t="str">
            <v>A</v>
          </cell>
          <cell r="F107" t="str">
            <v/>
          </cell>
          <cell r="G107" t="str">
            <v/>
          </cell>
          <cell r="H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0</v>
          </cell>
          <cell r="Q107">
            <v>0</v>
          </cell>
          <cell r="T107">
            <v>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Q107">
            <v>0</v>
          </cell>
          <cell r="AR107" t="str">
            <v>kW</v>
          </cell>
          <cell r="AS107" t="str">
            <v/>
          </cell>
        </row>
        <row r="108">
          <cell r="B108">
            <v>94</v>
          </cell>
          <cell r="C108" t="str">
            <v/>
          </cell>
          <cell r="D108" t="str">
            <v>Back-up/Standby Power</v>
          </cell>
          <cell r="E108" t="str">
            <v>B</v>
          </cell>
          <cell r="F108" t="str">
            <v/>
          </cell>
          <cell r="G108" t="str">
            <v/>
          </cell>
          <cell r="H108">
            <v>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 t="str">
            <v>kW</v>
          </cell>
          <cell r="AS108" t="str">
            <v/>
          </cell>
        </row>
        <row r="109">
          <cell r="B109">
            <v>95</v>
          </cell>
          <cell r="C109" t="str">
            <v/>
          </cell>
          <cell r="D109" t="str">
            <v>Back-up/Standby Power</v>
          </cell>
          <cell r="E109" t="str">
            <v>C</v>
          </cell>
          <cell r="F109" t="str">
            <v/>
          </cell>
          <cell r="G109" t="str">
            <v/>
          </cell>
          <cell r="H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kW</v>
          </cell>
          <cell r="AS109" t="str">
            <v/>
          </cell>
        </row>
        <row r="110">
          <cell r="B110">
            <v>96</v>
          </cell>
          <cell r="C110" t="str">
            <v/>
          </cell>
          <cell r="D110" t="str">
            <v>Back-up/Standby Power</v>
          </cell>
          <cell r="E110" t="str">
            <v>D</v>
          </cell>
          <cell r="F110" t="str">
            <v/>
          </cell>
          <cell r="G110" t="str">
            <v/>
          </cell>
          <cell r="H110">
            <v>0</v>
          </cell>
          <cell r="K110">
            <v>0</v>
          </cell>
          <cell r="L110">
            <v>0</v>
          </cell>
          <cell r="M110">
            <v>0</v>
          </cell>
          <cell r="P110">
            <v>0</v>
          </cell>
          <cell r="Q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 t="str">
            <v>kW</v>
          </cell>
          <cell r="AS110" t="str">
            <v/>
          </cell>
        </row>
        <row r="111">
          <cell r="B111">
            <v>97</v>
          </cell>
          <cell r="C111" t="str">
            <v/>
          </cell>
          <cell r="D111" t="str">
            <v>Other (specify) . . . . . . . .</v>
          </cell>
          <cell r="E111" t="str">
            <v>A</v>
          </cell>
          <cell r="F111" t="str">
            <v/>
          </cell>
          <cell r="G111" t="str">
            <v/>
          </cell>
          <cell r="H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Q111">
            <v>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Q111">
            <v>0</v>
          </cell>
          <cell r="AR111" t="str">
            <v>kW</v>
          </cell>
          <cell r="AS111" t="str">
            <v/>
          </cell>
        </row>
        <row r="112">
          <cell r="B112">
            <v>98</v>
          </cell>
          <cell r="C112" t="str">
            <v/>
          </cell>
          <cell r="D112" t="str">
            <v>Other (specify) . . . . . . . .</v>
          </cell>
          <cell r="E112" t="str">
            <v>B</v>
          </cell>
          <cell r="F112" t="str">
            <v/>
          </cell>
          <cell r="G112" t="str">
            <v/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 t="str">
            <v>kW</v>
          </cell>
          <cell r="AS112" t="str">
            <v/>
          </cell>
        </row>
        <row r="113">
          <cell r="B113">
            <v>99</v>
          </cell>
          <cell r="C113" t="str">
            <v/>
          </cell>
          <cell r="D113" t="str">
            <v>Other (specify) . . . . . . . .</v>
          </cell>
          <cell r="E113" t="str">
            <v>C</v>
          </cell>
          <cell r="F113" t="str">
            <v/>
          </cell>
          <cell r="G113" t="str">
            <v/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T113">
            <v>1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 t="str">
            <v>kW</v>
          </cell>
          <cell r="AS113" t="str">
            <v/>
          </cell>
        </row>
        <row r="114">
          <cell r="B114">
            <v>100</v>
          </cell>
          <cell r="C114" t="str">
            <v/>
          </cell>
          <cell r="D114" t="str">
            <v>Other (specify) . . . . . . . .</v>
          </cell>
          <cell r="E114" t="str">
            <v>D</v>
          </cell>
          <cell r="F114" t="str">
            <v/>
          </cell>
          <cell r="G114" t="str">
            <v/>
          </cell>
          <cell r="H114">
            <v>0</v>
          </cell>
          <cell r="K114">
            <v>0</v>
          </cell>
          <cell r="L114">
            <v>0</v>
          </cell>
          <cell r="M114">
            <v>0</v>
          </cell>
          <cell r="P114">
            <v>0</v>
          </cell>
          <cell r="Q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 t="str">
            <v>kW</v>
          </cell>
          <cell r="AS114" t="str">
            <v/>
          </cell>
        </row>
        <row r="115">
          <cell r="B115">
            <v>101</v>
          </cell>
          <cell r="C115" t="str">
            <v/>
          </cell>
          <cell r="D115" t="str">
            <v>Other (specify) . . . . . . . .</v>
          </cell>
          <cell r="E115" t="str">
            <v>A</v>
          </cell>
          <cell r="F115" t="str">
            <v/>
          </cell>
          <cell r="G115" t="str">
            <v/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11000</v>
          </cell>
          <cell r="AD115">
            <v>500</v>
          </cell>
          <cell r="AE115">
            <v>15000</v>
          </cell>
          <cell r="AF115">
            <v>1000</v>
          </cell>
          <cell r="AQ115">
            <v>2</v>
          </cell>
          <cell r="AR115" t="str">
            <v>kW</v>
          </cell>
          <cell r="AS115" t="str">
            <v/>
          </cell>
        </row>
        <row r="116">
          <cell r="B116">
            <v>102</v>
          </cell>
          <cell r="C116" t="str">
            <v/>
          </cell>
          <cell r="D116" t="str">
            <v>Other (specify) . . . . . . . .</v>
          </cell>
          <cell r="E116" t="str">
            <v>B</v>
          </cell>
          <cell r="F116" t="str">
            <v/>
          </cell>
          <cell r="G116" t="str">
            <v/>
          </cell>
          <cell r="H116">
            <v>0</v>
          </cell>
          <cell r="K116">
            <v>0</v>
          </cell>
          <cell r="L116">
            <v>0</v>
          </cell>
          <cell r="M116">
            <v>0</v>
          </cell>
          <cell r="P116">
            <v>0</v>
          </cell>
          <cell r="Q116">
            <v>0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11000</v>
          </cell>
          <cell r="AD116">
            <v>500</v>
          </cell>
          <cell r="AE116">
            <v>15000</v>
          </cell>
          <cell r="AF116">
            <v>1000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</v>
          </cell>
          <cell r="AR116" t="str">
            <v>kW</v>
          </cell>
          <cell r="AS116" t="str">
            <v/>
          </cell>
        </row>
        <row r="117">
          <cell r="B117">
            <v>103</v>
          </cell>
          <cell r="C117" t="str">
            <v/>
          </cell>
          <cell r="D117" t="str">
            <v>Other (specify) . . . . . . . .</v>
          </cell>
          <cell r="E117" t="str">
            <v>C</v>
          </cell>
          <cell r="F117" t="str">
            <v/>
          </cell>
          <cell r="G117" t="str">
            <v/>
          </cell>
          <cell r="H117">
            <v>0</v>
          </cell>
          <cell r="K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11000</v>
          </cell>
          <cell r="AD117">
            <v>500</v>
          </cell>
          <cell r="AE117">
            <v>15000</v>
          </cell>
          <cell r="AF117">
            <v>1000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</v>
          </cell>
          <cell r="AR117" t="str">
            <v>kW</v>
          </cell>
          <cell r="AS117" t="str">
            <v/>
          </cell>
        </row>
        <row r="118">
          <cell r="B118">
            <v>104</v>
          </cell>
          <cell r="C118" t="str">
            <v/>
          </cell>
          <cell r="D118" t="str">
            <v>Other (specify) . . . . . . . .</v>
          </cell>
          <cell r="E118" t="str">
            <v>D</v>
          </cell>
          <cell r="F118" t="str">
            <v/>
          </cell>
          <cell r="G118" t="str">
            <v/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P118">
            <v>0</v>
          </cell>
          <cell r="Q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11000</v>
          </cell>
          <cell r="AD118">
            <v>500</v>
          </cell>
          <cell r="AE118">
            <v>15000</v>
          </cell>
          <cell r="AF118">
            <v>1000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</v>
          </cell>
          <cell r="AR118" t="str">
            <v>kW</v>
          </cell>
          <cell r="AS11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2" sqref="I12"/>
    </sheetView>
  </sheetViews>
  <sheetFormatPr defaultColWidth="9.140625" defaultRowHeight="12.75"/>
  <cols>
    <col min="2" max="2" width="19.421875" style="0" customWidth="1"/>
    <col min="3" max="3" width="15.7109375" style="27" hidden="1" customWidth="1"/>
    <col min="4" max="4" width="18.57421875" style="0" hidden="1" customWidth="1"/>
    <col min="5" max="5" width="22.140625" style="0" hidden="1" customWidth="1"/>
    <col min="6" max="6" width="26.421875" style="0" hidden="1" customWidth="1"/>
    <col min="7" max="8" width="14.57421875" style="0" hidden="1" customWidth="1"/>
    <col min="9" max="9" width="17.140625" style="0" bestFit="1" customWidth="1"/>
    <col min="10" max="10" width="14.57421875" style="0" customWidth="1"/>
    <col min="11" max="11" width="1.1484375" style="0" customWidth="1"/>
    <col min="12" max="12" width="14.421875" style="0" hidden="1" customWidth="1"/>
    <col min="15" max="15" width="13.421875" style="0" bestFit="1" customWidth="1"/>
  </cols>
  <sheetData>
    <row r="1" spans="1:12" ht="18.75">
      <c r="A1" s="142" t="s">
        <v>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3" ht="5.25" customHeight="1">
      <c r="A2" s="1"/>
      <c r="B2" s="1"/>
      <c r="C2" s="1"/>
    </row>
    <row r="3" spans="1:12" ht="18.75">
      <c r="A3" s="142" t="s">
        <v>34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3" ht="4.5" customHeight="1">
      <c r="A4" s="1"/>
      <c r="B4" s="1"/>
      <c r="C4" s="1"/>
    </row>
    <row r="5" spans="1:12" s="2" customFormat="1" ht="39.75" customHeight="1">
      <c r="A5" s="2" t="s">
        <v>2</v>
      </c>
      <c r="B5" s="2" t="s">
        <v>30</v>
      </c>
      <c r="C5" s="33" t="s">
        <v>43</v>
      </c>
      <c r="D5" s="33" t="s">
        <v>42</v>
      </c>
      <c r="E5" s="2" t="s">
        <v>41</v>
      </c>
      <c r="F5" s="2" t="s">
        <v>211</v>
      </c>
      <c r="G5" s="2" t="s">
        <v>212</v>
      </c>
      <c r="H5" s="2" t="s">
        <v>35</v>
      </c>
      <c r="I5" s="2" t="s">
        <v>38</v>
      </c>
      <c r="J5" s="2" t="s">
        <v>208</v>
      </c>
      <c r="L5" s="2" t="s">
        <v>31</v>
      </c>
    </row>
    <row r="6" spans="1:14" ht="12.75">
      <c r="A6" s="26">
        <v>2006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/>
      <c r="L6" s="5">
        <f aca="true" t="shared" si="0" ref="L6:L12">SUM(B6:K6)</f>
        <v>0</v>
      </c>
      <c r="N6" s="6" t="s">
        <v>6</v>
      </c>
    </row>
    <row r="7" spans="1:14" ht="12.75">
      <c r="A7" s="26">
        <v>2007</v>
      </c>
      <c r="B7" s="4">
        <v>7679948.899999999</v>
      </c>
      <c r="C7" s="21"/>
      <c r="D7" s="4">
        <v>0</v>
      </c>
      <c r="E7" s="20">
        <v>0</v>
      </c>
      <c r="F7" s="20">
        <v>0</v>
      </c>
      <c r="G7" s="4">
        <v>0</v>
      </c>
      <c r="H7" s="4">
        <v>0</v>
      </c>
      <c r="I7" s="4">
        <v>0</v>
      </c>
      <c r="J7" s="4">
        <v>0</v>
      </c>
      <c r="K7" s="4"/>
      <c r="L7" s="5">
        <f t="shared" si="0"/>
        <v>7679948.899999999</v>
      </c>
      <c r="N7" s="6" t="s">
        <v>6</v>
      </c>
    </row>
    <row r="8" spans="1:14" ht="12.75">
      <c r="A8" s="26">
        <v>2008</v>
      </c>
      <c r="B8" s="4">
        <v>10547660.11</v>
      </c>
      <c r="C8" s="21"/>
      <c r="D8" s="4">
        <v>0</v>
      </c>
      <c r="E8" s="20">
        <v>0</v>
      </c>
      <c r="F8" s="20">
        <v>0</v>
      </c>
      <c r="G8" s="4">
        <v>0</v>
      </c>
      <c r="H8" s="4">
        <v>0</v>
      </c>
      <c r="I8" s="4">
        <v>0</v>
      </c>
      <c r="J8" s="4">
        <v>0</v>
      </c>
      <c r="K8" s="4"/>
      <c r="L8" s="5">
        <f t="shared" si="0"/>
        <v>10547660.11</v>
      </c>
      <c r="N8" s="6" t="s">
        <v>6</v>
      </c>
    </row>
    <row r="9" spans="1:14" ht="12.75">
      <c r="A9" s="26">
        <v>2009</v>
      </c>
      <c r="B9" s="4">
        <v>6043663.329999999</v>
      </c>
      <c r="C9" s="21"/>
      <c r="D9" s="4">
        <v>0</v>
      </c>
      <c r="E9" s="20">
        <v>0</v>
      </c>
      <c r="F9" s="20">
        <v>0</v>
      </c>
      <c r="G9" s="4">
        <v>0</v>
      </c>
      <c r="H9" s="4">
        <f>+'[2]Master'!$B$7</f>
        <v>89650</v>
      </c>
      <c r="I9" s="4">
        <v>0</v>
      </c>
      <c r="J9" s="4">
        <v>0</v>
      </c>
      <c r="K9" s="4"/>
      <c r="L9" s="5">
        <f t="shared" si="0"/>
        <v>6133313.329999999</v>
      </c>
      <c r="N9" s="6" t="s">
        <v>6</v>
      </c>
    </row>
    <row r="10" spans="1:14" ht="12.75">
      <c r="A10" s="26">
        <v>2010</v>
      </c>
      <c r="B10" s="4">
        <v>701000</v>
      </c>
      <c r="C10" s="4">
        <f>+'[5]Sheet1'!$B$9</f>
        <v>0</v>
      </c>
      <c r="D10" s="4">
        <v>0</v>
      </c>
      <c r="E10" s="20">
        <v>0</v>
      </c>
      <c r="F10" s="20">
        <v>0</v>
      </c>
      <c r="G10" s="4">
        <v>0</v>
      </c>
      <c r="H10" s="4">
        <f>+'[2]Master'!$C$7</f>
        <v>54700</v>
      </c>
      <c r="I10" s="4">
        <v>0</v>
      </c>
      <c r="J10" s="4">
        <v>0</v>
      </c>
      <c r="K10" s="4"/>
      <c r="L10" s="5">
        <f t="shared" si="0"/>
        <v>755700</v>
      </c>
      <c r="N10" s="6" t="s">
        <v>7</v>
      </c>
    </row>
    <row r="11" spans="1:14" ht="12.75">
      <c r="A11" s="26">
        <v>2011</v>
      </c>
      <c r="B11" s="4">
        <v>1578274.63</v>
      </c>
      <c r="C11" s="4">
        <f>-'[5]Sheet1'!$B$10</f>
        <v>-36847.6</v>
      </c>
      <c r="D11" s="4">
        <v>0</v>
      </c>
      <c r="E11" s="20">
        <v>0</v>
      </c>
      <c r="F11" s="20">
        <v>0</v>
      </c>
      <c r="G11" s="4">
        <v>470000</v>
      </c>
      <c r="H11" s="4">
        <v>0</v>
      </c>
      <c r="I11" s="4">
        <v>0</v>
      </c>
      <c r="J11" s="4">
        <f>100000+220000</f>
        <v>320000</v>
      </c>
      <c r="K11" s="4"/>
      <c r="L11" s="5">
        <f t="shared" si="0"/>
        <v>2331427.03</v>
      </c>
      <c r="N11" s="6" t="s">
        <v>7</v>
      </c>
    </row>
    <row r="12" spans="1:14" ht="12.75">
      <c r="A12" s="26" t="s">
        <v>39</v>
      </c>
      <c r="B12" s="4">
        <v>0</v>
      </c>
      <c r="C12" s="4">
        <v>0</v>
      </c>
      <c r="D12" s="4">
        <v>0</v>
      </c>
      <c r="E12" s="20">
        <v>0</v>
      </c>
      <c r="F12" s="20">
        <v>0</v>
      </c>
      <c r="G12" s="4">
        <v>0</v>
      </c>
      <c r="H12" s="4">
        <v>0</v>
      </c>
      <c r="I12" s="4">
        <f>5085*450</f>
        <v>2288250</v>
      </c>
      <c r="J12" s="4">
        <v>0</v>
      </c>
      <c r="K12" s="4"/>
      <c r="L12" s="5">
        <f t="shared" si="0"/>
        <v>2288250</v>
      </c>
      <c r="N12" s="6" t="s">
        <v>7</v>
      </c>
    </row>
    <row r="13" spans="2:12" ht="13.5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ht="13.5" thickBot="1">
      <c r="B14" s="7">
        <f>SUM(B6:B13)</f>
        <v>26550546.969999995</v>
      </c>
      <c r="C14" s="7">
        <f aca="true" t="shared" si="1" ref="C14:L14">SUM(C6:C13)</f>
        <v>-36847.6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v>470000</v>
      </c>
      <c r="H14" s="7">
        <f t="shared" si="1"/>
        <v>144350</v>
      </c>
      <c r="I14" s="7">
        <f t="shared" si="1"/>
        <v>2288250</v>
      </c>
      <c r="J14" s="7">
        <f t="shared" si="1"/>
        <v>320000</v>
      </c>
      <c r="K14" s="4"/>
      <c r="L14" s="7">
        <f t="shared" si="1"/>
        <v>29736299.369999997</v>
      </c>
    </row>
    <row r="15" spans="2:12" ht="12.75">
      <c r="B15" s="4"/>
      <c r="C15" s="6"/>
      <c r="D15" s="4"/>
      <c r="E15" s="4"/>
      <c r="F15" s="4"/>
      <c r="G15" s="4"/>
      <c r="H15" s="4"/>
      <c r="I15" s="4"/>
      <c r="J15" s="4"/>
      <c r="K15" s="4"/>
      <c r="L15" s="4"/>
    </row>
    <row r="16" spans="2:12" ht="12.75">
      <c r="B16" s="4"/>
      <c r="C16" s="6"/>
      <c r="D16" s="4"/>
      <c r="E16" s="4"/>
      <c r="F16" s="4"/>
      <c r="G16" s="4"/>
      <c r="H16" s="4"/>
      <c r="I16" s="4"/>
      <c r="J16" s="4"/>
      <c r="K16" s="4"/>
      <c r="L16" s="4"/>
    </row>
    <row r="17" spans="1:12" ht="18.75">
      <c r="A17" s="142" t="s">
        <v>4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7" ht="18.75">
      <c r="A18" s="1"/>
      <c r="B18" s="1"/>
      <c r="C18" s="1"/>
      <c r="D18" s="35" t="s">
        <v>44</v>
      </c>
      <c r="G18" s="35" t="s">
        <v>207</v>
      </c>
    </row>
    <row r="19" spans="1:14" ht="38.25">
      <c r="A19" s="2" t="s">
        <v>2</v>
      </c>
      <c r="B19" s="2" t="s">
        <v>30</v>
      </c>
      <c r="C19" s="33" t="s">
        <v>43</v>
      </c>
      <c r="D19" s="33" t="s">
        <v>42</v>
      </c>
      <c r="E19" s="2" t="s">
        <v>41</v>
      </c>
      <c r="F19" s="2" t="s">
        <v>211</v>
      </c>
      <c r="G19" s="2" t="s">
        <v>212</v>
      </c>
      <c r="H19" s="2" t="s">
        <v>35</v>
      </c>
      <c r="I19" s="2" t="s">
        <v>38</v>
      </c>
      <c r="J19" s="2" t="s">
        <v>208</v>
      </c>
      <c r="K19" s="2"/>
      <c r="L19" s="2" t="s">
        <v>31</v>
      </c>
      <c r="M19" s="2"/>
      <c r="N19" s="2"/>
    </row>
    <row r="20" spans="1:14" ht="12.75">
      <c r="A20" s="26">
        <v>2006</v>
      </c>
      <c r="B20" s="4">
        <v>99285.03</v>
      </c>
      <c r="C20" s="15">
        <f>-'[1]Sheet1'!D5</f>
        <v>0</v>
      </c>
      <c r="D20" s="4">
        <f>+'[4]tmpsht_1 (2006)'!$O$30</f>
        <v>12494.79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/>
      <c r="L20" s="5">
        <f aca="true" t="shared" si="2" ref="L20:L26">SUM(B20:K20)</f>
        <v>111779.82</v>
      </c>
      <c r="N20" s="6" t="s">
        <v>6</v>
      </c>
    </row>
    <row r="21" spans="1:14" ht="12.75">
      <c r="A21" s="26">
        <v>2007</v>
      </c>
      <c r="B21" s="4">
        <v>814248.34</v>
      </c>
      <c r="C21" s="15">
        <f>-'[1]Sheet1'!D6</f>
        <v>-130742</v>
      </c>
      <c r="D21" s="20">
        <f>+'[4]tmpsht_1 (2007)'!$O$30</f>
        <v>49221.899999999994</v>
      </c>
      <c r="E21" s="4">
        <v>0</v>
      </c>
      <c r="F21" s="20">
        <v>0</v>
      </c>
      <c r="G21" s="4">
        <v>0</v>
      </c>
      <c r="H21" s="4">
        <v>0</v>
      </c>
      <c r="I21" s="4">
        <v>0</v>
      </c>
      <c r="J21" s="4">
        <v>0</v>
      </c>
      <c r="K21" s="4"/>
      <c r="L21" s="5">
        <f t="shared" si="2"/>
        <v>732728.24</v>
      </c>
      <c r="N21" s="6" t="s">
        <v>6</v>
      </c>
    </row>
    <row r="22" spans="1:14" ht="12.75">
      <c r="A22" s="26">
        <v>2008</v>
      </c>
      <c r="B22" s="4">
        <v>689858.98</v>
      </c>
      <c r="C22" s="15">
        <f>-'[1]Sheet1'!D7</f>
        <v>-134219</v>
      </c>
      <c r="D22" s="20">
        <f>+'[4]tmpsht_1 (2008)'!$O$30</f>
        <v>137253.375</v>
      </c>
      <c r="E22" s="4">
        <v>0</v>
      </c>
      <c r="F22" s="20">
        <v>0</v>
      </c>
      <c r="G22" s="4">
        <v>0</v>
      </c>
      <c r="H22" s="4">
        <v>0</v>
      </c>
      <c r="I22" s="4">
        <v>0</v>
      </c>
      <c r="J22" s="4">
        <v>0</v>
      </c>
      <c r="K22" s="4"/>
      <c r="L22" s="5">
        <f t="shared" si="2"/>
        <v>692893.355</v>
      </c>
      <c r="N22" s="6" t="s">
        <v>6</v>
      </c>
    </row>
    <row r="23" spans="1:16" ht="12.75">
      <c r="A23" s="26">
        <v>2009</v>
      </c>
      <c r="B23" s="4">
        <v>1219599</v>
      </c>
      <c r="C23" s="4">
        <f>-'[1]Sheet1'!D8</f>
        <v>-292720</v>
      </c>
      <c r="D23" s="20">
        <f>+'[4]tmpsht_1 (2009)'!$O$30</f>
        <v>407867.9849999999</v>
      </c>
      <c r="E23" s="4">
        <f>+'[3]Sheet1'!$B$8</f>
        <v>141829.43300000002</v>
      </c>
      <c r="F23" s="20">
        <v>0</v>
      </c>
      <c r="G23" s="4">
        <v>0</v>
      </c>
      <c r="H23" s="4">
        <v>0</v>
      </c>
      <c r="I23" s="4">
        <v>0</v>
      </c>
      <c r="J23" s="4">
        <v>0</v>
      </c>
      <c r="K23" s="4"/>
      <c r="L23" s="5">
        <f t="shared" si="2"/>
        <v>1476576.4179999998</v>
      </c>
      <c r="N23" s="6" t="s">
        <v>6</v>
      </c>
      <c r="O23" s="4">
        <v>1240883</v>
      </c>
      <c r="P23" t="s">
        <v>218</v>
      </c>
    </row>
    <row r="24" spans="1:15" ht="12.75">
      <c r="A24" s="26">
        <v>2010</v>
      </c>
      <c r="B24" s="4">
        <v>1551637</v>
      </c>
      <c r="C24" s="4">
        <f>-'[1]Sheet1'!D9</f>
        <v>-254354</v>
      </c>
      <c r="D24" s="20">
        <f>+'[4]tmpsht_1 (2010)'!$O$30</f>
        <v>505204.61400000006</v>
      </c>
      <c r="E24" s="4">
        <f>+'[3]Sheet1'!$B$9</f>
        <v>365702.70800000004</v>
      </c>
      <c r="F24" s="20">
        <f>+'[10]Sheet1'!$R$31</f>
        <v>15200</v>
      </c>
      <c r="G24" s="4">
        <v>0</v>
      </c>
      <c r="H24" s="4">
        <v>0</v>
      </c>
      <c r="I24" s="4">
        <v>0</v>
      </c>
      <c r="J24" s="4">
        <v>0</v>
      </c>
      <c r="K24" s="4"/>
      <c r="L24" s="5">
        <f t="shared" si="2"/>
        <v>2183390.322</v>
      </c>
      <c r="N24" s="6" t="s">
        <v>7</v>
      </c>
      <c r="O24" s="31">
        <f>+O23-B23</f>
        <v>21284</v>
      </c>
    </row>
    <row r="25" spans="1:14" ht="12.75">
      <c r="A25" s="26">
        <v>2011</v>
      </c>
      <c r="B25" s="4">
        <v>1680309</v>
      </c>
      <c r="C25" s="4">
        <f>-'[1]Sheet1'!D10</f>
        <v>-178334</v>
      </c>
      <c r="D25" s="20">
        <f>+'[4]tmpsht_1 (2011)YR ONLY'!$O$30</f>
        <v>192500.90999999997</v>
      </c>
      <c r="E25" s="4">
        <f>+'[3]Sheet1'!$B$10</f>
        <v>376673.7892400001</v>
      </c>
      <c r="F25" s="20">
        <f>+'[10]Sheet1'!$R$29</f>
        <v>593800</v>
      </c>
      <c r="G25" s="4">
        <v>160000</v>
      </c>
      <c r="H25" s="4">
        <v>0</v>
      </c>
      <c r="I25" s="4">
        <v>0</v>
      </c>
      <c r="J25" s="4">
        <v>0</v>
      </c>
      <c r="K25" s="4"/>
      <c r="L25" s="5">
        <f t="shared" si="2"/>
        <v>2824949.69924</v>
      </c>
      <c r="N25" s="6" t="s">
        <v>7</v>
      </c>
    </row>
    <row r="26" spans="1:14" ht="12.75">
      <c r="A26" s="26" t="s">
        <v>39</v>
      </c>
      <c r="B26" s="4">
        <v>0</v>
      </c>
      <c r="C26" s="4">
        <f>-'[1]Sheet1'!D11</f>
        <v>0</v>
      </c>
      <c r="D26" s="4">
        <v>0</v>
      </c>
      <c r="E26" s="4">
        <v>0</v>
      </c>
      <c r="F26" s="20">
        <v>0</v>
      </c>
      <c r="G26" s="4">
        <v>0</v>
      </c>
      <c r="H26" s="4">
        <v>0</v>
      </c>
      <c r="I26" s="4">
        <v>0</v>
      </c>
      <c r="J26" s="4">
        <v>0</v>
      </c>
      <c r="K26" s="4"/>
      <c r="L26" s="5">
        <f t="shared" si="2"/>
        <v>0</v>
      </c>
      <c r="N26" s="6" t="s">
        <v>7</v>
      </c>
    </row>
    <row r="27" spans="2:12" ht="13.5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13.5" thickBot="1">
      <c r="B28" s="7">
        <f aca="true" t="shared" si="3" ref="B28:J28">SUM(B20:B27)</f>
        <v>6054937.35</v>
      </c>
      <c r="C28" s="7">
        <f t="shared" si="3"/>
        <v>-990369</v>
      </c>
      <c r="D28" s="7">
        <f t="shared" si="3"/>
        <v>1304543.5739999998</v>
      </c>
      <c r="E28" s="7">
        <f t="shared" si="3"/>
        <v>884205.9302400001</v>
      </c>
      <c r="F28" s="7">
        <f t="shared" si="3"/>
        <v>609000</v>
      </c>
      <c r="G28" s="7">
        <v>160000</v>
      </c>
      <c r="H28" s="7">
        <f t="shared" si="3"/>
        <v>0</v>
      </c>
      <c r="I28" s="7">
        <f t="shared" si="3"/>
        <v>0</v>
      </c>
      <c r="J28" s="7">
        <f t="shared" si="3"/>
        <v>0</v>
      </c>
      <c r="K28" s="4"/>
      <c r="L28" s="7">
        <f>SUM(L20:L27)</f>
        <v>8022317.854239999</v>
      </c>
    </row>
    <row r="31" spans="1:12" ht="18.75">
      <c r="A31" s="142" t="s">
        <v>32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</row>
    <row r="32" spans="1:3" ht="18.75">
      <c r="A32" s="1"/>
      <c r="B32" s="1"/>
      <c r="C32" s="1"/>
    </row>
    <row r="33" spans="1:14" ht="38.25">
      <c r="A33" s="2" t="s">
        <v>2</v>
      </c>
      <c r="B33" s="2" t="s">
        <v>30</v>
      </c>
      <c r="C33" s="33" t="s">
        <v>43</v>
      </c>
      <c r="D33" s="33" t="s">
        <v>42</v>
      </c>
      <c r="E33" s="2" t="s">
        <v>41</v>
      </c>
      <c r="F33" s="2" t="s">
        <v>211</v>
      </c>
      <c r="G33" s="2" t="s">
        <v>212</v>
      </c>
      <c r="H33" s="2" t="s">
        <v>35</v>
      </c>
      <c r="I33" s="2" t="s">
        <v>38</v>
      </c>
      <c r="J33" s="2" t="s">
        <v>208</v>
      </c>
      <c r="K33" s="2"/>
      <c r="L33" s="2" t="s">
        <v>31</v>
      </c>
      <c r="M33" s="2"/>
      <c r="N33" s="2"/>
    </row>
    <row r="34" spans="1:14" ht="12.75">
      <c r="A34" s="26">
        <v>2006</v>
      </c>
      <c r="B34" s="4">
        <f aca="true" t="shared" si="4" ref="B34:J38">+B6+B20</f>
        <v>99285.03</v>
      </c>
      <c r="C34" s="4">
        <f t="shared" si="4"/>
        <v>0</v>
      </c>
      <c r="D34" s="4">
        <f t="shared" si="4"/>
        <v>12494.79</v>
      </c>
      <c r="E34" s="4">
        <f aca="true" t="shared" si="5" ref="E34:F40">+E6+E20</f>
        <v>0</v>
      </c>
      <c r="F34" s="4">
        <f t="shared" si="5"/>
        <v>0</v>
      </c>
      <c r="G34" s="4">
        <v>0</v>
      </c>
      <c r="H34" s="4">
        <f t="shared" si="4"/>
        <v>0</v>
      </c>
      <c r="I34" s="4">
        <f t="shared" si="4"/>
        <v>0</v>
      </c>
      <c r="J34" s="4">
        <f t="shared" si="4"/>
        <v>0</v>
      </c>
      <c r="K34" s="4"/>
      <c r="L34" s="5">
        <f>SUM(B34:K34)</f>
        <v>111779.82</v>
      </c>
      <c r="N34" s="6" t="s">
        <v>6</v>
      </c>
    </row>
    <row r="35" spans="1:14" ht="12.75">
      <c r="A35" s="26">
        <v>2007</v>
      </c>
      <c r="B35" s="4">
        <f t="shared" si="4"/>
        <v>8494197.24</v>
      </c>
      <c r="C35" s="4">
        <f t="shared" si="4"/>
        <v>-130742</v>
      </c>
      <c r="D35" s="4">
        <f t="shared" si="4"/>
        <v>49221.899999999994</v>
      </c>
      <c r="E35" s="4">
        <f t="shared" si="5"/>
        <v>0</v>
      </c>
      <c r="F35" s="4">
        <f t="shared" si="5"/>
        <v>0</v>
      </c>
      <c r="G35" s="4">
        <v>0</v>
      </c>
      <c r="H35" s="4">
        <f t="shared" si="4"/>
        <v>0</v>
      </c>
      <c r="I35" s="4">
        <f t="shared" si="4"/>
        <v>0</v>
      </c>
      <c r="J35" s="4">
        <f t="shared" si="4"/>
        <v>0</v>
      </c>
      <c r="K35" s="4"/>
      <c r="L35" s="5">
        <f aca="true" t="shared" si="6" ref="L35:L40">SUM(B35:K35)</f>
        <v>8412677.14</v>
      </c>
      <c r="N35" s="6" t="s">
        <v>6</v>
      </c>
    </row>
    <row r="36" spans="1:14" ht="12.75">
      <c r="A36" s="26">
        <v>2008</v>
      </c>
      <c r="B36" s="4">
        <f t="shared" si="4"/>
        <v>11237519.09</v>
      </c>
      <c r="C36" s="4">
        <f t="shared" si="4"/>
        <v>-134219</v>
      </c>
      <c r="D36" s="4">
        <f t="shared" si="4"/>
        <v>137253.375</v>
      </c>
      <c r="E36" s="4">
        <f t="shared" si="5"/>
        <v>0</v>
      </c>
      <c r="F36" s="4">
        <f t="shared" si="5"/>
        <v>0</v>
      </c>
      <c r="G36" s="4">
        <v>0</v>
      </c>
      <c r="H36" s="4">
        <f t="shared" si="4"/>
        <v>0</v>
      </c>
      <c r="I36" s="4">
        <f t="shared" si="4"/>
        <v>0</v>
      </c>
      <c r="J36" s="4">
        <f t="shared" si="4"/>
        <v>0</v>
      </c>
      <c r="K36" s="4"/>
      <c r="L36" s="5">
        <f t="shared" si="6"/>
        <v>11240553.465</v>
      </c>
      <c r="N36" s="6" t="s">
        <v>6</v>
      </c>
    </row>
    <row r="37" spans="1:14" ht="12.75">
      <c r="A37" s="26">
        <v>2009</v>
      </c>
      <c r="B37" s="4">
        <f t="shared" si="4"/>
        <v>7263262.329999999</v>
      </c>
      <c r="C37" s="4">
        <f t="shared" si="4"/>
        <v>-292720</v>
      </c>
      <c r="D37" s="4">
        <f t="shared" si="4"/>
        <v>407867.9849999999</v>
      </c>
      <c r="E37" s="4">
        <f t="shared" si="5"/>
        <v>141829.43300000002</v>
      </c>
      <c r="F37" s="4">
        <f t="shared" si="5"/>
        <v>0</v>
      </c>
      <c r="G37" s="4">
        <v>0</v>
      </c>
      <c r="H37" s="4">
        <f t="shared" si="4"/>
        <v>89650</v>
      </c>
      <c r="I37" s="4">
        <f t="shared" si="4"/>
        <v>0</v>
      </c>
      <c r="J37" s="4">
        <f t="shared" si="4"/>
        <v>0</v>
      </c>
      <c r="K37" s="4"/>
      <c r="L37" s="5">
        <f t="shared" si="6"/>
        <v>7609889.748</v>
      </c>
      <c r="N37" s="6" t="s">
        <v>6</v>
      </c>
    </row>
    <row r="38" spans="1:14" ht="12.75">
      <c r="A38" s="26">
        <v>2010</v>
      </c>
      <c r="B38" s="4">
        <f t="shared" si="4"/>
        <v>2252637</v>
      </c>
      <c r="C38" s="4">
        <f t="shared" si="4"/>
        <v>-254354</v>
      </c>
      <c r="D38" s="4">
        <f t="shared" si="4"/>
        <v>505204.61400000006</v>
      </c>
      <c r="E38" s="4">
        <f t="shared" si="5"/>
        <v>365702.70800000004</v>
      </c>
      <c r="F38" s="4">
        <f t="shared" si="5"/>
        <v>15200</v>
      </c>
      <c r="G38" s="4">
        <v>0</v>
      </c>
      <c r="H38" s="4">
        <f t="shared" si="4"/>
        <v>54700</v>
      </c>
      <c r="I38" s="4">
        <f t="shared" si="4"/>
        <v>0</v>
      </c>
      <c r="J38" s="4">
        <f t="shared" si="4"/>
        <v>0</v>
      </c>
      <c r="K38" s="4"/>
      <c r="L38" s="5">
        <f t="shared" si="6"/>
        <v>2939090.322</v>
      </c>
      <c r="N38" s="6" t="s">
        <v>7</v>
      </c>
    </row>
    <row r="39" spans="1:14" ht="12.75">
      <c r="A39" s="26">
        <v>2011</v>
      </c>
      <c r="B39" s="4">
        <f aca="true" t="shared" si="7" ref="B39:H40">+B11+B25</f>
        <v>3258583.63</v>
      </c>
      <c r="C39" s="4">
        <f t="shared" si="7"/>
        <v>-215181.6</v>
      </c>
      <c r="D39" s="4">
        <f t="shared" si="7"/>
        <v>192500.90999999997</v>
      </c>
      <c r="E39" s="4">
        <f t="shared" si="5"/>
        <v>376673.7892400001</v>
      </c>
      <c r="F39" s="4">
        <f t="shared" si="5"/>
        <v>593800</v>
      </c>
      <c r="G39" s="4">
        <v>630000</v>
      </c>
      <c r="H39" s="4">
        <f t="shared" si="7"/>
        <v>0</v>
      </c>
      <c r="I39" s="4">
        <f>+I11+I25</f>
        <v>0</v>
      </c>
      <c r="J39" s="4">
        <f>+J11+J25</f>
        <v>320000</v>
      </c>
      <c r="K39" s="4"/>
      <c r="L39" s="5">
        <f t="shared" si="6"/>
        <v>5156376.72924</v>
      </c>
      <c r="N39" s="6" t="s">
        <v>7</v>
      </c>
    </row>
    <row r="40" spans="1:14" ht="12.75">
      <c r="A40" s="26" t="s">
        <v>39</v>
      </c>
      <c r="B40" s="4">
        <f t="shared" si="7"/>
        <v>0</v>
      </c>
      <c r="C40" s="4">
        <f t="shared" si="7"/>
        <v>0</v>
      </c>
      <c r="D40" s="4">
        <f t="shared" si="7"/>
        <v>0</v>
      </c>
      <c r="E40" s="4">
        <f t="shared" si="5"/>
        <v>0</v>
      </c>
      <c r="F40" s="4">
        <f t="shared" si="5"/>
        <v>0</v>
      </c>
      <c r="G40" s="4">
        <v>0</v>
      </c>
      <c r="H40" s="4">
        <f t="shared" si="7"/>
        <v>0</v>
      </c>
      <c r="I40" s="4">
        <f>+I12+I26</f>
        <v>2288250</v>
      </c>
      <c r="J40" s="4">
        <f>+J12+J26</f>
        <v>0</v>
      </c>
      <c r="K40" s="4"/>
      <c r="L40" s="5">
        <f t="shared" si="6"/>
        <v>2288250</v>
      </c>
      <c r="N40" s="6" t="s">
        <v>7</v>
      </c>
    </row>
    <row r="41" spans="2:12" ht="13.5" thickBo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3.5" thickBot="1">
      <c r="B42" s="7">
        <f aca="true" t="shared" si="8" ref="B42:J42">SUM(B34:B41)</f>
        <v>32605484.319999997</v>
      </c>
      <c r="C42" s="7">
        <f t="shared" si="8"/>
        <v>-1027216.6</v>
      </c>
      <c r="D42" s="7">
        <f t="shared" si="8"/>
        <v>1304543.5739999998</v>
      </c>
      <c r="E42" s="7">
        <f t="shared" si="8"/>
        <v>884205.9302400001</v>
      </c>
      <c r="F42" s="7">
        <f t="shared" si="8"/>
        <v>609000</v>
      </c>
      <c r="G42" s="7">
        <v>630000</v>
      </c>
      <c r="H42" s="7">
        <f t="shared" si="8"/>
        <v>144350</v>
      </c>
      <c r="I42" s="7">
        <f t="shared" si="8"/>
        <v>2288250</v>
      </c>
      <c r="J42" s="7">
        <f t="shared" si="8"/>
        <v>320000</v>
      </c>
      <c r="K42" s="4"/>
      <c r="L42" s="7">
        <f>SUM(L34:L41)</f>
        <v>37758617.224240005</v>
      </c>
    </row>
    <row r="43" spans="1:12" ht="12.75">
      <c r="A43" s="30" t="s">
        <v>33</v>
      </c>
      <c r="B43" s="23">
        <f>+B42-B14-B28</f>
        <v>0</v>
      </c>
      <c r="C43" s="23">
        <f aca="true" t="shared" si="9" ref="C43:L43">+C42-C14-C28</f>
        <v>0</v>
      </c>
      <c r="D43" s="23">
        <f t="shared" si="9"/>
        <v>0</v>
      </c>
      <c r="E43" s="23">
        <f t="shared" si="9"/>
        <v>0</v>
      </c>
      <c r="F43" s="23">
        <f t="shared" si="9"/>
        <v>0</v>
      </c>
      <c r="G43" s="23">
        <v>0</v>
      </c>
      <c r="H43" s="23">
        <f t="shared" si="9"/>
        <v>0</v>
      </c>
      <c r="I43" s="23">
        <f t="shared" si="9"/>
        <v>0</v>
      </c>
      <c r="J43" s="23">
        <f t="shared" si="9"/>
        <v>0</v>
      </c>
      <c r="K43" s="4"/>
      <c r="L43" s="23">
        <f t="shared" si="9"/>
        <v>8.381903171539307E-09</v>
      </c>
    </row>
    <row r="45" ht="12.75">
      <c r="A45" s="12" t="s">
        <v>37</v>
      </c>
    </row>
    <row r="46" ht="12.75">
      <c r="A46" s="12" t="s">
        <v>36</v>
      </c>
    </row>
    <row r="47" ht="12.75">
      <c r="A47" s="12" t="s">
        <v>40</v>
      </c>
    </row>
    <row r="48" ht="12.75">
      <c r="A48" s="12" t="s">
        <v>45</v>
      </c>
    </row>
  </sheetData>
  <sheetProtection/>
  <mergeCells count="4">
    <mergeCell ref="A3:L3"/>
    <mergeCell ref="A17:L17"/>
    <mergeCell ref="A31:L31"/>
    <mergeCell ref="A1:L1"/>
  </mergeCells>
  <printOptions/>
  <pageMargins left="0.75" right="0.75" top="1" bottom="1" header="0.5" footer="0.5"/>
  <pageSetup horizontalDpi="525" verticalDpi="525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4" sqref="A4:F25"/>
    </sheetView>
  </sheetViews>
  <sheetFormatPr defaultColWidth="9.140625" defaultRowHeight="12.75"/>
  <cols>
    <col min="5" max="5" width="20.8515625" style="0" customWidth="1"/>
    <col min="6" max="6" width="15.00390625" style="0" customWidth="1"/>
    <col min="7" max="8" width="10.8515625" style="0" bestFit="1" customWidth="1"/>
  </cols>
  <sheetData>
    <row r="1" ht="18">
      <c r="A1" s="51" t="s">
        <v>73</v>
      </c>
    </row>
    <row r="2" ht="18">
      <c r="A2" s="51" t="s">
        <v>74</v>
      </c>
    </row>
    <row r="3" ht="12.75">
      <c r="F3" s="16"/>
    </row>
    <row r="4" spans="1:6" ht="15.75">
      <c r="A4" s="52" t="s">
        <v>75</v>
      </c>
      <c r="F4" s="20"/>
    </row>
    <row r="5" spans="1:6" ht="12.75">
      <c r="A5" s="26" t="s">
        <v>76</v>
      </c>
      <c r="F5" s="108">
        <f>+'Actual 2006'!D48</f>
        <v>100749.81680045898</v>
      </c>
    </row>
    <row r="6" spans="1:6" ht="12.75">
      <c r="A6" s="26" t="s">
        <v>77</v>
      </c>
      <c r="F6" s="108">
        <f>+'Actual 2007'!D48</f>
        <v>1341857.0793907337</v>
      </c>
    </row>
    <row r="7" spans="1:6" ht="12.75">
      <c r="A7" s="26" t="s">
        <v>78</v>
      </c>
      <c r="F7" s="108">
        <f>+'Actual 2008'!D48</f>
        <v>2307972.5941375536</v>
      </c>
    </row>
    <row r="8" spans="1:6" ht="12.75">
      <c r="A8" s="26" t="s">
        <v>79</v>
      </c>
      <c r="F8" s="108">
        <f>+'Actual 2009'!D48</f>
        <v>4336068.320994079</v>
      </c>
    </row>
    <row r="9" spans="1:6" ht="12.75">
      <c r="A9" s="26" t="s">
        <v>80</v>
      </c>
      <c r="F9" s="108">
        <f>+'Forecast 2010'!D48</f>
        <v>5053586.445650867</v>
      </c>
    </row>
    <row r="10" spans="1:6" ht="12.75">
      <c r="A10" s="26" t="s">
        <v>81</v>
      </c>
      <c r="F10" s="108">
        <f>+'Forecast 2011'!D48</f>
        <v>6014529.824350613</v>
      </c>
    </row>
    <row r="11" ht="12.75">
      <c r="F11" s="109">
        <f>SUM(F5:F10)</f>
        <v>19154764.081324305</v>
      </c>
    </row>
    <row r="12" ht="12.75">
      <c r="F12" s="108"/>
    </row>
    <row r="13" spans="1:6" ht="15.75">
      <c r="A13" s="52" t="s">
        <v>82</v>
      </c>
      <c r="F13" s="108"/>
    </row>
    <row r="14" spans="1:6" ht="12.75">
      <c r="A14" s="26" t="s">
        <v>83</v>
      </c>
      <c r="F14" s="108">
        <f>-SUM('7. Funding Adder Collected'!C8:C19)</f>
        <v>-1056250.83</v>
      </c>
    </row>
    <row r="15" spans="1:6" ht="12.75">
      <c r="A15" s="26" t="s">
        <v>84</v>
      </c>
      <c r="F15" s="108">
        <f>-SUM('7. Funding Adder Collected'!C20:C31)</f>
        <v>-2099320.38</v>
      </c>
    </row>
    <row r="16" spans="1:6" ht="12.75">
      <c r="A16" s="26" t="s">
        <v>85</v>
      </c>
      <c r="F16" s="108">
        <f>-SUM('7. Funding Adder Collected'!C32:C43)</f>
        <v>-2435241.87</v>
      </c>
    </row>
    <row r="17" spans="1:6" ht="12.75">
      <c r="A17" s="26" t="s">
        <v>220</v>
      </c>
      <c r="F17" s="108">
        <f>-SUM('7. Funding Adder Collected'!C44:C58)</f>
        <v>-4469143.05</v>
      </c>
    </row>
    <row r="18" spans="1:6" ht="12.75">
      <c r="A18" s="26" t="s">
        <v>223</v>
      </c>
      <c r="F18" s="108">
        <f>-1.56*233707*3</f>
        <v>-1093748.76</v>
      </c>
    </row>
    <row r="19" spans="1:6" ht="12.75">
      <c r="A19" s="26"/>
      <c r="F19" s="109">
        <f>SUM(F14:F18)</f>
        <v>-11153704.889999999</v>
      </c>
    </row>
    <row r="20" spans="1:6" ht="12.75">
      <c r="A20" s="26"/>
      <c r="F20" s="110"/>
    </row>
    <row r="21" spans="1:6" ht="13.5" thickBot="1">
      <c r="A21" s="26" t="s">
        <v>227</v>
      </c>
      <c r="F21" s="111">
        <f>+F11+F19</f>
        <v>8001059.191324307</v>
      </c>
    </row>
    <row r="22" ht="13.5" thickTop="1">
      <c r="F22" s="16"/>
    </row>
    <row r="23" spans="1:6" ht="12.75">
      <c r="A23" s="26" t="s">
        <v>87</v>
      </c>
      <c r="F23" s="106">
        <v>233707</v>
      </c>
    </row>
    <row r="24" spans="1:6" ht="12.75">
      <c r="A24" s="26" t="s">
        <v>88</v>
      </c>
      <c r="F24" s="16">
        <v>14</v>
      </c>
    </row>
    <row r="25" spans="1:6" ht="13.5" thickBot="1">
      <c r="A25" s="26" t="s">
        <v>89</v>
      </c>
      <c r="F25" s="107">
        <f>+F21/F23/F24</f>
        <v>2.4453877203153356</v>
      </c>
    </row>
    <row r="26" ht="13.5" thickTop="1"/>
  </sheetData>
  <sheetProtection/>
  <printOptions/>
  <pageMargins left="0.75" right="0.75" top="1" bottom="1" header="0.5" footer="0.5"/>
  <pageSetup horizontalDpi="525" verticalDpi="52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5" max="5" width="20.8515625" style="0" customWidth="1"/>
    <col min="6" max="6" width="15.00390625" style="0" customWidth="1"/>
  </cols>
  <sheetData>
    <row r="1" ht="18">
      <c r="A1" s="51" t="s">
        <v>73</v>
      </c>
    </row>
    <row r="2" ht="18">
      <c r="A2" s="51" t="s">
        <v>74</v>
      </c>
    </row>
    <row r="3" ht="12.75">
      <c r="F3" s="16"/>
    </row>
    <row r="4" spans="1:6" ht="15.75">
      <c r="A4" s="52" t="s">
        <v>75</v>
      </c>
      <c r="F4" s="20"/>
    </row>
    <row r="5" spans="1:6" ht="12.75">
      <c r="A5" s="26" t="s">
        <v>76</v>
      </c>
      <c r="F5" s="108">
        <f>+'Actual 2006'!D48</f>
        <v>100749.81680045898</v>
      </c>
    </row>
    <row r="6" spans="1:6" ht="12.75">
      <c r="A6" s="26" t="s">
        <v>77</v>
      </c>
      <c r="F6" s="108">
        <f>+'Actual 2007'!D48</f>
        <v>1341857.0793907337</v>
      </c>
    </row>
    <row r="7" spans="1:6" ht="12.75">
      <c r="A7" s="26" t="s">
        <v>78</v>
      </c>
      <c r="F7" s="108">
        <f>+'Actual 2008'!D48</f>
        <v>2307972.5941375536</v>
      </c>
    </row>
    <row r="8" spans="1:6" ht="12.75">
      <c r="A8" s="26" t="s">
        <v>79</v>
      </c>
      <c r="F8" s="108">
        <f>+'Actual 2009'!D48</f>
        <v>4336068.320994079</v>
      </c>
    </row>
    <row r="9" spans="1:6" ht="12.75">
      <c r="A9" s="26" t="s">
        <v>80</v>
      </c>
      <c r="F9" s="108">
        <f>+'Forecast 2010'!D48</f>
        <v>5053586.445650867</v>
      </c>
    </row>
    <row r="10" spans="1:6" ht="12.75">
      <c r="A10" s="26" t="s">
        <v>81</v>
      </c>
      <c r="F10" s="108">
        <f>+'Forecast 2011'!D48</f>
        <v>6014529.824350613</v>
      </c>
    </row>
    <row r="11" ht="12.75">
      <c r="F11" s="109">
        <f>SUM(F5:F10)</f>
        <v>19154764.081324305</v>
      </c>
    </row>
    <row r="12" ht="12.75">
      <c r="F12" s="108"/>
    </row>
    <row r="13" spans="1:6" ht="15.75">
      <c r="A13" s="52" t="s">
        <v>82</v>
      </c>
      <c r="F13" s="108"/>
    </row>
    <row r="14" spans="1:6" ht="12.75">
      <c r="A14" s="26" t="s">
        <v>83</v>
      </c>
      <c r="F14" s="108">
        <f>-SUM('7. Funding Adder Collected'!C8:C19)</f>
        <v>-1056250.83</v>
      </c>
    </row>
    <row r="15" spans="1:6" ht="12.75">
      <c r="A15" s="26" t="s">
        <v>84</v>
      </c>
      <c r="F15" s="108">
        <f>-SUM('7. Funding Adder Collected'!C20:C31)</f>
        <v>-2099320.38</v>
      </c>
    </row>
    <row r="16" spans="1:6" ht="12.75">
      <c r="A16" s="26" t="s">
        <v>85</v>
      </c>
      <c r="F16" s="108">
        <f>-SUM('7. Funding Adder Collected'!C32:C43)</f>
        <v>-2435241.87</v>
      </c>
    </row>
    <row r="17" spans="1:6" ht="12.75">
      <c r="A17" s="26" t="s">
        <v>220</v>
      </c>
      <c r="F17" s="108">
        <f>-SUM('7. Funding Adder Collected'!C44:C58)</f>
        <v>-4469143.05</v>
      </c>
    </row>
    <row r="18" spans="1:6" ht="12.75">
      <c r="A18" s="26" t="s">
        <v>247</v>
      </c>
      <c r="F18" s="108">
        <f>-1.56*233707*4</f>
        <v>-1458331.68</v>
      </c>
    </row>
    <row r="19" spans="1:6" ht="12.75">
      <c r="A19" s="26" t="s">
        <v>251</v>
      </c>
      <c r="F19" s="139">
        <f>-3*370000</f>
        <v>-1110000</v>
      </c>
    </row>
    <row r="20" spans="1:6" ht="12.75">
      <c r="A20" s="26"/>
      <c r="F20" s="109">
        <f>SUM(F14:F19)</f>
        <v>-12628287.809999999</v>
      </c>
    </row>
    <row r="21" spans="1:6" ht="12.75">
      <c r="A21" s="26"/>
      <c r="F21" s="110"/>
    </row>
    <row r="22" spans="1:6" ht="13.5" thickBot="1">
      <c r="A22" s="140" t="s">
        <v>250</v>
      </c>
      <c r="B22" s="141"/>
      <c r="C22" s="141"/>
      <c r="D22" s="141"/>
      <c r="E22" s="141"/>
      <c r="F22" s="111">
        <f>+F11+F20</f>
        <v>6526476.271324307</v>
      </c>
    </row>
    <row r="23" ht="13.5" thickTop="1">
      <c r="F23" s="16"/>
    </row>
    <row r="24" spans="1:6" ht="12.75">
      <c r="A24" s="26" t="s">
        <v>87</v>
      </c>
      <c r="F24" s="138">
        <v>234555</v>
      </c>
    </row>
    <row r="25" spans="1:6" ht="12.75">
      <c r="A25" s="26" t="s">
        <v>88</v>
      </c>
      <c r="F25" s="16">
        <v>13</v>
      </c>
    </row>
    <row r="26" spans="1:6" ht="13.5" thickBot="1">
      <c r="A26" s="26" t="s">
        <v>89</v>
      </c>
      <c r="F26" s="107">
        <f>+F22/F24/F25</f>
        <v>2.1403791701550423</v>
      </c>
    </row>
    <row r="27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57.7109375" style="16" customWidth="1"/>
    <col min="2" max="4" width="15.7109375" style="16" customWidth="1"/>
    <col min="5" max="5" width="5.7109375" style="16" customWidth="1"/>
    <col min="6" max="16384" width="9.140625" style="16" customWidth="1"/>
  </cols>
  <sheetData>
    <row r="1" spans="1:4" ht="18">
      <c r="A1" s="76" t="s">
        <v>73</v>
      </c>
      <c r="B1" s="76"/>
      <c r="C1" s="76"/>
      <c r="D1" s="76"/>
    </row>
    <row r="2" spans="1:4" ht="18">
      <c r="A2" s="76" t="s">
        <v>74</v>
      </c>
      <c r="B2" s="76"/>
      <c r="C2" s="76"/>
      <c r="D2" s="76"/>
    </row>
    <row r="3" spans="1:4" ht="18">
      <c r="A3" s="76" t="s">
        <v>90</v>
      </c>
      <c r="B3" s="76"/>
      <c r="C3" s="76"/>
      <c r="D3" s="76"/>
    </row>
    <row r="4" ht="13.5" thickBot="1">
      <c r="E4" s="77"/>
    </row>
    <row r="5" spans="1:5" ht="13.5" thickBot="1">
      <c r="A5" s="77" t="s">
        <v>91</v>
      </c>
      <c r="B5" s="146" t="s">
        <v>92</v>
      </c>
      <c r="C5" s="147"/>
      <c r="D5" s="77"/>
      <c r="E5" s="77"/>
    </row>
    <row r="6" spans="1:3" ht="12.75">
      <c r="A6" s="79" t="s">
        <v>93</v>
      </c>
      <c r="B6" s="73">
        <v>0</v>
      </c>
      <c r="C6" s="73"/>
    </row>
    <row r="7" spans="1:3" ht="12.75">
      <c r="A7" s="79" t="s">
        <v>94</v>
      </c>
      <c r="B7" s="73">
        <v>0</v>
      </c>
      <c r="C7" s="73"/>
    </row>
    <row r="8" spans="1:3" ht="12.75">
      <c r="A8" s="54" t="s">
        <v>95</v>
      </c>
      <c r="B8" s="73">
        <v>0</v>
      </c>
      <c r="C8" s="73"/>
    </row>
    <row r="9" spans="1:3" ht="12.75">
      <c r="A9" s="79" t="s">
        <v>96</v>
      </c>
      <c r="B9" s="73">
        <v>0</v>
      </c>
      <c r="C9" s="73"/>
    </row>
    <row r="10" spans="1:3" ht="12.75">
      <c r="A10" s="79" t="s">
        <v>97</v>
      </c>
      <c r="B10" s="73">
        <v>0</v>
      </c>
      <c r="C10" s="73"/>
    </row>
    <row r="11" spans="1:4" s="81" customFormat="1" ht="12.75">
      <c r="A11" s="79" t="s">
        <v>98</v>
      </c>
      <c r="B11" s="73">
        <v>0</v>
      </c>
      <c r="C11" s="73"/>
      <c r="D11" s="16"/>
    </row>
    <row r="12" spans="1:3" ht="12.75">
      <c r="A12" s="79" t="s">
        <v>99</v>
      </c>
      <c r="B12" s="73">
        <v>0</v>
      </c>
      <c r="C12" s="73">
        <f>SUM(B6:B12)</f>
        <v>0</v>
      </c>
    </row>
    <row r="13" spans="2:3" ht="4.5" customHeight="1">
      <c r="B13" s="66"/>
      <c r="C13" s="66"/>
    </row>
    <row r="14" spans="1:3" ht="12.75">
      <c r="A14" s="77" t="s">
        <v>100</v>
      </c>
      <c r="B14" s="66"/>
      <c r="C14" s="66"/>
    </row>
    <row r="15" spans="1:3" ht="12.75">
      <c r="A15" s="16" t="s">
        <v>101</v>
      </c>
      <c r="B15" s="10">
        <f>+'Program YTD'!B20</f>
        <v>99285.03</v>
      </c>
      <c r="C15" s="65"/>
    </row>
    <row r="16" spans="1:3" ht="12.75">
      <c r="A16" s="16" t="s">
        <v>102</v>
      </c>
      <c r="B16" s="65">
        <f>+B15*0.15</f>
        <v>14892.7545</v>
      </c>
      <c r="C16" s="65">
        <f>+B16</f>
        <v>14892.7545</v>
      </c>
    </row>
    <row r="17" spans="2:3" ht="4.5" customHeight="1">
      <c r="B17" s="65"/>
      <c r="C17" s="65"/>
    </row>
    <row r="18" spans="1:3" ht="13.5" thickBot="1">
      <c r="A18" s="77" t="s">
        <v>103</v>
      </c>
      <c r="B18" s="65"/>
      <c r="C18" s="74">
        <f>+C12+C16</f>
        <v>14892.7545</v>
      </c>
    </row>
    <row r="19" spans="1:3" ht="4.5" customHeight="1">
      <c r="A19" s="77"/>
      <c r="B19" s="66"/>
      <c r="C19" s="57"/>
    </row>
    <row r="20" spans="1:3" ht="12.75">
      <c r="A20" s="77" t="s">
        <v>104</v>
      </c>
      <c r="B20" s="58"/>
      <c r="C20" s="58"/>
    </row>
    <row r="21" spans="1:4" ht="12.75">
      <c r="A21" s="16" t="s">
        <v>105</v>
      </c>
      <c r="B21" s="67">
        <v>0.56</v>
      </c>
      <c r="C21" s="65">
        <f>+B21*C18</f>
        <v>8339.94252</v>
      </c>
      <c r="D21" s="73"/>
    </row>
    <row r="22" spans="1:4" ht="12.75">
      <c r="A22" s="16" t="s">
        <v>106</v>
      </c>
      <c r="B22" s="67">
        <v>0.04</v>
      </c>
      <c r="C22" s="65">
        <f>+B22*C18</f>
        <v>595.7101799999999</v>
      </c>
      <c r="D22" s="73"/>
    </row>
    <row r="23" spans="1:4" ht="12.75">
      <c r="A23" s="82" t="s">
        <v>107</v>
      </c>
      <c r="B23" s="67">
        <v>0.4</v>
      </c>
      <c r="C23" s="65">
        <f>+B23*C18</f>
        <v>5957.1018</v>
      </c>
      <c r="D23" s="73"/>
    </row>
    <row r="24" spans="2:4" ht="13.5" thickBot="1">
      <c r="B24" s="58"/>
      <c r="C24" s="74">
        <f>SUM(C21:C23)</f>
        <v>14892.754500000001</v>
      </c>
      <c r="D24" s="73"/>
    </row>
    <row r="25" spans="2:4" s="81" customFormat="1" ht="6.75">
      <c r="B25" s="68"/>
      <c r="C25" s="75"/>
      <c r="D25" s="83"/>
    </row>
    <row r="26" spans="1:4" ht="12.75">
      <c r="A26" s="16" t="s">
        <v>108</v>
      </c>
      <c r="B26" s="55">
        <v>0.07</v>
      </c>
      <c r="C26" s="65">
        <f>+C21*B26</f>
        <v>583.7959764000001</v>
      </c>
      <c r="D26" s="73"/>
    </row>
    <row r="27" spans="1:4" ht="12.75">
      <c r="A27" s="16" t="s">
        <v>109</v>
      </c>
      <c r="B27" s="55">
        <v>0.07</v>
      </c>
      <c r="C27" s="65">
        <f>+C22*B27</f>
        <v>41.6997126</v>
      </c>
      <c r="D27" s="73"/>
    </row>
    <row r="28" spans="1:4" ht="12.75">
      <c r="A28" s="16" t="s">
        <v>110</v>
      </c>
      <c r="B28" s="55">
        <v>0.09</v>
      </c>
      <c r="C28" s="65">
        <f>+C23*B28</f>
        <v>536.139162</v>
      </c>
      <c r="D28" s="73"/>
    </row>
    <row r="29" spans="1:4" ht="13.5" thickBot="1">
      <c r="A29" s="77" t="s">
        <v>111</v>
      </c>
      <c r="B29" s="58"/>
      <c r="C29" s="74">
        <f>SUM(C26:C28)</f>
        <v>1161.6348510000003</v>
      </c>
      <c r="D29" s="73">
        <f>+C29</f>
        <v>1161.6348510000003</v>
      </c>
    </row>
    <row r="30" spans="1:3" ht="4.5" customHeight="1">
      <c r="A30" s="77"/>
      <c r="B30" s="58"/>
      <c r="C30" s="57"/>
    </row>
    <row r="31" spans="1:3" ht="12.75">
      <c r="A31" s="77" t="s">
        <v>112</v>
      </c>
      <c r="B31" s="58"/>
      <c r="C31" s="57"/>
    </row>
    <row r="32" spans="1:4" ht="12.75">
      <c r="A32" s="82" t="s">
        <v>113</v>
      </c>
      <c r="B32" s="58"/>
      <c r="C32" s="56"/>
      <c r="D32" s="73">
        <f>B15</f>
        <v>99285.03</v>
      </c>
    </row>
    <row r="33" spans="1:4" ht="4.5" customHeight="1">
      <c r="A33" s="82"/>
      <c r="B33" s="58"/>
      <c r="C33" s="56"/>
      <c r="D33" s="73"/>
    </row>
    <row r="34" spans="1:4" ht="12.75">
      <c r="A34" s="77" t="s">
        <v>114</v>
      </c>
      <c r="B34" s="58"/>
      <c r="C34" s="62"/>
      <c r="D34" s="56">
        <v>0</v>
      </c>
    </row>
    <row r="35" spans="1:4" ht="4.5" customHeight="1">
      <c r="A35" s="77"/>
      <c r="B35" s="58"/>
      <c r="C35" s="56"/>
      <c r="D35" s="84"/>
    </row>
    <row r="36" spans="1:4" ht="13.5" thickBot="1">
      <c r="A36" s="16" t="s">
        <v>115</v>
      </c>
      <c r="B36" s="58"/>
      <c r="C36" s="62"/>
      <c r="D36" s="85">
        <f>+D29+D32+D34</f>
        <v>100446.664851</v>
      </c>
    </row>
    <row r="37" spans="2:3" ht="4.5" customHeight="1">
      <c r="B37" s="58"/>
      <c r="C37" s="57"/>
    </row>
    <row r="38" spans="1:3" ht="12.75">
      <c r="A38" s="77" t="s">
        <v>116</v>
      </c>
      <c r="B38" s="58"/>
      <c r="C38" s="66"/>
    </row>
    <row r="39" spans="1:4" ht="12.75">
      <c r="A39" s="16" t="s">
        <v>117</v>
      </c>
      <c r="B39" s="58"/>
      <c r="C39" s="62"/>
      <c r="D39" s="65">
        <f>-D32</f>
        <v>-99285.03</v>
      </c>
    </row>
    <row r="40" spans="1:4" ht="12.75">
      <c r="A40" s="16" t="s">
        <v>118</v>
      </c>
      <c r="B40" s="62"/>
      <c r="C40" s="62"/>
      <c r="D40" s="65">
        <f>-D34</f>
        <v>0</v>
      </c>
    </row>
    <row r="41" spans="1:4" ht="12.75">
      <c r="A41" s="16" t="s">
        <v>119</v>
      </c>
      <c r="B41" s="62"/>
      <c r="C41" s="62"/>
      <c r="D41" s="65">
        <f>-C26-C27</f>
        <v>-625.4956890000001</v>
      </c>
    </row>
    <row r="42" spans="1:4" ht="13.5" thickBot="1">
      <c r="A42" s="77" t="s">
        <v>120</v>
      </c>
      <c r="B42" s="62"/>
      <c r="C42" s="62"/>
      <c r="D42" s="74">
        <f>SUM(D36:D41)</f>
        <v>536.1391619999952</v>
      </c>
    </row>
    <row r="43" spans="1:3" ht="4.5" customHeight="1">
      <c r="A43" s="77"/>
      <c r="B43" s="62"/>
      <c r="C43" s="57"/>
    </row>
    <row r="44" spans="1:4" ht="13.5" thickBot="1">
      <c r="A44" s="77" t="s">
        <v>121</v>
      </c>
      <c r="B44" s="58"/>
      <c r="C44" s="62"/>
      <c r="D44" s="86">
        <f>+D80</f>
        <v>303.15194945898287</v>
      </c>
    </row>
    <row r="45" spans="1:4" ht="4.5" customHeight="1">
      <c r="A45" s="77"/>
      <c r="B45" s="58"/>
      <c r="C45" s="62"/>
      <c r="D45" s="57"/>
    </row>
    <row r="46" spans="1:4" ht="12.75">
      <c r="A46" s="82" t="s">
        <v>122</v>
      </c>
      <c r="B46" s="58"/>
      <c r="C46" s="62"/>
      <c r="D46" s="66">
        <f>+D36</f>
        <v>100446.664851</v>
      </c>
    </row>
    <row r="47" spans="1:4" ht="12.75">
      <c r="A47" s="82" t="s">
        <v>121</v>
      </c>
      <c r="B47" s="58"/>
      <c r="C47" s="62"/>
      <c r="D47" s="66">
        <f>+D44</f>
        <v>303.15194945898287</v>
      </c>
    </row>
    <row r="48" spans="1:4" ht="13.5" thickBot="1">
      <c r="A48" s="77" t="s">
        <v>123</v>
      </c>
      <c r="B48" s="58"/>
      <c r="C48" s="62"/>
      <c r="D48" s="87">
        <f>+D46+D47</f>
        <v>100749.81680045898</v>
      </c>
    </row>
    <row r="49" spans="1:4" ht="4.5" customHeight="1">
      <c r="A49" s="77"/>
      <c r="B49" s="58"/>
      <c r="C49" s="62"/>
      <c r="D49" s="57"/>
    </row>
    <row r="50" spans="1:4" ht="12.75">
      <c r="A50" s="77" t="s">
        <v>124</v>
      </c>
      <c r="B50" s="58"/>
      <c r="C50" s="62"/>
      <c r="D50" s="57"/>
    </row>
    <row r="51" spans="1:4" ht="12.75">
      <c r="A51" s="82" t="s">
        <v>125</v>
      </c>
      <c r="B51" s="58"/>
      <c r="C51" s="62"/>
      <c r="D51" s="57">
        <f>+D48</f>
        <v>100749.81680045898</v>
      </c>
    </row>
    <row r="52" spans="1:4" ht="12.75">
      <c r="A52" s="82" t="s">
        <v>126</v>
      </c>
      <c r="B52" s="58"/>
      <c r="C52" s="62"/>
      <c r="D52" s="57">
        <v>232482</v>
      </c>
    </row>
    <row r="53" spans="1:4" ht="13.5" thickBot="1">
      <c r="A53" s="82" t="s">
        <v>127</v>
      </c>
      <c r="B53" s="62"/>
      <c r="C53" s="62"/>
      <c r="D53" s="69">
        <f>+D51/D52</f>
        <v>0.43336609630190287</v>
      </c>
    </row>
    <row r="54" spans="1:4" ht="13.5" thickTop="1">
      <c r="A54" s="82" t="s">
        <v>128</v>
      </c>
      <c r="B54" s="62"/>
      <c r="C54" s="62"/>
      <c r="D54" s="70">
        <v>12</v>
      </c>
    </row>
    <row r="55" spans="1:4" ht="13.5" thickBot="1">
      <c r="A55" s="82" t="s">
        <v>124</v>
      </c>
      <c r="B55" s="62"/>
      <c r="C55" s="62"/>
      <c r="D55" s="71">
        <f>+D53/D54</f>
        <v>0.036113841358491904</v>
      </c>
    </row>
    <row r="56" spans="2:3" ht="4.5" customHeight="1" thickTop="1">
      <c r="B56" s="62"/>
      <c r="C56" s="62"/>
    </row>
    <row r="57" spans="2:3" ht="4.5" customHeight="1">
      <c r="B57" s="62"/>
      <c r="C57" s="62"/>
    </row>
    <row r="58" spans="1:3" ht="12.75">
      <c r="A58" s="77" t="s">
        <v>129</v>
      </c>
      <c r="B58" s="62"/>
      <c r="C58" s="62"/>
    </row>
    <row r="59" spans="2:3" ht="4.5" customHeight="1">
      <c r="B59" s="62"/>
      <c r="C59" s="62"/>
    </row>
    <row r="60" spans="1:3" ht="15">
      <c r="A60" s="88" t="s">
        <v>130</v>
      </c>
      <c r="B60" s="62"/>
      <c r="C60" s="62"/>
    </row>
    <row r="61" spans="1:3" ht="12.75">
      <c r="A61" s="16" t="s">
        <v>131</v>
      </c>
      <c r="B61" s="72">
        <f>+D42</f>
        <v>536.1391619999952</v>
      </c>
      <c r="C61" s="62"/>
    </row>
    <row r="62" spans="1:3" ht="12.75">
      <c r="A62" s="16" t="s">
        <v>132</v>
      </c>
      <c r="B62" s="58">
        <v>0</v>
      </c>
      <c r="C62" s="62"/>
    </row>
    <row r="63" spans="1:3" ht="12.75">
      <c r="A63" s="16" t="s">
        <v>133</v>
      </c>
      <c r="B63" s="58">
        <v>0</v>
      </c>
      <c r="C63" s="62"/>
    </row>
    <row r="64" spans="1:3" ht="12.75">
      <c r="A64" s="16" t="s">
        <v>134</v>
      </c>
      <c r="B64" s="59">
        <f>+B61+B62+B63</f>
        <v>536.1391619999952</v>
      </c>
      <c r="C64" s="62"/>
    </row>
    <row r="65" spans="1:3" ht="12.75">
      <c r="A65" s="16" t="s">
        <v>135</v>
      </c>
      <c r="B65" s="60">
        <v>0.3612</v>
      </c>
      <c r="C65" s="62"/>
    </row>
    <row r="66" spans="1:3" ht="13.5" thickBot="1">
      <c r="A66" s="16" t="s">
        <v>136</v>
      </c>
      <c r="B66" s="61">
        <f>+B64*B65</f>
        <v>193.65346531439826</v>
      </c>
      <c r="C66" s="62"/>
    </row>
    <row r="67" spans="2:3" ht="4.5" customHeight="1">
      <c r="B67" s="62"/>
      <c r="C67" s="62"/>
    </row>
    <row r="68" spans="1:3" ht="12.75">
      <c r="A68" s="77" t="s">
        <v>137</v>
      </c>
      <c r="B68" s="62"/>
      <c r="C68" s="62"/>
    </row>
    <row r="69" spans="1:3" ht="12.75">
      <c r="A69" s="16" t="s">
        <v>138</v>
      </c>
      <c r="B69" s="58">
        <f>+'[6]SM FA Continuity'!C12</f>
        <v>0</v>
      </c>
      <c r="C69" s="62"/>
    </row>
    <row r="70" spans="1:3" ht="12.75">
      <c r="A70" s="16" t="s">
        <v>139</v>
      </c>
      <c r="B70" s="58">
        <v>0</v>
      </c>
      <c r="C70" s="62"/>
    </row>
    <row r="71" spans="1:3" ht="12.75">
      <c r="A71" s="16" t="s">
        <v>140</v>
      </c>
      <c r="B71" s="63">
        <f>+B69-B70</f>
        <v>0</v>
      </c>
      <c r="C71" s="62"/>
    </row>
    <row r="72" spans="1:3" ht="12.75">
      <c r="A72" s="16" t="s">
        <v>141</v>
      </c>
      <c r="B72" s="64">
        <v>0.003</v>
      </c>
      <c r="C72" s="62"/>
    </row>
    <row r="73" spans="1:3" ht="13.5" thickBot="1">
      <c r="A73" s="77" t="s">
        <v>142</v>
      </c>
      <c r="B73" s="61">
        <f>+B72*B71/3</f>
        <v>0</v>
      </c>
      <c r="C73" s="62"/>
    </row>
    <row r="74" spans="2:3" ht="4.5" customHeight="1">
      <c r="B74" s="62"/>
      <c r="C74" s="62"/>
    </row>
    <row r="75" spans="2:3" ht="4.5" customHeight="1">
      <c r="B75" s="62"/>
      <c r="C75" s="62"/>
    </row>
    <row r="76" spans="2:3" ht="4.5" customHeight="1">
      <c r="B76" s="62"/>
      <c r="C76" s="62"/>
    </row>
    <row r="77" spans="2:4" ht="12.75">
      <c r="B77" s="89" t="s">
        <v>143</v>
      </c>
      <c r="C77" s="89" t="s">
        <v>144</v>
      </c>
      <c r="D77" s="77" t="s">
        <v>145</v>
      </c>
    </row>
    <row r="78" spans="1:4" ht="12.75">
      <c r="A78" s="16" t="s">
        <v>146</v>
      </c>
      <c r="B78" s="72">
        <f>+B66</f>
        <v>193.65346531439826</v>
      </c>
      <c r="C78" s="55">
        <f>+B65</f>
        <v>0.3612</v>
      </c>
      <c r="D78" s="90">
        <f>+B78/(1-C78)</f>
        <v>303.15194945898287</v>
      </c>
    </row>
    <row r="79" spans="1:4" ht="12.75">
      <c r="A79" s="16" t="s">
        <v>147</v>
      </c>
      <c r="B79" s="58">
        <f>+B73</f>
        <v>0</v>
      </c>
      <c r="C79" s="62"/>
      <c r="D79" s="91">
        <f>+B79</f>
        <v>0</v>
      </c>
    </row>
    <row r="80" spans="1:4" ht="13.5" thickBot="1">
      <c r="A80" s="16" t="s">
        <v>148</v>
      </c>
      <c r="B80" s="92">
        <f>+B78+B79</f>
        <v>193.65346531439826</v>
      </c>
      <c r="C80" s="93"/>
      <c r="D80" s="94">
        <f>+D78+D79</f>
        <v>303.15194945898287</v>
      </c>
    </row>
    <row r="81" ht="4.5" customHeight="1" thickTop="1"/>
  </sheetData>
  <sheetProtection/>
  <mergeCells count="1">
    <mergeCell ref="B5:C5"/>
  </mergeCells>
  <printOptions/>
  <pageMargins left="0.75" right="0.5" top="0.5" bottom="0.5" header="0.5" footer="0.5"/>
  <pageSetup fitToHeight="1" fitToWidth="1" horizontalDpi="600" verticalDpi="60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34">
      <selection activeCell="B9" sqref="B9"/>
    </sheetView>
  </sheetViews>
  <sheetFormatPr defaultColWidth="9.140625" defaultRowHeight="12.75"/>
  <cols>
    <col min="1" max="1" width="57.7109375" style="16" customWidth="1"/>
    <col min="2" max="3" width="15.7109375" style="62" customWidth="1"/>
    <col min="4" max="4" width="15.7109375" style="16" customWidth="1"/>
    <col min="5" max="5" width="5.7109375" style="16" customWidth="1"/>
    <col min="6" max="16384" width="9.140625" style="16" customWidth="1"/>
  </cols>
  <sheetData>
    <row r="1" ht="18">
      <c r="A1" s="76" t="s">
        <v>73</v>
      </c>
    </row>
    <row r="2" ht="18">
      <c r="A2" s="76" t="s">
        <v>74</v>
      </c>
    </row>
    <row r="3" ht="18">
      <c r="A3" s="76" t="s">
        <v>90</v>
      </c>
    </row>
    <row r="4" spans="2:5" ht="13.5" thickBot="1">
      <c r="B4" s="89"/>
      <c r="C4" s="89"/>
      <c r="D4" s="77"/>
      <c r="E4" s="77"/>
    </row>
    <row r="5" spans="1:5" ht="13.5" thickBot="1">
      <c r="A5" s="77" t="s">
        <v>91</v>
      </c>
      <c r="B5" s="146" t="s">
        <v>149</v>
      </c>
      <c r="C5" s="147"/>
      <c r="E5" s="77"/>
    </row>
    <row r="6" spans="1:3" ht="12.75">
      <c r="A6" s="79" t="s">
        <v>93</v>
      </c>
      <c r="B6" s="73">
        <f>+'SM FA Continuity'!G7</f>
        <v>0</v>
      </c>
      <c r="C6" s="73"/>
    </row>
    <row r="7" spans="1:3" ht="12.75">
      <c r="A7" s="79" t="s">
        <v>94</v>
      </c>
      <c r="B7" s="73">
        <v>0</v>
      </c>
      <c r="C7" s="73"/>
    </row>
    <row r="8" spans="1:3" ht="12.75">
      <c r="A8" s="54" t="s">
        <v>95</v>
      </c>
      <c r="B8" s="73">
        <v>0</v>
      </c>
      <c r="C8" s="73"/>
    </row>
    <row r="9" spans="1:3" ht="12.75">
      <c r="A9" s="79" t="s">
        <v>96</v>
      </c>
      <c r="B9" s="73">
        <f>+'SM FA Continuity'!G8</f>
        <v>3665496.53</v>
      </c>
      <c r="C9" s="73"/>
    </row>
    <row r="10" spans="1:3" ht="12.75">
      <c r="A10" s="79" t="s">
        <v>97</v>
      </c>
      <c r="B10" s="73">
        <f>+'SM FA Continuity'!G9</f>
        <v>52383.18</v>
      </c>
      <c r="C10" s="73"/>
    </row>
    <row r="11" spans="1:4" s="81" customFormat="1" ht="12.75">
      <c r="A11" s="79" t="s">
        <v>98</v>
      </c>
      <c r="B11" s="73">
        <f>+'SM FA Continuity'!G10</f>
        <v>13127.695000000002</v>
      </c>
      <c r="C11" s="73"/>
      <c r="D11" s="16"/>
    </row>
    <row r="12" spans="1:3" ht="12.75">
      <c r="A12" s="79" t="s">
        <v>99</v>
      </c>
      <c r="B12" s="73">
        <f>+'SM FA Continuity'!G11</f>
        <v>430.02</v>
      </c>
      <c r="C12" s="73">
        <f>SUM(B6:B12)</f>
        <v>3731437.425</v>
      </c>
    </row>
    <row r="13" spans="2:3" ht="4.5" customHeight="1">
      <c r="B13" s="66"/>
      <c r="C13" s="66"/>
    </row>
    <row r="14" spans="1:3" ht="12.75">
      <c r="A14" s="77" t="s">
        <v>100</v>
      </c>
      <c r="B14" s="66"/>
      <c r="C14" s="66"/>
    </row>
    <row r="15" spans="1:3" ht="12.75">
      <c r="A15" s="16" t="s">
        <v>101</v>
      </c>
      <c r="B15" s="10">
        <f>+'Program YTD'!B21</f>
        <v>814248.34</v>
      </c>
      <c r="C15" s="65"/>
    </row>
    <row r="16" spans="1:3" ht="12.75">
      <c r="A16" s="16" t="s">
        <v>102</v>
      </c>
      <c r="B16" s="65">
        <f>+B15*0.15</f>
        <v>122137.25099999999</v>
      </c>
      <c r="C16" s="65">
        <f>+B16</f>
        <v>122137.25099999999</v>
      </c>
    </row>
    <row r="17" spans="2:3" ht="12.75">
      <c r="B17" s="65"/>
      <c r="C17" s="65"/>
    </row>
    <row r="18" spans="1:3" ht="13.5" thickBot="1">
      <c r="A18" s="77" t="s">
        <v>103</v>
      </c>
      <c r="B18" s="65"/>
      <c r="C18" s="74">
        <f>+C12+C16</f>
        <v>3853574.676</v>
      </c>
    </row>
    <row r="19" spans="1:3" ht="4.5" customHeight="1">
      <c r="A19" s="77"/>
      <c r="B19" s="66"/>
      <c r="C19" s="57"/>
    </row>
    <row r="20" spans="1:3" ht="12.75">
      <c r="A20" s="77" t="s">
        <v>104</v>
      </c>
      <c r="B20" s="58"/>
      <c r="C20" s="58"/>
    </row>
    <row r="21" spans="1:4" ht="12.75">
      <c r="A21" s="16" t="s">
        <v>105</v>
      </c>
      <c r="B21" s="67">
        <v>0.56</v>
      </c>
      <c r="C21" s="65">
        <f>+B21*C18</f>
        <v>2158001.81856</v>
      </c>
      <c r="D21" s="73"/>
    </row>
    <row r="22" spans="1:4" ht="12.75">
      <c r="A22" s="16" t="s">
        <v>106</v>
      </c>
      <c r="B22" s="67">
        <v>0.04</v>
      </c>
      <c r="C22" s="65">
        <f>+B22*C18</f>
        <v>154142.98704</v>
      </c>
      <c r="D22" s="73"/>
    </row>
    <row r="23" spans="1:4" ht="12.75">
      <c r="A23" s="82" t="s">
        <v>107</v>
      </c>
      <c r="B23" s="67">
        <v>0.4</v>
      </c>
      <c r="C23" s="65">
        <f>+B23*C18</f>
        <v>1541429.8704000001</v>
      </c>
      <c r="D23" s="73"/>
    </row>
    <row r="24" spans="2:4" ht="13.5" thickBot="1">
      <c r="B24" s="58"/>
      <c r="C24" s="74">
        <f>SUM(C21:C23)</f>
        <v>3853574.676</v>
      </c>
      <c r="D24" s="73"/>
    </row>
    <row r="25" spans="2:4" s="81" customFormat="1" ht="6.75">
      <c r="B25" s="68"/>
      <c r="C25" s="75"/>
      <c r="D25" s="83"/>
    </row>
    <row r="26" spans="1:4" ht="12.75">
      <c r="A26" s="16" t="s">
        <v>108</v>
      </c>
      <c r="B26" s="55">
        <v>0.07</v>
      </c>
      <c r="C26" s="65">
        <f>+C21*B26</f>
        <v>151060.12729920002</v>
      </c>
      <c r="D26" s="73"/>
    </row>
    <row r="27" spans="1:4" ht="12.75">
      <c r="A27" s="16" t="s">
        <v>109</v>
      </c>
      <c r="B27" s="55">
        <v>0.07</v>
      </c>
      <c r="C27" s="65">
        <f>+C22*B27</f>
        <v>10790.0090928</v>
      </c>
      <c r="D27" s="73"/>
    </row>
    <row r="28" spans="1:4" ht="12.75">
      <c r="A28" s="16" t="s">
        <v>110</v>
      </c>
      <c r="B28" s="55">
        <v>0.09</v>
      </c>
      <c r="C28" s="65">
        <f>+C23*B28</f>
        <v>138728.68833600002</v>
      </c>
      <c r="D28" s="73"/>
    </row>
    <row r="29" spans="1:4" ht="13.5" thickBot="1">
      <c r="A29" s="77" t="s">
        <v>111</v>
      </c>
      <c r="B29" s="58"/>
      <c r="C29" s="74">
        <f>SUM(C26:C28)</f>
        <v>300578.82472800004</v>
      </c>
      <c r="D29" s="73">
        <f>+C29</f>
        <v>300578.82472800004</v>
      </c>
    </row>
    <row r="30" spans="1:3" ht="4.5" customHeight="1">
      <c r="A30" s="77"/>
      <c r="B30" s="58"/>
      <c r="C30" s="57"/>
    </row>
    <row r="31" spans="1:3" ht="12.75">
      <c r="A31" s="77" t="s">
        <v>112</v>
      </c>
      <c r="B31" s="58"/>
      <c r="C31" s="57"/>
    </row>
    <row r="32" spans="1:4" ht="12.75">
      <c r="A32" s="82" t="s">
        <v>113</v>
      </c>
      <c r="B32" s="58"/>
      <c r="C32" s="56"/>
      <c r="D32" s="73">
        <f>B15</f>
        <v>814248.34</v>
      </c>
    </row>
    <row r="33" spans="1:4" ht="4.5" customHeight="1">
      <c r="A33" s="82"/>
      <c r="B33" s="58"/>
      <c r="C33" s="56"/>
      <c r="D33" s="73"/>
    </row>
    <row r="34" spans="1:4" ht="12.75">
      <c r="A34" s="77" t="s">
        <v>114</v>
      </c>
      <c r="B34" s="58"/>
      <c r="D34" s="56">
        <f>+'SM FA Continuity'!E12</f>
        <v>217074.05</v>
      </c>
    </row>
    <row r="35" spans="1:4" ht="4.5" customHeight="1">
      <c r="A35" s="77"/>
      <c r="B35" s="58"/>
      <c r="C35" s="56"/>
      <c r="D35" s="84"/>
    </row>
    <row r="36" spans="1:4" ht="13.5" thickBot="1">
      <c r="A36" s="16" t="s">
        <v>115</v>
      </c>
      <c r="B36" s="58"/>
      <c r="D36" s="85">
        <f>+D29+D32+D34</f>
        <v>1331901.214728</v>
      </c>
    </row>
    <row r="37" spans="2:3" ht="4.5" customHeight="1">
      <c r="B37" s="58"/>
      <c r="C37" s="57"/>
    </row>
    <row r="38" spans="1:3" ht="12.75">
      <c r="A38" s="77" t="s">
        <v>116</v>
      </c>
      <c r="B38" s="58"/>
      <c r="C38" s="66"/>
    </row>
    <row r="39" spans="1:4" ht="12.75">
      <c r="A39" s="16" t="s">
        <v>117</v>
      </c>
      <c r="B39" s="58"/>
      <c r="D39" s="65">
        <f>-D32</f>
        <v>-814248.34</v>
      </c>
    </row>
    <row r="40" spans="1:4" ht="12.75">
      <c r="A40" s="16" t="s">
        <v>118</v>
      </c>
      <c r="D40" s="65">
        <f>-D34</f>
        <v>-217074.05</v>
      </c>
    </row>
    <row r="41" spans="1:4" ht="12.75">
      <c r="A41" s="16" t="s">
        <v>119</v>
      </c>
      <c r="D41" s="65">
        <f>-C26-C27</f>
        <v>-161850.13639200001</v>
      </c>
    </row>
    <row r="42" spans="1:4" ht="13.5" thickBot="1">
      <c r="A42" s="77" t="s">
        <v>120</v>
      </c>
      <c r="D42" s="74">
        <f>SUM(D36:D41)</f>
        <v>138728.68833600014</v>
      </c>
    </row>
    <row r="43" spans="1:3" ht="4.5" customHeight="1">
      <c r="A43" s="77"/>
      <c r="C43" s="57"/>
    </row>
    <row r="44" spans="1:4" ht="13.5" thickBot="1">
      <c r="A44" s="77" t="s">
        <v>121</v>
      </c>
      <c r="B44" s="58"/>
      <c r="D44" s="86">
        <f>+D80</f>
        <v>9955.864662733622</v>
      </c>
    </row>
    <row r="45" spans="1:4" ht="4.5" customHeight="1">
      <c r="A45" s="77"/>
      <c r="B45" s="58"/>
      <c r="D45" s="57"/>
    </row>
    <row r="46" spans="1:4" ht="12.75">
      <c r="A46" s="82" t="s">
        <v>122</v>
      </c>
      <c r="B46" s="58"/>
      <c r="D46" s="66">
        <f>+D36</f>
        <v>1331901.214728</v>
      </c>
    </row>
    <row r="47" spans="1:4" ht="12.75">
      <c r="A47" s="82" t="s">
        <v>121</v>
      </c>
      <c r="B47" s="58"/>
      <c r="D47" s="66">
        <f>+D44</f>
        <v>9955.864662733622</v>
      </c>
    </row>
    <row r="48" spans="1:4" ht="13.5" thickBot="1">
      <c r="A48" s="77" t="s">
        <v>123</v>
      </c>
      <c r="B48" s="58"/>
      <c r="D48" s="87">
        <f>+D46+D47</f>
        <v>1341857.0793907337</v>
      </c>
    </row>
    <row r="49" spans="1:4" ht="4.5" customHeight="1">
      <c r="A49" s="77"/>
      <c r="B49" s="58"/>
      <c r="D49" s="57"/>
    </row>
    <row r="50" spans="1:4" ht="12.75">
      <c r="A50" s="77" t="s">
        <v>124</v>
      </c>
      <c r="B50" s="58"/>
      <c r="D50" s="57"/>
    </row>
    <row r="51" spans="1:4" ht="12.75">
      <c r="A51" s="82" t="s">
        <v>125</v>
      </c>
      <c r="B51" s="58"/>
      <c r="D51" s="57">
        <f>+D48</f>
        <v>1341857.0793907337</v>
      </c>
    </row>
    <row r="52" spans="1:4" ht="12.75">
      <c r="A52" s="82" t="s">
        <v>126</v>
      </c>
      <c r="B52" s="58"/>
      <c r="D52" s="57">
        <v>232482</v>
      </c>
    </row>
    <row r="53" spans="1:4" ht="13.5" thickBot="1">
      <c r="A53" s="82" t="s">
        <v>127</v>
      </c>
      <c r="D53" s="69">
        <f>+D51/D52</f>
        <v>5.771875153305348</v>
      </c>
    </row>
    <row r="54" spans="1:4" ht="13.5" thickTop="1">
      <c r="A54" s="82" t="s">
        <v>128</v>
      </c>
      <c r="D54" s="70">
        <v>12</v>
      </c>
    </row>
    <row r="55" spans="1:4" ht="13.5" thickBot="1">
      <c r="A55" s="82" t="s">
        <v>124</v>
      </c>
      <c r="D55" s="71">
        <f>+D53/D54</f>
        <v>0.48098959610877895</v>
      </c>
    </row>
    <row r="56" ht="4.5" customHeight="1" thickTop="1"/>
    <row r="57" ht="4.5" customHeight="1"/>
    <row r="58" ht="12.75">
      <c r="A58" s="77" t="s">
        <v>129</v>
      </c>
    </row>
    <row r="59" ht="4.5" customHeight="1"/>
    <row r="60" ht="15">
      <c r="A60" s="88" t="s">
        <v>130</v>
      </c>
    </row>
    <row r="61" spans="1:2" ht="12.75">
      <c r="A61" s="16" t="s">
        <v>131</v>
      </c>
      <c r="B61" s="72">
        <f>+D42</f>
        <v>138728.68833600014</v>
      </c>
    </row>
    <row r="62" spans="1:2" ht="12.75">
      <c r="A62" s="16" t="s">
        <v>132</v>
      </c>
      <c r="B62" s="58">
        <f>+D34</f>
        <v>217074.05</v>
      </c>
    </row>
    <row r="63" spans="1:2" ht="12.75">
      <c r="A63" s="16" t="s">
        <v>133</v>
      </c>
      <c r="B63" s="58">
        <f>-'SM UCC Continuity'!H12</f>
        <v>-350733.8399</v>
      </c>
    </row>
    <row r="64" spans="1:2" ht="12.75">
      <c r="A64" s="16" t="s">
        <v>134</v>
      </c>
      <c r="B64" s="59">
        <f>+B61+B62+B63</f>
        <v>5068.898436000105</v>
      </c>
    </row>
    <row r="65" spans="1:2" ht="12.75">
      <c r="A65" s="16" t="s">
        <v>135</v>
      </c>
      <c r="B65" s="60">
        <v>0.3612</v>
      </c>
    </row>
    <row r="66" spans="1:2" ht="13.5" thickBot="1">
      <c r="A66" s="16" t="s">
        <v>136</v>
      </c>
      <c r="B66" s="61">
        <f>+B64*B65</f>
        <v>1830.886115083238</v>
      </c>
    </row>
    <row r="67" ht="4.5" customHeight="1"/>
    <row r="68" ht="12.75">
      <c r="A68" s="77" t="s">
        <v>137</v>
      </c>
    </row>
    <row r="69" spans="1:2" ht="12.75">
      <c r="A69" s="16" t="s">
        <v>138</v>
      </c>
      <c r="B69" s="58">
        <f>+'SM FA Continuity'!F12</f>
        <v>7462874.85</v>
      </c>
    </row>
    <row r="70" spans="1:2" ht="12.75">
      <c r="A70" s="16" t="s">
        <v>139</v>
      </c>
      <c r="B70" s="58">
        <v>0</v>
      </c>
    </row>
    <row r="71" spans="1:2" ht="12.75">
      <c r="A71" s="16" t="s">
        <v>140</v>
      </c>
      <c r="B71" s="63">
        <f>+B69-B70</f>
        <v>7462874.85</v>
      </c>
    </row>
    <row r="72" spans="1:2" ht="12.75">
      <c r="A72" s="16" t="s">
        <v>141</v>
      </c>
      <c r="B72" s="64">
        <v>0.00285</v>
      </c>
    </row>
    <row r="73" spans="1:2" ht="13.5" thickBot="1">
      <c r="A73" s="77" t="s">
        <v>142</v>
      </c>
      <c r="B73" s="61">
        <f>+B72*B71/3</f>
        <v>7089.7311075</v>
      </c>
    </row>
    <row r="74" ht="4.5" customHeight="1"/>
    <row r="75" ht="4.5" customHeight="1"/>
    <row r="76" ht="4.5" customHeight="1"/>
    <row r="77" spans="2:4" ht="12.75">
      <c r="B77" s="89" t="s">
        <v>143</v>
      </c>
      <c r="C77" s="89" t="s">
        <v>144</v>
      </c>
      <c r="D77" s="77" t="s">
        <v>145</v>
      </c>
    </row>
    <row r="78" spans="1:4" ht="12.75">
      <c r="A78" s="16" t="s">
        <v>146</v>
      </c>
      <c r="B78" s="72">
        <f>+B66</f>
        <v>1830.886115083238</v>
      </c>
      <c r="C78" s="55">
        <f>+B65</f>
        <v>0.3612</v>
      </c>
      <c r="D78" s="90">
        <f>+B78/(1-C78)</f>
        <v>2866.1335552336222</v>
      </c>
    </row>
    <row r="79" spans="1:4" ht="12.75">
      <c r="A79" s="16" t="s">
        <v>147</v>
      </c>
      <c r="B79" s="58">
        <f>+B73</f>
        <v>7089.7311075</v>
      </c>
      <c r="D79" s="91">
        <f>+B79</f>
        <v>7089.7311075</v>
      </c>
    </row>
    <row r="80" spans="1:4" ht="13.5" thickBot="1">
      <c r="A80" s="16" t="s">
        <v>148</v>
      </c>
      <c r="B80" s="92">
        <f>+B78+B79</f>
        <v>8920.617222583238</v>
      </c>
      <c r="C80" s="93"/>
      <c r="D80" s="94">
        <f>+D78+D79</f>
        <v>9955.864662733622</v>
      </c>
    </row>
    <row r="81" ht="4.5" customHeight="1" thickTop="1"/>
  </sheetData>
  <sheetProtection/>
  <mergeCells count="1">
    <mergeCell ref="B5:C5"/>
  </mergeCells>
  <printOptions/>
  <pageMargins left="0.75" right="0.5" top="0.5" bottom="0.5" header="0.5" footer="0.5"/>
  <pageSetup fitToHeight="1" fitToWidth="1" horizontalDpi="600" verticalDpi="600" orientation="portrait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7">
      <selection activeCell="D61" sqref="D61"/>
    </sheetView>
  </sheetViews>
  <sheetFormatPr defaultColWidth="9.140625" defaultRowHeight="12.75"/>
  <cols>
    <col min="1" max="1" width="57.7109375" style="16" customWidth="1"/>
    <col min="2" max="4" width="15.7109375" style="16" customWidth="1"/>
    <col min="5" max="5" width="5.7109375" style="16" customWidth="1"/>
    <col min="6" max="16384" width="9.140625" style="16" customWidth="1"/>
  </cols>
  <sheetData>
    <row r="1" ht="18">
      <c r="A1" s="76" t="s">
        <v>73</v>
      </c>
    </row>
    <row r="2" ht="18">
      <c r="A2" s="76" t="s">
        <v>74</v>
      </c>
    </row>
    <row r="3" ht="18">
      <c r="A3" s="76" t="s">
        <v>90</v>
      </c>
    </row>
    <row r="4" spans="2:5" ht="13.5" thickBot="1">
      <c r="B4" s="77"/>
      <c r="C4" s="77"/>
      <c r="D4" s="77"/>
      <c r="E4" s="77"/>
    </row>
    <row r="5" spans="1:5" ht="13.5" thickBot="1">
      <c r="A5" s="77" t="s">
        <v>91</v>
      </c>
      <c r="B5" s="146" t="s">
        <v>150</v>
      </c>
      <c r="C5" s="147"/>
      <c r="D5" s="78"/>
      <c r="E5" s="77"/>
    </row>
    <row r="6" spans="1:3" ht="12.75">
      <c r="A6" s="79" t="s">
        <v>93</v>
      </c>
      <c r="B6" s="73">
        <f>+'SM FA Continuity'!G15</f>
        <v>0</v>
      </c>
      <c r="C6" s="73"/>
    </row>
    <row r="7" spans="1:3" ht="12.75">
      <c r="A7" s="79" t="s">
        <v>94</v>
      </c>
      <c r="B7" s="73">
        <v>0</v>
      </c>
      <c r="C7" s="73"/>
    </row>
    <row r="8" spans="1:3" ht="12.75">
      <c r="A8" s="54" t="s">
        <v>95</v>
      </c>
      <c r="B8" s="73">
        <v>0</v>
      </c>
      <c r="C8" s="73"/>
    </row>
    <row r="9" spans="1:3" ht="12.75">
      <c r="A9" s="79" t="s">
        <v>96</v>
      </c>
      <c r="B9" s="73">
        <f>+'SM FA Continuity'!G16</f>
        <v>12214893.915</v>
      </c>
      <c r="C9" s="73"/>
    </row>
    <row r="10" spans="1:3" ht="12.75">
      <c r="A10" s="79" t="s">
        <v>97</v>
      </c>
      <c r="B10" s="73">
        <f>+'SM FA Continuity'!G17</f>
        <v>121829.08000000002</v>
      </c>
      <c r="C10" s="73"/>
    </row>
    <row r="11" spans="1:4" s="81" customFormat="1" ht="12.75">
      <c r="A11" s="79" t="s">
        <v>98</v>
      </c>
      <c r="B11" s="73">
        <f>+'SM FA Continuity'!G18</f>
        <v>40020.950000000004</v>
      </c>
      <c r="C11" s="73"/>
      <c r="D11" s="16"/>
    </row>
    <row r="12" spans="1:3" ht="12.75">
      <c r="A12" s="79" t="s">
        <v>99</v>
      </c>
      <c r="B12" s="73">
        <f>+'SM FA Continuity'!G19</f>
        <v>4530.68</v>
      </c>
      <c r="C12" s="73">
        <f>SUM(B6:B12)</f>
        <v>12381274.624999998</v>
      </c>
    </row>
    <row r="13" spans="2:3" ht="4.5" customHeight="1">
      <c r="B13" s="66"/>
      <c r="C13" s="66"/>
    </row>
    <row r="14" spans="1:3" ht="12.75">
      <c r="A14" s="77" t="s">
        <v>100</v>
      </c>
      <c r="B14" s="66"/>
      <c r="C14" s="66"/>
    </row>
    <row r="15" spans="1:3" ht="12.75">
      <c r="A15" s="16" t="s">
        <v>101</v>
      </c>
      <c r="B15" s="10">
        <f>+'Program YTD'!B22</f>
        <v>689858.98</v>
      </c>
      <c r="C15" s="65"/>
    </row>
    <row r="16" spans="1:3" ht="12.75">
      <c r="A16" s="16" t="s">
        <v>102</v>
      </c>
      <c r="B16" s="65">
        <f>+B15*0.15</f>
        <v>103478.847</v>
      </c>
      <c r="C16" s="65">
        <f>+B16</f>
        <v>103478.847</v>
      </c>
    </row>
    <row r="17" spans="2:3" ht="4.5" customHeight="1">
      <c r="B17" s="65"/>
      <c r="C17" s="65"/>
    </row>
    <row r="18" spans="1:3" ht="13.5" thickBot="1">
      <c r="A18" s="77" t="s">
        <v>103</v>
      </c>
      <c r="B18" s="65"/>
      <c r="C18" s="74">
        <f>+C12+C16</f>
        <v>12484753.471999997</v>
      </c>
    </row>
    <row r="19" spans="1:3" ht="4.5" customHeight="1">
      <c r="A19" s="77"/>
      <c r="B19" s="66"/>
      <c r="C19" s="57"/>
    </row>
    <row r="20" spans="1:3" ht="12.75">
      <c r="A20" s="77" t="s">
        <v>104</v>
      </c>
      <c r="B20" s="58"/>
      <c r="C20" s="58"/>
    </row>
    <row r="21" spans="1:4" ht="12.75">
      <c r="A21" s="16" t="s">
        <v>105</v>
      </c>
      <c r="B21" s="67">
        <v>0.56</v>
      </c>
      <c r="C21" s="65">
        <f>+B21*C18</f>
        <v>6991461.944319999</v>
      </c>
      <c r="D21" s="73"/>
    </row>
    <row r="22" spans="1:4" ht="12.75">
      <c r="A22" s="16" t="s">
        <v>106</v>
      </c>
      <c r="B22" s="67">
        <v>0.04</v>
      </c>
      <c r="C22" s="65">
        <f>+B22*C18</f>
        <v>499390.1388799999</v>
      </c>
      <c r="D22" s="73"/>
    </row>
    <row r="23" spans="1:4" ht="12.75">
      <c r="A23" s="82" t="s">
        <v>107</v>
      </c>
      <c r="B23" s="67">
        <v>0.4</v>
      </c>
      <c r="C23" s="65">
        <f>+B23*C18</f>
        <v>4993901.388799999</v>
      </c>
      <c r="D23" s="73"/>
    </row>
    <row r="24" spans="2:4" ht="13.5" thickBot="1">
      <c r="B24" s="58"/>
      <c r="C24" s="74">
        <f>SUM(C21:C23)</f>
        <v>12484753.471999997</v>
      </c>
      <c r="D24" s="73"/>
    </row>
    <row r="25" spans="2:4" s="81" customFormat="1" ht="6.75">
      <c r="B25" s="68"/>
      <c r="C25" s="75"/>
      <c r="D25" s="83"/>
    </row>
    <row r="26" spans="1:4" ht="12.75">
      <c r="A26" s="16" t="s">
        <v>108</v>
      </c>
      <c r="B26" s="55">
        <v>0.061</v>
      </c>
      <c r="C26" s="65">
        <f>+C21*B26</f>
        <v>426479.1786035199</v>
      </c>
      <c r="D26" s="73"/>
    </row>
    <row r="27" spans="1:4" ht="12.75">
      <c r="A27" s="16" t="s">
        <v>109</v>
      </c>
      <c r="B27" s="55">
        <v>0.0447</v>
      </c>
      <c r="C27" s="65">
        <f>+C22*B27</f>
        <v>22322.739207935996</v>
      </c>
      <c r="D27" s="73"/>
    </row>
    <row r="28" spans="1:4" ht="12.75">
      <c r="A28" s="16" t="s">
        <v>110</v>
      </c>
      <c r="B28" s="55">
        <v>0.0857</v>
      </c>
      <c r="C28" s="65">
        <f>+C23*B28</f>
        <v>427977.3490201599</v>
      </c>
      <c r="D28" s="73"/>
    </row>
    <row r="29" spans="1:4" ht="13.5" thickBot="1">
      <c r="A29" s="77" t="s">
        <v>111</v>
      </c>
      <c r="B29" s="58"/>
      <c r="C29" s="74">
        <f>SUM(C26:C28)</f>
        <v>876779.2668316158</v>
      </c>
      <c r="D29" s="73">
        <f>+C29</f>
        <v>876779.2668316158</v>
      </c>
    </row>
    <row r="30" spans="1:3" ht="4.5" customHeight="1">
      <c r="A30" s="77"/>
      <c r="B30" s="58"/>
      <c r="C30" s="57"/>
    </row>
    <row r="31" spans="1:3" ht="12.75">
      <c r="A31" s="77" t="s">
        <v>112</v>
      </c>
      <c r="B31" s="58"/>
      <c r="C31" s="57"/>
    </row>
    <row r="32" spans="1:4" ht="12.75">
      <c r="A32" s="82" t="s">
        <v>113</v>
      </c>
      <c r="B32" s="58"/>
      <c r="C32" s="56"/>
      <c r="D32" s="73">
        <f>B15</f>
        <v>689858.98</v>
      </c>
    </row>
    <row r="33" spans="1:4" ht="4.5" customHeight="1">
      <c r="A33" s="82"/>
      <c r="B33" s="58"/>
      <c r="C33" s="56"/>
      <c r="D33" s="73"/>
    </row>
    <row r="34" spans="1:4" ht="12.75">
      <c r="A34" s="77" t="s">
        <v>114</v>
      </c>
      <c r="B34" s="58"/>
      <c r="C34" s="62"/>
      <c r="D34" s="56">
        <f>+'SM FA Continuity'!E20</f>
        <v>710860.56</v>
      </c>
    </row>
    <row r="35" spans="1:4" ht="4.5" customHeight="1">
      <c r="A35" s="77"/>
      <c r="B35" s="58"/>
      <c r="C35" s="56"/>
      <c r="D35" s="84"/>
    </row>
    <row r="36" spans="1:4" ht="13.5" thickBot="1">
      <c r="A36" s="16" t="s">
        <v>115</v>
      </c>
      <c r="B36" s="58"/>
      <c r="C36" s="62"/>
      <c r="D36" s="85">
        <f>+D29+D32+D34</f>
        <v>2277498.806831616</v>
      </c>
    </row>
    <row r="37" spans="2:3" ht="4.5" customHeight="1">
      <c r="B37" s="58"/>
      <c r="C37" s="57"/>
    </row>
    <row r="38" spans="1:3" ht="12.75">
      <c r="A38" s="77" t="s">
        <v>116</v>
      </c>
      <c r="B38" s="58"/>
      <c r="C38" s="66"/>
    </row>
    <row r="39" spans="1:4" ht="12.75">
      <c r="A39" s="16" t="s">
        <v>117</v>
      </c>
      <c r="B39" s="58"/>
      <c r="C39" s="62"/>
      <c r="D39" s="65">
        <f>-D32</f>
        <v>-689858.98</v>
      </c>
    </row>
    <row r="40" spans="1:4" ht="12.75">
      <c r="A40" s="16" t="s">
        <v>118</v>
      </c>
      <c r="B40" s="62"/>
      <c r="C40" s="62"/>
      <c r="D40" s="65">
        <f>-D34</f>
        <v>-710860.56</v>
      </c>
    </row>
    <row r="41" spans="1:4" ht="12.75">
      <c r="A41" s="16" t="s">
        <v>119</v>
      </c>
      <c r="B41" s="62"/>
      <c r="C41" s="62"/>
      <c r="D41" s="65">
        <f>-C26-C27</f>
        <v>-448801.9178114559</v>
      </c>
    </row>
    <row r="42" spans="1:4" ht="13.5" thickBot="1">
      <c r="A42" s="77" t="s">
        <v>120</v>
      </c>
      <c r="B42" s="62"/>
      <c r="C42" s="62"/>
      <c r="D42" s="74">
        <f>SUM(D36:D41)</f>
        <v>427977.34902016004</v>
      </c>
    </row>
    <row r="43" spans="1:3" ht="4.5" customHeight="1">
      <c r="A43" s="77"/>
      <c r="B43" s="62"/>
      <c r="C43" s="57"/>
    </row>
    <row r="44" spans="1:4" ht="13.5" thickBot="1">
      <c r="A44" s="77" t="s">
        <v>121</v>
      </c>
      <c r="B44" s="58"/>
      <c r="C44" s="62"/>
      <c r="D44" s="86">
        <f>+D80</f>
        <v>30473.78730593771</v>
      </c>
    </row>
    <row r="45" spans="1:4" ht="4.5" customHeight="1">
      <c r="A45" s="77"/>
      <c r="B45" s="58"/>
      <c r="C45" s="62"/>
      <c r="D45" s="57"/>
    </row>
    <row r="46" spans="1:4" ht="12.75">
      <c r="A46" s="82" t="s">
        <v>122</v>
      </c>
      <c r="B46" s="58"/>
      <c r="C46" s="62"/>
      <c r="D46" s="66">
        <f>+D36</f>
        <v>2277498.806831616</v>
      </c>
    </row>
    <row r="47" spans="1:4" ht="12.75">
      <c r="A47" s="82" t="s">
        <v>121</v>
      </c>
      <c r="B47" s="58"/>
      <c r="C47" s="62"/>
      <c r="D47" s="66">
        <f>+D44</f>
        <v>30473.78730593771</v>
      </c>
    </row>
    <row r="48" spans="1:4" ht="13.5" thickBot="1">
      <c r="A48" s="77" t="s">
        <v>123</v>
      </c>
      <c r="B48" s="58"/>
      <c r="C48" s="62"/>
      <c r="D48" s="87">
        <f>+D46+D47</f>
        <v>2307972.5941375536</v>
      </c>
    </row>
    <row r="49" spans="1:4" ht="4.5" customHeight="1">
      <c r="A49" s="77"/>
      <c r="B49" s="58"/>
      <c r="C49" s="62"/>
      <c r="D49" s="57"/>
    </row>
    <row r="50" spans="1:4" ht="12.75">
      <c r="A50" s="77" t="s">
        <v>124</v>
      </c>
      <c r="B50" s="58"/>
      <c r="C50" s="62"/>
      <c r="D50" s="57"/>
    </row>
    <row r="51" spans="1:4" ht="12.75">
      <c r="A51" s="82" t="s">
        <v>125</v>
      </c>
      <c r="B51" s="58"/>
      <c r="C51" s="62"/>
      <c r="D51" s="57">
        <f>+D48</f>
        <v>2307972.5941375536</v>
      </c>
    </row>
    <row r="52" spans="1:4" ht="12.75">
      <c r="A52" s="82" t="s">
        <v>126</v>
      </c>
      <c r="B52" s="58"/>
      <c r="C52" s="62"/>
      <c r="D52" s="57">
        <v>232482</v>
      </c>
    </row>
    <row r="53" spans="1:4" ht="13.5" thickBot="1">
      <c r="A53" s="82" t="s">
        <v>127</v>
      </c>
      <c r="B53" s="62"/>
      <c r="C53" s="62"/>
      <c r="D53" s="69">
        <f>+D51/D52</f>
        <v>9.927532428908705</v>
      </c>
    </row>
    <row r="54" spans="1:4" ht="13.5" thickTop="1">
      <c r="A54" s="82" t="s">
        <v>128</v>
      </c>
      <c r="B54" s="62"/>
      <c r="C54" s="62"/>
      <c r="D54" s="70">
        <v>12</v>
      </c>
    </row>
    <row r="55" spans="1:4" ht="13.5" thickBot="1">
      <c r="A55" s="82" t="s">
        <v>124</v>
      </c>
      <c r="B55" s="62"/>
      <c r="C55" s="62"/>
      <c r="D55" s="71">
        <f>+D53/D54</f>
        <v>0.8272943690757254</v>
      </c>
    </row>
    <row r="56" spans="2:3" ht="4.5" customHeight="1" thickTop="1">
      <c r="B56" s="62"/>
      <c r="C56" s="62"/>
    </row>
    <row r="57" spans="2:3" ht="4.5" customHeight="1">
      <c r="B57" s="62"/>
      <c r="C57" s="62"/>
    </row>
    <row r="58" spans="1:3" ht="12.75">
      <c r="A58" s="77" t="s">
        <v>129</v>
      </c>
      <c r="B58" s="62"/>
      <c r="C58" s="62"/>
    </row>
    <row r="59" spans="2:3" ht="4.5" customHeight="1">
      <c r="B59" s="62"/>
      <c r="C59" s="62"/>
    </row>
    <row r="60" spans="1:3" ht="15">
      <c r="A60" s="88" t="s">
        <v>130</v>
      </c>
      <c r="B60" s="62"/>
      <c r="C60" s="62"/>
    </row>
    <row r="61" spans="1:3" ht="12.75">
      <c r="A61" s="16" t="s">
        <v>131</v>
      </c>
      <c r="B61" s="72">
        <f>+D42</f>
        <v>427977.34902016004</v>
      </c>
      <c r="C61" s="62"/>
    </row>
    <row r="62" spans="1:3" ht="12.75">
      <c r="A62" s="16" t="s">
        <v>132</v>
      </c>
      <c r="B62" s="58">
        <f>+D34</f>
        <v>710860.56</v>
      </c>
      <c r="C62" s="62"/>
    </row>
    <row r="63" spans="1:3" ht="12.75">
      <c r="A63" s="16" t="s">
        <v>133</v>
      </c>
      <c r="B63" s="58">
        <f>-'SM UCC Continuity'!H20</f>
        <v>-1104101.0255830002</v>
      </c>
      <c r="C63" s="62"/>
    </row>
    <row r="64" spans="1:3" ht="12.75">
      <c r="A64" s="16" t="s">
        <v>134</v>
      </c>
      <c r="B64" s="59">
        <f>+B61+B62+B63</f>
        <v>34736.88343715994</v>
      </c>
      <c r="C64" s="62"/>
    </row>
    <row r="65" spans="1:3" ht="12.75">
      <c r="A65" s="16" t="s">
        <v>135</v>
      </c>
      <c r="B65" s="60">
        <v>0.335</v>
      </c>
      <c r="C65" s="62"/>
    </row>
    <row r="66" spans="1:3" ht="13.5" thickBot="1">
      <c r="A66" s="16" t="s">
        <v>136</v>
      </c>
      <c r="B66" s="61">
        <f>+B64*B65</f>
        <v>11636.855951448579</v>
      </c>
      <c r="C66" s="62"/>
    </row>
    <row r="67" spans="2:3" ht="4.5" customHeight="1">
      <c r="B67" s="62"/>
      <c r="C67" s="62"/>
    </row>
    <row r="68" spans="1:3" ht="12.75">
      <c r="A68" s="77" t="s">
        <v>137</v>
      </c>
      <c r="B68" s="62"/>
      <c r="C68" s="62"/>
    </row>
    <row r="69" spans="1:3" ht="12.75">
      <c r="A69" s="16" t="s">
        <v>138</v>
      </c>
      <c r="B69" s="58">
        <f>+'SM FA Continuity'!F20</f>
        <v>17299674.400000002</v>
      </c>
      <c r="C69" s="62"/>
    </row>
    <row r="70" spans="1:3" ht="12.75">
      <c r="A70" s="16" t="s">
        <v>139</v>
      </c>
      <c r="B70" s="58">
        <v>0</v>
      </c>
      <c r="C70" s="62"/>
    </row>
    <row r="71" spans="1:3" ht="12.75">
      <c r="A71" s="16" t="s">
        <v>140</v>
      </c>
      <c r="B71" s="63">
        <f>+B69-B70</f>
        <v>17299674.400000002</v>
      </c>
      <c r="C71" s="62"/>
    </row>
    <row r="72" spans="1:3" ht="12.75">
      <c r="A72" s="16" t="s">
        <v>141</v>
      </c>
      <c r="B72" s="64">
        <v>0.00225</v>
      </c>
      <c r="C72" s="62"/>
    </row>
    <row r="73" spans="1:3" ht="13.5" thickBot="1">
      <c r="A73" s="77" t="s">
        <v>142</v>
      </c>
      <c r="B73" s="61">
        <f>+B72*B71/3</f>
        <v>12974.7558</v>
      </c>
      <c r="C73" s="62"/>
    </row>
    <row r="74" spans="2:3" ht="4.5" customHeight="1">
      <c r="B74" s="62"/>
      <c r="C74" s="62"/>
    </row>
    <row r="75" spans="2:3" ht="4.5" customHeight="1">
      <c r="B75" s="62"/>
      <c r="C75" s="62"/>
    </row>
    <row r="76" spans="2:3" ht="4.5" customHeight="1">
      <c r="B76" s="62"/>
      <c r="C76" s="62"/>
    </row>
    <row r="77" spans="2:4" ht="12.75">
      <c r="B77" s="89" t="s">
        <v>143</v>
      </c>
      <c r="C77" s="89" t="s">
        <v>144</v>
      </c>
      <c r="D77" s="77" t="s">
        <v>145</v>
      </c>
    </row>
    <row r="78" spans="1:4" ht="12.75">
      <c r="A78" s="16" t="s">
        <v>146</v>
      </c>
      <c r="B78" s="72">
        <f>+B66</f>
        <v>11636.855951448579</v>
      </c>
      <c r="C78" s="55">
        <f>+B65</f>
        <v>0.335</v>
      </c>
      <c r="D78" s="90">
        <f>+B78/(1-C78)</f>
        <v>17499.03150593771</v>
      </c>
    </row>
    <row r="79" spans="1:4" ht="12.75">
      <c r="A79" s="16" t="s">
        <v>147</v>
      </c>
      <c r="B79" s="58">
        <f>+B73</f>
        <v>12974.7558</v>
      </c>
      <c r="C79" s="62"/>
      <c r="D79" s="91">
        <f>+B79</f>
        <v>12974.7558</v>
      </c>
    </row>
    <row r="80" spans="1:4" ht="13.5" thickBot="1">
      <c r="A80" s="16" t="s">
        <v>148</v>
      </c>
      <c r="B80" s="92">
        <f>+B78+B79</f>
        <v>24611.61175144858</v>
      </c>
      <c r="C80" s="93"/>
      <c r="D80" s="94">
        <f>+D78+D79</f>
        <v>30473.78730593771</v>
      </c>
    </row>
    <row r="81" ht="4.5" customHeight="1" thickTop="1"/>
  </sheetData>
  <sheetProtection/>
  <mergeCells count="1">
    <mergeCell ref="B5:C5"/>
  </mergeCells>
  <printOptions/>
  <pageMargins left="0.75" right="0.5" top="0.5" bottom="0.75" header="0.5" footer="0.5"/>
  <pageSetup fitToHeight="1" fitToWidth="1" horizontalDpi="600" verticalDpi="600" orientation="portrait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zoomScalePageLayoutView="0" workbookViewId="0" topLeftCell="A16">
      <selection activeCell="B7" sqref="B7"/>
    </sheetView>
  </sheetViews>
  <sheetFormatPr defaultColWidth="9.140625" defaultRowHeight="12.75"/>
  <cols>
    <col min="1" max="1" width="57.7109375" style="16" customWidth="1"/>
    <col min="2" max="4" width="15.7109375" style="16" customWidth="1"/>
    <col min="5" max="5" width="5.7109375" style="16" customWidth="1"/>
    <col min="6" max="16384" width="9.140625" style="16" customWidth="1"/>
  </cols>
  <sheetData>
    <row r="1" ht="18">
      <c r="A1" s="76" t="s">
        <v>73</v>
      </c>
    </row>
    <row r="2" ht="18">
      <c r="A2" s="76" t="s">
        <v>74</v>
      </c>
    </row>
    <row r="3" ht="18">
      <c r="A3" s="76" t="s">
        <v>90</v>
      </c>
    </row>
    <row r="4" spans="2:5" ht="13.5" thickBot="1">
      <c r="B4" s="77"/>
      <c r="C4" s="77"/>
      <c r="D4" s="77"/>
      <c r="E4" s="77"/>
    </row>
    <row r="5" spans="1:5" ht="13.5" thickBot="1">
      <c r="A5" s="77" t="s">
        <v>91</v>
      </c>
      <c r="B5" s="146" t="s">
        <v>151</v>
      </c>
      <c r="C5" s="147"/>
      <c r="D5" s="78"/>
      <c r="E5" s="77"/>
    </row>
    <row r="6" spans="1:3" ht="12.75">
      <c r="A6" s="79" t="s">
        <v>93</v>
      </c>
      <c r="B6" s="73">
        <f>+'SM FA Continuity'!G23</f>
        <v>0</v>
      </c>
      <c r="C6" s="73"/>
    </row>
    <row r="7" spans="1:3" ht="12.75">
      <c r="A7" s="79" t="s">
        <v>94</v>
      </c>
      <c r="B7" s="73">
        <f>+'SM FA Continuity'!G24</f>
        <v>21834.8</v>
      </c>
      <c r="C7" s="73"/>
    </row>
    <row r="8" spans="1:3" ht="12.75">
      <c r="A8" s="54" t="s">
        <v>95</v>
      </c>
      <c r="B8" s="73">
        <f>+'SM FA Continuity'!G25</f>
        <v>0</v>
      </c>
      <c r="C8" s="73"/>
    </row>
    <row r="9" spans="1:3" ht="12.75">
      <c r="A9" s="79" t="s">
        <v>96</v>
      </c>
      <c r="B9" s="73">
        <f>+'SM FA Continuity'!G26</f>
        <v>19433937.645</v>
      </c>
      <c r="C9" s="73"/>
    </row>
    <row r="10" spans="1:3" ht="12.75">
      <c r="A10" s="79" t="s">
        <v>97</v>
      </c>
      <c r="B10" s="73">
        <f>+'SM FA Continuity'!G27</f>
        <v>278200.325</v>
      </c>
      <c r="C10" s="73"/>
    </row>
    <row r="11" spans="1:4" s="81" customFormat="1" ht="12.75">
      <c r="A11" s="79" t="s">
        <v>98</v>
      </c>
      <c r="B11" s="73">
        <f>+'SM FA Continuity'!G28</f>
        <v>215565.93166666667</v>
      </c>
      <c r="C11" s="73"/>
      <c r="D11" s="16"/>
    </row>
    <row r="12" spans="1:6" ht="12.75">
      <c r="A12" s="79" t="s">
        <v>99</v>
      </c>
      <c r="B12" s="73">
        <f>+'SM FA Continuity'!G29</f>
        <v>14261.5625</v>
      </c>
      <c r="C12" s="73">
        <f>SUM(B6:B12)</f>
        <v>19963800.264166668</v>
      </c>
      <c r="F12" s="122"/>
    </row>
    <row r="13" spans="2:3" ht="4.5" customHeight="1">
      <c r="B13" s="66"/>
      <c r="C13" s="66"/>
    </row>
    <row r="14" spans="1:3" ht="12.75">
      <c r="A14" s="77" t="s">
        <v>100</v>
      </c>
      <c r="B14" s="66"/>
      <c r="C14" s="66"/>
    </row>
    <row r="15" spans="1:3" ht="12.75">
      <c r="A15" s="16" t="s">
        <v>101</v>
      </c>
      <c r="B15" s="10">
        <f>+'Program YTD'!B23</f>
        <v>1219599</v>
      </c>
      <c r="C15" s="65"/>
    </row>
    <row r="16" spans="1:3" ht="12.75">
      <c r="A16" s="16" t="s">
        <v>102</v>
      </c>
      <c r="B16" s="65">
        <f>+B15*0.15</f>
        <v>182939.85</v>
      </c>
      <c r="C16" s="65">
        <f>+B16</f>
        <v>182939.85</v>
      </c>
    </row>
    <row r="17" spans="2:3" ht="12.75">
      <c r="B17" s="65"/>
      <c r="C17" s="65"/>
    </row>
    <row r="18" spans="1:3" ht="13.5" thickBot="1">
      <c r="A18" s="77" t="s">
        <v>103</v>
      </c>
      <c r="B18" s="65"/>
      <c r="C18" s="74">
        <f>+C12+C16</f>
        <v>20146740.11416667</v>
      </c>
    </row>
    <row r="19" spans="1:3" ht="4.5" customHeight="1">
      <c r="A19" s="77"/>
      <c r="B19" s="66"/>
      <c r="C19" s="57"/>
    </row>
    <row r="20" spans="1:3" ht="12.75">
      <c r="A20" s="77" t="s">
        <v>104</v>
      </c>
      <c r="B20" s="58"/>
      <c r="C20" s="58"/>
    </row>
    <row r="21" spans="1:4" ht="12.75">
      <c r="A21" s="16" t="s">
        <v>105</v>
      </c>
      <c r="B21" s="67">
        <v>0.56</v>
      </c>
      <c r="C21" s="65">
        <f>+B21*C18</f>
        <v>11282174.463933336</v>
      </c>
      <c r="D21" s="73"/>
    </row>
    <row r="22" spans="1:4" ht="12.75">
      <c r="A22" s="16" t="s">
        <v>106</v>
      </c>
      <c r="B22" s="67">
        <v>0.04</v>
      </c>
      <c r="C22" s="65">
        <f>+B22*C18</f>
        <v>805869.6045666668</v>
      </c>
      <c r="D22" s="73"/>
    </row>
    <row r="23" spans="1:4" ht="12.75">
      <c r="A23" s="82" t="s">
        <v>107</v>
      </c>
      <c r="B23" s="67">
        <v>0.4</v>
      </c>
      <c r="C23" s="65">
        <f>+B23*C18</f>
        <v>8058696.045666669</v>
      </c>
      <c r="D23" s="73"/>
    </row>
    <row r="24" spans="2:4" ht="13.5" thickBot="1">
      <c r="B24" s="58"/>
      <c r="C24" s="74">
        <f>SUM(C21:C23)</f>
        <v>20146740.11416667</v>
      </c>
      <c r="D24" s="73"/>
    </row>
    <row r="25" spans="2:4" s="81" customFormat="1" ht="6.75">
      <c r="B25" s="68"/>
      <c r="C25" s="75"/>
      <c r="D25" s="83"/>
    </row>
    <row r="26" spans="1:4" ht="12.75">
      <c r="A26" s="16" t="s">
        <v>108</v>
      </c>
      <c r="B26" s="55">
        <v>0.061</v>
      </c>
      <c r="C26" s="65">
        <f>+C21*B26</f>
        <v>688212.6422999335</v>
      </c>
      <c r="D26" s="73"/>
    </row>
    <row r="27" spans="1:4" ht="12.75">
      <c r="A27" s="16" t="s">
        <v>109</v>
      </c>
      <c r="B27" s="55">
        <v>0.0447</v>
      </c>
      <c r="C27" s="65">
        <f>+C22*B27</f>
        <v>36022.37132413</v>
      </c>
      <c r="D27" s="73"/>
    </row>
    <row r="28" spans="1:4" ht="12.75">
      <c r="A28" s="16" t="s">
        <v>110</v>
      </c>
      <c r="B28" s="55">
        <v>0.0857</v>
      </c>
      <c r="C28" s="65">
        <f>+C23*B28</f>
        <v>690630.2511136335</v>
      </c>
      <c r="D28" s="73"/>
    </row>
    <row r="29" spans="1:4" ht="13.5" thickBot="1">
      <c r="A29" s="77" t="s">
        <v>111</v>
      </c>
      <c r="B29" s="58"/>
      <c r="C29" s="74">
        <f>SUM(C26:C28)</f>
        <v>1414865.2647376969</v>
      </c>
      <c r="D29" s="73">
        <f>+C29</f>
        <v>1414865.2647376969</v>
      </c>
    </row>
    <row r="30" spans="1:3" ht="4.5" customHeight="1">
      <c r="A30" s="77"/>
      <c r="B30" s="58"/>
      <c r="C30" s="57"/>
    </row>
    <row r="31" spans="1:3" ht="12.75">
      <c r="A31" s="77" t="s">
        <v>112</v>
      </c>
      <c r="B31" s="58"/>
      <c r="C31" s="57"/>
    </row>
    <row r="32" spans="1:4" ht="12.75">
      <c r="A32" s="82" t="s">
        <v>113</v>
      </c>
      <c r="B32" s="58"/>
      <c r="C32" s="56"/>
      <c r="D32" s="73">
        <f>B15</f>
        <v>1219599</v>
      </c>
    </row>
    <row r="33" spans="1:4" ht="12.75">
      <c r="A33" s="82"/>
      <c r="B33" s="58"/>
      <c r="C33" s="56"/>
      <c r="D33" s="73"/>
    </row>
    <row r="34" spans="1:4" ht="12.75">
      <c r="A34" s="77" t="s">
        <v>114</v>
      </c>
      <c r="B34" s="58"/>
      <c r="C34" s="62"/>
      <c r="D34" s="56">
        <f>'SM FA Continuity'!E30</f>
        <v>1548576.6016666663</v>
      </c>
    </row>
    <row r="35" spans="1:4" ht="4.5" customHeight="1">
      <c r="A35" s="77"/>
      <c r="B35" s="58"/>
      <c r="C35" s="56"/>
      <c r="D35" s="84"/>
    </row>
    <row r="36" spans="1:4" ht="13.5" thickBot="1">
      <c r="A36" s="16" t="s">
        <v>115</v>
      </c>
      <c r="B36" s="58"/>
      <c r="C36" s="62"/>
      <c r="D36" s="85">
        <f>+D29+D32+D34</f>
        <v>4183040.866404363</v>
      </c>
    </row>
    <row r="37" spans="2:3" ht="4.5" customHeight="1">
      <c r="B37" s="58"/>
      <c r="C37" s="57"/>
    </row>
    <row r="38" spans="1:3" ht="12.75">
      <c r="A38" s="77" t="s">
        <v>116</v>
      </c>
      <c r="B38" s="58"/>
      <c r="C38" s="66"/>
    </row>
    <row r="39" spans="1:4" ht="12.75">
      <c r="A39" s="16" t="s">
        <v>117</v>
      </c>
      <c r="B39" s="58"/>
      <c r="C39" s="62"/>
      <c r="D39" s="65">
        <f>-D32</f>
        <v>-1219599</v>
      </c>
    </row>
    <row r="40" spans="1:4" ht="12.75">
      <c r="A40" s="16" t="s">
        <v>118</v>
      </c>
      <c r="B40" s="62"/>
      <c r="C40" s="62"/>
      <c r="D40" s="65">
        <f>-D34</f>
        <v>-1548576.6016666663</v>
      </c>
    </row>
    <row r="41" spans="1:4" ht="12.75">
      <c r="A41" s="16" t="s">
        <v>119</v>
      </c>
      <c r="B41" s="62"/>
      <c r="C41" s="62"/>
      <c r="D41" s="65">
        <f>-C26-C27</f>
        <v>-724235.0136240635</v>
      </c>
    </row>
    <row r="42" spans="1:4" ht="13.5" thickBot="1">
      <c r="A42" s="77" t="s">
        <v>120</v>
      </c>
      <c r="B42" s="62"/>
      <c r="C42" s="62"/>
      <c r="D42" s="74">
        <f>SUM(D36:D41)</f>
        <v>690630.2511136332</v>
      </c>
    </row>
    <row r="43" spans="1:3" ht="4.5" customHeight="1">
      <c r="A43" s="77"/>
      <c r="B43" s="62"/>
      <c r="C43" s="57"/>
    </row>
    <row r="44" spans="1:4" ht="13.5" thickBot="1">
      <c r="A44" s="77" t="s">
        <v>121</v>
      </c>
      <c r="B44" s="58"/>
      <c r="C44" s="62"/>
      <c r="D44" s="86">
        <f>+D80</f>
        <v>153027.4545897164</v>
      </c>
    </row>
    <row r="45" spans="1:4" ht="4.5" customHeight="1">
      <c r="A45" s="77"/>
      <c r="B45" s="58"/>
      <c r="C45" s="62"/>
      <c r="D45" s="57"/>
    </row>
    <row r="46" spans="1:4" ht="12.75">
      <c r="A46" s="82" t="s">
        <v>122</v>
      </c>
      <c r="B46" s="58"/>
      <c r="C46" s="62"/>
      <c r="D46" s="66">
        <f>+D36</f>
        <v>4183040.866404363</v>
      </c>
    </row>
    <row r="47" spans="1:4" ht="12.75">
      <c r="A47" s="82" t="s">
        <v>121</v>
      </c>
      <c r="B47" s="58"/>
      <c r="C47" s="62"/>
      <c r="D47" s="66">
        <f>+D44</f>
        <v>153027.4545897164</v>
      </c>
    </row>
    <row r="48" spans="1:4" ht="13.5" thickBot="1">
      <c r="A48" s="77" t="s">
        <v>123</v>
      </c>
      <c r="B48" s="58"/>
      <c r="C48" s="62"/>
      <c r="D48" s="87">
        <f>+D46+D47</f>
        <v>4336068.320994079</v>
      </c>
    </row>
    <row r="49" spans="1:4" ht="4.5" customHeight="1">
      <c r="A49" s="77"/>
      <c r="B49" s="58"/>
      <c r="C49" s="62"/>
      <c r="D49" s="57"/>
    </row>
    <row r="50" spans="1:4" ht="12.75">
      <c r="A50" s="77" t="s">
        <v>124</v>
      </c>
      <c r="B50" s="58"/>
      <c r="C50" s="62"/>
      <c r="D50" s="57"/>
    </row>
    <row r="51" spans="1:4" ht="12.75">
      <c r="A51" s="82" t="s">
        <v>125</v>
      </c>
      <c r="B51" s="58"/>
      <c r="C51" s="62"/>
      <c r="D51" s="57">
        <f>+D48</f>
        <v>4336068.320994079</v>
      </c>
    </row>
    <row r="52" spans="1:4" ht="12.75">
      <c r="A52" s="82" t="s">
        <v>126</v>
      </c>
      <c r="B52" s="58"/>
      <c r="C52" s="62"/>
      <c r="D52" s="57">
        <v>232482</v>
      </c>
    </row>
    <row r="53" spans="1:4" ht="13.5" thickBot="1">
      <c r="A53" s="82" t="s">
        <v>127</v>
      </c>
      <c r="B53" s="62"/>
      <c r="C53" s="62"/>
      <c r="D53" s="69">
        <f>+D51/D52</f>
        <v>18.651200183214524</v>
      </c>
    </row>
    <row r="54" spans="1:4" ht="13.5" thickTop="1">
      <c r="A54" s="82" t="s">
        <v>128</v>
      </c>
      <c r="B54" s="62"/>
      <c r="C54" s="62"/>
      <c r="D54" s="70">
        <v>12</v>
      </c>
    </row>
    <row r="55" spans="1:4" ht="13.5" thickBot="1">
      <c r="A55" s="82" t="s">
        <v>124</v>
      </c>
      <c r="B55" s="62"/>
      <c r="C55" s="62"/>
      <c r="D55" s="71">
        <f>+D53/D54</f>
        <v>1.5542666819345436</v>
      </c>
    </row>
    <row r="56" spans="2:3" ht="4.5" customHeight="1" thickTop="1">
      <c r="B56" s="62"/>
      <c r="C56" s="62"/>
    </row>
    <row r="57" spans="2:3" ht="4.5" customHeight="1">
      <c r="B57" s="62"/>
      <c r="C57" s="62"/>
    </row>
    <row r="58" spans="1:3" ht="12.75">
      <c r="A58" s="77" t="s">
        <v>129</v>
      </c>
      <c r="B58" s="62"/>
      <c r="C58" s="62"/>
    </row>
    <row r="59" spans="2:3" ht="4.5" customHeight="1">
      <c r="B59" s="62"/>
      <c r="C59" s="62"/>
    </row>
    <row r="60" spans="1:3" ht="15">
      <c r="A60" s="88" t="s">
        <v>130</v>
      </c>
      <c r="B60" s="62"/>
      <c r="C60" s="62"/>
    </row>
    <row r="61" spans="1:3" ht="12.75">
      <c r="A61" s="16" t="s">
        <v>131</v>
      </c>
      <c r="B61" s="72">
        <f>+D42</f>
        <v>690630.2511136332</v>
      </c>
      <c r="C61" s="62"/>
    </row>
    <row r="62" spans="1:3" ht="12.75">
      <c r="A62" s="16" t="s">
        <v>132</v>
      </c>
      <c r="B62" s="58">
        <f>+D34</f>
        <v>1548576.6016666663</v>
      </c>
      <c r="C62" s="62"/>
    </row>
    <row r="63" spans="1:3" ht="12.75">
      <c r="A63" s="16" t="s">
        <v>133</v>
      </c>
      <c r="B63" s="58">
        <f>-'SM UCC Continuity'!H30</f>
        <v>-1962970.90824811</v>
      </c>
      <c r="C63" s="62"/>
    </row>
    <row r="64" spans="1:3" ht="12.75">
      <c r="A64" s="16" t="s">
        <v>134</v>
      </c>
      <c r="B64" s="59">
        <f>+B61+B62+B63</f>
        <v>276235.9445321893</v>
      </c>
      <c r="C64" s="62"/>
    </row>
    <row r="65" spans="1:3" ht="12.75">
      <c r="A65" s="16" t="s">
        <v>135</v>
      </c>
      <c r="B65" s="60">
        <v>0.33</v>
      </c>
      <c r="C65" s="62"/>
    </row>
    <row r="66" spans="1:3" ht="13.5" thickBot="1">
      <c r="A66" s="16" t="s">
        <v>136</v>
      </c>
      <c r="B66" s="61">
        <f>+B64*B65</f>
        <v>91157.86169562247</v>
      </c>
      <c r="C66" s="62"/>
    </row>
    <row r="67" spans="2:3" ht="4.5" customHeight="1">
      <c r="B67" s="62"/>
      <c r="C67" s="62"/>
    </row>
    <row r="68" spans="1:3" ht="12.75">
      <c r="A68" s="77" t="s">
        <v>137</v>
      </c>
      <c r="B68" s="62"/>
      <c r="C68" s="62"/>
    </row>
    <row r="69" spans="1:3" ht="12.75">
      <c r="A69" s="16" t="s">
        <v>138</v>
      </c>
      <c r="B69" s="58">
        <f>'SM FA Continuity'!F30</f>
        <v>22627926.128333334</v>
      </c>
      <c r="C69" s="62"/>
    </row>
    <row r="70" spans="1:3" ht="12.75">
      <c r="A70" s="16" t="s">
        <v>139</v>
      </c>
      <c r="B70" s="58">
        <v>0</v>
      </c>
      <c r="C70" s="62"/>
    </row>
    <row r="71" spans="1:3" ht="12.75">
      <c r="A71" s="16" t="s">
        <v>140</v>
      </c>
      <c r="B71" s="63">
        <f>+B69-B70</f>
        <v>22627926.128333334</v>
      </c>
      <c r="C71" s="62"/>
    </row>
    <row r="72" spans="1:3" ht="12.75">
      <c r="A72" s="16" t="s">
        <v>141</v>
      </c>
      <c r="B72" s="64">
        <v>0.00225</v>
      </c>
      <c r="C72" s="62"/>
    </row>
    <row r="73" spans="1:3" ht="13.5" thickBot="1">
      <c r="A73" s="77" t="s">
        <v>142</v>
      </c>
      <c r="B73" s="61">
        <f>+B72*B71/3</f>
        <v>16970.94459625</v>
      </c>
      <c r="C73" s="62"/>
    </row>
    <row r="74" spans="2:3" ht="4.5" customHeight="1">
      <c r="B74" s="62"/>
      <c r="C74" s="62"/>
    </row>
    <row r="75" spans="2:3" ht="4.5" customHeight="1">
      <c r="B75" s="62"/>
      <c r="C75" s="62"/>
    </row>
    <row r="76" spans="2:3" ht="4.5" customHeight="1">
      <c r="B76" s="62"/>
      <c r="C76" s="62"/>
    </row>
    <row r="77" spans="2:4" ht="12.75">
      <c r="B77" s="89" t="s">
        <v>143</v>
      </c>
      <c r="C77" s="89" t="s">
        <v>144</v>
      </c>
      <c r="D77" s="77" t="s">
        <v>145</v>
      </c>
    </row>
    <row r="78" spans="1:4" ht="12.75">
      <c r="A78" s="16" t="s">
        <v>146</v>
      </c>
      <c r="B78" s="72">
        <f>+B66</f>
        <v>91157.86169562247</v>
      </c>
      <c r="C78" s="55">
        <f>+B65</f>
        <v>0.33</v>
      </c>
      <c r="D78" s="90">
        <f>+B78/(1-C78)</f>
        <v>136056.5099934664</v>
      </c>
    </row>
    <row r="79" spans="1:4" ht="12.75">
      <c r="A79" s="16" t="s">
        <v>147</v>
      </c>
      <c r="B79" s="58">
        <f>+B73</f>
        <v>16970.94459625</v>
      </c>
      <c r="C79" s="62"/>
      <c r="D79" s="91">
        <f>+B79</f>
        <v>16970.94459625</v>
      </c>
    </row>
    <row r="80" spans="1:4" ht="13.5" thickBot="1">
      <c r="A80" s="16" t="s">
        <v>148</v>
      </c>
      <c r="B80" s="92">
        <f>+B78+B79</f>
        <v>108128.80629187248</v>
      </c>
      <c r="C80" s="93"/>
      <c r="D80" s="94">
        <f>+D78+D79</f>
        <v>153027.4545897164</v>
      </c>
    </row>
    <row r="81" ht="4.5" customHeight="1" thickTop="1"/>
  </sheetData>
  <sheetProtection/>
  <mergeCells count="1">
    <mergeCell ref="B5:C5"/>
  </mergeCells>
  <printOptions/>
  <pageMargins left="0.75" right="0.5" top="0.5" bottom="0.5" header="0.5" footer="0.5"/>
  <pageSetup fitToHeight="1" fitToWidth="1" horizontalDpi="600" verticalDpi="600" orientation="portrait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13">
      <selection activeCell="A18" sqref="A18"/>
    </sheetView>
  </sheetViews>
  <sheetFormatPr defaultColWidth="9.140625" defaultRowHeight="12.75"/>
  <cols>
    <col min="1" max="1" width="57.7109375" style="16" customWidth="1"/>
    <col min="2" max="4" width="15.7109375" style="16" customWidth="1"/>
    <col min="5" max="5" width="5.7109375" style="16" customWidth="1"/>
    <col min="6" max="16384" width="9.140625" style="16" customWidth="1"/>
  </cols>
  <sheetData>
    <row r="1" ht="18">
      <c r="A1" s="76" t="s">
        <v>73</v>
      </c>
    </row>
    <row r="2" ht="18">
      <c r="A2" s="76" t="s">
        <v>74</v>
      </c>
    </row>
    <row r="3" ht="18">
      <c r="A3" s="76" t="s">
        <v>90</v>
      </c>
    </row>
    <row r="4" spans="2:5" ht="13.5" thickBot="1">
      <c r="B4" s="77"/>
      <c r="C4" s="77"/>
      <c r="D4" s="77"/>
      <c r="E4" s="77"/>
    </row>
    <row r="5" spans="1:5" ht="13.5" thickBot="1">
      <c r="A5" s="77" t="s">
        <v>91</v>
      </c>
      <c r="B5" s="146" t="s">
        <v>152</v>
      </c>
      <c r="C5" s="147"/>
      <c r="D5" s="78"/>
      <c r="E5" s="77"/>
    </row>
    <row r="6" spans="1:3" ht="12.75">
      <c r="A6" s="79" t="s">
        <v>93</v>
      </c>
      <c r="B6" s="73">
        <f>+'SM FA Continuity'!G33</f>
        <v>0</v>
      </c>
      <c r="C6" s="73"/>
    </row>
    <row r="7" spans="1:3" ht="12.75">
      <c r="A7" s="79" t="s">
        <v>94</v>
      </c>
      <c r="B7" s="73">
        <f>+'SM FA Continuity'!G34</f>
        <v>41371.2</v>
      </c>
      <c r="C7" s="73"/>
    </row>
    <row r="8" spans="1:3" ht="12.75">
      <c r="A8" s="80" t="s">
        <v>95</v>
      </c>
      <c r="B8" s="73">
        <f>+'SM FA Continuity'!G35</f>
        <v>0</v>
      </c>
      <c r="C8" s="73"/>
    </row>
    <row r="9" spans="1:3" ht="12.75">
      <c r="A9" s="79" t="s">
        <v>96</v>
      </c>
      <c r="B9" s="73">
        <f>+'SM FA Continuity'!G36</f>
        <v>21283312.733333334</v>
      </c>
      <c r="C9" s="73"/>
    </row>
    <row r="10" spans="1:3" ht="12.75">
      <c r="A10" s="79" t="s">
        <v>97</v>
      </c>
      <c r="B10" s="73">
        <f>+'SM FA Continuity'!G37</f>
        <v>399172.47500000003</v>
      </c>
      <c r="C10" s="73"/>
    </row>
    <row r="11" spans="1:4" s="81" customFormat="1" ht="12.75">
      <c r="A11" s="79" t="s">
        <v>98</v>
      </c>
      <c r="B11" s="73">
        <f>+'SM FA Continuity'!G38</f>
        <v>364999.32833333337</v>
      </c>
      <c r="C11" s="73"/>
      <c r="D11" s="16"/>
    </row>
    <row r="12" spans="1:3" ht="12.75">
      <c r="A12" s="79" t="s">
        <v>99</v>
      </c>
      <c r="B12" s="73">
        <f>+'SM FA Continuity'!G39</f>
        <v>19194.2725</v>
      </c>
      <c r="C12" s="73">
        <f>SUM(B6:B12)</f>
        <v>22108050.00916667</v>
      </c>
    </row>
    <row r="13" spans="2:3" ht="4.5" customHeight="1">
      <c r="B13" s="66"/>
      <c r="C13" s="66"/>
    </row>
    <row r="14" spans="1:3" ht="12.75">
      <c r="A14" s="77" t="s">
        <v>100</v>
      </c>
      <c r="B14" s="66"/>
      <c r="C14" s="66"/>
    </row>
    <row r="15" spans="1:3" ht="12.75">
      <c r="A15" s="16" t="s">
        <v>101</v>
      </c>
      <c r="B15" s="10">
        <f>+'Program YTD'!B24</f>
        <v>1551637</v>
      </c>
      <c r="C15" s="65"/>
    </row>
    <row r="16" spans="1:3" ht="12.75">
      <c r="A16" s="16" t="s">
        <v>102</v>
      </c>
      <c r="B16" s="65">
        <f>+B15*0.15</f>
        <v>232745.55</v>
      </c>
      <c r="C16" s="65">
        <f>+B16</f>
        <v>232745.55</v>
      </c>
    </row>
    <row r="17" spans="2:3" ht="4.5" customHeight="1">
      <c r="B17" s="65"/>
      <c r="C17" s="65"/>
    </row>
    <row r="18" spans="1:3" ht="13.5" thickBot="1">
      <c r="A18" s="77" t="s">
        <v>103</v>
      </c>
      <c r="B18" s="65"/>
      <c r="C18" s="74">
        <f>+C12+C16</f>
        <v>22340795.55916667</v>
      </c>
    </row>
    <row r="19" spans="1:3" ht="4.5" customHeight="1">
      <c r="A19" s="77"/>
      <c r="B19" s="66"/>
      <c r="C19" s="57"/>
    </row>
    <row r="20" spans="1:3" ht="12.75">
      <c r="A20" s="77" t="s">
        <v>104</v>
      </c>
      <c r="B20" s="58"/>
      <c r="C20" s="58"/>
    </row>
    <row r="21" spans="1:4" ht="12.75">
      <c r="A21" s="16" t="s">
        <v>105</v>
      </c>
      <c r="B21" s="67">
        <v>0.56</v>
      </c>
      <c r="C21" s="65">
        <f>+B21*C18</f>
        <v>12510845.513133336</v>
      </c>
      <c r="D21" s="73"/>
    </row>
    <row r="22" spans="1:4" ht="12.75">
      <c r="A22" s="16" t="s">
        <v>106</v>
      </c>
      <c r="B22" s="67">
        <v>0.04</v>
      </c>
      <c r="C22" s="65">
        <f>+B22*C18</f>
        <v>893631.8223666669</v>
      </c>
      <c r="D22" s="73"/>
    </row>
    <row r="23" spans="1:4" ht="12.75">
      <c r="A23" s="82" t="s">
        <v>107</v>
      </c>
      <c r="B23" s="67">
        <v>0.4</v>
      </c>
      <c r="C23" s="65">
        <f>+B23*C18</f>
        <v>8936318.223666668</v>
      </c>
      <c r="D23" s="73"/>
    </row>
    <row r="24" spans="2:4" ht="13.5" thickBot="1">
      <c r="B24" s="58"/>
      <c r="C24" s="74">
        <f>SUM(C21:C23)</f>
        <v>22340795.55916667</v>
      </c>
      <c r="D24" s="73"/>
    </row>
    <row r="25" spans="2:4" s="81" customFormat="1" ht="6.75">
      <c r="B25" s="68"/>
      <c r="C25" s="75"/>
      <c r="D25" s="83"/>
    </row>
    <row r="26" spans="1:4" ht="12.75">
      <c r="A26" s="16" t="s">
        <v>108</v>
      </c>
      <c r="B26" s="135">
        <v>0.061</v>
      </c>
      <c r="C26" s="65">
        <f>+C21*B26</f>
        <v>763161.5763011335</v>
      </c>
      <c r="D26" s="73"/>
    </row>
    <row r="27" spans="1:4" ht="12.75">
      <c r="A27" s="16" t="s">
        <v>109</v>
      </c>
      <c r="B27" s="135">
        <v>0.0447</v>
      </c>
      <c r="C27" s="65">
        <f>+C22*B27</f>
        <v>39945.34245979001</v>
      </c>
      <c r="D27" s="73"/>
    </row>
    <row r="28" spans="1:4" ht="12.75">
      <c r="A28" s="16" t="s">
        <v>110</v>
      </c>
      <c r="B28" s="135">
        <v>0.0857</v>
      </c>
      <c r="C28" s="65">
        <f>+C23*B28</f>
        <v>765842.4717682335</v>
      </c>
      <c r="D28" s="73"/>
    </row>
    <row r="29" spans="1:4" ht="13.5" thickBot="1">
      <c r="A29" s="77" t="s">
        <v>111</v>
      </c>
      <c r="B29" s="58"/>
      <c r="C29" s="74">
        <f>SUM(C26:C28)</f>
        <v>1568949.3905291571</v>
      </c>
      <c r="D29" s="73">
        <f>+C29</f>
        <v>1568949.3905291571</v>
      </c>
    </row>
    <row r="30" spans="1:3" ht="4.5" customHeight="1">
      <c r="A30" s="77"/>
      <c r="B30" s="58"/>
      <c r="C30" s="57"/>
    </row>
    <row r="31" spans="1:3" ht="12.75">
      <c r="A31" s="77" t="s">
        <v>112</v>
      </c>
      <c r="B31" s="58"/>
      <c r="C31" s="57"/>
    </row>
    <row r="32" spans="1:4" ht="12.75">
      <c r="A32" s="82" t="s">
        <v>113</v>
      </c>
      <c r="B32" s="58"/>
      <c r="C32" s="56"/>
      <c r="D32" s="73">
        <f>B15</f>
        <v>1551637</v>
      </c>
    </row>
    <row r="33" spans="1:4" ht="4.5" customHeight="1">
      <c r="A33" s="82"/>
      <c r="B33" s="58"/>
      <c r="C33" s="56"/>
      <c r="D33" s="73"/>
    </row>
    <row r="34" spans="1:4" ht="12.75">
      <c r="A34" s="77" t="s">
        <v>114</v>
      </c>
      <c r="B34" s="58"/>
      <c r="C34" s="62"/>
      <c r="D34" s="56">
        <f>'SM FA Continuity'!E40</f>
        <v>1740752.238333332</v>
      </c>
    </row>
    <row r="35" spans="1:4" ht="4.5" customHeight="1">
      <c r="A35" s="77"/>
      <c r="B35" s="58"/>
      <c r="C35" s="56"/>
      <c r="D35" s="84"/>
    </row>
    <row r="36" spans="1:4" ht="13.5" thickBot="1">
      <c r="A36" s="16" t="s">
        <v>115</v>
      </c>
      <c r="B36" s="58"/>
      <c r="C36" s="62"/>
      <c r="D36" s="85">
        <f>+D29+D32+D34</f>
        <v>4861338.628862489</v>
      </c>
    </row>
    <row r="37" spans="2:3" ht="4.5" customHeight="1">
      <c r="B37" s="58"/>
      <c r="C37" s="57"/>
    </row>
    <row r="38" spans="1:3" ht="12.75">
      <c r="A38" s="77" t="s">
        <v>116</v>
      </c>
      <c r="B38" s="58"/>
      <c r="C38" s="66"/>
    </row>
    <row r="39" spans="1:4" ht="12.75">
      <c r="A39" s="16" t="s">
        <v>117</v>
      </c>
      <c r="B39" s="58"/>
      <c r="C39" s="62"/>
      <c r="D39" s="65">
        <f>-D32</f>
        <v>-1551637</v>
      </c>
    </row>
    <row r="40" spans="1:4" ht="12.75">
      <c r="A40" s="16" t="s">
        <v>118</v>
      </c>
      <c r="B40" s="62"/>
      <c r="C40" s="62"/>
      <c r="D40" s="65">
        <f>-D34</f>
        <v>-1740752.238333332</v>
      </c>
    </row>
    <row r="41" spans="1:4" ht="12.75">
      <c r="A41" s="16" t="s">
        <v>119</v>
      </c>
      <c r="B41" s="62"/>
      <c r="C41" s="62"/>
      <c r="D41" s="65">
        <f>-C26-C27</f>
        <v>-803106.9187609236</v>
      </c>
    </row>
    <row r="42" spans="1:4" ht="13.5" thickBot="1">
      <c r="A42" s="77" t="s">
        <v>120</v>
      </c>
      <c r="B42" s="62"/>
      <c r="C42" s="62"/>
      <c r="D42" s="74">
        <f>SUM(D36:D41)</f>
        <v>765842.4717682336</v>
      </c>
    </row>
    <row r="43" spans="1:3" ht="4.5" customHeight="1">
      <c r="A43" s="77"/>
      <c r="B43" s="62"/>
      <c r="C43" s="57"/>
    </row>
    <row r="44" spans="1:4" ht="13.5" thickBot="1">
      <c r="A44" s="77" t="s">
        <v>121</v>
      </c>
      <c r="B44" s="58"/>
      <c r="C44" s="62"/>
      <c r="D44" s="86">
        <f>+D80</f>
        <v>192247.81678837858</v>
      </c>
    </row>
    <row r="45" spans="1:4" ht="4.5" customHeight="1">
      <c r="A45" s="77"/>
      <c r="B45" s="58"/>
      <c r="C45" s="62"/>
      <c r="D45" s="57"/>
    </row>
    <row r="46" spans="1:4" ht="12.75">
      <c r="A46" s="82" t="s">
        <v>122</v>
      </c>
      <c r="B46" s="58"/>
      <c r="C46" s="62"/>
      <c r="D46" s="66">
        <f>+D36</f>
        <v>4861338.628862489</v>
      </c>
    </row>
    <row r="47" spans="1:4" ht="12.75">
      <c r="A47" s="82" t="s">
        <v>121</v>
      </c>
      <c r="B47" s="58"/>
      <c r="C47" s="62"/>
      <c r="D47" s="66">
        <f>+D44</f>
        <v>192247.81678837858</v>
      </c>
    </row>
    <row r="48" spans="1:4" ht="13.5" thickBot="1">
      <c r="A48" s="77" t="s">
        <v>248</v>
      </c>
      <c r="B48" s="58"/>
      <c r="C48" s="62"/>
      <c r="D48" s="87">
        <f>+D46+D47</f>
        <v>5053586.445650867</v>
      </c>
    </row>
    <row r="49" spans="1:4" ht="4.5" customHeight="1">
      <c r="A49" s="77"/>
      <c r="B49" s="58"/>
      <c r="C49" s="62"/>
      <c r="D49" s="57"/>
    </row>
    <row r="50" spans="1:4" ht="12.75">
      <c r="A50" s="77" t="s">
        <v>249</v>
      </c>
      <c r="B50" s="58"/>
      <c r="C50" s="62"/>
      <c r="D50" s="57"/>
    </row>
    <row r="51" spans="1:4" ht="12.75">
      <c r="A51" s="82" t="s">
        <v>125</v>
      </c>
      <c r="B51" s="58"/>
      <c r="C51" s="62"/>
      <c r="D51" s="57">
        <f>+D48</f>
        <v>5053586.445650867</v>
      </c>
    </row>
    <row r="52" spans="1:4" ht="12.75">
      <c r="A52" s="82" t="s">
        <v>126</v>
      </c>
      <c r="B52" s="58"/>
      <c r="C52" s="62"/>
      <c r="D52" s="57">
        <v>232482</v>
      </c>
    </row>
    <row r="53" spans="1:4" ht="13.5" thickBot="1">
      <c r="A53" s="82" t="s">
        <v>127</v>
      </c>
      <c r="B53" s="62"/>
      <c r="C53" s="62"/>
      <c r="D53" s="69">
        <f>+D51/D52</f>
        <v>21.737538586431928</v>
      </c>
    </row>
    <row r="54" spans="1:4" ht="13.5" thickTop="1">
      <c r="A54" s="82" t="s">
        <v>128</v>
      </c>
      <c r="B54" s="62"/>
      <c r="C54" s="62"/>
      <c r="D54" s="70">
        <v>12</v>
      </c>
    </row>
    <row r="55" spans="1:4" ht="13.5" thickBot="1">
      <c r="A55" s="82" t="s">
        <v>249</v>
      </c>
      <c r="B55" s="62"/>
      <c r="C55" s="62"/>
      <c r="D55" s="71">
        <f>+D53/D54</f>
        <v>1.8114615488693273</v>
      </c>
    </row>
    <row r="56" spans="2:3" ht="4.5" customHeight="1" thickTop="1">
      <c r="B56" s="62"/>
      <c r="C56" s="62"/>
    </row>
    <row r="57" spans="2:3" ht="4.5" customHeight="1">
      <c r="B57" s="62"/>
      <c r="C57" s="62"/>
    </row>
    <row r="58" spans="1:3" ht="12.75">
      <c r="A58" s="77" t="s">
        <v>129</v>
      </c>
      <c r="B58" s="62"/>
      <c r="C58" s="62"/>
    </row>
    <row r="59" spans="2:3" ht="4.5" customHeight="1">
      <c r="B59" s="62"/>
      <c r="C59" s="62"/>
    </row>
    <row r="60" spans="1:3" ht="15">
      <c r="A60" s="88" t="s">
        <v>130</v>
      </c>
      <c r="B60" s="62"/>
      <c r="C60" s="62"/>
    </row>
    <row r="61" spans="1:3" ht="12.75">
      <c r="A61" s="16" t="s">
        <v>131</v>
      </c>
      <c r="B61" s="72">
        <f>+D42</f>
        <v>765842.4717682336</v>
      </c>
      <c r="C61" s="62"/>
    </row>
    <row r="62" spans="1:3" ht="12.75">
      <c r="A62" s="16" t="s">
        <v>132</v>
      </c>
      <c r="B62" s="58">
        <f>+D34</f>
        <v>1740752.238333332</v>
      </c>
      <c r="C62" s="62"/>
    </row>
    <row r="63" spans="1:3" ht="12.75">
      <c r="A63" s="16" t="s">
        <v>133</v>
      </c>
      <c r="B63" s="58">
        <f>-'SM UCC Continuity'!H40</f>
        <v>-2102713.8275469486</v>
      </c>
      <c r="C63" s="62"/>
    </row>
    <row r="64" spans="1:3" ht="12.75">
      <c r="A64" s="16" t="s">
        <v>134</v>
      </c>
      <c r="B64" s="59">
        <f>+B61+B62+B63</f>
        <v>403880.8825546168</v>
      </c>
      <c r="C64" s="62"/>
    </row>
    <row r="65" spans="1:3" ht="12.75">
      <c r="A65" s="16" t="s">
        <v>135</v>
      </c>
      <c r="B65" s="60">
        <v>0.31</v>
      </c>
      <c r="C65" s="62"/>
    </row>
    <row r="66" spans="1:3" ht="13.5" thickBot="1">
      <c r="A66" s="16" t="s">
        <v>136</v>
      </c>
      <c r="B66" s="61">
        <f>+B64*B65</f>
        <v>125203.0735919312</v>
      </c>
      <c r="C66" s="62"/>
    </row>
    <row r="67" spans="2:3" ht="4.5" customHeight="1">
      <c r="B67" s="62"/>
      <c r="C67" s="62"/>
    </row>
    <row r="68" spans="1:3" ht="12.75">
      <c r="A68" s="77" t="s">
        <v>137</v>
      </c>
      <c r="B68" s="62"/>
      <c r="C68" s="62"/>
    </row>
    <row r="69" spans="1:3" ht="12.75">
      <c r="A69" s="16" t="s">
        <v>138</v>
      </c>
      <c r="B69" s="58">
        <f>'SM FA Continuity'!F40</f>
        <v>21588173.890000004</v>
      </c>
      <c r="C69" s="62"/>
    </row>
    <row r="70" spans="1:3" ht="12.75">
      <c r="A70" s="16" t="s">
        <v>139</v>
      </c>
      <c r="B70" s="58">
        <v>0</v>
      </c>
      <c r="C70" s="62"/>
    </row>
    <row r="71" spans="1:3" ht="12.75">
      <c r="A71" s="16" t="s">
        <v>140</v>
      </c>
      <c r="B71" s="63">
        <f>+B69-B70</f>
        <v>21588173.890000004</v>
      </c>
      <c r="C71" s="62"/>
    </row>
    <row r="72" spans="1:3" ht="12.75">
      <c r="A72" s="16" t="s">
        <v>141</v>
      </c>
      <c r="B72" s="64">
        <v>0.0015</v>
      </c>
      <c r="C72" s="62"/>
    </row>
    <row r="73" spans="1:3" ht="13.5" thickBot="1">
      <c r="A73" s="77" t="s">
        <v>142</v>
      </c>
      <c r="B73" s="61">
        <f>+B72*B71/3</f>
        <v>10794.086945000003</v>
      </c>
      <c r="C73" s="62"/>
    </row>
    <row r="74" spans="2:3" ht="4.5" customHeight="1">
      <c r="B74" s="62"/>
      <c r="C74" s="62"/>
    </row>
    <row r="75" spans="2:3" ht="4.5" customHeight="1">
      <c r="B75" s="62"/>
      <c r="C75" s="62"/>
    </row>
    <row r="76" spans="2:3" ht="4.5" customHeight="1">
      <c r="B76" s="62"/>
      <c r="C76" s="62"/>
    </row>
    <row r="77" spans="2:4" ht="12.75">
      <c r="B77" s="89" t="s">
        <v>143</v>
      </c>
      <c r="C77" s="89" t="s">
        <v>144</v>
      </c>
      <c r="D77" s="77" t="s">
        <v>145</v>
      </c>
    </row>
    <row r="78" spans="1:4" ht="12.75">
      <c r="A78" s="16" t="s">
        <v>146</v>
      </c>
      <c r="B78" s="72">
        <f>+B66</f>
        <v>125203.0735919312</v>
      </c>
      <c r="C78" s="55">
        <f>+B65</f>
        <v>0.31</v>
      </c>
      <c r="D78" s="90">
        <f>+B78/(1-C78)</f>
        <v>181453.72984337856</v>
      </c>
    </row>
    <row r="79" spans="1:4" ht="12.75">
      <c r="A79" s="16" t="s">
        <v>147</v>
      </c>
      <c r="B79" s="58">
        <f>+B73</f>
        <v>10794.086945000003</v>
      </c>
      <c r="C79" s="62"/>
      <c r="D79" s="91">
        <f>+B79</f>
        <v>10794.086945000003</v>
      </c>
    </row>
    <row r="80" spans="1:4" ht="13.5" thickBot="1">
      <c r="A80" s="16" t="s">
        <v>148</v>
      </c>
      <c r="B80" s="92">
        <f>+B78+B79</f>
        <v>135997.1605369312</v>
      </c>
      <c r="C80" s="93"/>
      <c r="D80" s="94">
        <f>+D78+D79</f>
        <v>192247.81678837858</v>
      </c>
    </row>
    <row r="81" ht="4.5" customHeight="1" thickTop="1"/>
  </sheetData>
  <sheetProtection/>
  <mergeCells count="1">
    <mergeCell ref="B5:C5"/>
  </mergeCells>
  <printOptions/>
  <pageMargins left="0.75" right="0.5" top="0.5" bottom="0.5" header="0.5" footer="0.5"/>
  <pageSetup fitToHeight="1" fitToWidth="1" horizontalDpi="600" verticalDpi="600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4">
      <selection activeCell="D23" sqref="D23"/>
    </sheetView>
  </sheetViews>
  <sheetFormatPr defaultColWidth="9.140625" defaultRowHeight="12.75"/>
  <cols>
    <col min="1" max="1" width="57.7109375" style="16" customWidth="1"/>
    <col min="2" max="4" width="15.7109375" style="16" customWidth="1"/>
    <col min="5" max="5" width="5.7109375" style="16" customWidth="1"/>
    <col min="6" max="16384" width="9.140625" style="16" customWidth="1"/>
  </cols>
  <sheetData>
    <row r="1" ht="18">
      <c r="A1" s="76" t="s">
        <v>73</v>
      </c>
    </row>
    <row r="2" ht="18">
      <c r="A2" s="76" t="s">
        <v>74</v>
      </c>
    </row>
    <row r="3" ht="18">
      <c r="A3" s="76" t="s">
        <v>90</v>
      </c>
    </row>
    <row r="4" spans="2:5" ht="13.5" thickBot="1">
      <c r="B4" s="77"/>
      <c r="C4" s="77"/>
      <c r="D4" s="77"/>
      <c r="E4" s="77"/>
    </row>
    <row r="5" spans="1:5" ht="13.5" thickBot="1">
      <c r="A5" s="77" t="s">
        <v>91</v>
      </c>
      <c r="B5" s="146" t="s">
        <v>252</v>
      </c>
      <c r="C5" s="147"/>
      <c r="D5" s="78"/>
      <c r="E5" s="77"/>
    </row>
    <row r="6" spans="1:3" ht="12.75">
      <c r="A6" s="79" t="s">
        <v>93</v>
      </c>
      <c r="B6" s="73">
        <f>+'SM FA Continuity'!G43</f>
        <v>0</v>
      </c>
      <c r="C6" s="73"/>
    </row>
    <row r="7" spans="1:3" ht="12.75">
      <c r="A7" s="79" t="s">
        <v>94</v>
      </c>
      <c r="B7" s="73">
        <f>+'SM FA Continuity'!G44</f>
        <v>39072.799999999996</v>
      </c>
      <c r="C7" s="73"/>
    </row>
    <row r="8" spans="1:3" ht="12.75">
      <c r="A8" s="80" t="s">
        <v>95</v>
      </c>
      <c r="B8" s="73">
        <f>+'SM FA Continuity'!G45</f>
        <v>0</v>
      </c>
      <c r="C8" s="73"/>
    </row>
    <row r="9" spans="1:3" ht="12.75">
      <c r="A9" s="79" t="s">
        <v>96</v>
      </c>
      <c r="B9" s="73">
        <f>+'SM FA Continuity'!G46</f>
        <v>21972631.428333335</v>
      </c>
      <c r="C9" s="73"/>
    </row>
    <row r="10" spans="1:3" ht="12.75">
      <c r="A10" s="79" t="s">
        <v>97</v>
      </c>
      <c r="B10" s="73">
        <f>+'SM FA Continuity'!G47</f>
        <v>327467.525</v>
      </c>
      <c r="C10" s="73"/>
    </row>
    <row r="11" spans="1:4" s="81" customFormat="1" ht="12.75">
      <c r="A11" s="79" t="s">
        <v>98</v>
      </c>
      <c r="B11" s="73">
        <f>+'SM FA Continuity'!G48</f>
        <v>352653.30333333334</v>
      </c>
      <c r="C11" s="73"/>
      <c r="D11" s="16"/>
    </row>
    <row r="12" spans="1:3" ht="12.75">
      <c r="A12" s="79" t="s">
        <v>99</v>
      </c>
      <c r="B12" s="73">
        <f>+'SM FA Continuity'!G49</f>
        <v>16939.2075</v>
      </c>
      <c r="C12" s="73">
        <f>SUM(B6:B12)</f>
        <v>22708764.264166668</v>
      </c>
    </row>
    <row r="13" spans="2:3" ht="4.5" customHeight="1">
      <c r="B13" s="66"/>
      <c r="C13" s="66"/>
    </row>
    <row r="14" spans="1:3" ht="12.75">
      <c r="A14" s="77" t="s">
        <v>100</v>
      </c>
      <c r="B14" s="66"/>
      <c r="C14" s="66"/>
    </row>
    <row r="15" spans="1:3" ht="12.75">
      <c r="A15" s="16" t="s">
        <v>101</v>
      </c>
      <c r="B15" s="10">
        <f>+'Program YTD'!B25+428500</f>
        <v>2108809</v>
      </c>
      <c r="C15" s="65"/>
    </row>
    <row r="16" spans="1:3" ht="12.75">
      <c r="A16" s="16" t="s">
        <v>217</v>
      </c>
      <c r="B16" s="65">
        <f>+B15*0.14</f>
        <v>295233.26</v>
      </c>
      <c r="C16" s="65">
        <f>+B16</f>
        <v>295233.26</v>
      </c>
    </row>
    <row r="17" spans="2:3" ht="4.5" customHeight="1">
      <c r="B17" s="65"/>
      <c r="C17" s="65"/>
    </row>
    <row r="18" spans="1:3" ht="13.5" thickBot="1">
      <c r="A18" s="77" t="s">
        <v>103</v>
      </c>
      <c r="B18" s="65"/>
      <c r="C18" s="74">
        <f>+C12+C16</f>
        <v>23003997.52416667</v>
      </c>
    </row>
    <row r="19" spans="1:3" ht="4.5" customHeight="1">
      <c r="A19" s="77"/>
      <c r="B19" s="66"/>
      <c r="C19" s="57"/>
    </row>
    <row r="20" spans="1:3" ht="12.75">
      <c r="A20" s="77" t="s">
        <v>104</v>
      </c>
      <c r="B20" s="58"/>
      <c r="C20" s="58"/>
    </row>
    <row r="21" spans="1:4" ht="12.75">
      <c r="A21" s="16" t="s">
        <v>105</v>
      </c>
      <c r="B21" s="67">
        <v>0.56</v>
      </c>
      <c r="C21" s="65">
        <f>+B21*C18</f>
        <v>12882238.613533337</v>
      </c>
      <c r="D21" s="73"/>
    </row>
    <row r="22" spans="1:4" ht="12.75">
      <c r="A22" s="16" t="s">
        <v>106</v>
      </c>
      <c r="B22" s="67">
        <v>0.04</v>
      </c>
      <c r="C22" s="65">
        <f>+B22*C18</f>
        <v>920159.9009666668</v>
      </c>
      <c r="D22" s="73"/>
    </row>
    <row r="23" spans="1:4" ht="12.75">
      <c r="A23" s="82" t="s">
        <v>107</v>
      </c>
      <c r="B23" s="67">
        <v>0.4</v>
      </c>
      <c r="C23" s="65">
        <f>+B23*C18</f>
        <v>9201599.009666668</v>
      </c>
      <c r="D23" s="73"/>
    </row>
    <row r="24" spans="2:4" ht="13.5" thickBot="1">
      <c r="B24" s="58"/>
      <c r="C24" s="74">
        <f>SUM(C21:C23)</f>
        <v>23003997.524166673</v>
      </c>
      <c r="D24" s="73"/>
    </row>
    <row r="25" spans="2:4" s="81" customFormat="1" ht="6.75">
      <c r="B25" s="68"/>
      <c r="C25" s="75"/>
      <c r="D25" s="83"/>
    </row>
    <row r="26" spans="1:4" ht="12.75">
      <c r="A26" s="16" t="s">
        <v>108</v>
      </c>
      <c r="B26" s="135">
        <v>0.061</v>
      </c>
      <c r="C26" s="65">
        <f>+C21*B26</f>
        <v>785816.5554255336</v>
      </c>
      <c r="D26" s="73"/>
    </row>
    <row r="27" spans="1:4" ht="12.75">
      <c r="A27" s="16" t="s">
        <v>109</v>
      </c>
      <c r="B27" s="135">
        <v>0.0447</v>
      </c>
      <c r="C27" s="65">
        <f>+C22*B27</f>
        <v>41131.14757321</v>
      </c>
      <c r="D27" s="73"/>
    </row>
    <row r="28" spans="1:4" ht="12.75">
      <c r="A28" s="16" t="s">
        <v>110</v>
      </c>
      <c r="B28" s="135">
        <v>0.0857</v>
      </c>
      <c r="C28" s="65">
        <f>+C23*B28</f>
        <v>788577.0351284335</v>
      </c>
      <c r="D28" s="73"/>
    </row>
    <row r="29" spans="1:4" ht="13.5" thickBot="1">
      <c r="A29" s="77" t="s">
        <v>111</v>
      </c>
      <c r="B29" s="58"/>
      <c r="C29" s="74">
        <f>SUM(C26:C28)</f>
        <v>1615524.738127177</v>
      </c>
      <c r="D29" s="73">
        <f>+C29</f>
        <v>1615524.738127177</v>
      </c>
    </row>
    <row r="30" spans="1:3" ht="4.5" customHeight="1">
      <c r="A30" s="77"/>
      <c r="B30" s="58"/>
      <c r="C30" s="57"/>
    </row>
    <row r="31" spans="1:3" ht="12.75">
      <c r="A31" s="77" t="s">
        <v>112</v>
      </c>
      <c r="B31" s="58"/>
      <c r="C31" s="57"/>
    </row>
    <row r="32" spans="1:4" ht="12.75">
      <c r="A32" s="82" t="s">
        <v>113</v>
      </c>
      <c r="B32" s="58"/>
      <c r="C32" s="56"/>
      <c r="D32" s="73">
        <f>B15</f>
        <v>2108809</v>
      </c>
    </row>
    <row r="33" spans="1:4" ht="4.5" customHeight="1">
      <c r="A33" s="82"/>
      <c r="B33" s="58"/>
      <c r="C33" s="56"/>
      <c r="D33" s="73"/>
    </row>
    <row r="34" spans="1:4" ht="12.75">
      <c r="A34" s="77" t="s">
        <v>114</v>
      </c>
      <c r="B34" s="58"/>
      <c r="C34" s="62"/>
      <c r="D34" s="56">
        <f>'SM FA Continuity'!E50</f>
        <v>1945343.8816666666</v>
      </c>
    </row>
    <row r="35" spans="1:4" ht="4.5" customHeight="1">
      <c r="A35" s="77"/>
      <c r="B35" s="58"/>
      <c r="C35" s="56"/>
      <c r="D35" s="84"/>
    </row>
    <row r="36" spans="1:4" ht="13.5" thickBot="1">
      <c r="A36" s="16" t="s">
        <v>115</v>
      </c>
      <c r="B36" s="58"/>
      <c r="C36" s="62"/>
      <c r="D36" s="85">
        <f>+D29+D32+D34</f>
        <v>5669677.6197938435</v>
      </c>
    </row>
    <row r="37" spans="2:3" ht="4.5" customHeight="1">
      <c r="B37" s="58"/>
      <c r="C37" s="57"/>
    </row>
    <row r="38" spans="1:3" ht="12.75">
      <c r="A38" s="77" t="s">
        <v>116</v>
      </c>
      <c r="B38" s="58"/>
      <c r="C38" s="66"/>
    </row>
    <row r="39" spans="1:4" ht="12.75">
      <c r="A39" s="16" t="s">
        <v>117</v>
      </c>
      <c r="B39" s="58"/>
      <c r="C39" s="62"/>
      <c r="D39" s="65">
        <f>-D32</f>
        <v>-2108809</v>
      </c>
    </row>
    <row r="40" spans="1:4" ht="12.75">
      <c r="A40" s="16" t="s">
        <v>118</v>
      </c>
      <c r="B40" s="62"/>
      <c r="C40" s="62"/>
      <c r="D40" s="65">
        <f>-D34</f>
        <v>-1945343.8816666666</v>
      </c>
    </row>
    <row r="41" spans="1:4" ht="12.75">
      <c r="A41" s="16" t="s">
        <v>119</v>
      </c>
      <c r="B41" s="62"/>
      <c r="C41" s="62"/>
      <c r="D41" s="65">
        <f>-C26-C27</f>
        <v>-826947.7029987435</v>
      </c>
    </row>
    <row r="42" spans="1:4" ht="13.5" thickBot="1">
      <c r="A42" s="77" t="s">
        <v>120</v>
      </c>
      <c r="B42" s="62"/>
      <c r="C42" s="62"/>
      <c r="D42" s="74">
        <f>SUM(D36:D41)</f>
        <v>788577.0351284334</v>
      </c>
    </row>
    <row r="43" spans="1:3" ht="4.5" customHeight="1">
      <c r="A43" s="77"/>
      <c r="B43" s="62"/>
      <c r="C43" s="57"/>
    </row>
    <row r="44" spans="1:4" ht="13.5" thickBot="1">
      <c r="A44" s="77" t="s">
        <v>121</v>
      </c>
      <c r="B44" s="58"/>
      <c r="C44" s="62"/>
      <c r="D44" s="86">
        <f>+D80</f>
        <v>344852.20455676975</v>
      </c>
    </row>
    <row r="45" spans="1:4" ht="4.5" customHeight="1">
      <c r="A45" s="77"/>
      <c r="B45" s="58"/>
      <c r="C45" s="62"/>
      <c r="D45" s="57"/>
    </row>
    <row r="46" spans="1:4" ht="12.75">
      <c r="A46" s="82" t="s">
        <v>122</v>
      </c>
      <c r="B46" s="58"/>
      <c r="C46" s="62"/>
      <c r="D46" s="66">
        <f>+D36</f>
        <v>5669677.6197938435</v>
      </c>
    </row>
    <row r="47" spans="1:4" ht="12.75">
      <c r="A47" s="82" t="s">
        <v>121</v>
      </c>
      <c r="B47" s="58"/>
      <c r="C47" s="62"/>
      <c r="D47" s="66">
        <f>+D44</f>
        <v>344852.20455676975</v>
      </c>
    </row>
    <row r="48" spans="1:4" ht="13.5" thickBot="1">
      <c r="A48" s="77" t="s">
        <v>248</v>
      </c>
      <c r="B48" s="58"/>
      <c r="C48" s="62"/>
      <c r="D48" s="87">
        <f>+D46+D47</f>
        <v>6014529.824350613</v>
      </c>
    </row>
    <row r="49" spans="1:4" ht="4.5" customHeight="1">
      <c r="A49" s="77"/>
      <c r="B49" s="58"/>
      <c r="C49" s="62"/>
      <c r="D49" s="57"/>
    </row>
    <row r="50" spans="1:4" ht="12.75">
      <c r="A50" s="77" t="s">
        <v>249</v>
      </c>
      <c r="B50" s="58"/>
      <c r="C50" s="62"/>
      <c r="D50" s="57"/>
    </row>
    <row r="51" spans="1:4" ht="12.75">
      <c r="A51" s="82" t="s">
        <v>125</v>
      </c>
      <c r="B51" s="58"/>
      <c r="C51" s="62"/>
      <c r="D51" s="57">
        <f>+D48</f>
        <v>6014529.824350613</v>
      </c>
    </row>
    <row r="52" spans="1:4" ht="12.75">
      <c r="A52" s="82" t="s">
        <v>126</v>
      </c>
      <c r="B52" s="58"/>
      <c r="C52" s="62"/>
      <c r="D52" s="95">
        <v>232482</v>
      </c>
    </row>
    <row r="53" spans="1:4" ht="13.5" thickBot="1">
      <c r="A53" s="82" t="s">
        <v>127</v>
      </c>
      <c r="B53" s="62"/>
      <c r="C53" s="62"/>
      <c r="D53" s="69">
        <f>+D51/D52</f>
        <v>25.870948393211574</v>
      </c>
    </row>
    <row r="54" spans="1:4" ht="13.5" thickTop="1">
      <c r="A54" s="82" t="s">
        <v>128</v>
      </c>
      <c r="B54" s="62"/>
      <c r="C54" s="62"/>
      <c r="D54" s="70">
        <v>12</v>
      </c>
    </row>
    <row r="55" spans="1:4" ht="13.5" thickBot="1">
      <c r="A55" s="82" t="s">
        <v>249</v>
      </c>
      <c r="B55" s="62"/>
      <c r="C55" s="62"/>
      <c r="D55" s="71">
        <f>+D53/D54</f>
        <v>2.1559123661009645</v>
      </c>
    </row>
    <row r="56" spans="2:3" ht="4.5" customHeight="1" thickTop="1">
      <c r="B56" s="62"/>
      <c r="C56" s="62"/>
    </row>
    <row r="57" spans="2:3" ht="4.5" customHeight="1">
      <c r="B57" s="62"/>
      <c r="C57" s="62"/>
    </row>
    <row r="58" spans="1:3" ht="12.75">
      <c r="A58" s="77" t="s">
        <v>129</v>
      </c>
      <c r="B58" s="62"/>
      <c r="C58" s="62"/>
    </row>
    <row r="59" spans="2:3" ht="4.5" customHeight="1">
      <c r="B59" s="62"/>
      <c r="C59" s="62"/>
    </row>
    <row r="60" spans="1:3" ht="15">
      <c r="A60" s="88" t="s">
        <v>130</v>
      </c>
      <c r="B60" s="62"/>
      <c r="C60" s="62"/>
    </row>
    <row r="61" spans="1:3" ht="12.75">
      <c r="A61" s="16" t="s">
        <v>131</v>
      </c>
      <c r="B61" s="72">
        <f>+D42</f>
        <v>788577.0351284334</v>
      </c>
      <c r="C61" s="62"/>
    </row>
    <row r="62" spans="1:3" ht="12.75">
      <c r="A62" s="16" t="s">
        <v>132</v>
      </c>
      <c r="B62" s="58">
        <f>+D34</f>
        <v>1945343.8816666666</v>
      </c>
      <c r="C62" s="62"/>
    </row>
    <row r="63" spans="1:3" ht="12.75">
      <c r="A63" s="16" t="s">
        <v>133</v>
      </c>
      <c r="B63" s="58">
        <f>-'SM UCC Continuity'!H50</f>
        <v>-1858057.353009322</v>
      </c>
      <c r="C63" s="62"/>
    </row>
    <row r="64" spans="1:3" ht="12.75">
      <c r="A64" s="16" t="s">
        <v>134</v>
      </c>
      <c r="B64" s="59">
        <f>+B61+B62+B63</f>
        <v>875863.5637857781</v>
      </c>
      <c r="C64" s="62"/>
    </row>
    <row r="65" spans="1:3" ht="12.75">
      <c r="A65" s="16" t="s">
        <v>135</v>
      </c>
      <c r="B65" s="134">
        <v>0.2825</v>
      </c>
      <c r="C65" s="62"/>
    </row>
    <row r="66" spans="1:3" ht="13.5" thickBot="1">
      <c r="A66" s="16" t="s">
        <v>136</v>
      </c>
      <c r="B66" s="61">
        <f>+B64*B65</f>
        <v>247431.4567694823</v>
      </c>
      <c r="C66" s="62"/>
    </row>
    <row r="67" spans="2:3" ht="4.5" customHeight="1">
      <c r="B67" s="62"/>
      <c r="C67" s="62"/>
    </row>
    <row r="68" spans="1:3" ht="12.75">
      <c r="A68" s="77" t="s">
        <v>137</v>
      </c>
      <c r="B68" s="62"/>
      <c r="C68" s="62"/>
    </row>
    <row r="69" spans="1:3" ht="12.75">
      <c r="A69" s="16" t="s">
        <v>138</v>
      </c>
      <c r="B69" s="58">
        <f>'SM FA Continuity'!F50</f>
        <v>23829354.638333336</v>
      </c>
      <c r="C69" s="62"/>
    </row>
    <row r="70" spans="1:3" ht="12.75">
      <c r="A70" s="16" t="s">
        <v>139</v>
      </c>
      <c r="B70" s="58">
        <v>0</v>
      </c>
      <c r="C70" s="62"/>
    </row>
    <row r="71" spans="1:3" ht="12.75">
      <c r="A71" s="16" t="s">
        <v>140</v>
      </c>
      <c r="B71" s="63">
        <f>+B69-B70</f>
        <v>23829354.638333336</v>
      </c>
      <c r="C71" s="62"/>
    </row>
    <row r="72" spans="1:3" ht="12.75">
      <c r="A72" s="16" t="s">
        <v>141</v>
      </c>
      <c r="B72" s="134">
        <v>0</v>
      </c>
      <c r="C72" s="62"/>
    </row>
    <row r="73" spans="1:3" ht="13.5" thickBot="1">
      <c r="A73" s="77" t="s">
        <v>142</v>
      </c>
      <c r="B73" s="61">
        <f>+B72*B71/3</f>
        <v>0</v>
      </c>
      <c r="C73" s="62"/>
    </row>
    <row r="74" spans="2:3" ht="4.5" customHeight="1">
      <c r="B74" s="62"/>
      <c r="C74" s="62"/>
    </row>
    <row r="75" spans="2:3" ht="4.5" customHeight="1">
      <c r="B75" s="62"/>
      <c r="C75" s="62"/>
    </row>
    <row r="76" spans="2:3" ht="4.5" customHeight="1">
      <c r="B76" s="62"/>
      <c r="C76" s="62"/>
    </row>
    <row r="77" spans="2:4" ht="12.75">
      <c r="B77" s="89" t="s">
        <v>143</v>
      </c>
      <c r="C77" s="89" t="s">
        <v>144</v>
      </c>
      <c r="D77" s="77" t="s">
        <v>145</v>
      </c>
    </row>
    <row r="78" spans="1:4" ht="12.75">
      <c r="A78" s="16" t="s">
        <v>146</v>
      </c>
      <c r="B78" s="72">
        <f>+B66</f>
        <v>247431.4567694823</v>
      </c>
      <c r="C78" s="55">
        <f>+B65</f>
        <v>0.2825</v>
      </c>
      <c r="D78" s="90">
        <f>+B78/(1-C78)</f>
        <v>344852.20455676975</v>
      </c>
    </row>
    <row r="79" spans="1:4" ht="12.75">
      <c r="A79" s="16" t="s">
        <v>147</v>
      </c>
      <c r="B79" s="58">
        <f>+B73</f>
        <v>0</v>
      </c>
      <c r="C79" s="62"/>
      <c r="D79" s="91">
        <f>+B79</f>
        <v>0</v>
      </c>
    </row>
    <row r="80" spans="1:4" ht="13.5" thickBot="1">
      <c r="A80" s="16" t="s">
        <v>148</v>
      </c>
      <c r="B80" s="92">
        <f>+B78+B79</f>
        <v>247431.4567694823</v>
      </c>
      <c r="C80" s="93"/>
      <c r="D80" s="94">
        <f>+D78+D79</f>
        <v>344852.20455676975</v>
      </c>
    </row>
    <row r="81" ht="4.5" customHeight="1" thickTop="1"/>
  </sheetData>
  <sheetProtection/>
  <mergeCells count="1">
    <mergeCell ref="B5:C5"/>
  </mergeCells>
  <printOptions/>
  <pageMargins left="0.75" right="0.5" top="0.5" bottom="0.5" header="0.5" footer="0.5"/>
  <pageSetup fitToHeight="1" fitToWidth="1" horizontalDpi="600" verticalDpi="600"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7.8515625" style="16" bestFit="1" customWidth="1"/>
    <col min="2" max="2" width="11.7109375" style="16" customWidth="1"/>
    <col min="3" max="3" width="20.8515625" style="16" customWidth="1"/>
    <col min="4" max="4" width="17.57421875" style="97" customWidth="1"/>
    <col min="5" max="5" width="13.8515625" style="16" customWidth="1"/>
    <col min="6" max="6" width="18.8515625" style="16" bestFit="1" customWidth="1"/>
    <col min="7" max="7" width="18.8515625" style="16" customWidth="1"/>
    <col min="8" max="8" width="18.8515625" style="16" bestFit="1" customWidth="1"/>
    <col min="9" max="16384" width="9.140625" style="16" customWidth="1"/>
  </cols>
  <sheetData>
    <row r="1" spans="1:2" ht="12.75">
      <c r="A1" s="77" t="s">
        <v>153</v>
      </c>
      <c r="B1" s="77"/>
    </row>
    <row r="5" spans="1:2" ht="12.75">
      <c r="A5" s="123" t="s">
        <v>154</v>
      </c>
      <c r="B5" s="77"/>
    </row>
    <row r="6" spans="2:7" ht="38.25">
      <c r="B6" s="124" t="s">
        <v>155</v>
      </c>
      <c r="C6" s="16" t="s">
        <v>156</v>
      </c>
      <c r="D6" s="100" t="s">
        <v>157</v>
      </c>
      <c r="E6" s="100" t="s">
        <v>158</v>
      </c>
      <c r="F6" s="16" t="s">
        <v>159</v>
      </c>
      <c r="G6" s="16" t="s">
        <v>160</v>
      </c>
    </row>
    <row r="7" spans="1:7" ht="12.75">
      <c r="A7" s="79" t="s">
        <v>93</v>
      </c>
      <c r="B7" s="79"/>
      <c r="C7" s="96">
        <v>0</v>
      </c>
      <c r="D7" s="96">
        <v>0</v>
      </c>
      <c r="E7" s="97">
        <v>0</v>
      </c>
      <c r="F7" s="125">
        <f>+D7-E7</f>
        <v>0</v>
      </c>
      <c r="G7" s="97">
        <f>(+C7+F7)/2</f>
        <v>0</v>
      </c>
    </row>
    <row r="8" spans="1:7" ht="12.75">
      <c r="A8" s="79" t="s">
        <v>161</v>
      </c>
      <c r="B8" s="79"/>
      <c r="C8" s="96">
        <v>0</v>
      </c>
      <c r="D8" s="96">
        <f>+'Program YTD'!B7-'SM FA Continuity'!D9-'SM FA Continuity'!D10-'SM FA Continuity'!D11</f>
        <v>7528822.31</v>
      </c>
      <c r="E8" s="97">
        <v>197829.25</v>
      </c>
      <c r="F8" s="125">
        <f>+D8-E8</f>
        <v>7330993.06</v>
      </c>
      <c r="G8" s="97">
        <f>(+C8+F8)/2</f>
        <v>3665496.53</v>
      </c>
    </row>
    <row r="9" spans="1:7" ht="12.75">
      <c r="A9" s="79" t="s">
        <v>162</v>
      </c>
      <c r="B9" s="79"/>
      <c r="C9" s="96">
        <v>0</v>
      </c>
      <c r="D9" s="96">
        <f>64637.24+49230.42</f>
        <v>113867.66</v>
      </c>
      <c r="E9" s="97">
        <f>7002.37+2098.93</f>
        <v>9101.3</v>
      </c>
      <c r="F9" s="125">
        <f>+D9-E9</f>
        <v>104766.36</v>
      </c>
      <c r="G9" s="97">
        <f>(+C9+F9)/2</f>
        <v>52383.18</v>
      </c>
    </row>
    <row r="10" spans="1:7" ht="12.75">
      <c r="A10" s="79" t="s">
        <v>163</v>
      </c>
      <c r="B10" s="79"/>
      <c r="C10" s="96">
        <v>0</v>
      </c>
      <c r="D10" s="96">
        <v>36353.62</v>
      </c>
      <c r="E10" s="97">
        <v>10098.23</v>
      </c>
      <c r="F10" s="125">
        <f>+D10-E10</f>
        <v>26255.390000000003</v>
      </c>
      <c r="G10" s="97">
        <f>(+C10+F10)/2</f>
        <v>13127.695000000002</v>
      </c>
    </row>
    <row r="11" spans="1:7" ht="12.75">
      <c r="A11" s="79" t="s">
        <v>164</v>
      </c>
      <c r="B11" s="79"/>
      <c r="C11" s="96">
        <v>0</v>
      </c>
      <c r="D11" s="96">
        <v>905.31</v>
      </c>
      <c r="E11" s="97">
        <v>45.27</v>
      </c>
      <c r="F11" s="125">
        <f>+D11-E11</f>
        <v>860.04</v>
      </c>
      <c r="G11" s="97">
        <f>(+C11+F11)/2</f>
        <v>430.02</v>
      </c>
    </row>
    <row r="12" spans="3:7" ht="13.5" thickBot="1">
      <c r="C12" s="98">
        <f>SUM(C7:C11)</f>
        <v>0</v>
      </c>
      <c r="D12" s="98">
        <f>SUM(D7:D11)</f>
        <v>7679948.899999999</v>
      </c>
      <c r="E12" s="98">
        <f>SUM(E7:E11)</f>
        <v>217074.05</v>
      </c>
      <c r="F12" s="98">
        <f>SUM(F7:F11)</f>
        <v>7462874.85</v>
      </c>
      <c r="G12" s="98">
        <f>SUM(G7:G11)</f>
        <v>3731437.425</v>
      </c>
    </row>
    <row r="13" ht="13.5" thickTop="1">
      <c r="C13" s="97"/>
    </row>
    <row r="14" spans="3:7" ht="38.25">
      <c r="C14" s="16" t="s">
        <v>156</v>
      </c>
      <c r="D14" s="100" t="s">
        <v>165</v>
      </c>
      <c r="E14" s="100" t="s">
        <v>166</v>
      </c>
      <c r="F14" s="16" t="s">
        <v>167</v>
      </c>
      <c r="G14" s="16" t="s">
        <v>168</v>
      </c>
    </row>
    <row r="15" spans="1:8" ht="12.75">
      <c r="A15" s="79" t="s">
        <v>93</v>
      </c>
      <c r="B15" s="79"/>
      <c r="C15" s="97">
        <f>F7</f>
        <v>0</v>
      </c>
      <c r="D15" s="97">
        <v>0</v>
      </c>
      <c r="E15" s="97">
        <v>0</v>
      </c>
      <c r="F15" s="97">
        <f>+C15+D15-E15</f>
        <v>0</v>
      </c>
      <c r="G15" s="97">
        <f>(+C15+F15)/2</f>
        <v>0</v>
      </c>
      <c r="H15" s="97"/>
    </row>
    <row r="16" spans="1:8" ht="12.75">
      <c r="A16" s="79" t="s">
        <v>161</v>
      </c>
      <c r="B16" s="79"/>
      <c r="C16" s="97">
        <f>F8</f>
        <v>7330993.06</v>
      </c>
      <c r="D16" s="97">
        <f>+'Program YTD'!B8-'SM FA Continuity'!D17-'SM FA Continuity'!D18-'SM FA Continuity'!D19</f>
        <v>10419279.83</v>
      </c>
      <c r="E16" s="97">
        <v>651478.12</v>
      </c>
      <c r="F16" s="97">
        <f>+C16+D16-E16</f>
        <v>17098794.77</v>
      </c>
      <c r="G16" s="97">
        <f>(+C16+F16)/2</f>
        <v>12214893.915</v>
      </c>
      <c r="H16" s="97"/>
    </row>
    <row r="17" spans="1:8" ht="12.75">
      <c r="A17" s="79" t="s">
        <v>162</v>
      </c>
      <c r="B17" s="79"/>
      <c r="C17" s="97">
        <f>F9</f>
        <v>104766.36</v>
      </c>
      <c r="D17" s="97">
        <f>24467.4+45028.69</f>
        <v>69496.09</v>
      </c>
      <c r="E17" s="97">
        <f>17413.15+17957.5</f>
        <v>35370.65</v>
      </c>
      <c r="F17" s="97">
        <f>+C17+D17-E17</f>
        <v>138891.80000000002</v>
      </c>
      <c r="G17" s="97">
        <f>(+C17+F17)/2</f>
        <v>121829.08000000002</v>
      </c>
      <c r="H17" s="97"/>
    </row>
    <row r="18" spans="1:8" ht="12.75">
      <c r="A18" s="79" t="s">
        <v>163</v>
      </c>
      <c r="B18" s="79"/>
      <c r="C18" s="97">
        <f>F10</f>
        <v>26255.390000000003</v>
      </c>
      <c r="D18" s="97">
        <v>50929.85</v>
      </c>
      <c r="E18" s="97">
        <v>23398.73</v>
      </c>
      <c r="F18" s="97">
        <f>+C18+D18-E18</f>
        <v>53786.51000000001</v>
      </c>
      <c r="G18" s="97">
        <f>(+C18+F18)/2</f>
        <v>40020.950000000004</v>
      </c>
      <c r="H18" s="97"/>
    </row>
    <row r="19" spans="1:8" ht="12.75">
      <c r="A19" s="79" t="s">
        <v>164</v>
      </c>
      <c r="B19" s="79"/>
      <c r="C19" s="97">
        <f>F11</f>
        <v>860.04</v>
      </c>
      <c r="D19" s="97">
        <v>7954.34</v>
      </c>
      <c r="E19" s="97">
        <v>613.06</v>
      </c>
      <c r="F19" s="97">
        <f>+C19+D19-E19</f>
        <v>8201.320000000002</v>
      </c>
      <c r="G19" s="97">
        <f>(+C19+F19)/2</f>
        <v>4530.68</v>
      </c>
      <c r="H19" s="97"/>
    </row>
    <row r="20" spans="3:8" ht="13.5" thickBot="1">
      <c r="C20" s="98">
        <f>SUM(C15:C19)</f>
        <v>7462874.85</v>
      </c>
      <c r="D20" s="98">
        <f>SUM(D15:D19)</f>
        <v>10547660.11</v>
      </c>
      <c r="E20" s="98">
        <f>SUM(E15:E19)</f>
        <v>710860.56</v>
      </c>
      <c r="F20" s="98">
        <f>SUM(F15:F19)</f>
        <v>17299674.400000002</v>
      </c>
      <c r="G20" s="98">
        <f>SUM(G15:G19)</f>
        <v>12381274.624999998</v>
      </c>
      <c r="H20" s="97"/>
    </row>
    <row r="21" ht="13.5" thickTop="1">
      <c r="C21" s="97"/>
    </row>
    <row r="22" spans="3:7" ht="38.25">
      <c r="C22" s="16" t="s">
        <v>156</v>
      </c>
      <c r="D22" s="99" t="s">
        <v>169</v>
      </c>
      <c r="E22" s="99" t="s">
        <v>170</v>
      </c>
      <c r="F22" s="16" t="s">
        <v>171</v>
      </c>
      <c r="G22" s="16" t="s">
        <v>172</v>
      </c>
    </row>
    <row r="23" spans="1:7" ht="12.75">
      <c r="A23" s="79" t="s">
        <v>93</v>
      </c>
      <c r="B23" s="79">
        <v>25</v>
      </c>
      <c r="C23" s="97">
        <f>F15</f>
        <v>0</v>
      </c>
      <c r="D23" s="97">
        <v>0</v>
      </c>
      <c r="E23" s="97">
        <v>0</v>
      </c>
      <c r="F23" s="97">
        <f aca="true" t="shared" si="0" ref="F23:F29">+C23+D23-E23</f>
        <v>0</v>
      </c>
      <c r="G23" s="97">
        <f aca="true" t="shared" si="1" ref="G23:G29">(+C23+F23)/2</f>
        <v>0</v>
      </c>
    </row>
    <row r="24" spans="1:7" ht="12.75">
      <c r="A24" s="79" t="s">
        <v>94</v>
      </c>
      <c r="B24" s="79">
        <v>10</v>
      </c>
      <c r="C24" s="97"/>
      <c r="D24" s="136">
        <v>45968</v>
      </c>
      <c r="E24" s="97">
        <f>(D24/B24/2)</f>
        <v>2298.4</v>
      </c>
      <c r="F24" s="97">
        <f t="shared" si="0"/>
        <v>43669.6</v>
      </c>
      <c r="G24" s="97">
        <f t="shared" si="1"/>
        <v>21834.8</v>
      </c>
    </row>
    <row r="25" spans="1:7" ht="12.75">
      <c r="A25" s="79" t="s">
        <v>95</v>
      </c>
      <c r="B25" s="79">
        <v>30</v>
      </c>
      <c r="C25" s="97"/>
      <c r="E25" s="97">
        <f>(D25/B25/2)</f>
        <v>0</v>
      </c>
      <c r="F25" s="97">
        <f t="shared" si="0"/>
        <v>0</v>
      </c>
      <c r="G25" s="97">
        <f t="shared" si="1"/>
        <v>0</v>
      </c>
    </row>
    <row r="26" spans="1:7" ht="12.75">
      <c r="A26" s="79" t="s">
        <v>161</v>
      </c>
      <c r="B26" s="79">
        <v>15</v>
      </c>
      <c r="C26" s="97">
        <f>F16</f>
        <v>17098794.77</v>
      </c>
      <c r="D26" s="97">
        <f>+'Program YTD'!B9</f>
        <v>6043663.329999999</v>
      </c>
      <c r="E26" s="97">
        <v>1373377.5799999998</v>
      </c>
      <c r="F26" s="97">
        <f t="shared" si="0"/>
        <v>21769080.52</v>
      </c>
      <c r="G26" s="97">
        <f t="shared" si="1"/>
        <v>19433937.645</v>
      </c>
    </row>
    <row r="27" spans="1:7" ht="12.75">
      <c r="A27" s="79" t="s">
        <v>162</v>
      </c>
      <c r="B27" s="79">
        <v>5</v>
      </c>
      <c r="C27" s="97">
        <f>F17</f>
        <v>138891.80000000002</v>
      </c>
      <c r="D27" s="136">
        <v>350322</v>
      </c>
      <c r="E27" s="97">
        <f>(+D9+D17)/B27+(D27/B27/2)</f>
        <v>71704.95</v>
      </c>
      <c r="F27" s="97">
        <f t="shared" si="0"/>
        <v>417508.85000000003</v>
      </c>
      <c r="G27" s="97">
        <f t="shared" si="1"/>
        <v>278200.325</v>
      </c>
    </row>
    <row r="28" spans="1:7" ht="12.75">
      <c r="A28" s="79" t="s">
        <v>163</v>
      </c>
      <c r="B28" s="79">
        <v>3</v>
      </c>
      <c r="C28" s="97">
        <f>F18</f>
        <v>53786.51000000001</v>
      </c>
      <c r="D28" s="136">
        <v>423184</v>
      </c>
      <c r="E28" s="97">
        <f>(+D10+D18)/B28+(D28/B28/2)</f>
        <v>99625.15666666668</v>
      </c>
      <c r="F28" s="97">
        <f t="shared" si="0"/>
        <v>377345.35333333333</v>
      </c>
      <c r="G28" s="97">
        <f t="shared" si="1"/>
        <v>215565.93166666667</v>
      </c>
    </row>
    <row r="29" spans="1:7" ht="12.75">
      <c r="A29" s="79" t="s">
        <v>164</v>
      </c>
      <c r="B29" s="79">
        <v>10</v>
      </c>
      <c r="C29" s="97">
        <f>F19</f>
        <v>8201.320000000002</v>
      </c>
      <c r="D29" s="136">
        <v>13691</v>
      </c>
      <c r="E29" s="97">
        <f>(+D11+D19)/B29+(D29/B29/2)</f>
        <v>1570.5149999999999</v>
      </c>
      <c r="F29" s="97">
        <f t="shared" si="0"/>
        <v>20321.805</v>
      </c>
      <c r="G29" s="97">
        <f t="shared" si="1"/>
        <v>14261.5625</v>
      </c>
    </row>
    <row r="30" spans="3:7" ht="13.5" thickBot="1">
      <c r="C30" s="98">
        <f>SUM(C23:C29)</f>
        <v>17299674.400000002</v>
      </c>
      <c r="D30" s="98">
        <f>SUM(D23:D29)</f>
        <v>6876828.329999999</v>
      </c>
      <c r="E30" s="98">
        <f>SUM(E23:E29)</f>
        <v>1548576.6016666663</v>
      </c>
      <c r="F30" s="98">
        <f>SUM(F23:F29)</f>
        <v>22627926.128333334</v>
      </c>
      <c r="G30" s="98">
        <f>SUM(G23:G29)</f>
        <v>19963800.264166668</v>
      </c>
    </row>
    <row r="31" ht="13.5" thickTop="1">
      <c r="E31" s="97"/>
    </row>
    <row r="32" spans="3:7" ht="38.25">
      <c r="C32" s="16" t="s">
        <v>156</v>
      </c>
      <c r="D32" s="100" t="s">
        <v>173</v>
      </c>
      <c r="E32" s="100" t="s">
        <v>174</v>
      </c>
      <c r="F32" s="16" t="s">
        <v>175</v>
      </c>
      <c r="G32" s="16" t="s">
        <v>176</v>
      </c>
    </row>
    <row r="33" spans="1:7" ht="12.75">
      <c r="A33" s="79" t="s">
        <v>93</v>
      </c>
      <c r="B33" s="79">
        <v>25</v>
      </c>
      <c r="C33" s="97">
        <f aca="true" t="shared" si="2" ref="C33:C39">+F23</f>
        <v>0</v>
      </c>
      <c r="D33" s="97">
        <v>0</v>
      </c>
      <c r="E33" s="97">
        <v>0</v>
      </c>
      <c r="F33" s="97">
        <f aca="true" t="shared" si="3" ref="F33:F39">+C33+D33-E33</f>
        <v>0</v>
      </c>
      <c r="G33" s="97">
        <f aca="true" t="shared" si="4" ref="G33:G39">(+C33+F33)/2</f>
        <v>0</v>
      </c>
    </row>
    <row r="34" spans="1:7" ht="12.75">
      <c r="A34" s="79" t="s">
        <v>94</v>
      </c>
      <c r="B34" s="79">
        <v>10</v>
      </c>
      <c r="C34" s="97">
        <f t="shared" si="2"/>
        <v>43669.6</v>
      </c>
      <c r="D34" s="97">
        <v>0</v>
      </c>
      <c r="E34" s="97">
        <f>((+D24)/B34)+(D34/B34/2)</f>
        <v>4596.8</v>
      </c>
      <c r="F34" s="97">
        <f t="shared" si="3"/>
        <v>39072.799999999996</v>
      </c>
      <c r="G34" s="97">
        <f t="shared" si="4"/>
        <v>41371.2</v>
      </c>
    </row>
    <row r="35" spans="1:7" ht="12.75">
      <c r="A35" s="79" t="s">
        <v>95</v>
      </c>
      <c r="B35" s="79">
        <v>30</v>
      </c>
      <c r="C35" s="97">
        <f t="shared" si="2"/>
        <v>0</v>
      </c>
      <c r="D35" s="97">
        <v>0</v>
      </c>
      <c r="E35" s="97">
        <f>((+D25)/B35)+(D35/B35/2)</f>
        <v>0</v>
      </c>
      <c r="F35" s="97">
        <f t="shared" si="3"/>
        <v>0</v>
      </c>
      <c r="G35" s="97">
        <f t="shared" si="4"/>
        <v>0</v>
      </c>
    </row>
    <row r="36" spans="1:7" ht="12.75">
      <c r="A36" s="79" t="s">
        <v>161</v>
      </c>
      <c r="B36" s="79">
        <v>15</v>
      </c>
      <c r="C36" s="97">
        <f t="shared" si="2"/>
        <v>21769080.52</v>
      </c>
      <c r="D36" s="97">
        <f>+'Program YTD'!B10</f>
        <v>701000</v>
      </c>
      <c r="E36" s="97">
        <v>1672535.5733333318</v>
      </c>
      <c r="F36" s="97">
        <f t="shared" si="3"/>
        <v>20797544.94666667</v>
      </c>
      <c r="G36" s="97">
        <f t="shared" si="4"/>
        <v>21283312.733333334</v>
      </c>
    </row>
    <row r="37" spans="1:7" ht="12.75">
      <c r="A37" s="79" t="s">
        <v>162</v>
      </c>
      <c r="B37" s="79">
        <v>5</v>
      </c>
      <c r="C37" s="97">
        <f t="shared" si="2"/>
        <v>417508.85000000003</v>
      </c>
      <c r="D37" s="97">
        <v>0</v>
      </c>
      <c r="E37" s="97">
        <f>36672.75</f>
        <v>36672.75</v>
      </c>
      <c r="F37" s="97">
        <f t="shared" si="3"/>
        <v>380836.10000000003</v>
      </c>
      <c r="G37" s="97">
        <f t="shared" si="4"/>
        <v>399172.47500000003</v>
      </c>
    </row>
    <row r="38" spans="1:7" ht="12.75">
      <c r="A38" s="79" t="s">
        <v>163</v>
      </c>
      <c r="B38" s="79">
        <v>3</v>
      </c>
      <c r="C38" s="97">
        <f t="shared" si="2"/>
        <v>377345.35333333333</v>
      </c>
      <c r="D38" s="97">
        <v>0</v>
      </c>
      <c r="E38" s="97">
        <f>24692.05+(D38/3*0.5)</f>
        <v>24692.05</v>
      </c>
      <c r="F38" s="97">
        <f t="shared" si="3"/>
        <v>352653.30333333334</v>
      </c>
      <c r="G38" s="97">
        <f t="shared" si="4"/>
        <v>364999.32833333337</v>
      </c>
    </row>
    <row r="39" spans="1:7" ht="12.75">
      <c r="A39" s="79" t="s">
        <v>164</v>
      </c>
      <c r="B39" s="79">
        <v>10</v>
      </c>
      <c r="C39" s="97">
        <f t="shared" si="2"/>
        <v>20321.805</v>
      </c>
      <c r="D39" s="97">
        <v>0</v>
      </c>
      <c r="E39" s="97">
        <f>((+D29+D19+D11)/B39)+(D39/B39/2)</f>
        <v>2255.065</v>
      </c>
      <c r="F39" s="97">
        <f t="shared" si="3"/>
        <v>18066.74</v>
      </c>
      <c r="G39" s="97">
        <f t="shared" si="4"/>
        <v>19194.2725</v>
      </c>
    </row>
    <row r="40" spans="3:7" ht="13.5" thickBot="1">
      <c r="C40" s="98">
        <f>SUM(C33:C39)</f>
        <v>22627926.128333334</v>
      </c>
      <c r="D40" s="98">
        <f>SUM(D33:D39)</f>
        <v>701000</v>
      </c>
      <c r="E40" s="98">
        <f>SUM(E33:E39)</f>
        <v>1740752.238333332</v>
      </c>
      <c r="F40" s="98">
        <f>SUM(F33:F39)</f>
        <v>21588173.890000004</v>
      </c>
      <c r="G40" s="98">
        <f>SUM(G33:G39)</f>
        <v>22108050.00916667</v>
      </c>
    </row>
    <row r="41" ht="13.5" thickTop="1">
      <c r="F41" s="125"/>
    </row>
    <row r="42" spans="3:7" ht="38.25">
      <c r="C42" s="16" t="s">
        <v>156</v>
      </c>
      <c r="D42" s="100" t="s">
        <v>177</v>
      </c>
      <c r="E42" s="100" t="s">
        <v>178</v>
      </c>
      <c r="F42" s="16" t="s">
        <v>179</v>
      </c>
      <c r="G42" s="16" t="s">
        <v>180</v>
      </c>
    </row>
    <row r="43" spans="1:7" ht="12.75">
      <c r="A43" s="79" t="s">
        <v>93</v>
      </c>
      <c r="B43" s="79">
        <v>25</v>
      </c>
      <c r="C43" s="97">
        <f aca="true" t="shared" si="5" ref="C43:C49">+F33</f>
        <v>0</v>
      </c>
      <c r="D43" s="97">
        <v>0</v>
      </c>
      <c r="E43" s="97">
        <v>0</v>
      </c>
      <c r="F43" s="97">
        <f aca="true" t="shared" si="6" ref="F43:F49">+C43+D43-E43</f>
        <v>0</v>
      </c>
      <c r="G43" s="97">
        <f aca="true" t="shared" si="7" ref="G43:G49">(+C43+F43)/2</f>
        <v>0</v>
      </c>
    </row>
    <row r="44" spans="1:7" ht="12.75">
      <c r="A44" s="79" t="s">
        <v>94</v>
      </c>
      <c r="B44" s="79">
        <v>10</v>
      </c>
      <c r="C44" s="97">
        <f t="shared" si="5"/>
        <v>39072.799999999996</v>
      </c>
      <c r="D44" s="97">
        <v>0</v>
      </c>
      <c r="E44" s="97">
        <f>((+D34)/B44)+(D44/B44/2)</f>
        <v>0</v>
      </c>
      <c r="F44" s="97">
        <f t="shared" si="6"/>
        <v>39072.799999999996</v>
      </c>
      <c r="G44" s="97">
        <f t="shared" si="7"/>
        <v>39072.799999999996</v>
      </c>
    </row>
    <row r="45" spans="1:7" ht="12.75">
      <c r="A45" s="79" t="s">
        <v>95</v>
      </c>
      <c r="B45" s="79">
        <v>30</v>
      </c>
      <c r="C45" s="97">
        <f t="shared" si="5"/>
        <v>0</v>
      </c>
      <c r="D45" s="97">
        <v>0</v>
      </c>
      <c r="E45" s="97">
        <f>((+D35)/B45)+(D45/B45/2)</f>
        <v>0</v>
      </c>
      <c r="F45" s="97">
        <f t="shared" si="6"/>
        <v>0</v>
      </c>
      <c r="G45" s="97">
        <f t="shared" si="7"/>
        <v>0</v>
      </c>
    </row>
    <row r="46" spans="1:7" ht="12.75">
      <c r="A46" s="79" t="s">
        <v>161</v>
      </c>
      <c r="B46" s="79">
        <v>15</v>
      </c>
      <c r="C46" s="97">
        <f t="shared" si="5"/>
        <v>20797544.94666667</v>
      </c>
      <c r="D46" s="97">
        <f>+'Program YTD'!B11+'Program YTD'!L12+'Program YTD'!J11+'Program YTD'!J10</f>
        <v>4186524.63</v>
      </c>
      <c r="E46" s="97">
        <f>1749410+((+'Program YTD'!L12+'Program YTD'!J10+'Program YTD'!J11)/B46/2)</f>
        <v>1836351.6666666667</v>
      </c>
      <c r="F46" s="97">
        <f t="shared" si="6"/>
        <v>23147717.91</v>
      </c>
      <c r="G46" s="97">
        <f t="shared" si="7"/>
        <v>21972631.428333335</v>
      </c>
    </row>
    <row r="47" spans="1:7" ht="12.75">
      <c r="A47" s="79" t="s">
        <v>162</v>
      </c>
      <c r="B47" s="79">
        <v>5</v>
      </c>
      <c r="C47" s="97">
        <f t="shared" si="5"/>
        <v>380836.10000000003</v>
      </c>
      <c r="D47" s="97">
        <v>0</v>
      </c>
      <c r="E47" s="97">
        <f>((+D37+D27+D17+D9)/B47)+(D47/B47/2)</f>
        <v>106737.15</v>
      </c>
      <c r="F47" s="97">
        <f t="shared" si="6"/>
        <v>274098.95000000007</v>
      </c>
      <c r="G47" s="97">
        <f t="shared" si="7"/>
        <v>327467.525</v>
      </c>
    </row>
    <row r="48" spans="1:7" ht="12.75">
      <c r="A48" s="79" t="s">
        <v>163</v>
      </c>
      <c r="B48" s="79">
        <v>3</v>
      </c>
      <c r="C48" s="97">
        <f t="shared" si="5"/>
        <v>352653.30333333334</v>
      </c>
      <c r="D48" s="97">
        <v>0</v>
      </c>
      <c r="E48" s="97">
        <v>0</v>
      </c>
      <c r="F48" s="97">
        <f t="shared" si="6"/>
        <v>352653.30333333334</v>
      </c>
      <c r="G48" s="97">
        <f t="shared" si="7"/>
        <v>352653.30333333334</v>
      </c>
    </row>
    <row r="49" spans="1:7" ht="12.75">
      <c r="A49" s="79" t="s">
        <v>164</v>
      </c>
      <c r="B49" s="79">
        <v>10</v>
      </c>
      <c r="C49" s="97">
        <f t="shared" si="5"/>
        <v>18066.74</v>
      </c>
      <c r="D49" s="97">
        <v>0</v>
      </c>
      <c r="E49" s="97">
        <f>((+D39+D29+D19+D11)/B49)+(D49/B49/2)</f>
        <v>2255.065</v>
      </c>
      <c r="F49" s="97">
        <f t="shared" si="6"/>
        <v>15811.675000000001</v>
      </c>
      <c r="G49" s="97">
        <f t="shared" si="7"/>
        <v>16939.2075</v>
      </c>
    </row>
    <row r="50" spans="3:7" ht="13.5" thickBot="1">
      <c r="C50" s="98">
        <f>SUM(C43:C49)</f>
        <v>21588173.890000004</v>
      </c>
      <c r="D50" s="98">
        <f>SUM(D43:D49)</f>
        <v>4186524.63</v>
      </c>
      <c r="E50" s="98">
        <f>SUM(E43:E49)</f>
        <v>1945343.8816666666</v>
      </c>
      <c r="F50" s="98">
        <f>SUM(F43:F49)</f>
        <v>23829354.638333336</v>
      </c>
      <c r="G50" s="98">
        <f>SUM(G43:G49)</f>
        <v>22708764.264166668</v>
      </c>
    </row>
    <row r="51" ht="14.25" thickBot="1" thickTop="1"/>
    <row r="52" ht="13.5" thickBot="1">
      <c r="D52" s="126">
        <f>+D50+D40+D30+D20+D12</f>
        <v>29991961.97</v>
      </c>
    </row>
  </sheetData>
  <sheetProtection/>
  <printOptions/>
  <pageMargins left="0.75" right="0.5" top="1" bottom="1" header="0.5" footer="0.5"/>
  <pageSetup fitToHeight="1" fitToWidth="1" horizontalDpi="600" verticalDpi="600" orientation="landscape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17.8515625" style="16" bestFit="1" customWidth="1"/>
    <col min="2" max="3" width="17.8515625" style="16" customWidth="1"/>
    <col min="4" max="4" width="19.8515625" style="127" bestFit="1" customWidth="1"/>
    <col min="5" max="5" width="22.28125" style="16" customWidth="1"/>
    <col min="6" max="6" width="18.8515625" style="16" bestFit="1" customWidth="1"/>
    <col min="7" max="7" width="19.140625" style="16" bestFit="1" customWidth="1"/>
    <col min="8" max="8" width="18.8515625" style="16" bestFit="1" customWidth="1"/>
    <col min="9" max="9" width="19.140625" style="16" bestFit="1" customWidth="1"/>
    <col min="10" max="10" width="17.00390625" style="16" customWidth="1"/>
    <col min="11" max="16384" width="9.140625" style="16" customWidth="1"/>
  </cols>
  <sheetData>
    <row r="1" ht="12.75">
      <c r="A1" s="77" t="s">
        <v>153</v>
      </c>
    </row>
    <row r="5" ht="12.75">
      <c r="A5" s="123" t="s">
        <v>181</v>
      </c>
    </row>
    <row r="6" spans="2:9" ht="25.5">
      <c r="B6" s="16" t="s">
        <v>182</v>
      </c>
      <c r="C6" s="16" t="s">
        <v>183</v>
      </c>
      <c r="D6" s="16" t="s">
        <v>184</v>
      </c>
      <c r="E6" s="97" t="s">
        <v>185</v>
      </c>
      <c r="F6" s="100" t="s">
        <v>186</v>
      </c>
      <c r="G6" s="100" t="s">
        <v>187</v>
      </c>
      <c r="H6" s="16" t="s">
        <v>188</v>
      </c>
      <c r="I6" s="16" t="s">
        <v>189</v>
      </c>
    </row>
    <row r="7" spans="1:9" ht="12.75">
      <c r="A7" s="79" t="s">
        <v>93</v>
      </c>
      <c r="B7" s="16" t="s">
        <v>190</v>
      </c>
      <c r="C7" s="128">
        <v>0.08</v>
      </c>
      <c r="D7" s="79">
        <v>0</v>
      </c>
      <c r="E7" s="129">
        <f>'SM FA Continuity'!D7</f>
        <v>0</v>
      </c>
      <c r="F7" s="127">
        <v>0</v>
      </c>
      <c r="G7" s="127">
        <f>+E7*C7/2</f>
        <v>0</v>
      </c>
      <c r="H7" s="127">
        <f>+F7+G7</f>
        <v>0</v>
      </c>
      <c r="I7" s="125">
        <f>+E7-G7</f>
        <v>0</v>
      </c>
    </row>
    <row r="8" spans="1:9" ht="12.75">
      <c r="A8" s="79" t="s">
        <v>161</v>
      </c>
      <c r="B8" s="16" t="s">
        <v>190</v>
      </c>
      <c r="C8" s="128">
        <v>0.08</v>
      </c>
      <c r="D8" s="79">
        <v>0</v>
      </c>
      <c r="E8" s="129">
        <f>'SM FA Continuity'!D8</f>
        <v>7528822.31</v>
      </c>
      <c r="F8" s="127">
        <v>0</v>
      </c>
      <c r="G8" s="127">
        <f>+E8*C8/2</f>
        <v>301152.8924</v>
      </c>
      <c r="H8" s="127">
        <f>+F8+G8</f>
        <v>301152.8924</v>
      </c>
      <c r="I8" s="125">
        <f>+E8-G8</f>
        <v>7227669.417599999</v>
      </c>
    </row>
    <row r="9" spans="1:9" ht="12.75">
      <c r="A9" s="79" t="s">
        <v>162</v>
      </c>
      <c r="B9" s="16" t="s">
        <v>191</v>
      </c>
      <c r="C9" s="128">
        <v>0.55</v>
      </c>
      <c r="D9" s="79">
        <v>0</v>
      </c>
      <c r="E9" s="129">
        <f>'SM FA Continuity'!D9</f>
        <v>113867.66</v>
      </c>
      <c r="F9" s="127">
        <v>0</v>
      </c>
      <c r="G9" s="127">
        <f>+E9*C9/2</f>
        <v>31313.6065</v>
      </c>
      <c r="H9" s="127">
        <f>+F9+G9</f>
        <v>31313.6065</v>
      </c>
      <c r="I9" s="125">
        <f>+E9-G9</f>
        <v>82554.05350000001</v>
      </c>
    </row>
    <row r="10" spans="1:9" ht="12.75">
      <c r="A10" s="79" t="s">
        <v>163</v>
      </c>
      <c r="B10" s="16" t="s">
        <v>192</v>
      </c>
      <c r="C10" s="128">
        <v>1</v>
      </c>
      <c r="D10" s="79">
        <v>0</v>
      </c>
      <c r="E10" s="129">
        <f>'SM FA Continuity'!D10</f>
        <v>36353.62</v>
      </c>
      <c r="F10" s="127">
        <v>0</v>
      </c>
      <c r="G10" s="127">
        <f>+E10*C10/2</f>
        <v>18176.81</v>
      </c>
      <c r="H10" s="127">
        <f>+F10+G10</f>
        <v>18176.81</v>
      </c>
      <c r="I10" s="125">
        <f>+E10-G10</f>
        <v>18176.81</v>
      </c>
    </row>
    <row r="11" spans="1:9" ht="12.75">
      <c r="A11" s="79" t="s">
        <v>164</v>
      </c>
      <c r="B11" s="16" t="s">
        <v>193</v>
      </c>
      <c r="C11" s="128">
        <v>0.2</v>
      </c>
      <c r="D11" s="79">
        <v>0</v>
      </c>
      <c r="E11" s="129">
        <f>'SM FA Continuity'!D11</f>
        <v>905.31</v>
      </c>
      <c r="F11" s="127">
        <v>0</v>
      </c>
      <c r="G11" s="127">
        <f>+E11*C11/2</f>
        <v>90.531</v>
      </c>
      <c r="H11" s="127">
        <f>+F11+G11</f>
        <v>90.531</v>
      </c>
      <c r="I11" s="125">
        <f>+E11-G11</f>
        <v>814.779</v>
      </c>
    </row>
    <row r="12" spans="4:9" ht="13.5" thickBot="1">
      <c r="D12" s="130">
        <f aca="true" t="shared" si="0" ref="D12:I12">SUM(D7:D11)</f>
        <v>0</v>
      </c>
      <c r="E12" s="131">
        <f t="shared" si="0"/>
        <v>7679948.899999999</v>
      </c>
      <c r="F12" s="131">
        <f t="shared" si="0"/>
        <v>0</v>
      </c>
      <c r="G12" s="131">
        <f t="shared" si="0"/>
        <v>350733.8399</v>
      </c>
      <c r="H12" s="131">
        <f t="shared" si="0"/>
        <v>350733.8399</v>
      </c>
      <c r="I12" s="131">
        <f t="shared" si="0"/>
        <v>7329215.060099999</v>
      </c>
    </row>
    <row r="13" ht="13.5" thickTop="1"/>
    <row r="14" spans="2:9" ht="25.5">
      <c r="B14" s="16" t="s">
        <v>182</v>
      </c>
      <c r="C14" s="16" t="s">
        <v>183</v>
      </c>
      <c r="D14" s="16" t="s">
        <v>184</v>
      </c>
      <c r="E14" s="97" t="s">
        <v>194</v>
      </c>
      <c r="F14" s="100" t="s">
        <v>186</v>
      </c>
      <c r="G14" s="100" t="s">
        <v>195</v>
      </c>
      <c r="H14" s="16" t="s">
        <v>196</v>
      </c>
      <c r="I14" s="16" t="s">
        <v>189</v>
      </c>
    </row>
    <row r="15" spans="1:9" ht="12.75">
      <c r="A15" s="79" t="s">
        <v>93</v>
      </c>
      <c r="B15" s="16" t="s">
        <v>190</v>
      </c>
      <c r="C15" s="128">
        <v>0.08</v>
      </c>
      <c r="D15" s="125">
        <f>+I7</f>
        <v>0</v>
      </c>
      <c r="E15" s="127">
        <f>'SM FA Continuity'!D15</f>
        <v>0</v>
      </c>
      <c r="F15" s="127">
        <f>+D15*C15</f>
        <v>0</v>
      </c>
      <c r="G15" s="127">
        <f>+E15*C15/2</f>
        <v>0</v>
      </c>
      <c r="H15" s="127">
        <f>+F15+G15</f>
        <v>0</v>
      </c>
      <c r="I15" s="125">
        <f>+D15+E15-H15</f>
        <v>0</v>
      </c>
    </row>
    <row r="16" spans="1:9" ht="12.75">
      <c r="A16" s="79" t="s">
        <v>161</v>
      </c>
      <c r="B16" s="16" t="s">
        <v>190</v>
      </c>
      <c r="C16" s="128">
        <v>0.08</v>
      </c>
      <c r="D16" s="125">
        <f>+I8</f>
        <v>7227669.417599999</v>
      </c>
      <c r="E16" s="127">
        <f>'SM FA Continuity'!D16</f>
        <v>10419279.83</v>
      </c>
      <c r="F16" s="127">
        <f>+D16*C16</f>
        <v>578213.5534079999</v>
      </c>
      <c r="G16" s="127">
        <f>+E16*C16/2</f>
        <v>416771.19320000004</v>
      </c>
      <c r="H16" s="127">
        <f>+F16+G16</f>
        <v>994984.746608</v>
      </c>
      <c r="I16" s="125">
        <f>+D16+E16-H16</f>
        <v>16651964.500992</v>
      </c>
    </row>
    <row r="17" spans="1:9" ht="12.75">
      <c r="A17" s="79" t="s">
        <v>162</v>
      </c>
      <c r="B17" s="16" t="s">
        <v>191</v>
      </c>
      <c r="C17" s="128">
        <v>0.55</v>
      </c>
      <c r="D17" s="125">
        <f>+I9</f>
        <v>82554.05350000001</v>
      </c>
      <c r="E17" s="127">
        <f>'SM FA Continuity'!D17</f>
        <v>69496.09</v>
      </c>
      <c r="F17" s="127">
        <f>+D17*C17</f>
        <v>45404.72942500001</v>
      </c>
      <c r="G17" s="127">
        <f>+E17*C17/2</f>
        <v>19111.424750000002</v>
      </c>
      <c r="H17" s="127">
        <f>+F17+G17</f>
        <v>64516.15417500002</v>
      </c>
      <c r="I17" s="125">
        <f>+D17+E17-H17</f>
        <v>87533.98932499999</v>
      </c>
    </row>
    <row r="18" spans="1:9" ht="12.75">
      <c r="A18" s="79" t="s">
        <v>163</v>
      </c>
      <c r="B18" s="16" t="s">
        <v>192</v>
      </c>
      <c r="C18" s="128">
        <v>1</v>
      </c>
      <c r="D18" s="125">
        <f>+I10</f>
        <v>18176.81</v>
      </c>
      <c r="E18" s="127">
        <f>'SM FA Continuity'!D18</f>
        <v>50929.85</v>
      </c>
      <c r="F18" s="127">
        <f>+D18*C18</f>
        <v>18176.81</v>
      </c>
      <c r="G18" s="127">
        <f>+E18*C18/2</f>
        <v>25464.925</v>
      </c>
      <c r="H18" s="127">
        <f>+F18+G18</f>
        <v>43641.735</v>
      </c>
      <c r="I18" s="125">
        <f>+D18+E18-H18</f>
        <v>25464.925000000003</v>
      </c>
    </row>
    <row r="19" spans="1:9" ht="12.75">
      <c r="A19" s="79" t="s">
        <v>164</v>
      </c>
      <c r="B19" s="16" t="s">
        <v>193</v>
      </c>
      <c r="C19" s="128">
        <v>0.2</v>
      </c>
      <c r="D19" s="125">
        <f>+I11</f>
        <v>814.779</v>
      </c>
      <c r="E19" s="127">
        <f>'SM FA Continuity'!D19</f>
        <v>7954.34</v>
      </c>
      <c r="F19" s="127">
        <f>+D19*C19</f>
        <v>162.9558</v>
      </c>
      <c r="G19" s="127">
        <f>+E19*C19/2</f>
        <v>795.4340000000001</v>
      </c>
      <c r="H19" s="127">
        <f>+F19+G19</f>
        <v>958.3898000000002</v>
      </c>
      <c r="I19" s="125">
        <f>+D19+E19-H19</f>
        <v>7810.729200000001</v>
      </c>
    </row>
    <row r="20" spans="4:9" ht="13.5" thickBot="1">
      <c r="D20" s="131">
        <f aca="true" t="shared" si="1" ref="D20:I20">SUM(D15:D19)</f>
        <v>7329215.060099999</v>
      </c>
      <c r="E20" s="131">
        <f t="shared" si="1"/>
        <v>10547660.11</v>
      </c>
      <c r="F20" s="131">
        <f t="shared" si="1"/>
        <v>641958.048633</v>
      </c>
      <c r="G20" s="131">
        <f t="shared" si="1"/>
        <v>462142.97695000004</v>
      </c>
      <c r="H20" s="131">
        <f t="shared" si="1"/>
        <v>1104101.0255830002</v>
      </c>
      <c r="I20" s="131">
        <f t="shared" si="1"/>
        <v>16772774.144517</v>
      </c>
    </row>
    <row r="21" ht="13.5" thickTop="1"/>
    <row r="22" spans="2:9" ht="25.5">
      <c r="B22" s="16" t="s">
        <v>182</v>
      </c>
      <c r="C22" s="16" t="s">
        <v>183</v>
      </c>
      <c r="D22" s="16" t="s">
        <v>184</v>
      </c>
      <c r="E22" s="132" t="s">
        <v>197</v>
      </c>
      <c r="F22" s="100" t="s">
        <v>186</v>
      </c>
      <c r="G22" s="100" t="s">
        <v>198</v>
      </c>
      <c r="H22" s="16" t="s">
        <v>199</v>
      </c>
      <c r="I22" s="16" t="s">
        <v>189</v>
      </c>
    </row>
    <row r="23" spans="1:9" ht="12.75">
      <c r="A23" s="79" t="s">
        <v>93</v>
      </c>
      <c r="B23" s="16" t="s">
        <v>190</v>
      </c>
      <c r="C23" s="128">
        <v>0.08</v>
      </c>
      <c r="D23" s="125">
        <v>0</v>
      </c>
      <c r="E23" s="127">
        <f>'SM FA Continuity'!D23</f>
        <v>0</v>
      </c>
      <c r="F23" s="127">
        <f>+D23*C23</f>
        <v>0</v>
      </c>
      <c r="G23" s="127">
        <f>+E23*C23/2</f>
        <v>0</v>
      </c>
      <c r="H23" s="127">
        <f>+F23+G23</f>
        <v>0</v>
      </c>
      <c r="I23" s="125">
        <f>+D23+E23-H23</f>
        <v>0</v>
      </c>
    </row>
    <row r="24" spans="1:9" ht="12.75">
      <c r="A24" s="79" t="s">
        <v>94</v>
      </c>
      <c r="B24" s="16" t="s">
        <v>193</v>
      </c>
      <c r="C24" s="128">
        <v>0.2</v>
      </c>
      <c r="D24" s="125">
        <v>0</v>
      </c>
      <c r="E24" s="137">
        <f>'SM FA Continuity'!D24</f>
        <v>45968</v>
      </c>
      <c r="F24" s="127">
        <f aca="true" t="shared" si="2" ref="F24:F29">+D24*C24</f>
        <v>0</v>
      </c>
      <c r="G24" s="127">
        <f aca="true" t="shared" si="3" ref="G24:G29">+E24*C24/2</f>
        <v>4596.8</v>
      </c>
      <c r="H24" s="127">
        <f aca="true" t="shared" si="4" ref="H24:H29">+F24+G24</f>
        <v>4596.8</v>
      </c>
      <c r="I24" s="125">
        <f aca="true" t="shared" si="5" ref="I24:I29">+D24+E24-H24</f>
        <v>41371.2</v>
      </c>
    </row>
    <row r="25" spans="1:9" ht="12.75">
      <c r="A25" s="79" t="s">
        <v>95</v>
      </c>
      <c r="B25" s="16" t="s">
        <v>200</v>
      </c>
      <c r="C25" s="128">
        <v>0.1</v>
      </c>
      <c r="D25" s="125">
        <v>0</v>
      </c>
      <c r="E25" s="127">
        <f>'SM FA Continuity'!D25</f>
        <v>0</v>
      </c>
      <c r="F25" s="127">
        <f t="shared" si="2"/>
        <v>0</v>
      </c>
      <c r="G25" s="127">
        <f t="shared" si="3"/>
        <v>0</v>
      </c>
      <c r="H25" s="127">
        <f t="shared" si="4"/>
        <v>0</v>
      </c>
      <c r="I25" s="125">
        <f t="shared" si="5"/>
        <v>0</v>
      </c>
    </row>
    <row r="26" spans="1:9" ht="12.75">
      <c r="A26" s="79" t="s">
        <v>161</v>
      </c>
      <c r="B26" s="16" t="s">
        <v>190</v>
      </c>
      <c r="C26" s="128">
        <v>0.08</v>
      </c>
      <c r="D26" s="125">
        <f>+I16</f>
        <v>16651964.500992</v>
      </c>
      <c r="E26" s="127">
        <f>'SM FA Continuity'!D26</f>
        <v>6043663.329999999</v>
      </c>
      <c r="F26" s="127">
        <f t="shared" si="2"/>
        <v>1332157.16007936</v>
      </c>
      <c r="G26" s="127">
        <f t="shared" si="3"/>
        <v>241746.53319999998</v>
      </c>
      <c r="H26" s="127">
        <f t="shared" si="4"/>
        <v>1573903.69327936</v>
      </c>
      <c r="I26" s="125">
        <f t="shared" si="5"/>
        <v>21121724.13771264</v>
      </c>
    </row>
    <row r="27" spans="1:9" ht="12.75">
      <c r="A27" s="79" t="s">
        <v>162</v>
      </c>
      <c r="B27" s="16" t="s">
        <v>191</v>
      </c>
      <c r="C27" s="128">
        <v>0.55</v>
      </c>
      <c r="D27" s="125">
        <f>+I17</f>
        <v>87533.98932499999</v>
      </c>
      <c r="E27" s="137">
        <f>'SM FA Continuity'!D27</f>
        <v>350322</v>
      </c>
      <c r="F27" s="127">
        <f t="shared" si="2"/>
        <v>48143.694128749994</v>
      </c>
      <c r="G27" s="127">
        <f t="shared" si="3"/>
        <v>96338.55</v>
      </c>
      <c r="H27" s="127">
        <f t="shared" si="4"/>
        <v>144482.24412875</v>
      </c>
      <c r="I27" s="125">
        <f t="shared" si="5"/>
        <v>293373.74519625</v>
      </c>
    </row>
    <row r="28" spans="1:9" ht="12.75">
      <c r="A28" s="79" t="s">
        <v>163</v>
      </c>
      <c r="B28" s="16" t="s">
        <v>192</v>
      </c>
      <c r="C28" s="128">
        <v>1</v>
      </c>
      <c r="D28" s="125">
        <f>+I18</f>
        <v>25464.925000000003</v>
      </c>
      <c r="E28" s="137">
        <f>'SM FA Continuity'!D28</f>
        <v>423184</v>
      </c>
      <c r="F28" s="127">
        <f t="shared" si="2"/>
        <v>25464.925000000003</v>
      </c>
      <c r="G28" s="127">
        <f t="shared" si="3"/>
        <v>211592</v>
      </c>
      <c r="H28" s="127">
        <f t="shared" si="4"/>
        <v>237056.925</v>
      </c>
      <c r="I28" s="125">
        <f t="shared" si="5"/>
        <v>211592</v>
      </c>
    </row>
    <row r="29" spans="1:9" ht="12.75">
      <c r="A29" s="79" t="s">
        <v>164</v>
      </c>
      <c r="B29" s="16" t="s">
        <v>193</v>
      </c>
      <c r="C29" s="128">
        <v>0.2</v>
      </c>
      <c r="D29" s="125">
        <f>+I19</f>
        <v>7810.729200000001</v>
      </c>
      <c r="E29" s="137">
        <f>'SM FA Continuity'!D29</f>
        <v>13691</v>
      </c>
      <c r="F29" s="127">
        <f t="shared" si="2"/>
        <v>1562.1458400000001</v>
      </c>
      <c r="G29" s="127">
        <f t="shared" si="3"/>
        <v>1369.1000000000001</v>
      </c>
      <c r="H29" s="127">
        <f t="shared" si="4"/>
        <v>2931.2458400000005</v>
      </c>
      <c r="I29" s="125">
        <f t="shared" si="5"/>
        <v>18570.483360000002</v>
      </c>
    </row>
    <row r="30" spans="4:9" ht="13.5" thickBot="1">
      <c r="D30" s="131">
        <f aca="true" t="shared" si="6" ref="D30:I30">SUM(D23:D29)</f>
        <v>16772774.144517</v>
      </c>
      <c r="E30" s="131">
        <f t="shared" si="6"/>
        <v>6876828.329999999</v>
      </c>
      <c r="F30" s="131">
        <f t="shared" si="6"/>
        <v>1407327.9250481098</v>
      </c>
      <c r="G30" s="131">
        <f t="shared" si="6"/>
        <v>555642.9832</v>
      </c>
      <c r="H30" s="131">
        <f t="shared" si="6"/>
        <v>1962970.90824811</v>
      </c>
      <c r="I30" s="131">
        <f t="shared" si="6"/>
        <v>21686631.566268887</v>
      </c>
    </row>
    <row r="31" spans="2:3" ht="13.5" thickTop="1">
      <c r="B31" s="133"/>
      <c r="C31" s="133"/>
    </row>
    <row r="32" spans="2:9" ht="25.5">
      <c r="B32" s="16" t="s">
        <v>182</v>
      </c>
      <c r="C32" s="16" t="s">
        <v>183</v>
      </c>
      <c r="D32" s="16" t="s">
        <v>184</v>
      </c>
      <c r="E32" s="97" t="s">
        <v>201</v>
      </c>
      <c r="F32" s="100" t="s">
        <v>186</v>
      </c>
      <c r="G32" s="100" t="s">
        <v>202</v>
      </c>
      <c r="H32" s="16" t="s">
        <v>203</v>
      </c>
      <c r="I32" s="16" t="s">
        <v>189</v>
      </c>
    </row>
    <row r="33" spans="1:9" ht="12.75">
      <c r="A33" s="79" t="s">
        <v>93</v>
      </c>
      <c r="B33" s="16" t="s">
        <v>190</v>
      </c>
      <c r="C33" s="128">
        <v>0.08</v>
      </c>
      <c r="D33" s="125">
        <f>+I23</f>
        <v>0</v>
      </c>
      <c r="E33" s="127">
        <f>'SM FA Continuity'!D33</f>
        <v>0</v>
      </c>
      <c r="F33" s="127">
        <f>+D33*C33</f>
        <v>0</v>
      </c>
      <c r="G33" s="127">
        <f aca="true" t="shared" si="7" ref="G33:G39">+E33*C33/2</f>
        <v>0</v>
      </c>
      <c r="H33" s="127">
        <f>+F33+G33</f>
        <v>0</v>
      </c>
      <c r="I33" s="125">
        <f>+D33+E33-H33</f>
        <v>0</v>
      </c>
    </row>
    <row r="34" spans="1:9" ht="12.75">
      <c r="A34" s="79" t="s">
        <v>94</v>
      </c>
      <c r="B34" s="16" t="s">
        <v>193</v>
      </c>
      <c r="C34" s="128">
        <v>0.2</v>
      </c>
      <c r="D34" s="125">
        <f aca="true" t="shared" si="8" ref="D34:D39">+I24</f>
        <v>41371.2</v>
      </c>
      <c r="E34" s="127">
        <f>'SM FA Continuity'!D34</f>
        <v>0</v>
      </c>
      <c r="F34" s="127">
        <f aca="true" t="shared" si="9" ref="F34:F39">+D34*C34</f>
        <v>8274.24</v>
      </c>
      <c r="G34" s="127">
        <f t="shared" si="7"/>
        <v>0</v>
      </c>
      <c r="H34" s="127">
        <f aca="true" t="shared" si="10" ref="H34:H39">+F34+G34</f>
        <v>8274.24</v>
      </c>
      <c r="I34" s="125">
        <f aca="true" t="shared" si="11" ref="I34:I39">+D34+E34-H34</f>
        <v>33096.96</v>
      </c>
    </row>
    <row r="35" spans="1:9" ht="12.75">
      <c r="A35" s="79" t="s">
        <v>95</v>
      </c>
      <c r="B35" s="16" t="s">
        <v>200</v>
      </c>
      <c r="C35" s="128">
        <v>0.1</v>
      </c>
      <c r="D35" s="125">
        <f t="shared" si="8"/>
        <v>0</v>
      </c>
      <c r="E35" s="127">
        <f>'SM FA Continuity'!D35</f>
        <v>0</v>
      </c>
      <c r="F35" s="127">
        <f t="shared" si="9"/>
        <v>0</v>
      </c>
      <c r="G35" s="127">
        <f t="shared" si="7"/>
        <v>0</v>
      </c>
      <c r="H35" s="127">
        <f t="shared" si="10"/>
        <v>0</v>
      </c>
      <c r="I35" s="125">
        <f t="shared" si="11"/>
        <v>0</v>
      </c>
    </row>
    <row r="36" spans="1:9" ht="12.75">
      <c r="A36" s="79" t="s">
        <v>161</v>
      </c>
      <c r="B36" s="16" t="s">
        <v>190</v>
      </c>
      <c r="C36" s="128">
        <v>0.08</v>
      </c>
      <c r="D36" s="125">
        <f t="shared" si="8"/>
        <v>21121724.13771264</v>
      </c>
      <c r="E36" s="127">
        <f>'SM FA Continuity'!D36</f>
        <v>701000</v>
      </c>
      <c r="F36" s="127">
        <f t="shared" si="9"/>
        <v>1689737.9310170112</v>
      </c>
      <c r="G36" s="127">
        <f t="shared" si="7"/>
        <v>28040</v>
      </c>
      <c r="H36" s="127">
        <f t="shared" si="10"/>
        <v>1717777.9310170112</v>
      </c>
      <c r="I36" s="125">
        <f t="shared" si="11"/>
        <v>20104946.206695627</v>
      </c>
    </row>
    <row r="37" spans="1:9" ht="12.75">
      <c r="A37" s="79" t="s">
        <v>162</v>
      </c>
      <c r="B37" s="16" t="s">
        <v>191</v>
      </c>
      <c r="C37" s="128">
        <v>0.55</v>
      </c>
      <c r="D37" s="125">
        <f t="shared" si="8"/>
        <v>293373.74519625</v>
      </c>
      <c r="E37" s="127">
        <f>'SM FA Continuity'!D37</f>
        <v>0</v>
      </c>
      <c r="F37" s="127">
        <f t="shared" si="9"/>
        <v>161355.5598579375</v>
      </c>
      <c r="G37" s="127">
        <f t="shared" si="7"/>
        <v>0</v>
      </c>
      <c r="H37" s="127">
        <f t="shared" si="10"/>
        <v>161355.5598579375</v>
      </c>
      <c r="I37" s="125">
        <f t="shared" si="11"/>
        <v>132018.18533831247</v>
      </c>
    </row>
    <row r="38" spans="1:9" ht="12.75">
      <c r="A38" s="79" t="s">
        <v>163</v>
      </c>
      <c r="B38" s="16" t="s">
        <v>192</v>
      </c>
      <c r="C38" s="128">
        <v>1</v>
      </c>
      <c r="D38" s="125">
        <f t="shared" si="8"/>
        <v>211592</v>
      </c>
      <c r="E38" s="127">
        <f>'SM FA Continuity'!D38</f>
        <v>0</v>
      </c>
      <c r="F38" s="127">
        <f t="shared" si="9"/>
        <v>211592</v>
      </c>
      <c r="G38" s="127">
        <f t="shared" si="7"/>
        <v>0</v>
      </c>
      <c r="H38" s="127">
        <f t="shared" si="10"/>
        <v>211592</v>
      </c>
      <c r="I38" s="125">
        <f t="shared" si="11"/>
        <v>0</v>
      </c>
    </row>
    <row r="39" spans="1:9" ht="12.75">
      <c r="A39" s="79" t="s">
        <v>164</v>
      </c>
      <c r="B39" s="16" t="s">
        <v>193</v>
      </c>
      <c r="C39" s="128">
        <v>0.2</v>
      </c>
      <c r="D39" s="125">
        <f t="shared" si="8"/>
        <v>18570.483360000002</v>
      </c>
      <c r="E39" s="127">
        <f>'SM FA Continuity'!D39</f>
        <v>0</v>
      </c>
      <c r="F39" s="127">
        <f t="shared" si="9"/>
        <v>3714.0966720000006</v>
      </c>
      <c r="G39" s="127">
        <f t="shared" si="7"/>
        <v>0</v>
      </c>
      <c r="H39" s="127">
        <f t="shared" si="10"/>
        <v>3714.0966720000006</v>
      </c>
      <c r="I39" s="125">
        <f t="shared" si="11"/>
        <v>14856.386688000002</v>
      </c>
    </row>
    <row r="40" spans="4:9" ht="13.5" thickBot="1">
      <c r="D40" s="131">
        <f aca="true" t="shared" si="12" ref="D40:I40">SUM(D33:D39)</f>
        <v>21686631.566268887</v>
      </c>
      <c r="E40" s="131">
        <f t="shared" si="12"/>
        <v>701000</v>
      </c>
      <c r="F40" s="131">
        <f t="shared" si="12"/>
        <v>2074673.8275469486</v>
      </c>
      <c r="G40" s="131">
        <f t="shared" si="12"/>
        <v>28040</v>
      </c>
      <c r="H40" s="131">
        <f t="shared" si="12"/>
        <v>2102713.8275469486</v>
      </c>
      <c r="I40" s="131">
        <f t="shared" si="12"/>
        <v>20284917.73872194</v>
      </c>
    </row>
    <row r="41" ht="13.5" thickTop="1"/>
    <row r="42" spans="2:9" ht="25.5">
      <c r="B42" s="16" t="s">
        <v>182</v>
      </c>
      <c r="C42" s="16" t="s">
        <v>183</v>
      </c>
      <c r="D42" s="16" t="s">
        <v>184</v>
      </c>
      <c r="E42" s="97" t="s">
        <v>204</v>
      </c>
      <c r="F42" s="100" t="s">
        <v>186</v>
      </c>
      <c r="G42" s="100" t="s">
        <v>205</v>
      </c>
      <c r="H42" s="16" t="s">
        <v>206</v>
      </c>
      <c r="I42" s="16" t="s">
        <v>189</v>
      </c>
    </row>
    <row r="43" spans="1:9" ht="12.75">
      <c r="A43" s="79" t="s">
        <v>93</v>
      </c>
      <c r="B43" s="16" t="s">
        <v>190</v>
      </c>
      <c r="C43" s="128">
        <v>0.08</v>
      </c>
      <c r="D43" s="125">
        <f>+I33</f>
        <v>0</v>
      </c>
      <c r="E43" s="127">
        <f>'SM FA Continuity'!D43</f>
        <v>0</v>
      </c>
      <c r="F43" s="127">
        <f>+D43*C43</f>
        <v>0</v>
      </c>
      <c r="G43" s="127">
        <f aca="true" t="shared" si="13" ref="G43:G49">+E43*C43/2</f>
        <v>0</v>
      </c>
      <c r="H43" s="127">
        <f>+F43+G43</f>
        <v>0</v>
      </c>
      <c r="I43" s="125">
        <f>+D43+E43-H43</f>
        <v>0</v>
      </c>
    </row>
    <row r="44" spans="1:9" ht="12.75">
      <c r="A44" s="79" t="s">
        <v>94</v>
      </c>
      <c r="B44" s="16" t="s">
        <v>193</v>
      </c>
      <c r="C44" s="128">
        <v>0.2</v>
      </c>
      <c r="D44" s="125">
        <f aca="true" t="shared" si="14" ref="D44:D49">+I34</f>
        <v>33096.96</v>
      </c>
      <c r="E44" s="127">
        <f>'SM FA Continuity'!D44</f>
        <v>0</v>
      </c>
      <c r="F44" s="127">
        <f aca="true" t="shared" si="15" ref="F44:F49">+D44*C44</f>
        <v>6619.392</v>
      </c>
      <c r="G44" s="127">
        <f t="shared" si="13"/>
        <v>0</v>
      </c>
      <c r="H44" s="127">
        <f aca="true" t="shared" si="16" ref="H44:H49">+F44+G44</f>
        <v>6619.392</v>
      </c>
      <c r="I44" s="125">
        <f aca="true" t="shared" si="17" ref="I44:I49">+D44+E44-H44</f>
        <v>26477.568</v>
      </c>
    </row>
    <row r="45" spans="1:9" ht="12.75">
      <c r="A45" s="79" t="s">
        <v>95</v>
      </c>
      <c r="B45" s="16" t="s">
        <v>200</v>
      </c>
      <c r="C45" s="128">
        <v>0.1</v>
      </c>
      <c r="D45" s="125">
        <f t="shared" si="14"/>
        <v>0</v>
      </c>
      <c r="E45" s="127">
        <f>'SM FA Continuity'!D45</f>
        <v>0</v>
      </c>
      <c r="F45" s="127">
        <f t="shared" si="15"/>
        <v>0</v>
      </c>
      <c r="G45" s="127">
        <f t="shared" si="13"/>
        <v>0</v>
      </c>
      <c r="H45" s="127">
        <f t="shared" si="16"/>
        <v>0</v>
      </c>
      <c r="I45" s="125">
        <f t="shared" si="17"/>
        <v>0</v>
      </c>
    </row>
    <row r="46" spans="1:9" ht="12.75">
      <c r="A46" s="79" t="s">
        <v>161</v>
      </c>
      <c r="B46" s="16" t="s">
        <v>190</v>
      </c>
      <c r="C46" s="128">
        <v>0.08</v>
      </c>
      <c r="D46" s="125">
        <f t="shared" si="14"/>
        <v>20104946.206695627</v>
      </c>
      <c r="E46" s="127">
        <f>'SM FA Continuity'!D46</f>
        <v>4186524.63</v>
      </c>
      <c r="F46" s="127">
        <f t="shared" si="15"/>
        <v>1608395.6965356502</v>
      </c>
      <c r="G46" s="127">
        <f t="shared" si="13"/>
        <v>167460.9852</v>
      </c>
      <c r="H46" s="127">
        <f t="shared" si="16"/>
        <v>1775856.6817356502</v>
      </c>
      <c r="I46" s="125">
        <f t="shared" si="17"/>
        <v>22515614.154959977</v>
      </c>
    </row>
    <row r="47" spans="1:9" ht="12.75">
      <c r="A47" s="79" t="s">
        <v>162</v>
      </c>
      <c r="B47" s="16" t="s">
        <v>191</v>
      </c>
      <c r="C47" s="128">
        <v>0.55</v>
      </c>
      <c r="D47" s="125">
        <f t="shared" si="14"/>
        <v>132018.18533831247</v>
      </c>
      <c r="E47" s="127">
        <f>'SM FA Continuity'!D47</f>
        <v>0</v>
      </c>
      <c r="F47" s="127">
        <f t="shared" si="15"/>
        <v>72610.00193607186</v>
      </c>
      <c r="G47" s="127">
        <f t="shared" si="13"/>
        <v>0</v>
      </c>
      <c r="H47" s="127">
        <f t="shared" si="16"/>
        <v>72610.00193607186</v>
      </c>
      <c r="I47" s="125">
        <f t="shared" si="17"/>
        <v>59408.18340224061</v>
      </c>
    </row>
    <row r="48" spans="1:9" ht="12.75">
      <c r="A48" s="79" t="s">
        <v>163</v>
      </c>
      <c r="B48" s="16" t="s">
        <v>192</v>
      </c>
      <c r="C48" s="128">
        <v>1</v>
      </c>
      <c r="D48" s="125">
        <f t="shared" si="14"/>
        <v>0</v>
      </c>
      <c r="E48" s="127">
        <f>'SM FA Continuity'!D48</f>
        <v>0</v>
      </c>
      <c r="F48" s="127">
        <f t="shared" si="15"/>
        <v>0</v>
      </c>
      <c r="G48" s="127">
        <f t="shared" si="13"/>
        <v>0</v>
      </c>
      <c r="H48" s="127">
        <f t="shared" si="16"/>
        <v>0</v>
      </c>
      <c r="I48" s="125">
        <f t="shared" si="17"/>
        <v>0</v>
      </c>
    </row>
    <row r="49" spans="1:9" ht="12.75">
      <c r="A49" s="79" t="s">
        <v>164</v>
      </c>
      <c r="B49" s="16" t="s">
        <v>193</v>
      </c>
      <c r="C49" s="128">
        <v>0.2</v>
      </c>
      <c r="D49" s="125">
        <f t="shared" si="14"/>
        <v>14856.386688000002</v>
      </c>
      <c r="E49" s="127">
        <f>'SM FA Continuity'!D49</f>
        <v>0</v>
      </c>
      <c r="F49" s="127">
        <f t="shared" si="15"/>
        <v>2971.2773376000005</v>
      </c>
      <c r="G49" s="127">
        <f t="shared" si="13"/>
        <v>0</v>
      </c>
      <c r="H49" s="127">
        <f t="shared" si="16"/>
        <v>2971.2773376000005</v>
      </c>
      <c r="I49" s="125">
        <f t="shared" si="17"/>
        <v>11885.109350400002</v>
      </c>
    </row>
    <row r="50" spans="4:9" ht="13.5" thickBot="1">
      <c r="D50" s="131">
        <f aca="true" t="shared" si="18" ref="D50:I50">SUM(D43:D49)</f>
        <v>20284917.73872194</v>
      </c>
      <c r="E50" s="131">
        <f t="shared" si="18"/>
        <v>4186524.63</v>
      </c>
      <c r="F50" s="131">
        <f t="shared" si="18"/>
        <v>1690596.367809322</v>
      </c>
      <c r="G50" s="131">
        <f t="shared" si="18"/>
        <v>167460.9852</v>
      </c>
      <c r="H50" s="131">
        <f t="shared" si="18"/>
        <v>1858057.353009322</v>
      </c>
      <c r="I50" s="131">
        <f t="shared" si="18"/>
        <v>22613385.015712615</v>
      </c>
    </row>
    <row r="51" ht="13.5" thickTop="1"/>
  </sheetData>
  <sheetProtection/>
  <printOptions/>
  <pageMargins left="0.75" right="0.5" top="1" bottom="1" header="0.5" footer="0.5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19.421875" style="0" customWidth="1"/>
    <col min="3" max="3" width="24.421875" style="0" customWidth="1"/>
    <col min="4" max="4" width="28.7109375" style="26" customWidth="1"/>
    <col min="5" max="5" width="12.28125" style="27" customWidth="1"/>
    <col min="6" max="6" width="9.57421875" style="0" customWidth="1"/>
    <col min="7" max="7" width="9.7109375" style="0" bestFit="1" customWidth="1"/>
    <col min="8" max="8" width="11.28125" style="0" bestFit="1" customWidth="1"/>
  </cols>
  <sheetData>
    <row r="1" spans="1:5" ht="18.75">
      <c r="A1" s="142" t="s">
        <v>0</v>
      </c>
      <c r="B1" s="142"/>
      <c r="C1" s="142"/>
      <c r="D1" s="142"/>
      <c r="E1" s="142"/>
    </row>
    <row r="2" spans="1:5" ht="5.25" customHeight="1">
      <c r="A2" s="1"/>
      <c r="B2" s="1"/>
      <c r="C2" s="1"/>
      <c r="D2" s="1"/>
      <c r="E2" s="1"/>
    </row>
    <row r="3" spans="1:5" ht="18.75">
      <c r="A3" s="142" t="s">
        <v>1</v>
      </c>
      <c r="B3" s="142"/>
      <c r="C3" s="142"/>
      <c r="D3" s="142"/>
      <c r="E3" s="142"/>
    </row>
    <row r="4" spans="1:5" ht="4.5" customHeight="1">
      <c r="A4" s="1"/>
      <c r="B4" s="1"/>
      <c r="C4" s="1"/>
      <c r="D4" s="1"/>
      <c r="E4" s="1"/>
    </row>
    <row r="5" spans="1:5" s="2" customFormat="1" ht="12.75">
      <c r="A5" s="2" t="s">
        <v>2</v>
      </c>
      <c r="B5" s="2" t="s">
        <v>3</v>
      </c>
      <c r="C5" s="2" t="s">
        <v>4</v>
      </c>
      <c r="D5" s="2" t="s">
        <v>5</v>
      </c>
      <c r="E5" s="3"/>
    </row>
    <row r="6" spans="1:8" ht="12.75">
      <c r="A6">
        <v>2006</v>
      </c>
      <c r="B6" s="4">
        <f>+'Program YTD'!B6</f>
        <v>0</v>
      </c>
      <c r="C6" s="4">
        <f>+'Program YTD'!B20</f>
        <v>99285.03</v>
      </c>
      <c r="D6" s="5">
        <f>SUM(B6:C6)</f>
        <v>99285.03</v>
      </c>
      <c r="E6" s="6" t="s">
        <v>6</v>
      </c>
      <c r="F6" s="4"/>
      <c r="G6" s="4"/>
      <c r="H6" s="4"/>
    </row>
    <row r="7" spans="1:8" ht="12.75">
      <c r="A7">
        <v>2007</v>
      </c>
      <c r="B7" s="4">
        <f>+'Program YTD'!B7</f>
        <v>7679948.899999999</v>
      </c>
      <c r="C7" s="4">
        <f>+'Program YTD'!B21</f>
        <v>814248.34</v>
      </c>
      <c r="D7" s="5">
        <f>SUM(B7:C7)+D6</f>
        <v>8593482.27</v>
      </c>
      <c r="E7" s="6" t="s">
        <v>6</v>
      </c>
      <c r="F7" s="4"/>
      <c r="G7" s="4"/>
      <c r="H7" s="4"/>
    </row>
    <row r="8" spans="1:8" ht="12.75">
      <c r="A8">
        <v>2008</v>
      </c>
      <c r="B8" s="4">
        <f>+'Program YTD'!B8</f>
        <v>10547660.11</v>
      </c>
      <c r="C8" s="4">
        <f>+'Program YTD'!B22</f>
        <v>689858.98</v>
      </c>
      <c r="D8" s="5">
        <f>SUM(B8:C8)+D7</f>
        <v>19831001.36</v>
      </c>
      <c r="E8" s="6" t="s">
        <v>6</v>
      </c>
      <c r="F8" s="4"/>
      <c r="G8" s="4"/>
      <c r="H8" s="4"/>
    </row>
    <row r="9" spans="1:8" ht="12.75">
      <c r="A9">
        <v>2009</v>
      </c>
      <c r="B9" s="4">
        <f>+'Program YTD'!B9</f>
        <v>6043663.329999999</v>
      </c>
      <c r="C9" s="4">
        <f>+'Program YTD'!B23</f>
        <v>1219599</v>
      </c>
      <c r="D9" s="5">
        <f>SUM(B9:C9)+D8</f>
        <v>27094263.689999998</v>
      </c>
      <c r="E9" s="6" t="s">
        <v>6</v>
      </c>
      <c r="F9" s="4"/>
      <c r="G9" s="4"/>
      <c r="H9" s="4"/>
    </row>
    <row r="10" spans="1:8" ht="12.75">
      <c r="A10">
        <v>2010</v>
      </c>
      <c r="B10" s="4">
        <f>+'Program YTD'!B10</f>
        <v>701000</v>
      </c>
      <c r="C10" s="4">
        <f>+'Program YTD'!B24</f>
        <v>1551637</v>
      </c>
      <c r="D10" s="5">
        <f>SUM(B10:C10)+D9</f>
        <v>29346900.689999998</v>
      </c>
      <c r="E10" s="6" t="s">
        <v>7</v>
      </c>
      <c r="F10" s="4"/>
      <c r="G10" s="4"/>
      <c r="H10" s="4"/>
    </row>
    <row r="11" spans="1:8" ht="12.75">
      <c r="A11">
        <v>2011</v>
      </c>
      <c r="B11" s="4">
        <f>+'Program YTD'!B11+'Program YTD'!I12+'Program YTD'!J11</f>
        <v>4186524.63</v>
      </c>
      <c r="C11" s="4">
        <f>+'Program YTD'!B25</f>
        <v>1680309</v>
      </c>
      <c r="D11" s="5">
        <f>SUM(B11:C11)+D10</f>
        <v>35213734.32</v>
      </c>
      <c r="E11" s="6" t="s">
        <v>7</v>
      </c>
      <c r="F11" s="4"/>
      <c r="G11" s="4"/>
      <c r="H11" s="4"/>
    </row>
    <row r="12" spans="2:8" ht="13.5" thickBot="1">
      <c r="B12" s="4">
        <v>0</v>
      </c>
      <c r="C12" s="4"/>
      <c r="D12" s="5"/>
      <c r="E12" s="6"/>
      <c r="F12" s="4"/>
      <c r="G12" s="4"/>
      <c r="H12" s="4"/>
    </row>
    <row r="13" spans="2:8" ht="13.5" thickBot="1">
      <c r="B13" s="7">
        <f>SUM(B6:B12)</f>
        <v>29158796.969999995</v>
      </c>
      <c r="C13" s="7">
        <f>SUM(C6:C12)</f>
        <v>6054937.35</v>
      </c>
      <c r="D13" s="8"/>
      <c r="E13" s="6"/>
      <c r="F13" s="4"/>
      <c r="G13" s="4"/>
      <c r="H13" s="4"/>
    </row>
    <row r="14" spans="2:8" ht="13.5" thickBot="1">
      <c r="B14" s="4"/>
      <c r="C14" s="9">
        <f>SUM(B13:C13)</f>
        <v>35213734.31999999</v>
      </c>
      <c r="D14" s="5"/>
      <c r="E14" s="6"/>
      <c r="F14" s="4"/>
      <c r="G14" s="4"/>
      <c r="H14" s="4"/>
    </row>
    <row r="15" spans="2:8" ht="12.75">
      <c r="B15" s="4"/>
      <c r="C15" s="4"/>
      <c r="D15" s="5"/>
      <c r="E15" s="6"/>
      <c r="F15" s="4"/>
      <c r="G15" s="4"/>
      <c r="H15" s="10"/>
    </row>
    <row r="16" spans="2:8" ht="12.75">
      <c r="B16" s="104">
        <v>2010</v>
      </c>
      <c r="C16" s="4"/>
      <c r="D16" s="5"/>
      <c r="E16" s="6"/>
      <c r="F16" s="4"/>
      <c r="G16" s="4"/>
      <c r="H16" s="4"/>
    </row>
    <row r="17" spans="2:8" ht="12.75">
      <c r="B17" s="32">
        <f>701000</f>
        <v>701000</v>
      </c>
      <c r="C17" s="4" t="s">
        <v>214</v>
      </c>
      <c r="D17" s="5"/>
      <c r="E17" s="6"/>
      <c r="F17" s="4"/>
      <c r="G17" s="4"/>
      <c r="H17" s="4"/>
    </row>
    <row r="18" spans="2:8" ht="13.5" thickBot="1">
      <c r="B18" s="4"/>
      <c r="C18" s="4"/>
      <c r="D18" s="5"/>
      <c r="E18" s="6"/>
      <c r="F18" s="4"/>
      <c r="G18" s="4"/>
      <c r="H18" s="4"/>
    </row>
    <row r="19" spans="2:8" ht="13.5" thickBot="1">
      <c r="B19" s="9">
        <f>SUM(B17:B18)</f>
        <v>701000</v>
      </c>
      <c r="C19" s="4"/>
      <c r="D19" s="5"/>
      <c r="E19" s="6"/>
      <c r="F19" s="4"/>
      <c r="G19" s="4"/>
      <c r="H19" s="4"/>
    </row>
    <row r="20" spans="2:8" ht="12.75">
      <c r="B20" s="4"/>
      <c r="C20" s="4"/>
      <c r="D20" s="5"/>
      <c r="E20" s="6"/>
      <c r="F20" s="4"/>
      <c r="G20" s="4"/>
      <c r="H20" s="4"/>
    </row>
    <row r="21" spans="2:8" ht="12.75">
      <c r="B21" s="104">
        <v>2011</v>
      </c>
      <c r="C21" s="4"/>
      <c r="D21" s="5"/>
      <c r="E21" s="6"/>
      <c r="F21" s="4"/>
      <c r="G21" s="4"/>
      <c r="H21" s="4"/>
    </row>
    <row r="22" spans="2:8" ht="12.75">
      <c r="B22" s="32">
        <f>5085*450</f>
        <v>2288250</v>
      </c>
      <c r="C22" s="4" t="s">
        <v>23</v>
      </c>
      <c r="D22" s="5"/>
      <c r="E22" s="6"/>
      <c r="F22" s="4"/>
      <c r="G22" s="4"/>
      <c r="H22" s="4"/>
    </row>
    <row r="23" spans="2:8" ht="12.75">
      <c r="B23" s="32">
        <f>1578274.63</f>
        <v>1578274.63</v>
      </c>
      <c r="C23" s="4" t="s">
        <v>215</v>
      </c>
      <c r="D23" s="5"/>
      <c r="E23" s="6"/>
      <c r="F23" s="4"/>
      <c r="G23" s="4"/>
      <c r="H23" s="4"/>
    </row>
    <row r="24" spans="2:8" ht="12.75">
      <c r="B24" s="32">
        <v>320000</v>
      </c>
      <c r="C24" s="102" t="s">
        <v>213</v>
      </c>
      <c r="D24" s="103"/>
      <c r="E24" s="6"/>
      <c r="F24" s="4"/>
      <c r="G24" s="4"/>
      <c r="H24" s="4"/>
    </row>
    <row r="25" spans="2:8" ht="13.5" thickBot="1">
      <c r="B25" s="4"/>
      <c r="C25" s="4"/>
      <c r="D25" s="5"/>
      <c r="E25" s="6"/>
      <c r="F25" s="4"/>
      <c r="G25" s="4"/>
      <c r="H25" s="4"/>
    </row>
    <row r="26" spans="2:3" ht="13.5" thickBot="1">
      <c r="B26" s="9">
        <f>SUM(B22:B25)</f>
        <v>4186524.63</v>
      </c>
      <c r="C26" s="5"/>
    </row>
  </sheetData>
  <sheetProtection/>
  <mergeCells count="2">
    <mergeCell ref="A1:E1"/>
    <mergeCell ref="A3:E3"/>
  </mergeCells>
  <printOptions/>
  <pageMargins left="0.75" right="0.75" top="1" bottom="1" header="0.5" footer="0.5"/>
  <pageSetup fitToHeight="1" fitToWidth="1" horizontalDpi="525" verticalDpi="525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4">
      <selection activeCell="B30" sqref="B30"/>
    </sheetView>
  </sheetViews>
  <sheetFormatPr defaultColWidth="9.140625" defaultRowHeight="12.75"/>
  <cols>
    <col min="2" max="2" width="19.421875" style="0" customWidth="1"/>
    <col min="3" max="3" width="19.28125" style="0" customWidth="1"/>
    <col min="4" max="4" width="15.57421875" style="26" customWidth="1"/>
    <col min="5" max="5" width="12.28125" style="27" customWidth="1"/>
    <col min="6" max="6" width="9.57421875" style="0" customWidth="1"/>
    <col min="7" max="7" width="9.7109375" style="0" bestFit="1" customWidth="1"/>
    <col min="8" max="8" width="11.28125" style="0" bestFit="1" customWidth="1"/>
  </cols>
  <sheetData>
    <row r="1" spans="1:5" ht="18.75">
      <c r="A1" s="142" t="s">
        <v>0</v>
      </c>
      <c r="B1" s="142"/>
      <c r="C1" s="142"/>
      <c r="D1" s="142"/>
      <c r="E1" s="142"/>
    </row>
    <row r="2" spans="1:5" ht="5.25" customHeight="1">
      <c r="A2" s="1"/>
      <c r="B2" s="1"/>
      <c r="C2" s="1"/>
      <c r="D2" s="1"/>
      <c r="E2" s="1"/>
    </row>
    <row r="3" spans="1:5" ht="18.75">
      <c r="A3" s="142" t="s">
        <v>1</v>
      </c>
      <c r="B3" s="142"/>
      <c r="C3" s="142"/>
      <c r="D3" s="142"/>
      <c r="E3" s="142"/>
    </row>
    <row r="4" spans="1:5" ht="4.5" customHeight="1">
      <c r="A4" s="1"/>
      <c r="B4" s="1"/>
      <c r="C4" s="1"/>
      <c r="D4" s="1"/>
      <c r="E4" s="1"/>
    </row>
    <row r="5" spans="1:5" s="2" customFormat="1" ht="12.75">
      <c r="A5" s="2" t="s">
        <v>2</v>
      </c>
      <c r="B5" s="2" t="s">
        <v>3</v>
      </c>
      <c r="C5" s="2" t="s">
        <v>4</v>
      </c>
      <c r="D5" s="2" t="s">
        <v>5</v>
      </c>
      <c r="E5" s="3"/>
    </row>
    <row r="6" spans="1:8" ht="12.75">
      <c r="A6">
        <v>2006</v>
      </c>
      <c r="B6" s="4">
        <f>+'Program YTD'!L6</f>
        <v>0</v>
      </c>
      <c r="C6" s="4">
        <f>+'Program YTD'!L20</f>
        <v>111779.82</v>
      </c>
      <c r="D6" s="5">
        <f>SUM(B6:C6)</f>
        <v>111779.82</v>
      </c>
      <c r="E6" s="6" t="s">
        <v>6</v>
      </c>
      <c r="F6" s="4"/>
      <c r="G6" s="4"/>
      <c r="H6" s="4"/>
    </row>
    <row r="7" spans="1:8" ht="12.75">
      <c r="A7">
        <v>2007</v>
      </c>
      <c r="B7" s="4">
        <f>+'Program YTD'!L7</f>
        <v>7679948.899999999</v>
      </c>
      <c r="C7" s="4">
        <f>+'Program YTD'!L21</f>
        <v>732728.24</v>
      </c>
      <c r="D7" s="5">
        <f aca="true" t="shared" si="0" ref="D7:D12">SUM(B7:C7)+D6</f>
        <v>8524456.959999999</v>
      </c>
      <c r="E7" s="6" t="s">
        <v>6</v>
      </c>
      <c r="F7" s="4"/>
      <c r="G7" s="4"/>
      <c r="H7" s="4"/>
    </row>
    <row r="8" spans="1:8" ht="12.75">
      <c r="A8">
        <v>2008</v>
      </c>
      <c r="B8" s="4">
        <f>+'Program YTD'!L8</f>
        <v>10547660.11</v>
      </c>
      <c r="C8" s="4">
        <f>+'Program YTD'!L22</f>
        <v>692893.355</v>
      </c>
      <c r="D8" s="5">
        <f t="shared" si="0"/>
        <v>19765010.424999997</v>
      </c>
      <c r="E8" s="6" t="s">
        <v>6</v>
      </c>
      <c r="F8" s="4"/>
      <c r="G8" s="4"/>
      <c r="H8" s="4"/>
    </row>
    <row r="9" spans="1:8" ht="12.75">
      <c r="A9">
        <v>2009</v>
      </c>
      <c r="B9" s="4">
        <f>+'Program YTD'!L9</f>
        <v>6133313.329999999</v>
      </c>
      <c r="C9" s="4">
        <f>+'Program YTD'!L23</f>
        <v>1476576.4179999998</v>
      </c>
      <c r="D9" s="5">
        <f t="shared" si="0"/>
        <v>27374900.172999997</v>
      </c>
      <c r="E9" s="6" t="s">
        <v>6</v>
      </c>
      <c r="F9" s="4"/>
      <c r="G9" s="4"/>
      <c r="H9" s="4"/>
    </row>
    <row r="10" spans="1:8" ht="12.75">
      <c r="A10">
        <v>2010</v>
      </c>
      <c r="B10" s="4">
        <f>+'Program YTD'!L10</f>
        <v>755700</v>
      </c>
      <c r="C10" s="4">
        <f>+'Program YTD'!L24</f>
        <v>2183390.322</v>
      </c>
      <c r="D10" s="5">
        <f t="shared" si="0"/>
        <v>30313990.494999997</v>
      </c>
      <c r="E10" s="6" t="s">
        <v>7</v>
      </c>
      <c r="F10" s="4"/>
      <c r="G10" s="4"/>
      <c r="H10" s="4"/>
    </row>
    <row r="11" spans="1:8" ht="12.75">
      <c r="A11">
        <v>2011</v>
      </c>
      <c r="B11" s="4">
        <f>+'Program YTD'!L11</f>
        <v>2331427.03</v>
      </c>
      <c r="C11" s="4">
        <f>+'Program YTD'!L25</f>
        <v>2824949.69924</v>
      </c>
      <c r="D11" s="5">
        <f t="shared" si="0"/>
        <v>35470367.22424</v>
      </c>
      <c r="E11" s="6" t="s">
        <v>7</v>
      </c>
      <c r="F11" s="4"/>
      <c r="G11" s="4"/>
      <c r="H11" s="4"/>
    </row>
    <row r="12" spans="1:8" ht="13.5" thickBot="1">
      <c r="A12" t="s">
        <v>39</v>
      </c>
      <c r="B12" s="4">
        <f>+'Program YTD'!L12</f>
        <v>2288250</v>
      </c>
      <c r="C12" s="4">
        <f>+'Program YTD'!L26</f>
        <v>0</v>
      </c>
      <c r="D12" s="5">
        <f t="shared" si="0"/>
        <v>37758617.22424</v>
      </c>
      <c r="E12" s="6" t="s">
        <v>7</v>
      </c>
      <c r="F12" s="4"/>
      <c r="G12" s="4"/>
      <c r="H12" s="4"/>
    </row>
    <row r="13" spans="2:8" ht="13.5" thickBot="1">
      <c r="B13" s="7">
        <f>SUM(B6:B12)</f>
        <v>29736299.369999997</v>
      </c>
      <c r="C13" s="7">
        <f>SUM(C6:C12)</f>
        <v>8022317.854239999</v>
      </c>
      <c r="D13" s="8"/>
      <c r="E13" s="6"/>
      <c r="F13" s="4"/>
      <c r="G13" s="4"/>
      <c r="H13" s="4"/>
    </row>
    <row r="14" spans="2:8" ht="13.5" thickBot="1">
      <c r="B14" s="4"/>
      <c r="C14" s="9">
        <f>SUM(B13:C13)</f>
        <v>37758617.22424</v>
      </c>
      <c r="D14" s="5"/>
      <c r="E14" s="6"/>
      <c r="F14" s="4"/>
      <c r="G14" s="4"/>
      <c r="H14" s="4"/>
    </row>
    <row r="15" spans="2:8" ht="12.75">
      <c r="B15" s="4"/>
      <c r="C15" s="4"/>
      <c r="D15" s="5"/>
      <c r="E15" s="6"/>
      <c r="F15" s="4"/>
      <c r="G15" s="4"/>
      <c r="H15" s="10"/>
    </row>
    <row r="16" spans="1:8" ht="12.75">
      <c r="A16" s="11" t="s">
        <v>8</v>
      </c>
      <c r="B16" s="4"/>
      <c r="C16" s="4"/>
      <c r="D16" s="5"/>
      <c r="E16" s="6"/>
      <c r="F16" s="4"/>
      <c r="G16" s="4"/>
      <c r="H16" s="4"/>
    </row>
    <row r="17" spans="1:8" ht="12.75">
      <c r="A17" s="12" t="s">
        <v>9</v>
      </c>
      <c r="B17" s="4"/>
      <c r="C17" s="4"/>
      <c r="D17" s="5"/>
      <c r="E17" s="6"/>
      <c r="F17" s="4"/>
      <c r="G17" s="4"/>
      <c r="H17" s="4"/>
    </row>
    <row r="18" spans="1:8" ht="12.75">
      <c r="A18" s="13" t="s">
        <v>10</v>
      </c>
      <c r="B18" s="4"/>
      <c r="C18" s="4"/>
      <c r="D18" s="5"/>
      <c r="E18" s="6"/>
      <c r="F18" s="4"/>
      <c r="G18" s="4"/>
      <c r="H18" s="4"/>
    </row>
    <row r="19" spans="1:5" ht="18.75">
      <c r="A19" s="142" t="s">
        <v>11</v>
      </c>
      <c r="B19" s="142"/>
      <c r="C19" s="142"/>
      <c r="D19" s="142"/>
      <c r="E19" s="142"/>
    </row>
    <row r="20" spans="1:8" ht="4.5" customHeight="1">
      <c r="A20" s="13"/>
      <c r="B20" s="4"/>
      <c r="C20" s="4"/>
      <c r="D20" s="5"/>
      <c r="E20" s="6"/>
      <c r="F20" s="4"/>
      <c r="G20" s="4"/>
      <c r="H20" s="4"/>
    </row>
    <row r="21" spans="2:8" ht="12.75">
      <c r="B21" s="2" t="s">
        <v>3</v>
      </c>
      <c r="C21" s="2" t="s">
        <v>4</v>
      </c>
      <c r="D21" s="5"/>
      <c r="E21" s="6"/>
      <c r="F21" s="4"/>
      <c r="G21" s="4"/>
      <c r="H21" s="4"/>
    </row>
    <row r="22" spans="1:8" ht="12.75">
      <c r="A22">
        <v>2006</v>
      </c>
      <c r="B22" s="14">
        <v>0</v>
      </c>
      <c r="C22" s="15">
        <v>99285.03</v>
      </c>
      <c r="D22" s="5">
        <f>SUM(B22:C22)</f>
        <v>99285.03</v>
      </c>
      <c r="E22" s="6"/>
      <c r="F22" s="4"/>
      <c r="G22" s="4"/>
      <c r="H22" s="4"/>
    </row>
    <row r="23" spans="1:8" ht="12.75">
      <c r="A23">
        <v>2007</v>
      </c>
      <c r="B23" s="14">
        <v>7679948</v>
      </c>
      <c r="C23" s="15">
        <v>814248.34</v>
      </c>
      <c r="D23" s="5">
        <f>SUM(B23:C23)+D22</f>
        <v>8593481.37</v>
      </c>
      <c r="E23" s="6"/>
      <c r="F23" s="4"/>
      <c r="G23" s="4"/>
      <c r="H23" s="4"/>
    </row>
    <row r="24" spans="1:8" ht="12.75">
      <c r="A24">
        <v>2008</v>
      </c>
      <c r="B24" s="14">
        <v>10547660</v>
      </c>
      <c r="C24" s="15">
        <v>689858.98</v>
      </c>
      <c r="D24" s="5">
        <f>SUM(B24:C24)+D23</f>
        <v>19831000.35</v>
      </c>
      <c r="E24" s="6"/>
      <c r="F24" s="4"/>
      <c r="G24" s="4"/>
      <c r="H24" s="4"/>
    </row>
    <row r="25" spans="1:8" ht="12.75">
      <c r="A25">
        <v>2009</v>
      </c>
      <c r="B25" s="14">
        <v>8701645</v>
      </c>
      <c r="C25" s="14">
        <v>1333000</v>
      </c>
      <c r="D25" s="5">
        <f>SUM(B25:C25)+D24</f>
        <v>29865645.35</v>
      </c>
      <c r="E25" s="6"/>
      <c r="F25" s="4"/>
      <c r="G25" s="4"/>
      <c r="H25" s="4"/>
    </row>
    <row r="26" spans="1:8" ht="12.75">
      <c r="A26">
        <v>2010</v>
      </c>
      <c r="B26" s="14">
        <v>0</v>
      </c>
      <c r="C26" s="14">
        <v>1284000</v>
      </c>
      <c r="D26" s="5">
        <f>SUM(B26:C26)+D25</f>
        <v>31149645.35</v>
      </c>
      <c r="E26" s="6"/>
      <c r="F26" s="4"/>
      <c r="G26" s="4"/>
      <c r="H26" s="4"/>
    </row>
    <row r="27" spans="1:8" ht="12.75">
      <c r="A27">
        <v>2011</v>
      </c>
      <c r="B27" s="14">
        <v>0</v>
      </c>
      <c r="C27" s="14">
        <v>0</v>
      </c>
      <c r="D27" s="5">
        <f>SUM(B27:C27)+D26</f>
        <v>31149645.35</v>
      </c>
      <c r="E27" s="6"/>
      <c r="F27" s="4"/>
      <c r="G27" s="4"/>
      <c r="H27" s="4"/>
    </row>
    <row r="28" spans="2:8" ht="13.5" thickBot="1">
      <c r="B28" s="4"/>
      <c r="C28" s="4"/>
      <c r="D28" s="5"/>
      <c r="E28" s="6"/>
      <c r="F28" s="4"/>
      <c r="G28" s="4"/>
      <c r="H28" s="4"/>
    </row>
    <row r="29" spans="2:8" ht="13.5" thickBot="1">
      <c r="B29" s="9">
        <f>SUM(B22:B28)</f>
        <v>26929253</v>
      </c>
      <c r="C29" s="9">
        <f>SUM(C22:C28)</f>
        <v>4220392.35</v>
      </c>
      <c r="D29" s="5"/>
      <c r="E29" s="6"/>
      <c r="F29" s="4"/>
      <c r="G29" s="4"/>
      <c r="H29" s="4"/>
    </row>
    <row r="30" spans="2:8" s="16" customFormat="1" ht="13.5" thickBot="1">
      <c r="B30" s="17"/>
      <c r="C30" s="9">
        <f>SUM(B29:C29)</f>
        <v>31149645.35</v>
      </c>
      <c r="D30" s="18"/>
      <c r="E30" s="19"/>
      <c r="F30" s="20"/>
      <c r="G30" s="20"/>
      <c r="H30" s="20"/>
    </row>
    <row r="31" spans="2:8" ht="13.5" thickBot="1">
      <c r="B31" s="4"/>
      <c r="C31" s="4"/>
      <c r="D31" s="5"/>
      <c r="E31" s="6"/>
      <c r="F31" s="4"/>
      <c r="G31" s="4"/>
      <c r="H31" s="4"/>
    </row>
    <row r="32" spans="2:8" ht="13.5" thickBot="1">
      <c r="B32" s="9">
        <f>+C30-C14</f>
        <v>-6608971.874239996</v>
      </c>
      <c r="C32" s="5" t="s">
        <v>12</v>
      </c>
      <c r="D32" s="5"/>
      <c r="E32" s="6"/>
      <c r="F32" s="4"/>
      <c r="G32" s="4"/>
      <c r="H32" s="4"/>
    </row>
    <row r="33" spans="2:8" ht="12.75">
      <c r="B33" s="4"/>
      <c r="C33" s="4"/>
      <c r="D33" s="5"/>
      <c r="E33" s="6"/>
      <c r="F33" s="4"/>
      <c r="G33" s="4"/>
      <c r="H33" s="4"/>
    </row>
    <row r="34" spans="2:8" ht="12.75">
      <c r="B34" s="32">
        <f>5085*450</f>
        <v>2288250</v>
      </c>
      <c r="C34" s="4" t="s">
        <v>23</v>
      </c>
      <c r="D34" s="5"/>
      <c r="E34" s="6"/>
      <c r="F34" s="4"/>
      <c r="G34" s="4"/>
      <c r="H34" s="4"/>
    </row>
    <row r="35" spans="2:8" ht="12.75">
      <c r="B35" s="32">
        <f>470000+160000</f>
        <v>630000</v>
      </c>
      <c r="C35" s="4" t="s">
        <v>13</v>
      </c>
      <c r="D35" s="5"/>
      <c r="E35" s="6"/>
      <c r="F35" s="4"/>
      <c r="G35" s="4"/>
      <c r="H35" s="4"/>
    </row>
    <row r="36" spans="2:8" ht="12.75">
      <c r="B36" s="20">
        <f>-'[1]Sheet1'!$B$12</f>
        <v>-990369</v>
      </c>
      <c r="C36" s="4" t="s">
        <v>14</v>
      </c>
      <c r="D36" s="5"/>
      <c r="E36" s="6"/>
      <c r="F36" s="4"/>
      <c r="G36" s="4"/>
      <c r="H36" s="4"/>
    </row>
    <row r="37" spans="2:8" ht="12.75">
      <c r="B37" s="21"/>
      <c r="C37" s="4" t="s">
        <v>15</v>
      </c>
      <c r="D37" s="5"/>
      <c r="E37" s="6"/>
      <c r="F37" s="4"/>
      <c r="G37" s="4"/>
      <c r="H37" s="4"/>
    </row>
    <row r="38" spans="2:8" ht="12.75">
      <c r="B38" s="21"/>
      <c r="C38" s="4" t="s">
        <v>24</v>
      </c>
      <c r="D38" s="5"/>
      <c r="E38" s="6"/>
      <c r="H38" s="4"/>
    </row>
    <row r="39" spans="2:8" ht="12.75">
      <c r="B39" s="34">
        <f>-('[5]Sheet1'!$B$7+'[5]Sheet1'!$B$8)</f>
        <v>-1642069.9700000084</v>
      </c>
      <c r="C39" s="4" t="s">
        <v>25</v>
      </c>
      <c r="D39" s="5"/>
      <c r="E39" s="6"/>
      <c r="H39" s="4"/>
    </row>
    <row r="40" spans="2:8" ht="12.75">
      <c r="B40" s="20">
        <f>-'[5]Sheet1'!$B$9-'[5]Sheet1'!$B$10</f>
        <v>-36847.6</v>
      </c>
      <c r="C40" s="22" t="s">
        <v>26</v>
      </c>
      <c r="D40" s="23"/>
      <c r="E40" s="24"/>
      <c r="F40" s="25"/>
      <c r="G40" s="25"/>
      <c r="H40" s="4"/>
    </row>
    <row r="41" spans="2:8" ht="12.75">
      <c r="B41" s="20">
        <f>350000+100000-130000</f>
        <v>320000</v>
      </c>
      <c r="C41" s="4" t="s">
        <v>16</v>
      </c>
      <c r="D41" s="5"/>
      <c r="E41" s="6"/>
      <c r="H41" s="4"/>
    </row>
    <row r="42" spans="2:8" ht="12.75">
      <c r="B42" s="20">
        <f>+'[2]Master'!$D$7</f>
        <v>144350</v>
      </c>
      <c r="C42" s="4" t="s">
        <v>17</v>
      </c>
      <c r="D42" s="5"/>
      <c r="E42" s="6"/>
      <c r="H42" s="4"/>
    </row>
    <row r="43" spans="2:8" ht="12.75">
      <c r="B43" s="20">
        <f>+'[3]Sheet1'!$B$12</f>
        <v>884205.9302400001</v>
      </c>
      <c r="C43" s="4" t="s">
        <v>27</v>
      </c>
      <c r="D43" s="5"/>
      <c r="E43" s="6"/>
      <c r="H43" s="4"/>
    </row>
    <row r="44" spans="2:8" ht="12.75">
      <c r="B44" s="20">
        <f>+'[4]tmpsht_1 (2011)'!$O$30</f>
        <v>1304543.5740000003</v>
      </c>
      <c r="C44" s="4" t="s">
        <v>28</v>
      </c>
      <c r="D44" s="5"/>
      <c r="E44" s="6"/>
      <c r="H44" s="4"/>
    </row>
    <row r="45" spans="2:8" ht="13.5" thickBot="1">
      <c r="B45" s="4"/>
      <c r="C45" s="4"/>
      <c r="D45" s="5"/>
      <c r="E45" s="6"/>
      <c r="F45" s="4"/>
      <c r="G45" s="4"/>
      <c r="H45" s="4"/>
    </row>
    <row r="46" spans="2:3" ht="13.5" thickBot="1">
      <c r="B46" s="9">
        <f>+B32-SUM(B34:B45)</f>
        <v>-9511034.808479987</v>
      </c>
      <c r="C46" s="5" t="s">
        <v>18</v>
      </c>
    </row>
    <row r="49" spans="3:4" ht="12.75">
      <c r="C49" s="28" t="s">
        <v>19</v>
      </c>
      <c r="D49" s="28"/>
    </row>
    <row r="50" spans="3:4" ht="12.75">
      <c r="C50" s="29" t="s">
        <v>20</v>
      </c>
      <c r="D50" s="29">
        <v>2009</v>
      </c>
    </row>
    <row r="51" spans="3:6" ht="12.75">
      <c r="C51" s="29" t="s">
        <v>21</v>
      </c>
      <c r="D51" s="29">
        <v>2010</v>
      </c>
      <c r="E51" s="29">
        <v>-130</v>
      </c>
      <c r="F51" s="29">
        <f>350+E51</f>
        <v>220</v>
      </c>
    </row>
    <row r="52" spans="3:6" ht="12.75">
      <c r="C52" s="29" t="s">
        <v>22</v>
      </c>
      <c r="D52" s="29">
        <v>2011</v>
      </c>
      <c r="E52" s="29"/>
      <c r="F52" s="29">
        <v>100</v>
      </c>
    </row>
  </sheetData>
  <sheetProtection/>
  <mergeCells count="3">
    <mergeCell ref="A1:E1"/>
    <mergeCell ref="A3:E3"/>
    <mergeCell ref="A19:E19"/>
  </mergeCells>
  <printOptions/>
  <pageMargins left="0.75" right="0.75" top="1" bottom="1" header="0.5" footer="0.5"/>
  <pageSetup horizontalDpi="525" verticalDpi="5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22">
      <selection activeCell="B11" sqref="B11"/>
    </sheetView>
  </sheetViews>
  <sheetFormatPr defaultColWidth="9.140625" defaultRowHeight="12.75"/>
  <cols>
    <col min="2" max="2" width="19.421875" style="0" customWidth="1"/>
    <col min="3" max="3" width="19.28125" style="0" customWidth="1"/>
    <col min="4" max="4" width="15.57421875" style="26" customWidth="1"/>
    <col min="5" max="5" width="12.28125" style="27" customWidth="1"/>
    <col min="6" max="6" width="9.57421875" style="0" customWidth="1"/>
    <col min="7" max="7" width="9.7109375" style="0" bestFit="1" customWidth="1"/>
    <col min="8" max="8" width="11.28125" style="0" bestFit="1" customWidth="1"/>
  </cols>
  <sheetData>
    <row r="1" spans="1:5" ht="18.75">
      <c r="A1" s="142" t="s">
        <v>0</v>
      </c>
      <c r="B1" s="142"/>
      <c r="C1" s="142"/>
      <c r="D1" s="142"/>
      <c r="E1" s="142"/>
    </row>
    <row r="2" spans="1:5" ht="5.25" customHeight="1">
      <c r="A2" s="1"/>
      <c r="B2" s="1"/>
      <c r="C2" s="1"/>
      <c r="D2" s="1"/>
      <c r="E2" s="1"/>
    </row>
    <row r="3" spans="1:5" ht="18.75">
      <c r="A3" s="142" t="s">
        <v>1</v>
      </c>
      <c r="B3" s="142"/>
      <c r="C3" s="142"/>
      <c r="D3" s="142"/>
      <c r="E3" s="142"/>
    </row>
    <row r="4" spans="1:5" ht="4.5" customHeight="1">
      <c r="A4" s="1"/>
      <c r="B4" s="1"/>
      <c r="C4" s="1"/>
      <c r="D4" s="1"/>
      <c r="E4" s="1"/>
    </row>
    <row r="5" spans="1:5" s="2" customFormat="1" ht="12.75">
      <c r="A5" s="2" t="s">
        <v>2</v>
      </c>
      <c r="B5" s="2" t="s">
        <v>3</v>
      </c>
      <c r="C5" s="2" t="s">
        <v>4</v>
      </c>
      <c r="D5" s="2" t="s">
        <v>5</v>
      </c>
      <c r="E5" s="3"/>
    </row>
    <row r="6" spans="1:8" ht="12.75">
      <c r="A6">
        <v>2006</v>
      </c>
      <c r="B6" s="4">
        <v>0</v>
      </c>
      <c r="C6" s="4">
        <v>99285.03</v>
      </c>
      <c r="D6" s="5">
        <f>SUM(B6:C6)</f>
        <v>99285.03</v>
      </c>
      <c r="E6" s="6" t="s">
        <v>6</v>
      </c>
      <c r="F6" s="4"/>
      <c r="G6" s="4"/>
      <c r="H6" s="4"/>
    </row>
    <row r="7" spans="1:8" ht="12.75">
      <c r="A7">
        <v>2007</v>
      </c>
      <c r="B7" s="4">
        <v>7679948.899999999</v>
      </c>
      <c r="C7" s="4">
        <v>814248.34</v>
      </c>
      <c r="D7" s="5">
        <f>SUM(B7:C7)+D6</f>
        <v>8593482.27</v>
      </c>
      <c r="E7" s="6" t="s">
        <v>6</v>
      </c>
      <c r="F7" s="4"/>
      <c r="G7" s="4"/>
      <c r="H7" s="4"/>
    </row>
    <row r="8" spans="1:8" ht="12.75">
      <c r="A8">
        <v>2008</v>
      </c>
      <c r="B8" s="4">
        <v>10547660.11</v>
      </c>
      <c r="C8" s="4">
        <v>689858.98</v>
      </c>
      <c r="D8" s="5">
        <f>SUM(B8:C8)+D7</f>
        <v>19831001.36</v>
      </c>
      <c r="E8" s="6" t="s">
        <v>6</v>
      </c>
      <c r="F8" s="4"/>
      <c r="G8" s="4"/>
      <c r="H8" s="4"/>
    </row>
    <row r="9" spans="1:8" ht="12.75">
      <c r="A9">
        <v>2009</v>
      </c>
      <c r="B9" s="4">
        <v>6043663.329999999</v>
      </c>
      <c r="C9" s="4">
        <v>1240883</v>
      </c>
      <c r="D9" s="5">
        <f>SUM(B9:C9)+D8</f>
        <v>27115547.689999998</v>
      </c>
      <c r="E9" s="6" t="s">
        <v>6</v>
      </c>
      <c r="F9" s="4"/>
      <c r="G9" s="4"/>
      <c r="H9" s="4"/>
    </row>
    <row r="10" spans="1:8" ht="12.75">
      <c r="A10">
        <v>2010</v>
      </c>
      <c r="B10" s="4">
        <v>701000</v>
      </c>
      <c r="C10" s="4">
        <v>633927.263</v>
      </c>
      <c r="D10" s="5">
        <f>SUM(B10:C10)+D9</f>
        <v>28450474.952999998</v>
      </c>
      <c r="E10" s="6" t="s">
        <v>7</v>
      </c>
      <c r="F10" s="4"/>
      <c r="G10" s="4"/>
      <c r="H10" s="4"/>
    </row>
    <row r="11" spans="1:8" ht="12.75">
      <c r="A11">
        <v>2011</v>
      </c>
      <c r="B11" s="4">
        <v>1578274.63</v>
      </c>
      <c r="C11" s="4">
        <v>370792.78</v>
      </c>
      <c r="D11" s="5">
        <f>SUM(B11:C11)+D10</f>
        <v>30399542.362999998</v>
      </c>
      <c r="E11" s="6" t="s">
        <v>7</v>
      </c>
      <c r="F11" s="4"/>
      <c r="G11" s="4"/>
      <c r="H11" s="4"/>
    </row>
    <row r="12" spans="2:8" ht="13.5" thickBot="1">
      <c r="B12" s="4">
        <v>0</v>
      </c>
      <c r="C12" s="4"/>
      <c r="D12" s="5"/>
      <c r="E12" s="6"/>
      <c r="F12" s="4"/>
      <c r="G12" s="4"/>
      <c r="H12" s="4"/>
    </row>
    <row r="13" spans="2:8" ht="13.5" thickBot="1">
      <c r="B13" s="7">
        <f>SUM(B6:B12)</f>
        <v>26550546.969999995</v>
      </c>
      <c r="C13" s="7">
        <f>SUM(C6:C12)</f>
        <v>3848995.393</v>
      </c>
      <c r="D13" s="8"/>
      <c r="E13" s="6"/>
      <c r="F13" s="4"/>
      <c r="G13" s="4"/>
      <c r="H13" s="4"/>
    </row>
    <row r="14" spans="2:8" ht="13.5" thickBot="1">
      <c r="B14" s="4"/>
      <c r="C14" s="9">
        <f>SUM(B13:C13)</f>
        <v>30399542.362999994</v>
      </c>
      <c r="D14" s="5"/>
      <c r="E14" s="6"/>
      <c r="F14" s="4"/>
      <c r="G14" s="4"/>
      <c r="H14" s="4"/>
    </row>
    <row r="15" spans="2:8" ht="12.75">
      <c r="B15" s="4"/>
      <c r="C15" s="4"/>
      <c r="D15" s="5"/>
      <c r="E15" s="6"/>
      <c r="F15" s="4"/>
      <c r="G15" s="4"/>
      <c r="H15" s="10"/>
    </row>
    <row r="16" spans="1:8" ht="12.75">
      <c r="A16" s="11" t="s">
        <v>8</v>
      </c>
      <c r="B16" s="4"/>
      <c r="C16" s="4"/>
      <c r="D16" s="5"/>
      <c r="E16" s="6"/>
      <c r="F16" s="4"/>
      <c r="G16" s="4"/>
      <c r="H16" s="4"/>
    </row>
    <row r="17" spans="1:8" ht="12.75">
      <c r="A17" s="12" t="s">
        <v>9</v>
      </c>
      <c r="B17" s="4"/>
      <c r="C17" s="4"/>
      <c r="D17" s="5"/>
      <c r="E17" s="6"/>
      <c r="F17" s="4"/>
      <c r="G17" s="4"/>
      <c r="H17" s="4"/>
    </row>
    <row r="18" spans="1:8" ht="12.75">
      <c r="A18" s="13" t="s">
        <v>10</v>
      </c>
      <c r="B18" s="4"/>
      <c r="C18" s="4"/>
      <c r="D18" s="5"/>
      <c r="E18" s="6"/>
      <c r="F18" s="4"/>
      <c r="G18" s="4"/>
      <c r="H18" s="4"/>
    </row>
    <row r="19" spans="1:5" ht="18.75">
      <c r="A19" s="142" t="s">
        <v>11</v>
      </c>
      <c r="B19" s="142"/>
      <c r="C19" s="142"/>
      <c r="D19" s="142"/>
      <c r="E19" s="142"/>
    </row>
    <row r="20" spans="1:8" ht="4.5" customHeight="1">
      <c r="A20" s="13"/>
      <c r="B20" s="4"/>
      <c r="C20" s="4"/>
      <c r="D20" s="5"/>
      <c r="E20" s="6"/>
      <c r="F20" s="4"/>
      <c r="G20" s="4"/>
      <c r="H20" s="4"/>
    </row>
    <row r="21" spans="2:8" ht="12.75">
      <c r="B21" s="2" t="s">
        <v>3</v>
      </c>
      <c r="C21" s="2" t="s">
        <v>4</v>
      </c>
      <c r="D21" s="5"/>
      <c r="E21" s="6"/>
      <c r="F21" s="4"/>
      <c r="G21" s="4"/>
      <c r="H21" s="4"/>
    </row>
    <row r="22" spans="1:8" ht="12.75">
      <c r="A22">
        <v>2006</v>
      </c>
      <c r="B22" s="14">
        <v>0</v>
      </c>
      <c r="C22" s="15">
        <v>99285.03</v>
      </c>
      <c r="D22" s="5">
        <f>SUM(B22:C22)</f>
        <v>99285.03</v>
      </c>
      <c r="E22" s="6"/>
      <c r="F22" s="4"/>
      <c r="G22" s="4"/>
      <c r="H22" s="4"/>
    </row>
    <row r="23" spans="1:8" ht="12.75">
      <c r="A23">
        <v>2007</v>
      </c>
      <c r="B23" s="14">
        <v>7679948</v>
      </c>
      <c r="C23" s="15">
        <v>814248.34</v>
      </c>
      <c r="D23" s="5">
        <f>SUM(B23:C23)+D22</f>
        <v>8593481.37</v>
      </c>
      <c r="E23" s="6"/>
      <c r="F23" s="4"/>
      <c r="G23" s="4"/>
      <c r="H23" s="4"/>
    </row>
    <row r="24" spans="1:8" ht="12.75">
      <c r="A24">
        <v>2008</v>
      </c>
      <c r="B24" s="14">
        <v>10547660</v>
      </c>
      <c r="C24" s="15">
        <v>689858.98</v>
      </c>
      <c r="D24" s="5">
        <f>SUM(B24:C24)+D23</f>
        <v>19831000.35</v>
      </c>
      <c r="E24" s="6"/>
      <c r="F24" s="4"/>
      <c r="G24" s="4"/>
      <c r="H24" s="4"/>
    </row>
    <row r="25" spans="1:8" ht="12.75">
      <c r="A25">
        <v>2009</v>
      </c>
      <c r="B25" s="14">
        <v>8701645</v>
      </c>
      <c r="C25" s="14">
        <v>1333000</v>
      </c>
      <c r="D25" s="5">
        <f>SUM(B25:C25)+D24</f>
        <v>29865645.35</v>
      </c>
      <c r="E25" s="6"/>
      <c r="F25" s="4"/>
      <c r="G25" s="4"/>
      <c r="H25" s="4"/>
    </row>
    <row r="26" spans="1:8" ht="12.75">
      <c r="A26">
        <v>2010</v>
      </c>
      <c r="B26" s="14">
        <v>0</v>
      </c>
      <c r="C26" s="14">
        <v>1284000</v>
      </c>
      <c r="D26" s="5">
        <f>SUM(B26:C26)+D25</f>
        <v>31149645.35</v>
      </c>
      <c r="E26" s="6"/>
      <c r="F26" s="4"/>
      <c r="G26" s="4"/>
      <c r="H26" s="4"/>
    </row>
    <row r="27" spans="1:8" ht="12.75">
      <c r="A27">
        <v>2011</v>
      </c>
      <c r="B27" s="14">
        <v>0</v>
      </c>
      <c r="C27" s="14">
        <v>0</v>
      </c>
      <c r="D27" s="5">
        <f>SUM(B27:C27)+D26</f>
        <v>31149645.35</v>
      </c>
      <c r="E27" s="6"/>
      <c r="F27" s="4"/>
      <c r="G27" s="4"/>
      <c r="H27" s="4"/>
    </row>
    <row r="28" spans="2:8" ht="13.5" thickBot="1">
      <c r="B28" s="4"/>
      <c r="C28" s="4"/>
      <c r="D28" s="5"/>
      <c r="E28" s="6"/>
      <c r="F28" s="4"/>
      <c r="G28" s="4"/>
      <c r="H28" s="4"/>
    </row>
    <row r="29" spans="2:8" ht="13.5" thickBot="1">
      <c r="B29" s="9">
        <f>SUM(B22:B28)</f>
        <v>26929253</v>
      </c>
      <c r="C29" s="9">
        <f>SUM(C22:C28)</f>
        <v>4220392.35</v>
      </c>
      <c r="D29" s="5"/>
      <c r="E29" s="6"/>
      <c r="F29" s="4"/>
      <c r="G29" s="4"/>
      <c r="H29" s="4"/>
    </row>
    <row r="30" spans="2:8" s="16" customFormat="1" ht="13.5" thickBot="1">
      <c r="B30" s="17"/>
      <c r="C30" s="9">
        <f>SUM(B29:C29)</f>
        <v>31149645.35</v>
      </c>
      <c r="D30" s="18"/>
      <c r="E30" s="19"/>
      <c r="F30" s="20"/>
      <c r="G30" s="20"/>
      <c r="H30" s="20"/>
    </row>
    <row r="31" spans="2:8" ht="13.5" thickBot="1">
      <c r="B31" s="4"/>
      <c r="C31" s="4"/>
      <c r="D31" s="5"/>
      <c r="E31" s="6"/>
      <c r="F31" s="4"/>
      <c r="G31" s="4"/>
      <c r="H31" s="4"/>
    </row>
    <row r="32" spans="2:8" ht="13.5" thickBot="1">
      <c r="B32" s="9">
        <f>+C30-C14</f>
        <v>750102.9870000072</v>
      </c>
      <c r="C32" s="5" t="s">
        <v>12</v>
      </c>
      <c r="D32" s="5"/>
      <c r="E32" s="6"/>
      <c r="F32" s="4"/>
      <c r="G32" s="4"/>
      <c r="H32" s="4"/>
    </row>
    <row r="33" spans="2:8" ht="12.75">
      <c r="B33" s="4"/>
      <c r="C33" s="4"/>
      <c r="D33" s="5"/>
      <c r="E33" s="6"/>
      <c r="F33" s="4"/>
      <c r="G33" s="4"/>
      <c r="H33" s="4"/>
    </row>
    <row r="34" spans="2:8" ht="12.75">
      <c r="B34" s="32">
        <f>5085*450</f>
        <v>2288250</v>
      </c>
      <c r="C34" s="4" t="s">
        <v>23</v>
      </c>
      <c r="D34" s="5"/>
      <c r="E34" s="6"/>
      <c r="F34" s="4"/>
      <c r="G34" s="4"/>
      <c r="H34" s="4"/>
    </row>
    <row r="35" spans="2:8" ht="12.75">
      <c r="B35" s="32">
        <f>470000+160000</f>
        <v>630000</v>
      </c>
      <c r="C35" s="4" t="s">
        <v>13</v>
      </c>
      <c r="D35" s="5"/>
      <c r="E35" s="6"/>
      <c r="F35" s="4"/>
      <c r="G35" s="4"/>
      <c r="H35" s="4"/>
    </row>
    <row r="36" spans="2:8" ht="12.75">
      <c r="B36" s="20">
        <f>-'[1]Sheet1'!$B$12</f>
        <v>-990369</v>
      </c>
      <c r="C36" s="4" t="s">
        <v>14</v>
      </c>
      <c r="D36" s="5"/>
      <c r="E36" s="6"/>
      <c r="F36" s="4"/>
      <c r="G36" s="4"/>
      <c r="H36" s="4"/>
    </row>
    <row r="37" spans="2:8" ht="12.75">
      <c r="B37" s="21"/>
      <c r="C37" s="4" t="s">
        <v>15</v>
      </c>
      <c r="D37" s="5"/>
      <c r="E37" s="6"/>
      <c r="F37" s="4"/>
      <c r="G37" s="4"/>
      <c r="H37" s="4"/>
    </row>
    <row r="38" spans="2:8" ht="12.75">
      <c r="B38" s="21"/>
      <c r="C38" s="4" t="s">
        <v>24</v>
      </c>
      <c r="D38" s="5"/>
      <c r="E38" s="6"/>
      <c r="H38" s="4"/>
    </row>
    <row r="39" spans="2:8" ht="12.75">
      <c r="B39" s="34">
        <f>-('[5]Sheet1'!$B$7+'[5]Sheet1'!$B$8)</f>
        <v>-1642069.9700000084</v>
      </c>
      <c r="C39" s="4" t="s">
        <v>25</v>
      </c>
      <c r="D39" s="5"/>
      <c r="E39" s="6"/>
      <c r="H39" s="4"/>
    </row>
    <row r="40" spans="2:8" ht="12.75">
      <c r="B40" s="20">
        <f>-'[5]Sheet1'!$B$9-'[5]Sheet1'!$B$10</f>
        <v>-36847.6</v>
      </c>
      <c r="C40" s="22" t="s">
        <v>26</v>
      </c>
      <c r="D40" s="23"/>
      <c r="E40" s="24"/>
      <c r="F40" s="25"/>
      <c r="G40" s="25"/>
      <c r="H40" s="4"/>
    </row>
    <row r="41" spans="2:8" ht="12.75">
      <c r="B41" s="31">
        <f>350000+100000</f>
        <v>450000</v>
      </c>
      <c r="C41" s="4" t="s">
        <v>16</v>
      </c>
      <c r="D41" s="5"/>
      <c r="E41" s="6"/>
      <c r="H41" s="4"/>
    </row>
    <row r="42" spans="2:8" ht="12.75">
      <c r="B42" s="20">
        <f>+'[2]Master'!$D$7</f>
        <v>144350</v>
      </c>
      <c r="C42" s="4" t="s">
        <v>17</v>
      </c>
      <c r="D42" s="5"/>
      <c r="E42" s="6"/>
      <c r="H42" s="4"/>
    </row>
    <row r="43" spans="2:8" ht="12.75">
      <c r="B43" s="20">
        <f>+'[3]Sheet1'!$B$12</f>
        <v>884205.9302400001</v>
      </c>
      <c r="C43" s="4" t="s">
        <v>27</v>
      </c>
      <c r="D43" s="5"/>
      <c r="E43" s="6"/>
      <c r="H43" s="4"/>
    </row>
    <row r="44" spans="2:8" ht="12.75">
      <c r="B44" s="20">
        <f>+'[4]tmpsht_1 (2011)'!$O$30</f>
        <v>1304543.5740000003</v>
      </c>
      <c r="C44" s="4" t="s">
        <v>28</v>
      </c>
      <c r="D44" s="5"/>
      <c r="E44" s="6"/>
      <c r="H44" s="4"/>
    </row>
    <row r="45" spans="2:8" ht="13.5" thickBot="1">
      <c r="B45" s="4"/>
      <c r="C45" s="4"/>
      <c r="D45" s="5"/>
      <c r="E45" s="6"/>
      <c r="F45" s="4"/>
      <c r="G45" s="4"/>
      <c r="H45" s="4"/>
    </row>
    <row r="46" spans="2:3" ht="13.5" thickBot="1">
      <c r="B46" s="9">
        <f>+B32-SUM(B34:B45)</f>
        <v>-2281959.9472399848</v>
      </c>
      <c r="C46" s="5" t="s">
        <v>18</v>
      </c>
    </row>
    <row r="49" spans="3:4" ht="12.75">
      <c r="C49" s="28" t="s">
        <v>19</v>
      </c>
      <c r="D49" s="28"/>
    </row>
    <row r="50" spans="3:4" ht="12.75">
      <c r="C50" s="29" t="s">
        <v>20</v>
      </c>
      <c r="D50" s="29">
        <v>2009</v>
      </c>
    </row>
    <row r="51" spans="3:4" ht="12.75">
      <c r="C51" s="29" t="s">
        <v>21</v>
      </c>
      <c r="D51" s="29">
        <v>2010</v>
      </c>
    </row>
    <row r="52" spans="3:4" ht="12.75">
      <c r="C52" s="29" t="s">
        <v>22</v>
      </c>
      <c r="D52" s="29">
        <v>2011</v>
      </c>
    </row>
  </sheetData>
  <sheetProtection/>
  <mergeCells count="3">
    <mergeCell ref="A1:E1"/>
    <mergeCell ref="A3:E3"/>
    <mergeCell ref="A19:E19"/>
  </mergeCells>
  <printOptions/>
  <pageMargins left="0.75" right="0.75" top="1" bottom="1" header="0.5" footer="0.5"/>
  <pageSetup horizontalDpi="525" verticalDpi="52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PageLayoutView="0" workbookViewId="0" topLeftCell="A43">
      <selection activeCell="D59" sqref="D59"/>
    </sheetView>
  </sheetViews>
  <sheetFormatPr defaultColWidth="11.421875" defaultRowHeight="12.75"/>
  <cols>
    <col min="1" max="1" width="23.8515625" style="39" customWidth="1"/>
    <col min="2" max="2" width="14.140625" style="36" bestFit="1" customWidth="1"/>
    <col min="3" max="3" width="13.7109375" style="36" customWidth="1"/>
    <col min="4" max="4" width="11.421875" style="36" customWidth="1"/>
    <col min="5" max="6" width="12.7109375" style="36" customWidth="1"/>
    <col min="7" max="7" width="14.140625" style="36" bestFit="1" customWidth="1"/>
    <col min="8" max="8" width="12.28125" style="36" bestFit="1" customWidth="1"/>
    <col min="9" max="10" width="11.421875" style="36" customWidth="1"/>
    <col min="11" max="11" width="25.7109375" style="39" customWidth="1"/>
    <col min="12" max="12" width="22.7109375" style="39" customWidth="1"/>
    <col min="13" max="16384" width="11.421875" style="36" customWidth="1"/>
  </cols>
  <sheetData>
    <row r="1" spans="1:12" ht="50.25" thickBot="1">
      <c r="A1" s="143" t="s">
        <v>46</v>
      </c>
      <c r="B1" s="144"/>
      <c r="C1" s="144"/>
      <c r="D1" s="144"/>
      <c r="E1" s="144"/>
      <c r="F1" s="144"/>
      <c r="G1" s="145"/>
      <c r="J1" s="37"/>
      <c r="K1" s="38" t="s">
        <v>47</v>
      </c>
      <c r="L1" s="38" t="s">
        <v>48</v>
      </c>
    </row>
    <row r="2" spans="10:12" ht="94.5">
      <c r="J2" s="37"/>
      <c r="K2" s="38" t="s">
        <v>49</v>
      </c>
      <c r="L2" s="38" t="s">
        <v>50</v>
      </c>
    </row>
    <row r="3" spans="2:12" ht="15.75">
      <c r="B3" s="36" t="s">
        <v>51</v>
      </c>
      <c r="C3" s="40" t="s">
        <v>52</v>
      </c>
      <c r="D3" s="36" t="s">
        <v>53</v>
      </c>
      <c r="E3" s="36" t="s">
        <v>54</v>
      </c>
      <c r="F3" s="40"/>
      <c r="G3" s="36" t="s">
        <v>55</v>
      </c>
      <c r="J3" s="37" t="s">
        <v>56</v>
      </c>
      <c r="K3" s="41">
        <v>4.14</v>
      </c>
      <c r="L3" s="41">
        <v>4.68</v>
      </c>
    </row>
    <row r="4" spans="1:12" ht="15.75">
      <c r="A4" s="42">
        <v>38718</v>
      </c>
      <c r="B4" s="43">
        <v>0</v>
      </c>
      <c r="C4" s="44">
        <v>0</v>
      </c>
      <c r="D4" s="45">
        <f>'[7]3.  LDC Assumptions and Data'!$C$16</f>
        <v>0.07</v>
      </c>
      <c r="E4" s="43">
        <f aca="true" t="shared" si="0" ref="E4:E35">(B4*D4)/12</f>
        <v>0</v>
      </c>
      <c r="F4" s="43"/>
      <c r="G4" s="43">
        <f>SUM(B4:C4,E4)</f>
        <v>0</v>
      </c>
      <c r="J4" s="37" t="s">
        <v>57</v>
      </c>
      <c r="K4" s="41">
        <v>4.59</v>
      </c>
      <c r="L4" s="41">
        <v>5.05</v>
      </c>
    </row>
    <row r="5" spans="1:12" ht="15.75">
      <c r="A5" s="42">
        <v>38749</v>
      </c>
      <c r="B5" s="46">
        <f>G4</f>
        <v>0</v>
      </c>
      <c r="C5" s="44">
        <v>0</v>
      </c>
      <c r="D5" s="45">
        <f>'[7]3.  LDC Assumptions and Data'!$C$16</f>
        <v>0.07</v>
      </c>
      <c r="E5" s="43">
        <f t="shared" si="0"/>
        <v>0</v>
      </c>
      <c r="F5" s="43"/>
      <c r="G5" s="43">
        <f>SUM(B5:C5,E5)</f>
        <v>0</v>
      </c>
      <c r="J5" s="37" t="s">
        <v>58</v>
      </c>
      <c r="K5" s="41">
        <v>4.59</v>
      </c>
      <c r="L5" s="41">
        <v>4.72</v>
      </c>
    </row>
    <row r="6" spans="1:12" ht="15.75">
      <c r="A6" s="42">
        <v>38777</v>
      </c>
      <c r="B6" s="46">
        <f>G5</f>
        <v>0</v>
      </c>
      <c r="C6" s="44">
        <v>0</v>
      </c>
      <c r="D6" s="45">
        <f>'[7]3.  LDC Assumptions and Data'!$C$16</f>
        <v>0.07</v>
      </c>
      <c r="E6" s="43">
        <f t="shared" si="0"/>
        <v>0</v>
      </c>
      <c r="F6" s="43"/>
      <c r="G6" s="43">
        <f>SUM(B6:C6,E6)</f>
        <v>0</v>
      </c>
      <c r="J6" s="37" t="s">
        <v>59</v>
      </c>
      <c r="K6" s="41">
        <v>4.59</v>
      </c>
      <c r="L6" s="41">
        <v>4.72</v>
      </c>
    </row>
    <row r="7" spans="1:12" ht="15.75">
      <c r="A7" s="42">
        <v>38808</v>
      </c>
      <c r="B7" s="46">
        <f>G6</f>
        <v>0</v>
      </c>
      <c r="C7" s="44">
        <v>0</v>
      </c>
      <c r="D7" s="47">
        <v>0.0414</v>
      </c>
      <c r="E7" s="43">
        <f t="shared" si="0"/>
        <v>0</v>
      </c>
      <c r="F7" s="43"/>
      <c r="G7" s="43">
        <f>SUM(B7:C7,E7)</f>
        <v>0</v>
      </c>
      <c r="J7" s="37" t="s">
        <v>60</v>
      </c>
      <c r="K7" s="41">
        <v>4.59</v>
      </c>
      <c r="L7" s="41">
        <v>4.72</v>
      </c>
    </row>
    <row r="8" spans="1:12" ht="15.75">
      <c r="A8" s="42">
        <v>38838</v>
      </c>
      <c r="B8" s="46">
        <f>G7</f>
        <v>0</v>
      </c>
      <c r="C8" s="44">
        <v>89706.86</v>
      </c>
      <c r="D8" s="47">
        <v>0.0414</v>
      </c>
      <c r="E8" s="43">
        <f t="shared" si="0"/>
        <v>0</v>
      </c>
      <c r="F8" s="43"/>
      <c r="G8" s="43">
        <f>+C8+F8</f>
        <v>89706.86</v>
      </c>
      <c r="J8" s="37" t="s">
        <v>61</v>
      </c>
      <c r="K8" s="41">
        <v>4.59</v>
      </c>
      <c r="L8" s="41">
        <v>5.18</v>
      </c>
    </row>
    <row r="9" spans="1:12" ht="15.75">
      <c r="A9" s="42">
        <v>38869</v>
      </c>
      <c r="B9" s="46">
        <f>C8</f>
        <v>89706.86</v>
      </c>
      <c r="C9" s="44">
        <v>92727.18</v>
      </c>
      <c r="D9" s="47">
        <v>0.0414</v>
      </c>
      <c r="E9" s="43">
        <f t="shared" si="0"/>
        <v>309.488667</v>
      </c>
      <c r="F9" s="43">
        <f>+E9</f>
        <v>309.488667</v>
      </c>
      <c r="G9" s="43">
        <f aca="true" t="shared" si="1" ref="G9:G40">+B9+C9+F9</f>
        <v>182743.52866699998</v>
      </c>
      <c r="H9" s="48"/>
      <c r="J9" s="37" t="s">
        <v>62</v>
      </c>
      <c r="K9" s="41">
        <v>5.14</v>
      </c>
      <c r="L9" s="41">
        <v>5.18</v>
      </c>
    </row>
    <row r="10" spans="1:12" ht="15.75">
      <c r="A10" s="42">
        <v>38899</v>
      </c>
      <c r="B10" s="46">
        <f aca="true" t="shared" si="2" ref="B10:B57">C9+B9</f>
        <v>182434.03999999998</v>
      </c>
      <c r="C10" s="44">
        <v>89774.95</v>
      </c>
      <c r="D10" s="47">
        <v>0.0459</v>
      </c>
      <c r="E10" s="43">
        <f t="shared" si="0"/>
        <v>697.810203</v>
      </c>
      <c r="F10" s="43">
        <f aca="true" t="shared" si="3" ref="F10:F41">+F9+E10</f>
        <v>1007.2988700000001</v>
      </c>
      <c r="G10" s="43">
        <f t="shared" si="1"/>
        <v>273216.28887</v>
      </c>
      <c r="H10" s="48"/>
      <c r="I10" s="48"/>
      <c r="J10" s="37" t="s">
        <v>63</v>
      </c>
      <c r="K10" s="41">
        <v>5.14</v>
      </c>
      <c r="L10" s="41">
        <v>5.18</v>
      </c>
    </row>
    <row r="11" spans="1:12" ht="15.75">
      <c r="A11" s="42">
        <v>38930</v>
      </c>
      <c r="B11" s="46">
        <f t="shared" si="2"/>
        <v>272208.99</v>
      </c>
      <c r="C11" s="44">
        <v>89851.47</v>
      </c>
      <c r="D11" s="47">
        <v>0.0459</v>
      </c>
      <c r="E11" s="43">
        <f t="shared" si="0"/>
        <v>1041.19938675</v>
      </c>
      <c r="F11" s="43">
        <f t="shared" si="3"/>
        <v>2048.49825675</v>
      </c>
      <c r="G11" s="43">
        <f t="shared" si="1"/>
        <v>364108.95825674996</v>
      </c>
      <c r="H11" s="48"/>
      <c r="I11" s="48"/>
      <c r="J11" s="37" t="s">
        <v>64</v>
      </c>
      <c r="K11" s="41">
        <v>4.08</v>
      </c>
      <c r="L11" s="41">
        <v>5.18</v>
      </c>
    </row>
    <row r="12" spans="1:12" ht="15.75">
      <c r="A12" s="42">
        <v>38961</v>
      </c>
      <c r="B12" s="46">
        <f t="shared" si="2"/>
        <v>362060.45999999996</v>
      </c>
      <c r="C12" s="44">
        <v>89798.61</v>
      </c>
      <c r="D12" s="47">
        <v>0.0459</v>
      </c>
      <c r="E12" s="43">
        <f t="shared" si="0"/>
        <v>1384.8812595</v>
      </c>
      <c r="F12" s="43">
        <f t="shared" si="3"/>
        <v>3433.37951625</v>
      </c>
      <c r="G12" s="43">
        <f t="shared" si="1"/>
        <v>455292.44951624994</v>
      </c>
      <c r="H12" s="48"/>
      <c r="I12" s="48"/>
      <c r="J12" s="37" t="s">
        <v>65</v>
      </c>
      <c r="K12" s="41">
        <v>3.35</v>
      </c>
      <c r="L12" s="41">
        <v>5.43</v>
      </c>
    </row>
    <row r="13" spans="1:12" ht="15.75">
      <c r="A13" s="42">
        <v>38991</v>
      </c>
      <c r="B13" s="46">
        <f t="shared" si="2"/>
        <v>451859.06999999995</v>
      </c>
      <c r="C13" s="44">
        <v>80613.11</v>
      </c>
      <c r="D13" s="47">
        <v>0.0459</v>
      </c>
      <c r="E13" s="43">
        <f t="shared" si="0"/>
        <v>1728.3609427499998</v>
      </c>
      <c r="F13" s="43">
        <f t="shared" si="3"/>
        <v>5161.740459</v>
      </c>
      <c r="G13" s="43">
        <f t="shared" si="1"/>
        <v>537633.9204589999</v>
      </c>
      <c r="H13" s="48"/>
      <c r="J13" s="37" t="s">
        <v>66</v>
      </c>
      <c r="K13" s="41">
        <v>3.35</v>
      </c>
      <c r="L13" s="41">
        <v>5.43</v>
      </c>
    </row>
    <row r="14" spans="1:12" ht="15.75">
      <c r="A14" s="42">
        <v>39022</v>
      </c>
      <c r="B14" s="46">
        <f t="shared" si="2"/>
        <v>532472.1799999999</v>
      </c>
      <c r="C14" s="44">
        <v>82472.91</v>
      </c>
      <c r="D14" s="47">
        <v>0.0459</v>
      </c>
      <c r="E14" s="43">
        <f t="shared" si="0"/>
        <v>2036.7060884999999</v>
      </c>
      <c r="F14" s="43">
        <f t="shared" si="3"/>
        <v>7198.4465475</v>
      </c>
      <c r="G14" s="43">
        <f t="shared" si="1"/>
        <v>622143.5365474999</v>
      </c>
      <c r="H14" s="48"/>
      <c r="J14" s="37" t="s">
        <v>67</v>
      </c>
      <c r="K14" s="41">
        <v>2.45</v>
      </c>
      <c r="L14" s="41">
        <v>6.61</v>
      </c>
    </row>
    <row r="15" spans="1:12" ht="15.75">
      <c r="A15" s="42">
        <v>39052</v>
      </c>
      <c r="B15" s="46">
        <f t="shared" si="2"/>
        <v>614945.09</v>
      </c>
      <c r="C15" s="44">
        <v>87122.76</v>
      </c>
      <c r="D15" s="47">
        <v>0.0459</v>
      </c>
      <c r="E15" s="43">
        <f t="shared" si="0"/>
        <v>2352.16496925</v>
      </c>
      <c r="F15" s="43">
        <f t="shared" si="3"/>
        <v>9550.61151675</v>
      </c>
      <c r="G15" s="43">
        <f t="shared" si="1"/>
        <v>711618.4615167499</v>
      </c>
      <c r="H15" s="48"/>
      <c r="J15" s="37" t="s">
        <v>68</v>
      </c>
      <c r="K15" s="49">
        <v>1</v>
      </c>
      <c r="L15" s="41">
        <v>6.61</v>
      </c>
    </row>
    <row r="16" spans="1:12" ht="15.75">
      <c r="A16" s="42">
        <v>39083</v>
      </c>
      <c r="B16" s="46">
        <f t="shared" si="2"/>
        <v>702067.85</v>
      </c>
      <c r="C16" s="44">
        <v>88767.79</v>
      </c>
      <c r="D16" s="47">
        <v>0.0459</v>
      </c>
      <c r="E16" s="43">
        <f t="shared" si="0"/>
        <v>2685.40952625</v>
      </c>
      <c r="F16" s="43">
        <f t="shared" si="3"/>
        <v>12236.021042999999</v>
      </c>
      <c r="G16" s="43">
        <f t="shared" si="1"/>
        <v>803071.6610430001</v>
      </c>
      <c r="H16" s="48"/>
      <c r="J16" s="37" t="s">
        <v>69</v>
      </c>
      <c r="K16" s="41">
        <v>0.55</v>
      </c>
      <c r="L16" s="41">
        <v>5.67</v>
      </c>
    </row>
    <row r="17" spans="1:12" ht="15.75">
      <c r="A17" s="42">
        <v>39114</v>
      </c>
      <c r="B17" s="46">
        <f t="shared" si="2"/>
        <v>790835.64</v>
      </c>
      <c r="C17" s="44">
        <v>86730.74</v>
      </c>
      <c r="D17" s="47">
        <v>0.0459</v>
      </c>
      <c r="E17" s="43">
        <f t="shared" si="0"/>
        <v>3024.946323</v>
      </c>
      <c r="F17" s="43">
        <f t="shared" si="3"/>
        <v>15260.967365999999</v>
      </c>
      <c r="G17" s="43">
        <f t="shared" si="1"/>
        <v>892827.3473660001</v>
      </c>
      <c r="H17" s="48"/>
      <c r="J17" s="37" t="s">
        <v>70</v>
      </c>
      <c r="K17" s="41">
        <v>0.55</v>
      </c>
      <c r="L17" s="41">
        <v>4.66</v>
      </c>
    </row>
    <row r="18" spans="1:8" ht="15">
      <c r="A18" s="42">
        <v>39142</v>
      </c>
      <c r="B18" s="46">
        <f t="shared" si="2"/>
        <v>877566.38</v>
      </c>
      <c r="C18" s="44">
        <v>90600.48</v>
      </c>
      <c r="D18" s="47">
        <v>0.0459</v>
      </c>
      <c r="E18" s="43">
        <f t="shared" si="0"/>
        <v>3356.6914035000004</v>
      </c>
      <c r="F18" s="43">
        <f t="shared" si="3"/>
        <v>18617.658769499998</v>
      </c>
      <c r="G18" s="43">
        <f t="shared" si="1"/>
        <v>986784.5187695</v>
      </c>
      <c r="H18" s="48"/>
    </row>
    <row r="19" spans="1:11" ht="15">
      <c r="A19" s="42">
        <v>39173</v>
      </c>
      <c r="B19" s="46">
        <f t="shared" si="2"/>
        <v>968166.86</v>
      </c>
      <c r="C19" s="44">
        <v>88083.97</v>
      </c>
      <c r="D19" s="47">
        <v>0.0459</v>
      </c>
      <c r="E19" s="43">
        <f t="shared" si="0"/>
        <v>3703.2382395000004</v>
      </c>
      <c r="F19" s="43">
        <f t="shared" si="3"/>
        <v>22320.897009</v>
      </c>
      <c r="G19" s="43">
        <f t="shared" si="1"/>
        <v>1078571.727009</v>
      </c>
      <c r="H19" s="48"/>
      <c r="K19" s="39" t="s">
        <v>71</v>
      </c>
    </row>
    <row r="20" spans="1:8" ht="15">
      <c r="A20" s="42">
        <v>39203</v>
      </c>
      <c r="B20" s="46">
        <f t="shared" si="2"/>
        <v>1056250.83</v>
      </c>
      <c r="C20" s="44">
        <v>186278.63</v>
      </c>
      <c r="D20" s="47">
        <v>0.0459</v>
      </c>
      <c r="E20" s="43">
        <f t="shared" si="0"/>
        <v>4040.15942475</v>
      </c>
      <c r="F20" s="43">
        <f t="shared" si="3"/>
        <v>26361.05643375</v>
      </c>
      <c r="G20" s="43">
        <f t="shared" si="1"/>
        <v>1268890.51643375</v>
      </c>
      <c r="H20" s="48"/>
    </row>
    <row r="21" spans="1:8" ht="15">
      <c r="A21" s="42">
        <v>39234</v>
      </c>
      <c r="B21" s="46">
        <f t="shared" si="2"/>
        <v>1242529.46</v>
      </c>
      <c r="C21" s="44">
        <v>188374.12</v>
      </c>
      <c r="D21" s="47">
        <v>0.0459</v>
      </c>
      <c r="E21" s="43">
        <f t="shared" si="0"/>
        <v>4752.675184500001</v>
      </c>
      <c r="F21" s="43">
        <f t="shared" si="3"/>
        <v>31113.73161825</v>
      </c>
      <c r="G21" s="43">
        <f t="shared" si="1"/>
        <v>1462017.31161825</v>
      </c>
      <c r="H21" s="48"/>
    </row>
    <row r="22" spans="1:8" ht="15">
      <c r="A22" s="42">
        <v>39264</v>
      </c>
      <c r="B22" s="46">
        <f t="shared" si="2"/>
        <v>1430903.58</v>
      </c>
      <c r="C22" s="44">
        <v>173700.37</v>
      </c>
      <c r="D22" s="47">
        <v>0.0459</v>
      </c>
      <c r="E22" s="43">
        <f t="shared" si="0"/>
        <v>5473.206193500001</v>
      </c>
      <c r="F22" s="43">
        <f t="shared" si="3"/>
        <v>36586.93781175</v>
      </c>
      <c r="G22" s="43">
        <f t="shared" si="1"/>
        <v>1641190.8878117502</v>
      </c>
      <c r="H22" s="48"/>
    </row>
    <row r="23" spans="1:11" ht="15">
      <c r="A23" s="42">
        <v>39295</v>
      </c>
      <c r="B23" s="46">
        <f t="shared" si="2"/>
        <v>1604603.9500000002</v>
      </c>
      <c r="C23" s="44">
        <v>195745.6</v>
      </c>
      <c r="D23" s="47">
        <v>0.0459</v>
      </c>
      <c r="E23" s="43">
        <f t="shared" si="0"/>
        <v>6137.610108750002</v>
      </c>
      <c r="F23" s="43">
        <f t="shared" si="3"/>
        <v>42724.5479205</v>
      </c>
      <c r="G23" s="43">
        <f t="shared" si="1"/>
        <v>1843074.0979205002</v>
      </c>
      <c r="H23" s="48"/>
      <c r="K23" s="39" t="s">
        <v>71</v>
      </c>
    </row>
    <row r="24" spans="1:8" ht="15">
      <c r="A24" s="42">
        <v>39326</v>
      </c>
      <c r="B24" s="46">
        <f t="shared" si="2"/>
        <v>1800349.5500000003</v>
      </c>
      <c r="C24" s="44">
        <v>188874.49</v>
      </c>
      <c r="D24" s="47">
        <v>0.0459</v>
      </c>
      <c r="E24" s="43">
        <f t="shared" si="0"/>
        <v>6886.337028750001</v>
      </c>
      <c r="F24" s="43">
        <f t="shared" si="3"/>
        <v>49610.88494925</v>
      </c>
      <c r="G24" s="43">
        <f t="shared" si="1"/>
        <v>2038834.9249492502</v>
      </c>
      <c r="H24" s="48"/>
    </row>
    <row r="25" spans="1:8" ht="15">
      <c r="A25" s="42">
        <v>39356</v>
      </c>
      <c r="B25" s="46">
        <f t="shared" si="2"/>
        <v>1989224.0400000003</v>
      </c>
      <c r="C25" s="44">
        <v>188780.38</v>
      </c>
      <c r="D25" s="47">
        <v>0.0514</v>
      </c>
      <c r="E25" s="43">
        <f t="shared" si="0"/>
        <v>8520.509638000001</v>
      </c>
      <c r="F25" s="43">
        <f t="shared" si="3"/>
        <v>58131.394587250004</v>
      </c>
      <c r="G25" s="43">
        <f t="shared" si="1"/>
        <v>2236135.8145872504</v>
      </c>
      <c r="H25" s="48"/>
    </row>
    <row r="26" spans="1:8" ht="15">
      <c r="A26" s="42">
        <v>39387</v>
      </c>
      <c r="B26" s="46">
        <f t="shared" si="2"/>
        <v>2178004.4200000004</v>
      </c>
      <c r="C26" s="44">
        <v>183430.27</v>
      </c>
      <c r="D26" s="47">
        <v>0.0514</v>
      </c>
      <c r="E26" s="43">
        <f t="shared" si="0"/>
        <v>9329.118932333335</v>
      </c>
      <c r="F26" s="43">
        <f t="shared" si="3"/>
        <v>67460.51351958334</v>
      </c>
      <c r="G26" s="43">
        <f t="shared" si="1"/>
        <v>2428895.2035195837</v>
      </c>
      <c r="H26" s="48"/>
    </row>
    <row r="27" spans="1:8" ht="15">
      <c r="A27" s="42">
        <v>39417</v>
      </c>
      <c r="B27" s="46">
        <f t="shared" si="2"/>
        <v>2361434.6900000004</v>
      </c>
      <c r="C27" s="44">
        <v>193327.44</v>
      </c>
      <c r="D27" s="47">
        <v>0.0514</v>
      </c>
      <c r="E27" s="43">
        <f t="shared" si="0"/>
        <v>10114.81192216667</v>
      </c>
      <c r="F27" s="43">
        <f t="shared" si="3"/>
        <v>77575.32544175001</v>
      </c>
      <c r="G27" s="43">
        <f t="shared" si="1"/>
        <v>2632337.4554417506</v>
      </c>
      <c r="H27" s="48"/>
    </row>
    <row r="28" spans="1:8" ht="15">
      <c r="A28" s="42">
        <v>39448</v>
      </c>
      <c r="B28" s="46">
        <f t="shared" si="2"/>
        <v>2554762.1300000004</v>
      </c>
      <c r="C28" s="44">
        <v>189649.27</v>
      </c>
      <c r="D28" s="47">
        <v>0.0514</v>
      </c>
      <c r="E28" s="43">
        <f t="shared" si="0"/>
        <v>10942.897790166668</v>
      </c>
      <c r="F28" s="43">
        <f t="shared" si="3"/>
        <v>88518.22323191668</v>
      </c>
      <c r="G28" s="43">
        <f t="shared" si="1"/>
        <v>2832929.623231917</v>
      </c>
      <c r="H28" s="48"/>
    </row>
    <row r="29" spans="1:8" ht="15">
      <c r="A29" s="42">
        <v>39479</v>
      </c>
      <c r="B29" s="46">
        <f t="shared" si="2"/>
        <v>2744411.4000000004</v>
      </c>
      <c r="C29" s="44">
        <v>188411.3</v>
      </c>
      <c r="D29" s="47">
        <v>0.0514</v>
      </c>
      <c r="E29" s="43">
        <f t="shared" si="0"/>
        <v>11755.228830000002</v>
      </c>
      <c r="F29" s="43">
        <f t="shared" si="3"/>
        <v>100273.45206191669</v>
      </c>
      <c r="G29" s="43">
        <f t="shared" si="1"/>
        <v>3033096.152061917</v>
      </c>
      <c r="H29" s="48"/>
    </row>
    <row r="30" spans="1:8" ht="15">
      <c r="A30" s="42">
        <v>39508</v>
      </c>
      <c r="B30" s="46">
        <f t="shared" si="2"/>
        <v>2932822.7</v>
      </c>
      <c r="C30" s="44">
        <v>35882.23</v>
      </c>
      <c r="D30" s="47">
        <v>0.0514</v>
      </c>
      <c r="E30" s="43">
        <f t="shared" si="0"/>
        <v>12562.257231666668</v>
      </c>
      <c r="F30" s="43">
        <f t="shared" si="3"/>
        <v>112835.70929358335</v>
      </c>
      <c r="G30" s="43">
        <f t="shared" si="1"/>
        <v>3081540.6392935836</v>
      </c>
      <c r="H30" s="48"/>
    </row>
    <row r="31" spans="1:11" ht="15">
      <c r="A31" s="42">
        <v>39539</v>
      </c>
      <c r="B31" s="46">
        <f t="shared" si="2"/>
        <v>2968704.93</v>
      </c>
      <c r="C31" s="44">
        <v>186866.28</v>
      </c>
      <c r="D31" s="47">
        <v>0.0408</v>
      </c>
      <c r="E31" s="43">
        <f t="shared" si="0"/>
        <v>10093.596762000001</v>
      </c>
      <c r="F31" s="43">
        <f t="shared" si="3"/>
        <v>122929.30605558335</v>
      </c>
      <c r="G31" s="43">
        <f t="shared" si="1"/>
        <v>3278500.5160555835</v>
      </c>
      <c r="H31" s="48"/>
      <c r="K31" s="39" t="s">
        <v>71</v>
      </c>
    </row>
    <row r="32" spans="1:8" ht="15">
      <c r="A32" s="42">
        <v>39569</v>
      </c>
      <c r="B32" s="46">
        <f t="shared" si="2"/>
        <v>3155571.21</v>
      </c>
      <c r="C32" s="44">
        <v>190814.06</v>
      </c>
      <c r="D32" s="47">
        <v>0.0408</v>
      </c>
      <c r="E32" s="43">
        <f t="shared" si="0"/>
        <v>10728.942114</v>
      </c>
      <c r="F32" s="43">
        <f t="shared" si="3"/>
        <v>133658.24816958336</v>
      </c>
      <c r="G32" s="43">
        <f t="shared" si="1"/>
        <v>3480043.5181695833</v>
      </c>
      <c r="H32" s="48"/>
    </row>
    <row r="33" spans="1:8" ht="15">
      <c r="A33" s="42">
        <v>39600</v>
      </c>
      <c r="B33" s="46">
        <f t="shared" si="2"/>
        <v>3346385.27</v>
      </c>
      <c r="C33" s="44">
        <v>190336.63</v>
      </c>
      <c r="D33" s="47">
        <v>0.0408</v>
      </c>
      <c r="E33" s="43">
        <f t="shared" si="0"/>
        <v>11377.709918</v>
      </c>
      <c r="F33" s="43">
        <f t="shared" si="3"/>
        <v>145035.95808758336</v>
      </c>
      <c r="G33" s="43">
        <f t="shared" si="1"/>
        <v>3681757.8580875834</v>
      </c>
      <c r="H33" s="48"/>
    </row>
    <row r="34" spans="1:8" ht="15">
      <c r="A34" s="42">
        <v>39630</v>
      </c>
      <c r="B34" s="46">
        <f t="shared" si="2"/>
        <v>3536721.9</v>
      </c>
      <c r="C34" s="44">
        <v>178274.17</v>
      </c>
      <c r="D34" s="47">
        <v>0.0335</v>
      </c>
      <c r="E34" s="43">
        <f t="shared" si="0"/>
        <v>9873.348637500001</v>
      </c>
      <c r="F34" s="43">
        <f t="shared" si="3"/>
        <v>154909.30672508336</v>
      </c>
      <c r="G34" s="43">
        <f t="shared" si="1"/>
        <v>3869905.376725083</v>
      </c>
      <c r="H34" s="48"/>
    </row>
    <row r="35" spans="1:11" ht="15">
      <c r="A35" s="42">
        <v>39661</v>
      </c>
      <c r="B35" s="46">
        <f t="shared" si="2"/>
        <v>3714996.07</v>
      </c>
      <c r="C35" s="44">
        <v>195858.21</v>
      </c>
      <c r="D35" s="47">
        <v>0.0335</v>
      </c>
      <c r="E35" s="43">
        <f t="shared" si="0"/>
        <v>10371.030695416666</v>
      </c>
      <c r="F35" s="43">
        <f t="shared" si="3"/>
        <v>165280.33742050003</v>
      </c>
      <c r="G35" s="43">
        <f t="shared" si="1"/>
        <v>4076134.6174204997</v>
      </c>
      <c r="H35" s="48"/>
      <c r="K35" s="39" t="s">
        <v>71</v>
      </c>
    </row>
    <row r="36" spans="1:10" ht="15">
      <c r="A36" s="42">
        <v>39692</v>
      </c>
      <c r="B36" s="46">
        <f t="shared" si="2"/>
        <v>3910854.28</v>
      </c>
      <c r="C36" s="44">
        <v>354060.77</v>
      </c>
      <c r="D36" s="47">
        <v>0.0335</v>
      </c>
      <c r="E36" s="43">
        <f aca="true" t="shared" si="4" ref="E36:E67">(B36*D36)/12</f>
        <v>10917.801531666666</v>
      </c>
      <c r="F36" s="43">
        <f t="shared" si="3"/>
        <v>176198.1389521667</v>
      </c>
      <c r="G36" s="43">
        <f t="shared" si="1"/>
        <v>4441113.188952167</v>
      </c>
      <c r="H36" s="48"/>
      <c r="J36" s="40"/>
    </row>
    <row r="37" spans="1:8" ht="15">
      <c r="A37" s="42">
        <v>39722</v>
      </c>
      <c r="B37" s="46">
        <f t="shared" si="2"/>
        <v>4264915.05</v>
      </c>
      <c r="C37" s="44">
        <v>185720.2</v>
      </c>
      <c r="D37" s="47">
        <v>0.0335</v>
      </c>
      <c r="E37" s="43">
        <f t="shared" si="4"/>
        <v>11906.22118125</v>
      </c>
      <c r="F37" s="43">
        <f t="shared" si="3"/>
        <v>188104.3601334167</v>
      </c>
      <c r="G37" s="43">
        <f t="shared" si="1"/>
        <v>4638739.610133417</v>
      </c>
      <c r="H37" s="48"/>
    </row>
    <row r="38" spans="1:9" ht="15">
      <c r="A38" s="42">
        <v>39753</v>
      </c>
      <c r="B38" s="46">
        <f t="shared" si="2"/>
        <v>4450635.25</v>
      </c>
      <c r="C38" s="44">
        <v>191099.14</v>
      </c>
      <c r="D38" s="47">
        <v>0.0335</v>
      </c>
      <c r="E38" s="43">
        <f t="shared" si="4"/>
        <v>12424.690072916666</v>
      </c>
      <c r="F38" s="43">
        <f t="shared" si="3"/>
        <v>200529.05020633334</v>
      </c>
      <c r="G38" s="43">
        <f t="shared" si="1"/>
        <v>4842263.440206333</v>
      </c>
      <c r="I38" s="48"/>
    </row>
    <row r="39" spans="1:11" ht="15">
      <c r="A39" s="42">
        <v>39783</v>
      </c>
      <c r="B39" s="46">
        <f t="shared" si="2"/>
        <v>4641734.39</v>
      </c>
      <c r="C39" s="44">
        <v>192441.01</v>
      </c>
      <c r="D39" s="47">
        <v>0.0335</v>
      </c>
      <c r="E39" s="43">
        <f t="shared" si="4"/>
        <v>12958.175172083333</v>
      </c>
      <c r="F39" s="43">
        <f t="shared" si="3"/>
        <v>213487.22537841668</v>
      </c>
      <c r="G39" s="43">
        <f t="shared" si="1"/>
        <v>5047662.625378416</v>
      </c>
      <c r="K39" s="39" t="s">
        <v>71</v>
      </c>
    </row>
    <row r="40" spans="1:8" ht="15">
      <c r="A40" s="42">
        <v>39814</v>
      </c>
      <c r="B40" s="46">
        <f t="shared" si="2"/>
        <v>4834175.399999999</v>
      </c>
      <c r="C40" s="44">
        <v>192097.07</v>
      </c>
      <c r="D40" s="47">
        <v>0.0245</v>
      </c>
      <c r="E40" s="43">
        <f t="shared" si="4"/>
        <v>9869.774775</v>
      </c>
      <c r="F40" s="43">
        <f t="shared" si="3"/>
        <v>223357.00015341668</v>
      </c>
      <c r="G40" s="43">
        <f t="shared" si="1"/>
        <v>5249629.4701534165</v>
      </c>
      <c r="H40" s="48"/>
    </row>
    <row r="41" spans="1:7" ht="15">
      <c r="A41" s="42">
        <v>39845</v>
      </c>
      <c r="B41" s="46">
        <f t="shared" si="2"/>
        <v>5026272.47</v>
      </c>
      <c r="C41" s="44">
        <v>199179.87</v>
      </c>
      <c r="D41" s="47">
        <v>0.0245</v>
      </c>
      <c r="E41" s="43">
        <f t="shared" si="4"/>
        <v>10261.972959583332</v>
      </c>
      <c r="F41" s="43">
        <f t="shared" si="3"/>
        <v>233618.97311300001</v>
      </c>
      <c r="G41" s="43">
        <f aca="true" t="shared" si="5" ref="G41:G72">+B41+C41+F41</f>
        <v>5459071.313113</v>
      </c>
    </row>
    <row r="42" spans="1:7" ht="15">
      <c r="A42" s="42">
        <v>39873</v>
      </c>
      <c r="B42" s="46">
        <f t="shared" si="2"/>
        <v>5225452.34</v>
      </c>
      <c r="C42" s="44">
        <v>165350.75</v>
      </c>
      <c r="D42" s="47">
        <v>0.0245</v>
      </c>
      <c r="E42" s="43">
        <f t="shared" si="4"/>
        <v>10668.631860833333</v>
      </c>
      <c r="F42" s="43">
        <f aca="true" t="shared" si="6" ref="F42:F73">+F41+E42</f>
        <v>244287.60497383334</v>
      </c>
      <c r="G42" s="43">
        <f t="shared" si="5"/>
        <v>5635090.694973833</v>
      </c>
    </row>
    <row r="43" spans="1:11" ht="15">
      <c r="A43" s="42">
        <v>39904</v>
      </c>
      <c r="B43" s="46">
        <f t="shared" si="2"/>
        <v>5390803.09</v>
      </c>
      <c r="C43" s="44">
        <v>200009.99</v>
      </c>
      <c r="D43" s="47">
        <v>0.01</v>
      </c>
      <c r="E43" s="43">
        <f t="shared" si="4"/>
        <v>4492.3359083333335</v>
      </c>
      <c r="F43" s="43">
        <f t="shared" si="6"/>
        <v>248779.94088216667</v>
      </c>
      <c r="G43" s="43">
        <f t="shared" si="5"/>
        <v>5839593.020882167</v>
      </c>
      <c r="H43" s="48"/>
      <c r="K43" s="39" t="s">
        <v>71</v>
      </c>
    </row>
    <row r="44" spans="1:7" ht="15">
      <c r="A44" s="42">
        <v>39934</v>
      </c>
      <c r="B44" s="46">
        <f t="shared" si="2"/>
        <v>5590813.08</v>
      </c>
      <c r="C44" s="44">
        <v>181434.67</v>
      </c>
      <c r="D44" s="47">
        <v>0.01</v>
      </c>
      <c r="E44" s="43">
        <f t="shared" si="4"/>
        <v>4659.0109</v>
      </c>
      <c r="F44" s="43">
        <f t="shared" si="6"/>
        <v>253438.95178216667</v>
      </c>
      <c r="G44" s="43">
        <f t="shared" si="5"/>
        <v>6025686.701782167</v>
      </c>
    </row>
    <row r="45" spans="1:7" ht="15">
      <c r="A45" s="42">
        <v>39965</v>
      </c>
      <c r="B45" s="46">
        <f t="shared" si="2"/>
        <v>5772247.75</v>
      </c>
      <c r="C45" s="44">
        <v>181892.78</v>
      </c>
      <c r="D45" s="47">
        <v>0.01</v>
      </c>
      <c r="E45" s="43">
        <f t="shared" si="4"/>
        <v>4810.206458333333</v>
      </c>
      <c r="F45" s="43">
        <f t="shared" si="6"/>
        <v>258249.1582405</v>
      </c>
      <c r="G45" s="43">
        <f t="shared" si="5"/>
        <v>6212389.6882405</v>
      </c>
    </row>
    <row r="46" spans="1:7" ht="15">
      <c r="A46" s="42">
        <v>39995</v>
      </c>
      <c r="B46" s="46">
        <f t="shared" si="2"/>
        <v>5954140.53</v>
      </c>
      <c r="C46" s="44">
        <v>193078.73</v>
      </c>
      <c r="D46" s="47">
        <v>0.0055</v>
      </c>
      <c r="E46" s="43">
        <f t="shared" si="4"/>
        <v>2728.9810762499997</v>
      </c>
      <c r="F46" s="43">
        <f t="shared" si="6"/>
        <v>260978.13931675</v>
      </c>
      <c r="G46" s="43">
        <f t="shared" si="5"/>
        <v>6408197.3993167505</v>
      </c>
    </row>
    <row r="47" spans="1:11" ht="15">
      <c r="A47" s="42">
        <v>40026</v>
      </c>
      <c r="B47" s="46">
        <f t="shared" si="2"/>
        <v>6147219.260000001</v>
      </c>
      <c r="C47" s="44">
        <v>206153</v>
      </c>
      <c r="D47" s="47">
        <v>0.0055</v>
      </c>
      <c r="E47" s="43">
        <f t="shared" si="4"/>
        <v>2817.475494166667</v>
      </c>
      <c r="F47" s="43">
        <f t="shared" si="6"/>
        <v>263795.61481091665</v>
      </c>
      <c r="G47" s="43">
        <f t="shared" si="5"/>
        <v>6617167.874810917</v>
      </c>
      <c r="K47" s="39" t="s">
        <v>71</v>
      </c>
    </row>
    <row r="48" spans="1:7" ht="15">
      <c r="A48" s="42">
        <v>40057</v>
      </c>
      <c r="B48" s="46">
        <f t="shared" si="2"/>
        <v>6353372.260000001</v>
      </c>
      <c r="C48" s="44">
        <v>171463.82</v>
      </c>
      <c r="D48" s="47">
        <v>0.0055</v>
      </c>
      <c r="E48" s="43">
        <f t="shared" si="4"/>
        <v>2911.962285833333</v>
      </c>
      <c r="F48" s="43">
        <f t="shared" si="6"/>
        <v>266707.57709674997</v>
      </c>
      <c r="G48" s="43">
        <f t="shared" si="5"/>
        <v>6791543.657096751</v>
      </c>
    </row>
    <row r="49" spans="1:7" ht="15">
      <c r="A49" s="42">
        <v>40087</v>
      </c>
      <c r="B49" s="46">
        <f t="shared" si="2"/>
        <v>6524836.080000001</v>
      </c>
      <c r="C49" s="44">
        <v>188961.2</v>
      </c>
      <c r="D49" s="47">
        <v>0.0055</v>
      </c>
      <c r="E49" s="43">
        <f t="shared" si="4"/>
        <v>2990.5498700000003</v>
      </c>
      <c r="F49" s="43">
        <f t="shared" si="6"/>
        <v>269698.12696674996</v>
      </c>
      <c r="G49" s="43">
        <f t="shared" si="5"/>
        <v>6983495.406966751</v>
      </c>
    </row>
    <row r="50" spans="1:7" ht="15">
      <c r="A50" s="42">
        <v>40118</v>
      </c>
      <c r="B50" s="46">
        <f t="shared" si="2"/>
        <v>6713797.280000001</v>
      </c>
      <c r="C50" s="44">
        <v>375126.77</v>
      </c>
      <c r="D50" s="47">
        <v>0.0055</v>
      </c>
      <c r="E50" s="43">
        <f t="shared" si="4"/>
        <v>3077.1570866666666</v>
      </c>
      <c r="F50" s="43">
        <f t="shared" si="6"/>
        <v>272775.28405341663</v>
      </c>
      <c r="G50" s="43">
        <f t="shared" si="5"/>
        <v>7361699.334053418</v>
      </c>
    </row>
    <row r="51" spans="1:11" ht="15">
      <c r="A51" s="42">
        <v>40148</v>
      </c>
      <c r="B51" s="46">
        <f t="shared" si="2"/>
        <v>7088924.050000001</v>
      </c>
      <c r="C51" s="44">
        <v>363072.38</v>
      </c>
      <c r="D51" s="47">
        <v>0.0055</v>
      </c>
      <c r="E51" s="43">
        <f t="shared" si="4"/>
        <v>3249.0901895833335</v>
      </c>
      <c r="F51" s="43">
        <f t="shared" si="6"/>
        <v>276024.37424299994</v>
      </c>
      <c r="G51" s="43">
        <f t="shared" si="5"/>
        <v>7728020.804243</v>
      </c>
      <c r="K51" s="39" t="s">
        <v>71</v>
      </c>
    </row>
    <row r="52" spans="1:7" ht="15">
      <c r="A52" s="42">
        <v>40179</v>
      </c>
      <c r="B52" s="46">
        <f t="shared" si="2"/>
        <v>7451996.430000001</v>
      </c>
      <c r="C52" s="44">
        <v>449162.59</v>
      </c>
      <c r="D52" s="47">
        <v>0.0055</v>
      </c>
      <c r="E52" s="43">
        <f t="shared" si="4"/>
        <v>3415.4983637500004</v>
      </c>
      <c r="F52" s="43">
        <f t="shared" si="6"/>
        <v>279439.87260674994</v>
      </c>
      <c r="G52" s="43">
        <f t="shared" si="5"/>
        <v>8180598.89260675</v>
      </c>
    </row>
    <row r="53" spans="1:7" ht="15">
      <c r="A53" s="42">
        <v>40210</v>
      </c>
      <c r="B53" s="46">
        <f t="shared" si="2"/>
        <v>7901159.0200000005</v>
      </c>
      <c r="C53" s="44">
        <v>371437.92</v>
      </c>
      <c r="D53" s="47">
        <v>0.0055</v>
      </c>
      <c r="E53" s="43">
        <f t="shared" si="4"/>
        <v>3621.3645508333334</v>
      </c>
      <c r="F53" s="43">
        <f t="shared" si="6"/>
        <v>283061.2371575833</v>
      </c>
      <c r="G53" s="43">
        <f t="shared" si="5"/>
        <v>8555658.177157585</v>
      </c>
    </row>
    <row r="54" spans="1:7" ht="15">
      <c r="A54" s="42">
        <v>40238</v>
      </c>
      <c r="B54" s="46">
        <f t="shared" si="2"/>
        <v>8272596.94</v>
      </c>
      <c r="C54" s="44">
        <v>348553.25</v>
      </c>
      <c r="D54" s="47">
        <v>0.0055</v>
      </c>
      <c r="E54" s="43">
        <f t="shared" si="4"/>
        <v>3791.6069308333335</v>
      </c>
      <c r="F54" s="43">
        <f t="shared" si="6"/>
        <v>286852.8440884166</v>
      </c>
      <c r="G54" s="43">
        <f t="shared" si="5"/>
        <v>8908003.034088418</v>
      </c>
    </row>
    <row r="55" spans="1:11" ht="15">
      <c r="A55" s="42">
        <v>40269</v>
      </c>
      <c r="B55" s="46">
        <f t="shared" si="2"/>
        <v>8621150.190000001</v>
      </c>
      <c r="C55" s="44">
        <v>376562.70999999996</v>
      </c>
      <c r="D55" s="47">
        <v>0.0055</v>
      </c>
      <c r="E55" s="43">
        <f t="shared" si="4"/>
        <v>3951.36050375</v>
      </c>
      <c r="F55" s="43">
        <f t="shared" si="6"/>
        <v>290804.2045921666</v>
      </c>
      <c r="G55" s="43">
        <f t="shared" si="5"/>
        <v>9288517.104592169</v>
      </c>
      <c r="H55" s="48"/>
      <c r="K55" s="39" t="s">
        <v>71</v>
      </c>
    </row>
    <row r="56" spans="1:7" ht="15">
      <c r="A56" s="42">
        <v>40299</v>
      </c>
      <c r="B56" s="46">
        <f t="shared" si="2"/>
        <v>8997712.900000002</v>
      </c>
      <c r="C56" s="44">
        <v>368087.35</v>
      </c>
      <c r="D56" s="47">
        <v>0.0055</v>
      </c>
      <c r="E56" s="43">
        <f t="shared" si="4"/>
        <v>4123.951745833334</v>
      </c>
      <c r="F56" s="43">
        <f t="shared" si="6"/>
        <v>294928.1563379999</v>
      </c>
      <c r="G56" s="43">
        <f t="shared" si="5"/>
        <v>9660728.406338003</v>
      </c>
    </row>
    <row r="57" spans="1:7" ht="15">
      <c r="A57" s="42">
        <v>40330</v>
      </c>
      <c r="B57" s="46">
        <f t="shared" si="2"/>
        <v>9365800.250000002</v>
      </c>
      <c r="C57" s="44">
        <v>326712.4</v>
      </c>
      <c r="D57" s="47">
        <v>0.0055</v>
      </c>
      <c r="E57" s="43">
        <f t="shared" si="4"/>
        <v>4292.658447916668</v>
      </c>
      <c r="F57" s="43">
        <f t="shared" si="6"/>
        <v>299220.8147859166</v>
      </c>
      <c r="G57" s="43">
        <f t="shared" si="5"/>
        <v>9991733.464785919</v>
      </c>
    </row>
    <row r="58" spans="1:7" ht="15">
      <c r="A58" s="42">
        <v>40360</v>
      </c>
      <c r="B58" s="46">
        <v>0</v>
      </c>
      <c r="C58" s="44">
        <v>367443.48</v>
      </c>
      <c r="D58" s="47">
        <v>0.0055</v>
      </c>
      <c r="E58" s="43">
        <f t="shared" si="4"/>
        <v>0</v>
      </c>
      <c r="F58" s="43">
        <f t="shared" si="6"/>
        <v>299220.8147859166</v>
      </c>
      <c r="G58" s="43">
        <f t="shared" si="5"/>
        <v>666664.2947859166</v>
      </c>
    </row>
    <row r="59" spans="1:7" ht="15">
      <c r="A59" s="42">
        <v>40391</v>
      </c>
      <c r="B59" s="46">
        <v>0</v>
      </c>
      <c r="C59" s="44">
        <v>0</v>
      </c>
      <c r="D59" s="47">
        <v>0.0055</v>
      </c>
      <c r="E59" s="43">
        <f t="shared" si="4"/>
        <v>0</v>
      </c>
      <c r="F59" s="43">
        <f t="shared" si="6"/>
        <v>299220.8147859166</v>
      </c>
      <c r="G59" s="43">
        <f t="shared" si="5"/>
        <v>299220.8147859166</v>
      </c>
    </row>
    <row r="60" spans="1:7" ht="15">
      <c r="A60" s="42">
        <v>40422</v>
      </c>
      <c r="B60" s="46">
        <v>0</v>
      </c>
      <c r="C60" s="44">
        <v>0</v>
      </c>
      <c r="D60" s="47">
        <v>0.0055</v>
      </c>
      <c r="E60" s="43">
        <f t="shared" si="4"/>
        <v>0</v>
      </c>
      <c r="F60" s="43">
        <f t="shared" si="6"/>
        <v>299220.8147859166</v>
      </c>
      <c r="G60" s="43">
        <f t="shared" si="5"/>
        <v>299220.8147859166</v>
      </c>
    </row>
    <row r="61" spans="1:7" ht="15">
      <c r="A61" s="42">
        <v>40452</v>
      </c>
      <c r="B61" s="46">
        <v>0</v>
      </c>
      <c r="C61" s="44">
        <v>0</v>
      </c>
      <c r="D61" s="47">
        <v>0.0055</v>
      </c>
      <c r="E61" s="43">
        <f t="shared" si="4"/>
        <v>0</v>
      </c>
      <c r="F61" s="43">
        <f t="shared" si="6"/>
        <v>299220.8147859166</v>
      </c>
      <c r="G61" s="43">
        <f t="shared" si="5"/>
        <v>299220.8147859166</v>
      </c>
    </row>
    <row r="62" spans="1:7" ht="15">
      <c r="A62" s="42">
        <v>40483</v>
      </c>
      <c r="B62" s="46">
        <v>0</v>
      </c>
      <c r="C62" s="44">
        <v>0</v>
      </c>
      <c r="D62" s="47">
        <v>0.0055</v>
      </c>
      <c r="E62" s="43">
        <f t="shared" si="4"/>
        <v>0</v>
      </c>
      <c r="F62" s="43">
        <f t="shared" si="6"/>
        <v>299220.8147859166</v>
      </c>
      <c r="G62" s="43">
        <f t="shared" si="5"/>
        <v>299220.8147859166</v>
      </c>
    </row>
    <row r="63" spans="1:7" ht="15">
      <c r="A63" s="42">
        <v>40513</v>
      </c>
      <c r="B63" s="46">
        <v>0</v>
      </c>
      <c r="C63" s="44">
        <v>0</v>
      </c>
      <c r="D63" s="47">
        <v>0.0055</v>
      </c>
      <c r="E63" s="43">
        <f t="shared" si="4"/>
        <v>0</v>
      </c>
      <c r="F63" s="43">
        <f t="shared" si="6"/>
        <v>299220.8147859166</v>
      </c>
      <c r="G63" s="43">
        <f t="shared" si="5"/>
        <v>299220.8147859166</v>
      </c>
    </row>
    <row r="64" spans="1:7" ht="15">
      <c r="A64" s="42">
        <v>40544</v>
      </c>
      <c r="B64" s="46">
        <v>0</v>
      </c>
      <c r="C64" s="44">
        <v>0</v>
      </c>
      <c r="D64" s="47">
        <v>0.0055</v>
      </c>
      <c r="E64" s="43">
        <f t="shared" si="4"/>
        <v>0</v>
      </c>
      <c r="F64" s="43">
        <f t="shared" si="6"/>
        <v>299220.8147859166</v>
      </c>
      <c r="G64" s="43">
        <f t="shared" si="5"/>
        <v>299220.8147859166</v>
      </c>
    </row>
    <row r="65" spans="1:7" ht="15">
      <c r="A65" s="42">
        <v>40575</v>
      </c>
      <c r="B65" s="46">
        <v>0</v>
      </c>
      <c r="C65" s="44">
        <v>0</v>
      </c>
      <c r="D65" s="47">
        <v>0.0055</v>
      </c>
      <c r="E65" s="43">
        <f t="shared" si="4"/>
        <v>0</v>
      </c>
      <c r="F65" s="43">
        <f t="shared" si="6"/>
        <v>299220.8147859166</v>
      </c>
      <c r="G65" s="43">
        <f t="shared" si="5"/>
        <v>299220.8147859166</v>
      </c>
    </row>
    <row r="66" spans="1:7" ht="15">
      <c r="A66" s="42">
        <v>40603</v>
      </c>
      <c r="B66" s="46">
        <v>0</v>
      </c>
      <c r="C66" s="44">
        <v>0</v>
      </c>
      <c r="D66" s="47">
        <v>0.0055</v>
      </c>
      <c r="E66" s="43">
        <f t="shared" si="4"/>
        <v>0</v>
      </c>
      <c r="F66" s="43">
        <f t="shared" si="6"/>
        <v>299220.8147859166</v>
      </c>
      <c r="G66" s="43">
        <f t="shared" si="5"/>
        <v>299220.8147859166</v>
      </c>
    </row>
    <row r="67" spans="1:7" ht="15">
      <c r="A67" s="42">
        <v>40634</v>
      </c>
      <c r="B67" s="46">
        <v>0</v>
      </c>
      <c r="C67" s="44">
        <v>0</v>
      </c>
      <c r="D67" s="47">
        <v>0.0055</v>
      </c>
      <c r="E67" s="43">
        <f t="shared" si="4"/>
        <v>0</v>
      </c>
      <c r="F67" s="43">
        <f t="shared" si="6"/>
        <v>299220.8147859166</v>
      </c>
      <c r="G67" s="43">
        <f t="shared" si="5"/>
        <v>299220.8147859166</v>
      </c>
    </row>
    <row r="68" spans="1:7" ht="15">
      <c r="A68" s="42">
        <v>40664</v>
      </c>
      <c r="B68" s="46">
        <v>0</v>
      </c>
      <c r="C68" s="44">
        <v>0</v>
      </c>
      <c r="D68" s="47">
        <v>0.0055</v>
      </c>
      <c r="E68" s="43">
        <f aca="true" t="shared" si="7" ref="E68:E80">(B68*D68)/12</f>
        <v>0</v>
      </c>
      <c r="F68" s="43">
        <f t="shared" si="6"/>
        <v>299220.8147859166</v>
      </c>
      <c r="G68" s="43">
        <f t="shared" si="5"/>
        <v>299220.8147859166</v>
      </c>
    </row>
    <row r="69" spans="1:7" ht="15">
      <c r="A69" s="42">
        <v>40695</v>
      </c>
      <c r="B69" s="46">
        <v>0</v>
      </c>
      <c r="C69" s="44">
        <v>0</v>
      </c>
      <c r="D69" s="47">
        <v>0.0055</v>
      </c>
      <c r="E69" s="43">
        <f t="shared" si="7"/>
        <v>0</v>
      </c>
      <c r="F69" s="43">
        <f t="shared" si="6"/>
        <v>299220.8147859166</v>
      </c>
      <c r="G69" s="43">
        <f t="shared" si="5"/>
        <v>299220.8147859166</v>
      </c>
    </row>
    <row r="70" spans="1:7" ht="15">
      <c r="A70" s="42">
        <v>40725</v>
      </c>
      <c r="B70" s="46">
        <v>0</v>
      </c>
      <c r="C70" s="44">
        <v>0</v>
      </c>
      <c r="D70" s="47">
        <v>0.0055</v>
      </c>
      <c r="E70" s="43">
        <f t="shared" si="7"/>
        <v>0</v>
      </c>
      <c r="F70" s="43">
        <f t="shared" si="6"/>
        <v>299220.8147859166</v>
      </c>
      <c r="G70" s="43">
        <f t="shared" si="5"/>
        <v>299220.8147859166</v>
      </c>
    </row>
    <row r="71" spans="1:7" ht="15">
      <c r="A71" s="42">
        <v>40756</v>
      </c>
      <c r="B71" s="46">
        <v>0</v>
      </c>
      <c r="C71" s="44">
        <v>0</v>
      </c>
      <c r="D71" s="47">
        <v>0.0055</v>
      </c>
      <c r="E71" s="43">
        <f t="shared" si="7"/>
        <v>0</v>
      </c>
      <c r="F71" s="43">
        <f t="shared" si="6"/>
        <v>299220.8147859166</v>
      </c>
      <c r="G71" s="43">
        <f t="shared" si="5"/>
        <v>299220.8147859166</v>
      </c>
    </row>
    <row r="72" spans="1:7" ht="15">
      <c r="A72" s="42">
        <v>40787</v>
      </c>
      <c r="B72" s="46">
        <v>0</v>
      </c>
      <c r="C72" s="44">
        <v>0</v>
      </c>
      <c r="D72" s="47">
        <v>0.0055</v>
      </c>
      <c r="E72" s="43">
        <f t="shared" si="7"/>
        <v>0</v>
      </c>
      <c r="F72" s="43">
        <f t="shared" si="6"/>
        <v>299220.8147859166</v>
      </c>
      <c r="G72" s="43">
        <f t="shared" si="5"/>
        <v>299220.8147859166</v>
      </c>
    </row>
    <row r="73" spans="1:7" ht="15">
      <c r="A73" s="42">
        <v>40817</v>
      </c>
      <c r="B73" s="46">
        <v>0</v>
      </c>
      <c r="C73" s="44">
        <v>0</v>
      </c>
      <c r="D73" s="47">
        <v>0.0055</v>
      </c>
      <c r="E73" s="43">
        <f t="shared" si="7"/>
        <v>0</v>
      </c>
      <c r="F73" s="43">
        <f t="shared" si="6"/>
        <v>299220.8147859166</v>
      </c>
      <c r="G73" s="43">
        <f aca="true" t="shared" si="8" ref="G73:G80">+B73+C73+F73</f>
        <v>299220.8147859166</v>
      </c>
    </row>
    <row r="74" spans="1:7" ht="15">
      <c r="A74" s="42">
        <v>40848</v>
      </c>
      <c r="B74" s="46">
        <v>0</v>
      </c>
      <c r="C74" s="44">
        <v>0</v>
      </c>
      <c r="D74" s="47">
        <v>0.0055</v>
      </c>
      <c r="E74" s="43">
        <f t="shared" si="7"/>
        <v>0</v>
      </c>
      <c r="F74" s="43">
        <f aca="true" t="shared" si="9" ref="F74:F80">+F73+E74</f>
        <v>299220.8147859166</v>
      </c>
      <c r="G74" s="43">
        <f t="shared" si="8"/>
        <v>299220.8147859166</v>
      </c>
    </row>
    <row r="75" spans="1:7" ht="15">
      <c r="A75" s="42">
        <v>40878</v>
      </c>
      <c r="B75" s="46">
        <v>0</v>
      </c>
      <c r="C75" s="44">
        <v>0</v>
      </c>
      <c r="D75" s="47">
        <v>0.0055</v>
      </c>
      <c r="E75" s="43">
        <f t="shared" si="7"/>
        <v>0</v>
      </c>
      <c r="F75" s="43">
        <f t="shared" si="9"/>
        <v>299220.8147859166</v>
      </c>
      <c r="G75" s="43">
        <f t="shared" si="8"/>
        <v>299220.8147859166</v>
      </c>
    </row>
    <row r="76" spans="1:7" ht="15">
      <c r="A76" s="42">
        <v>40909</v>
      </c>
      <c r="B76" s="46">
        <v>0</v>
      </c>
      <c r="C76" s="44">
        <v>0</v>
      </c>
      <c r="D76" s="47">
        <v>0.0055</v>
      </c>
      <c r="E76" s="43">
        <f t="shared" si="7"/>
        <v>0</v>
      </c>
      <c r="F76" s="43">
        <f t="shared" si="9"/>
        <v>299220.8147859166</v>
      </c>
      <c r="G76" s="43">
        <f t="shared" si="8"/>
        <v>299220.8147859166</v>
      </c>
    </row>
    <row r="77" spans="1:7" ht="15">
      <c r="A77" s="42">
        <v>40940</v>
      </c>
      <c r="B77" s="46">
        <v>0</v>
      </c>
      <c r="C77" s="44">
        <v>0</v>
      </c>
      <c r="D77" s="47">
        <v>0.0055</v>
      </c>
      <c r="E77" s="43">
        <f t="shared" si="7"/>
        <v>0</v>
      </c>
      <c r="F77" s="43">
        <f t="shared" si="9"/>
        <v>299220.8147859166</v>
      </c>
      <c r="G77" s="43">
        <f t="shared" si="8"/>
        <v>299220.8147859166</v>
      </c>
    </row>
    <row r="78" spans="1:7" ht="15">
      <c r="A78" s="42">
        <v>40969</v>
      </c>
      <c r="B78" s="46">
        <v>0</v>
      </c>
      <c r="C78" s="44">
        <v>0</v>
      </c>
      <c r="D78" s="47">
        <v>0.0055</v>
      </c>
      <c r="E78" s="43">
        <f t="shared" si="7"/>
        <v>0</v>
      </c>
      <c r="F78" s="43">
        <f t="shared" si="9"/>
        <v>299220.8147859166</v>
      </c>
      <c r="G78" s="43">
        <f t="shared" si="8"/>
        <v>299220.8147859166</v>
      </c>
    </row>
    <row r="79" spans="1:7" ht="15">
      <c r="A79" s="42">
        <v>41000</v>
      </c>
      <c r="B79" s="46">
        <v>0</v>
      </c>
      <c r="C79" s="44">
        <v>0</v>
      </c>
      <c r="D79" s="47">
        <v>0.0055</v>
      </c>
      <c r="E79" s="43">
        <f t="shared" si="7"/>
        <v>0</v>
      </c>
      <c r="F79" s="43">
        <f t="shared" si="9"/>
        <v>299220.8147859166</v>
      </c>
      <c r="G79" s="43">
        <f t="shared" si="8"/>
        <v>299220.8147859166</v>
      </c>
    </row>
    <row r="80" spans="1:7" ht="15">
      <c r="A80" s="42">
        <v>41030</v>
      </c>
      <c r="B80" s="46">
        <v>0</v>
      </c>
      <c r="C80" s="44">
        <v>0</v>
      </c>
      <c r="D80" s="47">
        <v>0.0055</v>
      </c>
      <c r="E80" s="43">
        <f t="shared" si="7"/>
        <v>0</v>
      </c>
      <c r="F80" s="43">
        <f t="shared" si="9"/>
        <v>299220.8147859166</v>
      </c>
      <c r="G80" s="43">
        <f t="shared" si="8"/>
        <v>299220.8147859166</v>
      </c>
    </row>
  </sheetData>
  <sheetProtection/>
  <mergeCells count="1">
    <mergeCell ref="A1:G1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="75" zoomScaleNormal="75" zoomScalePageLayoutView="0" workbookViewId="0" topLeftCell="A1">
      <selection activeCell="F28" sqref="F28"/>
    </sheetView>
  </sheetViews>
  <sheetFormatPr defaultColWidth="9.140625" defaultRowHeight="12.75"/>
  <cols>
    <col min="3" max="3" width="17.140625" style="0" customWidth="1"/>
    <col min="5" max="5" width="13.421875" style="0" customWidth="1"/>
    <col min="6" max="6" width="12.28125" style="0" bestFit="1" customWidth="1"/>
    <col min="7" max="7" width="1.8515625" style="0" customWidth="1"/>
    <col min="12" max="12" width="9.7109375" style="0" customWidth="1"/>
    <col min="13" max="13" width="11.8515625" style="0" customWidth="1"/>
    <col min="14" max="14" width="12.28125" style="0" bestFit="1" customWidth="1"/>
  </cols>
  <sheetData>
    <row r="1" ht="12.75">
      <c r="A1" s="112" t="s">
        <v>224</v>
      </c>
    </row>
    <row r="3" spans="1:8" ht="12.75">
      <c r="A3" s="114" t="s">
        <v>232</v>
      </c>
      <c r="H3" s="114" t="s">
        <v>231</v>
      </c>
    </row>
    <row r="6" spans="1:8" ht="15.75">
      <c r="A6" s="52" t="s">
        <v>75</v>
      </c>
      <c r="H6" s="52" t="s">
        <v>75</v>
      </c>
    </row>
    <row r="7" spans="1:14" ht="12.75">
      <c r="A7" s="26" t="s">
        <v>76</v>
      </c>
      <c r="F7" s="118">
        <v>100749.81680045898</v>
      </c>
      <c r="H7" s="26" t="s">
        <v>76</v>
      </c>
      <c r="N7" s="108">
        <v>100749.81680045898</v>
      </c>
    </row>
    <row r="8" spans="1:14" ht="12.75">
      <c r="A8" s="26" t="s">
        <v>77</v>
      </c>
      <c r="F8" s="118">
        <v>1341857.0793907337</v>
      </c>
      <c r="H8" s="26" t="s">
        <v>77</v>
      </c>
      <c r="N8" s="108">
        <v>1341857.0793907337</v>
      </c>
    </row>
    <row r="9" spans="1:14" ht="12.75">
      <c r="A9" s="26" t="s">
        <v>78</v>
      </c>
      <c r="F9" s="118">
        <v>2307972.5941375536</v>
      </c>
      <c r="H9" s="26" t="s">
        <v>78</v>
      </c>
      <c r="N9" s="108">
        <v>2307972.5941375536</v>
      </c>
    </row>
    <row r="10" spans="1:14" ht="12.75">
      <c r="A10" s="26" t="s">
        <v>79</v>
      </c>
      <c r="F10" s="118">
        <v>4622342.059321559</v>
      </c>
      <c r="H10" s="26" t="s">
        <v>79</v>
      </c>
      <c r="N10" s="108">
        <v>4296560.311153107</v>
      </c>
    </row>
    <row r="11" spans="1:14" ht="12.75">
      <c r="A11" s="26" t="s">
        <v>80</v>
      </c>
      <c r="F11" s="118">
        <v>5224877.891555331</v>
      </c>
      <c r="H11" s="26" t="s">
        <v>80</v>
      </c>
      <c r="N11" s="108">
        <v>5285101.125085572</v>
      </c>
    </row>
    <row r="12" spans="6:14" ht="12.75">
      <c r="F12" s="119">
        <v>13597799.441205636</v>
      </c>
      <c r="H12" s="26" t="s">
        <v>81</v>
      </c>
      <c r="N12" s="108">
        <v>5595886.242743081</v>
      </c>
    </row>
    <row r="13" spans="6:14" ht="12.75">
      <c r="F13" s="118"/>
      <c r="N13" s="109">
        <v>18928127.169310506</v>
      </c>
    </row>
    <row r="14" spans="1:14" ht="15.75">
      <c r="A14" s="52" t="s">
        <v>82</v>
      </c>
      <c r="F14" s="118"/>
      <c r="N14" s="108"/>
    </row>
    <row r="15" spans="1:14" ht="15.75">
      <c r="A15" s="26" t="s">
        <v>83</v>
      </c>
      <c r="F15" s="118">
        <v>-1056250.83</v>
      </c>
      <c r="H15" s="52" t="s">
        <v>82</v>
      </c>
      <c r="N15" s="108"/>
    </row>
    <row r="16" spans="1:14" ht="12.75">
      <c r="A16" s="26" t="s">
        <v>84</v>
      </c>
      <c r="F16" s="118">
        <v>-2258320.38</v>
      </c>
      <c r="H16" s="26" t="s">
        <v>83</v>
      </c>
      <c r="N16" s="108">
        <v>-1056250.83</v>
      </c>
    </row>
    <row r="17" spans="1:14" ht="12.75">
      <c r="A17" s="26" t="s">
        <v>85</v>
      </c>
      <c r="F17" s="118">
        <v>-2276241.87</v>
      </c>
      <c r="H17" s="26" t="s">
        <v>84</v>
      </c>
      <c r="N17" s="108">
        <v>-2099320.38</v>
      </c>
    </row>
    <row r="18" spans="1:14" ht="12.75">
      <c r="A18" s="26" t="s">
        <v>225</v>
      </c>
      <c r="F18" s="118">
        <v>-761268</v>
      </c>
      <c r="H18" s="26" t="s">
        <v>85</v>
      </c>
      <c r="N18" s="108">
        <v>-2435241.87</v>
      </c>
    </row>
    <row r="19" spans="1:14" ht="12.75">
      <c r="A19" s="26"/>
      <c r="F19" s="119">
        <v>-6352081.08</v>
      </c>
      <c r="H19" s="26" t="s">
        <v>219</v>
      </c>
      <c r="N19" s="108">
        <v>-3406899.82</v>
      </c>
    </row>
    <row r="20" spans="1:14" ht="12.75">
      <c r="A20" s="26"/>
      <c r="F20" s="120"/>
      <c r="H20" s="26" t="s">
        <v>86</v>
      </c>
      <c r="N20" s="108">
        <v>-4374995.04</v>
      </c>
    </row>
    <row r="21" spans="1:14" ht="13.5" thickBot="1">
      <c r="A21" s="26" t="s">
        <v>226</v>
      </c>
      <c r="F21" s="121">
        <v>7245718.361205636</v>
      </c>
      <c r="H21" s="26"/>
      <c r="N21" s="109">
        <v>-13372707.940000001</v>
      </c>
    </row>
    <row r="22" spans="8:14" ht="13.5" thickTop="1">
      <c r="H22" s="26"/>
      <c r="N22" s="110"/>
    </row>
    <row r="23" spans="1:14" ht="13.5" thickBot="1">
      <c r="A23" s="26" t="s">
        <v>87</v>
      </c>
      <c r="F23" s="117">
        <v>232482</v>
      </c>
      <c r="H23" s="26" t="s">
        <v>216</v>
      </c>
      <c r="N23" s="111">
        <v>5555419.229310505</v>
      </c>
    </row>
    <row r="24" spans="1:14" ht="13.5" thickTop="1">
      <c r="A24" s="26" t="s">
        <v>88</v>
      </c>
      <c r="F24" s="16">
        <v>20</v>
      </c>
      <c r="N24" s="16"/>
    </row>
    <row r="25" spans="1:14" ht="13.5" thickBot="1">
      <c r="A25" s="26" t="s">
        <v>89</v>
      </c>
      <c r="F25" s="113">
        <v>1.5583396480599865</v>
      </c>
      <c r="H25" s="26" t="s">
        <v>87</v>
      </c>
      <c r="N25" s="106">
        <v>233707</v>
      </c>
    </row>
    <row r="26" spans="8:14" ht="13.5" thickTop="1">
      <c r="H26" s="26" t="s">
        <v>88</v>
      </c>
      <c r="N26" s="16">
        <v>12</v>
      </c>
    </row>
    <row r="27" spans="8:14" ht="13.5" thickBot="1">
      <c r="H27" s="26" t="s">
        <v>89</v>
      </c>
      <c r="N27" s="113">
        <v>1.9809060166898813</v>
      </c>
    </row>
    <row r="28" ht="13.5" thickTop="1"/>
    <row r="30" ht="12.75">
      <c r="H30" s="116" t="s">
        <v>228</v>
      </c>
    </row>
    <row r="31" ht="12.75">
      <c r="H31" t="s">
        <v>229</v>
      </c>
    </row>
    <row r="32" ht="12.75">
      <c r="H32" t="s">
        <v>246</v>
      </c>
    </row>
    <row r="33" ht="12.75">
      <c r="H33" t="s">
        <v>233</v>
      </c>
    </row>
    <row r="34" ht="12.75">
      <c r="H34" s="115" t="s">
        <v>236</v>
      </c>
    </row>
    <row r="35" ht="12.75">
      <c r="H35" t="s">
        <v>237</v>
      </c>
    </row>
    <row r="36" ht="12.75">
      <c r="H36" s="115" t="s">
        <v>234</v>
      </c>
    </row>
    <row r="37" spans="1:8" ht="12.75">
      <c r="A37" s="114"/>
      <c r="H37" t="s">
        <v>235</v>
      </c>
    </row>
    <row r="38" ht="12.75">
      <c r="A38" s="114"/>
    </row>
    <row r="39" ht="12.75">
      <c r="A39" s="114"/>
    </row>
    <row r="40" ht="12.75">
      <c r="A40" s="114"/>
    </row>
    <row r="41" ht="12.75">
      <c r="A41" s="114"/>
    </row>
    <row r="42" ht="12.75">
      <c r="A42" s="114"/>
    </row>
    <row r="43" ht="12.75">
      <c r="A43" s="114"/>
    </row>
    <row r="44" spans="1:8" ht="12.75">
      <c r="A44" s="114" t="s">
        <v>230</v>
      </c>
      <c r="H44" s="114" t="s">
        <v>245</v>
      </c>
    </row>
    <row r="45" ht="12.75">
      <c r="A45" s="114"/>
    </row>
    <row r="46" ht="12.75">
      <c r="A46" s="114"/>
    </row>
    <row r="47" spans="1:13" ht="15.75">
      <c r="A47" s="52" t="s">
        <v>75</v>
      </c>
      <c r="F47" s="16"/>
      <c r="H47" s="52" t="s">
        <v>75</v>
      </c>
      <c r="M47" s="20"/>
    </row>
    <row r="48" spans="1:14" ht="12.75">
      <c r="A48" s="26" t="s">
        <v>76</v>
      </c>
      <c r="F48" s="108">
        <v>100749.81680045898</v>
      </c>
      <c r="H48" s="26" t="s">
        <v>76</v>
      </c>
      <c r="N48" s="108">
        <v>100749.81680045898</v>
      </c>
    </row>
    <row r="49" spans="1:14" ht="12.75">
      <c r="A49" s="26" t="s">
        <v>77</v>
      </c>
      <c r="F49" s="108">
        <v>1341857.0793907337</v>
      </c>
      <c r="H49" s="26" t="s">
        <v>77</v>
      </c>
      <c r="N49" s="108">
        <v>1341857.0793907337</v>
      </c>
    </row>
    <row r="50" spans="1:14" ht="12.75">
      <c r="A50" s="26" t="s">
        <v>78</v>
      </c>
      <c r="F50" s="108">
        <v>2307972.5941375536</v>
      </c>
      <c r="H50" s="26" t="s">
        <v>78</v>
      </c>
      <c r="N50" s="108">
        <v>2307972.5941375536</v>
      </c>
    </row>
    <row r="51" spans="1:14" ht="12.75">
      <c r="A51" s="26" t="s">
        <v>79</v>
      </c>
      <c r="F51" s="108">
        <v>4296560.311153107</v>
      </c>
      <c r="H51" s="26" t="s">
        <v>79</v>
      </c>
      <c r="N51" s="108">
        <v>4296560.311153107</v>
      </c>
    </row>
    <row r="52" spans="1:14" ht="12.75">
      <c r="A52" s="26" t="s">
        <v>80</v>
      </c>
      <c r="F52" s="108">
        <v>5285101.125085572</v>
      </c>
      <c r="H52" s="26" t="s">
        <v>80</v>
      </c>
      <c r="N52" s="108">
        <v>5285101.125085572</v>
      </c>
    </row>
    <row r="53" spans="1:14" ht="12.75">
      <c r="A53" s="26" t="s">
        <v>81</v>
      </c>
      <c r="F53" s="108">
        <v>5595886.242743081</v>
      </c>
      <c r="H53" s="26" t="s">
        <v>81</v>
      </c>
      <c r="N53" s="108">
        <v>5595886.242743081</v>
      </c>
    </row>
    <row r="54" spans="6:14" ht="12.75">
      <c r="F54" s="109">
        <v>18928127.169310506</v>
      </c>
      <c r="N54" s="109">
        <v>18928127.169310506</v>
      </c>
    </row>
    <row r="55" spans="6:14" ht="12.75">
      <c r="F55" s="108"/>
      <c r="N55" s="108"/>
    </row>
    <row r="56" spans="1:14" ht="15.75">
      <c r="A56" s="52" t="s">
        <v>82</v>
      </c>
      <c r="F56" s="108"/>
      <c r="H56" s="52" t="s">
        <v>82</v>
      </c>
      <c r="N56" s="108"/>
    </row>
    <row r="57" spans="1:14" ht="12.75">
      <c r="A57" s="26" t="s">
        <v>83</v>
      </c>
      <c r="F57" s="108">
        <v>-1056250.83</v>
      </c>
      <c r="H57" s="26" t="s">
        <v>83</v>
      </c>
      <c r="N57" s="108">
        <v>-1056250.83</v>
      </c>
    </row>
    <row r="58" spans="1:14" ht="12.75">
      <c r="A58" s="26" t="s">
        <v>84</v>
      </c>
      <c r="F58" s="108">
        <v>-2099320.38</v>
      </c>
      <c r="H58" s="26" t="s">
        <v>84</v>
      </c>
      <c r="N58" s="108">
        <v>-2099320.38</v>
      </c>
    </row>
    <row r="59" spans="1:14" ht="12.75">
      <c r="A59" s="26" t="s">
        <v>85</v>
      </c>
      <c r="F59" s="108">
        <v>-2435241.87</v>
      </c>
      <c r="H59" s="26" t="s">
        <v>85</v>
      </c>
      <c r="N59" s="108">
        <v>-2435241.87</v>
      </c>
    </row>
    <row r="60" spans="1:14" ht="12.75">
      <c r="A60" s="26" t="s">
        <v>220</v>
      </c>
      <c r="F60" s="108">
        <v>-4469143.05</v>
      </c>
      <c r="H60" s="26" t="s">
        <v>220</v>
      </c>
      <c r="N60" s="108">
        <v>-4469143.05</v>
      </c>
    </row>
    <row r="61" spans="1:14" ht="12.75">
      <c r="A61" s="26" t="s">
        <v>221</v>
      </c>
      <c r="F61" s="108">
        <v>-1822914.6</v>
      </c>
      <c r="H61" s="26" t="s">
        <v>223</v>
      </c>
      <c r="N61" s="108">
        <v>-1093748.76</v>
      </c>
    </row>
    <row r="62" spans="1:14" ht="12.75">
      <c r="A62" s="26"/>
      <c r="F62" s="109">
        <v>-11882870.729999999</v>
      </c>
      <c r="H62" s="26"/>
      <c r="N62" s="109">
        <v>-11153704.889999999</v>
      </c>
    </row>
    <row r="63" spans="1:14" ht="12.75">
      <c r="A63" s="26"/>
      <c r="F63" s="110"/>
      <c r="H63" s="26"/>
      <c r="N63" s="110"/>
    </row>
    <row r="64" spans="1:14" ht="13.5" thickBot="1">
      <c r="A64" s="26" t="s">
        <v>222</v>
      </c>
      <c r="F64" s="111">
        <v>7045256.439310508</v>
      </c>
      <c r="H64" s="26" t="s">
        <v>227</v>
      </c>
      <c r="N64" s="111">
        <v>7774422.279310508</v>
      </c>
    </row>
    <row r="65" spans="6:14" ht="13.5" thickTop="1">
      <c r="F65" s="16"/>
      <c r="N65" s="16"/>
    </row>
    <row r="66" spans="1:14" ht="12.75">
      <c r="A66" s="26" t="s">
        <v>87</v>
      </c>
      <c r="F66" s="106">
        <v>233707</v>
      </c>
      <c r="H66" s="26" t="s">
        <v>87</v>
      </c>
      <c r="N66" s="106">
        <v>233707</v>
      </c>
    </row>
    <row r="67" spans="1:14" ht="12.75">
      <c r="A67" s="26" t="s">
        <v>88</v>
      </c>
      <c r="F67" s="16">
        <v>12</v>
      </c>
      <c r="H67" s="26" t="s">
        <v>88</v>
      </c>
      <c r="N67" s="16">
        <v>14</v>
      </c>
    </row>
    <row r="68" spans="1:14" ht="13.5" thickBot="1">
      <c r="A68" s="26" t="s">
        <v>89</v>
      </c>
      <c r="F68" s="113">
        <v>2.5121400012660113</v>
      </c>
      <c r="H68" s="26" t="s">
        <v>89</v>
      </c>
      <c r="N68" s="113">
        <v>2.376120001085152</v>
      </c>
    </row>
    <row r="69" ht="13.5" thickTop="1"/>
    <row r="71" spans="1:8" ht="12.75">
      <c r="A71" s="115" t="s">
        <v>238</v>
      </c>
      <c r="H71" s="115" t="s">
        <v>238</v>
      </c>
    </row>
    <row r="72" spans="1:8" ht="12.75">
      <c r="A72" s="115" t="s">
        <v>239</v>
      </c>
      <c r="H72" s="115" t="s">
        <v>242</v>
      </c>
    </row>
    <row r="73" spans="1:8" ht="12.75">
      <c r="A73" t="s">
        <v>240</v>
      </c>
      <c r="H73" t="s">
        <v>243</v>
      </c>
    </row>
    <row r="74" spans="1:8" ht="12.75">
      <c r="A74" s="115" t="s">
        <v>241</v>
      </c>
      <c r="H74" s="115" t="s">
        <v>244</v>
      </c>
    </row>
  </sheetData>
  <sheetProtection/>
  <printOptions/>
  <pageMargins left="0.75" right="0.75" top="1" bottom="1" header="0.5" footer="0.5"/>
  <pageSetup fitToHeight="2" horizontalDpi="525" verticalDpi="525" orientation="landscape" scale="85" r:id="rId1"/>
  <headerFooter alignWithMargins="0">
    <oddHeader>&amp;C&amp;F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D10:D10"/>
  <sheetViews>
    <sheetView zoomScalePageLayoutView="0" workbookViewId="0" topLeftCell="A1">
      <selection activeCell="C30" sqref="C30"/>
    </sheetView>
  </sheetViews>
  <sheetFormatPr defaultColWidth="9.140625" defaultRowHeight="12.75"/>
  <sheetData>
    <row r="10" ht="20.25">
      <c r="D10" s="50" t="s">
        <v>72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21" sqref="A21"/>
    </sheetView>
  </sheetViews>
  <sheetFormatPr defaultColWidth="9.140625" defaultRowHeight="12.75"/>
  <cols>
    <col min="5" max="5" width="20.8515625" style="0" customWidth="1"/>
    <col min="6" max="6" width="15.00390625" style="0" customWidth="1"/>
    <col min="7" max="8" width="10.8515625" style="0" bestFit="1" customWidth="1"/>
    <col min="11" max="12" width="10.8515625" style="0" hidden="1" customWidth="1"/>
  </cols>
  <sheetData>
    <row r="1" ht="18">
      <c r="A1" s="51" t="s">
        <v>73</v>
      </c>
    </row>
    <row r="2" ht="18">
      <c r="A2" s="51" t="s">
        <v>74</v>
      </c>
    </row>
    <row r="3" ht="12.75">
      <c r="F3" s="16"/>
    </row>
    <row r="4" spans="1:6" ht="15.75">
      <c r="A4" s="52" t="s">
        <v>75</v>
      </c>
      <c r="F4" s="16"/>
    </row>
    <row r="5" spans="1:6" ht="12.75">
      <c r="A5" s="26" t="s">
        <v>76</v>
      </c>
      <c r="F5" s="108">
        <f>+'Actual 2006'!D48</f>
        <v>100749.81680045898</v>
      </c>
    </row>
    <row r="6" spans="1:6" ht="12.75">
      <c r="A6" s="26" t="s">
        <v>77</v>
      </c>
      <c r="F6" s="108">
        <f>+'Actual 2007'!D48</f>
        <v>1341857.0793907337</v>
      </c>
    </row>
    <row r="7" spans="1:6" ht="12.75">
      <c r="A7" s="26" t="s">
        <v>78</v>
      </c>
      <c r="F7" s="108">
        <f>+'Actual 2008'!D48</f>
        <v>2307972.5941375536</v>
      </c>
    </row>
    <row r="8" spans="1:6" ht="12.75">
      <c r="A8" s="26" t="s">
        <v>79</v>
      </c>
      <c r="F8" s="108">
        <f>+'Actual 2009'!D48</f>
        <v>4336068.320994079</v>
      </c>
    </row>
    <row r="9" spans="1:6" ht="12.75">
      <c r="A9" s="26" t="s">
        <v>80</v>
      </c>
      <c r="F9" s="108">
        <f>+'Forecast 2010'!D48</f>
        <v>5053586.445650867</v>
      </c>
    </row>
    <row r="10" spans="1:6" ht="12.75">
      <c r="A10" s="26" t="s">
        <v>81</v>
      </c>
      <c r="F10" s="108">
        <f>+'Forecast 2011'!D48</f>
        <v>6014529.824350613</v>
      </c>
    </row>
    <row r="11" ht="12.75">
      <c r="F11" s="109">
        <f>SUM(F5:F10)</f>
        <v>19154764.081324305</v>
      </c>
    </row>
    <row r="12" ht="12.75">
      <c r="F12" s="108"/>
    </row>
    <row r="13" spans="1:6" ht="15.75">
      <c r="A13" s="52" t="s">
        <v>82</v>
      </c>
      <c r="F13" s="108"/>
    </row>
    <row r="14" spans="1:12" ht="12.75">
      <c r="A14" s="26" t="s">
        <v>83</v>
      </c>
      <c r="F14" s="108">
        <f>-SUM('7. Funding Adder Collected'!C8:C19)</f>
        <v>-1056250.83</v>
      </c>
      <c r="K14" s="53">
        <v>-1056250.83</v>
      </c>
      <c r="L14" s="101">
        <f>SUM(K14:K16)</f>
        <v>-5590813.08</v>
      </c>
    </row>
    <row r="15" spans="1:12" ht="12.75">
      <c r="A15" s="26" t="s">
        <v>84</v>
      </c>
      <c r="F15" s="108">
        <f>-SUM('7. Funding Adder Collected'!C20:C31)</f>
        <v>-2099320.38</v>
      </c>
      <c r="K15" s="53">
        <v>-2258320.38</v>
      </c>
      <c r="L15" s="101">
        <f>SUM(F14:F16)</f>
        <v>-5590813.08</v>
      </c>
    </row>
    <row r="16" spans="1:12" ht="12.75">
      <c r="A16" s="26" t="s">
        <v>85</v>
      </c>
      <c r="F16" s="108">
        <f>-SUM('7. Funding Adder Collected'!C32:C43)</f>
        <v>-2435241.87</v>
      </c>
      <c r="K16" s="53">
        <f>-2076231.88-200009.99</f>
        <v>-2276241.87</v>
      </c>
      <c r="L16" s="105">
        <f>+L14-L15</f>
        <v>0</v>
      </c>
    </row>
    <row r="17" spans="1:6" ht="12.75">
      <c r="A17" s="26" t="s">
        <v>219</v>
      </c>
      <c r="F17" s="108">
        <f>-SUM('7. Funding Adder Collected'!C44:C55)</f>
        <v>-3406899.82</v>
      </c>
    </row>
    <row r="18" spans="1:6" ht="12.75">
      <c r="A18" s="26" t="s">
        <v>86</v>
      </c>
      <c r="F18" s="108">
        <f>-1.56*233707*12</f>
        <v>-4374995.04</v>
      </c>
    </row>
    <row r="19" spans="1:6" ht="12.75">
      <c r="A19" s="26"/>
      <c r="F19" s="109">
        <f>SUM(F14:F18)</f>
        <v>-13372707.940000001</v>
      </c>
    </row>
    <row r="20" spans="1:6" ht="12.75">
      <c r="A20" s="26"/>
      <c r="F20" s="110"/>
    </row>
    <row r="21" spans="1:6" ht="13.5" thickBot="1">
      <c r="A21" s="26" t="s">
        <v>216</v>
      </c>
      <c r="F21" s="111">
        <f>+F11+F19</f>
        <v>5782056.141324304</v>
      </c>
    </row>
    <row r="22" ht="13.5" thickTop="1">
      <c r="F22" s="16"/>
    </row>
    <row r="23" spans="1:6" ht="12.75">
      <c r="A23" s="26" t="s">
        <v>87</v>
      </c>
      <c r="F23" s="106">
        <v>233707</v>
      </c>
    </row>
    <row r="24" spans="1:6" ht="12.75">
      <c r="A24" s="26" t="s">
        <v>88</v>
      </c>
      <c r="F24" s="16">
        <v>12</v>
      </c>
    </row>
    <row r="25" spans="1:6" ht="13.5" thickBot="1">
      <c r="A25" s="26" t="s">
        <v>89</v>
      </c>
      <c r="F25" s="107">
        <f>+F21/F23/F24</f>
        <v>2.0617183557917618</v>
      </c>
    </row>
    <row r="26" ht="13.5" thickTop="1"/>
    <row r="27" spans="5:6" ht="12.75" hidden="1">
      <c r="E27" t="s">
        <v>209</v>
      </c>
      <c r="F27" s="101">
        <f>+F11+F19</f>
        <v>5782056.141324304</v>
      </c>
    </row>
    <row r="28" spans="5:6" ht="12.75" hidden="1">
      <c r="E28" t="s">
        <v>210</v>
      </c>
      <c r="F28" s="101">
        <f>-+F18/12</f>
        <v>364582.92</v>
      </c>
    </row>
  </sheetData>
  <sheetProtection/>
  <printOptions/>
  <pageMargins left="0.75" right="0.75" top="1" bottom="1" header="0.5" footer="0.5"/>
  <pageSetup horizontalDpi="525" verticalDpi="52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4" sqref="A4:F25"/>
    </sheetView>
  </sheetViews>
  <sheetFormatPr defaultColWidth="9.140625" defaultRowHeight="12.75"/>
  <cols>
    <col min="5" max="5" width="20.8515625" style="0" customWidth="1"/>
    <col min="6" max="6" width="15.00390625" style="0" customWidth="1"/>
    <col min="7" max="8" width="10.8515625" style="0" bestFit="1" customWidth="1"/>
  </cols>
  <sheetData>
    <row r="1" ht="18">
      <c r="A1" s="51" t="s">
        <v>73</v>
      </c>
    </row>
    <row r="2" ht="18">
      <c r="A2" s="51" t="s">
        <v>74</v>
      </c>
    </row>
    <row r="3" ht="12.75">
      <c r="F3" s="16"/>
    </row>
    <row r="4" spans="1:6" ht="15.75">
      <c r="A4" s="52" t="s">
        <v>75</v>
      </c>
      <c r="F4" s="16"/>
    </row>
    <row r="5" spans="1:6" ht="12.75">
      <c r="A5" s="26" t="s">
        <v>76</v>
      </c>
      <c r="F5" s="108">
        <f>+'Actual 2006'!D48</f>
        <v>100749.81680045898</v>
      </c>
    </row>
    <row r="6" spans="1:6" ht="12.75">
      <c r="A6" s="26" t="s">
        <v>77</v>
      </c>
      <c r="F6" s="108">
        <f>+'Actual 2007'!D48</f>
        <v>1341857.0793907337</v>
      </c>
    </row>
    <row r="7" spans="1:6" ht="12.75">
      <c r="A7" s="26" t="s">
        <v>78</v>
      </c>
      <c r="F7" s="108">
        <f>+'Actual 2008'!D48</f>
        <v>2307972.5941375536</v>
      </c>
    </row>
    <row r="8" spans="1:6" ht="12.75">
      <c r="A8" s="26" t="s">
        <v>79</v>
      </c>
      <c r="F8" s="108">
        <f>+'Actual 2009'!D48</f>
        <v>4336068.320994079</v>
      </c>
    </row>
    <row r="9" spans="1:6" ht="12.75">
      <c r="A9" s="26" t="s">
        <v>80</v>
      </c>
      <c r="F9" s="108">
        <f>+'Forecast 2010'!D48</f>
        <v>5053586.445650867</v>
      </c>
    </row>
    <row r="10" spans="1:6" ht="12.75">
      <c r="A10" s="26" t="s">
        <v>81</v>
      </c>
      <c r="F10" s="108">
        <f>+'Forecast 2011'!D48</f>
        <v>6014529.824350613</v>
      </c>
    </row>
    <row r="11" ht="12.75">
      <c r="F11" s="109">
        <f>SUM(F5:F10)</f>
        <v>19154764.081324305</v>
      </c>
    </row>
    <row r="12" ht="12.75">
      <c r="F12" s="108"/>
    </row>
    <row r="13" spans="1:6" ht="15.75">
      <c r="A13" s="52" t="s">
        <v>82</v>
      </c>
      <c r="F13" s="108"/>
    </row>
    <row r="14" spans="1:6" ht="12.75">
      <c r="A14" s="26" t="s">
        <v>83</v>
      </c>
      <c r="F14" s="108">
        <f>-SUM('7. Funding Adder Collected'!C8:C19)</f>
        <v>-1056250.83</v>
      </c>
    </row>
    <row r="15" spans="1:6" ht="12.75">
      <c r="A15" s="26" t="s">
        <v>84</v>
      </c>
      <c r="F15" s="108">
        <f>-SUM('7. Funding Adder Collected'!C20:C31)</f>
        <v>-2099320.38</v>
      </c>
    </row>
    <row r="16" spans="1:6" ht="12.75">
      <c r="A16" s="26" t="s">
        <v>85</v>
      </c>
      <c r="F16" s="108">
        <f>-SUM('7. Funding Adder Collected'!C32:C43)</f>
        <v>-2435241.87</v>
      </c>
    </row>
    <row r="17" spans="1:6" ht="12.75">
      <c r="A17" s="26" t="s">
        <v>220</v>
      </c>
      <c r="F17" s="108">
        <f>-SUM('7. Funding Adder Collected'!C44:C58)</f>
        <v>-4469143.05</v>
      </c>
    </row>
    <row r="18" spans="1:6" ht="12.75">
      <c r="A18" s="26" t="s">
        <v>221</v>
      </c>
      <c r="F18" s="108">
        <f>-1.56*233707*5</f>
        <v>-1822914.5999999999</v>
      </c>
    </row>
    <row r="19" spans="1:6" ht="12.75">
      <c r="A19" s="26"/>
      <c r="F19" s="109">
        <f>SUM(F14:F18)</f>
        <v>-11882870.729999999</v>
      </c>
    </row>
    <row r="20" spans="1:6" ht="12.75">
      <c r="A20" s="26"/>
      <c r="F20" s="110"/>
    </row>
    <row r="21" spans="1:6" ht="13.5" thickBot="1">
      <c r="A21" s="26" t="s">
        <v>222</v>
      </c>
      <c r="F21" s="111">
        <f>+F11+F19</f>
        <v>7271893.351324307</v>
      </c>
    </row>
    <row r="22" ht="13.5" thickTop="1">
      <c r="F22" s="16"/>
    </row>
    <row r="23" spans="1:6" ht="12.75">
      <c r="A23" s="26" t="s">
        <v>87</v>
      </c>
      <c r="F23" s="106">
        <v>233707</v>
      </c>
    </row>
    <row r="24" spans="1:6" ht="12.75">
      <c r="A24" s="26" t="s">
        <v>88</v>
      </c>
      <c r="F24" s="16">
        <v>12</v>
      </c>
    </row>
    <row r="25" spans="1:6" ht="13.5" thickBot="1">
      <c r="A25" s="26" t="s">
        <v>89</v>
      </c>
      <c r="F25" s="107">
        <f>+F21/F23/F24</f>
        <v>2.592952340367892</v>
      </c>
    </row>
    <row r="26" ht="13.5" thickTop="1"/>
  </sheetData>
  <sheetProtection/>
  <printOptions/>
  <pageMargins left="0.75" right="0.75" top="1" bottom="1" header="0.5" footer="0.5"/>
  <pageSetup horizontalDpi="525" verticalDpi="5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</dc:creator>
  <cp:keywords/>
  <dc:description/>
  <cp:lastModifiedBy>GBR</cp:lastModifiedBy>
  <cp:lastPrinted>2011-01-27T14:53:10Z</cp:lastPrinted>
  <dcterms:created xsi:type="dcterms:W3CDTF">2010-06-17T12:14:34Z</dcterms:created>
  <dcterms:modified xsi:type="dcterms:W3CDTF">2011-01-28T13:00:03Z</dcterms:modified>
  <cp:category/>
  <cp:version/>
  <cp:contentType/>
  <cp:contentStatus/>
</cp:coreProperties>
</file>