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tabRatio="962" activeTab="2"/>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<sst xmlns="http://schemas.openxmlformats.org/spreadsheetml/2006/main" count="409" uniqueCount="290">
  <si>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</si>
  <si>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</si>
  <si>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</si>
  <si>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</si>
  <si>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</si>
  <si>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</si>
  <si>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</si>
  <si>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</si>
  <si>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</si>
  <si>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</si>
  <si>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</si>
  <si>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</si>
  <si>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</si>
  <si>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</si>
  <si>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</si>
  <si>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</si>
  <si>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</si>
  <si>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</si>
  <si>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</si>
  <si>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</si>
  <si>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</si>
  <si>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</si>
  <si>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</si>
  <si>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</si>
  <si>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</si>
  <si>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</si>
  <si>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</si>
  <si>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</si>
  <si>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</si>
  <si>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</si>
  <si>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</si>
  <si>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</si>
  <si>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</si>
  <si>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</si>
  <si>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</si>
  <si>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</si>
  <si>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</si>
  <si>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</si>
  <si>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</si>
  <si>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</si>
  <si>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</si>
  <si>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</si>
  <si>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</si>
  <si>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</si>
  <si>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</si>
  <si>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</si>
  <si>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</si>
  <si>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</si>
  <si>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</si>
  <si>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</si>
  <si>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</si>
  <si>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</si>
  <si>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</si>
  <si>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</si>
  <si>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</si>
  <si>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</si>
  <si>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</si>
  <si>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</si>
  <si>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</si>
  <si>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</si>
  <si>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</si>
  <si>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</si>
  <si>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</si>
  <si>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</si>
  <si>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</si>
  <si>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</si>
  <si>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</si>
  <si>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</si>
  <si>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</si>
  <si>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</si>
  <si>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</si>
  <si>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</si>
  <si>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</si>
  <si>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</si>
  <si>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</si>
  <si>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</si>
  <si>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</si>
  <si>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</si>
  <si>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</si>
  <si>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</si>
  <si>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</si>
  <si>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</si>
  <si>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</si>
  <si>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</si>
  <si>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</si>
  <si>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</si>
  <si>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</si>
  <si>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</si>
  <si>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</si>
  <si>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</si>
  <si>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</si>
  <si>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</si>
  <si>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</si>
  <si>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</si>
  <si>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</si>
  <si>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</si>
  <si>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</si>
  <si>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</si>
  <si>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</si>
  <si>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</si>
  <si>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</si>
  <si>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</si>
  <si>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</si>
  <si>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</si>
  <si>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</si>
  <si>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</si>
  <si>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</si>
  <si>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</si>
  <si>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</si>
  <si>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</si>
  <si>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</si>
  <si>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</si>
  <si>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</si>
  <si>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</si>
  <si>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</si>
  <si>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</si>
  <si>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</si>
  <si>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</si>
  <si>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</si>
  <si>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</si>
  <si>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</si>
  <si>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</si>
  <si>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</si>
  <si>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</si>
  <si>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</si>
  <si>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</si>
  <si>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</si>
  <si>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</si>
  <si>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</si>
  <si>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</si>
  <si>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</si>
  <si>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</si>
  <si>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</si>
  <si>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</si>
  <si>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</si>
  <si>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</si>
  <si>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</si>
  <si>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</si>
  <si>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</si>
  <si>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</si>
  <si>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</si>
  <si>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</si>
  <si>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</si>
  <si>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</si>
  <si>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</si>
  <si>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</si>
  <si>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</si>
  <si>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</si>
  <si>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</si>
  <si>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</si>
  <si>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</si>
  <si>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</si>
  <si>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</si>
  <si>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</si>
  <si>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</si>
  <si>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</si>
  <si>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</si>
  <si>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</si>
  <si>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</si>
  <si>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</si>
  <si>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</si>
  <si>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</si>
  <si>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</si>
  <si>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</si>
  <si>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</si>
  <si>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</si>
  <si>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</si>
  <si>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</si>
  <si>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</si>
  <si>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</si>
  <si>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</si>
  <si>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</si>
  <si>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</si>
  <si>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</si>
  <si>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</si>
  <si>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</si>
  <si>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</si>
  <si>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</si>
  <si>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</si>
  <si>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</si>
  <si>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</si>
  <si>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</si>
  <si>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</si>
  <si>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</si>
  <si>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</si>
  <si>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</si>
  <si>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</si>
  <si>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</si>
  <si>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</si>
  <si>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</si>
  <si>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</si>
  <si>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</si>
  <si>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</si>
  <si>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</si>
  <si>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</si>
  <si>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</si>
  <si>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</si>
  <si>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</si>
  <si>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</si>
  <si>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</si>
  <si>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</si>
  <si>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</si>
  <si>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</si>
  <si>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</si>
  <si>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</si>
  <si>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</si>
  <si>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</si>
  <si>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</si>
  <si>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</si>
  <si>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</si>
  <si>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</si>
  <si>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</si>
  <si>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</si>
  <si>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</si>
  <si>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</si>
  <si>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</si>
  <si>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</si>
  <si>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</si>
  <si>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</si>
  <si>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</si>
  <si>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</si>
  <si>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</si>
  <si>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</si>
  <si>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</si>
  <si>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</si>
  <si>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</si>
  <si>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</si>
  <si>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</si>
  <si>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</si>
  <si>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</si>
  <si>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</si>
  <si>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</si>
  <si>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</si>
  <si>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</si>
  <si>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</si>
  <si>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</si>
  <si>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</si>
  <si>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</si>
  <si>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</si>
  <si>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</si>
  <si>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</si>
  <si>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</si>
  <si>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</si>
  <si>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</si>
  <si>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</si>
  <si>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</si>
  <si>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</si>
  <si>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</si>
  <si>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</si>
  <si>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</si>
  <si>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</si>
  <si>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</si>
  <si>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</si>
  <si>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</si>
  <si>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</si>
  <si>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</si>
  <si>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</si>
  <si>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</si>
  <si>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</si>
  <si>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</si>
  <si>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</si>
  <si>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</si>
  <si>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</si>
  <si>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</si>
  <si>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</si>
  <si>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</si>
  <si>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</si>
  <si>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</si>
  <si>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</si>
  <si>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</si>
  <si>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</si>
  <si>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</si>
  <si>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</si>
  <si>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</si>
  <si>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</si>
  <si>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</si>
  <si>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</si>
  <si>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</si>
  <si>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</si>
  <si>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</si>
  <si>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r>
      <t xml:space="preserve">Repeaters: </t>
    </r>
    <r>
      <rPr>
        <sz val="10"/>
        <rFont val="Arial"/>
        <family val="0"/>
      </rPr>
      <t xml:space="preserve"> For the Sensus FlexNet architecture, the FlexNet TGB transceivers are treated as super-collectors, each communicating</t>
    </r>
  </si>
  <si>
    <r>
      <t>Smart Meters:</t>
    </r>
    <r>
      <rPr>
        <b/>
        <sz val="10"/>
        <rFont val="Arial"/>
        <family val="2"/>
      </rPr>
      <t xml:space="preserve"> </t>
    </r>
    <r>
      <rPr>
        <sz val="10"/>
        <rFont val="Arial"/>
        <family val="0"/>
      </rPr>
      <t xml:space="preserve"> London Hydro plans to install all smart meters in 2010.  The completion of installations depends on the availability of the meters.</t>
    </r>
  </si>
  <si>
    <t xml:space="preserve">                              tens of thousands of meters.  The Flexnet architecture does not have a "repeater" device.</t>
  </si>
  <si>
    <t>forecasted</t>
  </si>
  <si>
    <t>LONDON HYDRO INC</t>
  </si>
  <si>
    <t>ED-2002-0557</t>
  </si>
  <si>
    <t>Mike Chase</t>
  </si>
  <si>
    <t>Manager of Finance and Regulatory Compliance</t>
  </si>
  <si>
    <t>519-661-5800 Ext.5750</t>
  </si>
  <si>
    <t>chasem@londonhydro.com</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</si>
</sst>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 numFmtId="219" formatCode="_(* #,##0_);_(* \(#,##0\);_(* &quot;-&quot;??_);_(@_)"/>
  </numFmts>
  <fonts count="62">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b/>
      <u val="single"/>
      <sz val="10"/>
      <name val="Arial"/>
      <family val="2"/>
    </font>
    <font>
      <b/>
      <sz val="12"/>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medium">
        <color rgb="FFFF0000"/>
      </bottom>
    </border>
    <border>
      <left style="medium">
        <color rgb="FFFF0000"/>
      </left>
      <right style="medium">
        <color rgb="FFFF0000"/>
      </right>
      <top style="medium">
        <color rgb="FFFF0000"/>
      </top>
      <bottom style="medium">
        <color rgb="FFFF0000"/>
      </botto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6">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6" fontId="0" fillId="37" borderId="0" xfId="42" applyNumberFormat="1" applyFill="1" applyAlignment="1" applyProtection="1">
      <alignment/>
      <protection locked="0"/>
    </xf>
    <xf numFmtId="176" fontId="0" fillId="33" borderId="0" xfId="0" applyNumberFormat="1" applyFill="1" applyAlignment="1" applyProtection="1">
      <alignment/>
      <protection/>
    </xf>
    <xf numFmtId="0" fontId="7" fillId="33" borderId="0" xfId="0" applyFont="1" applyFill="1" applyAlignment="1" applyProtection="1">
      <alignment/>
      <protection/>
    </xf>
    <xf numFmtId="176" fontId="0" fillId="33" borderId="11" xfId="42" applyNumberFormat="1" applyFill="1" applyBorder="1" applyAlignment="1" applyProtection="1">
      <alignment/>
      <protection/>
    </xf>
    <xf numFmtId="176"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3" fontId="9" fillId="37" borderId="13" xfId="44" applyNumberFormat="1" applyFont="1" applyFill="1" applyBorder="1" applyAlignment="1" applyProtection="1">
      <alignment/>
      <protection locked="0"/>
    </xf>
    <xf numFmtId="173"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3" fontId="7" fillId="33" borderId="12" xfId="44" applyNumberFormat="1" applyFont="1" applyFill="1" applyBorder="1" applyAlignment="1" applyProtection="1">
      <alignment/>
      <protection/>
    </xf>
    <xf numFmtId="173" fontId="0" fillId="33" borderId="0" xfId="44" applyNumberFormat="1" applyFill="1" applyAlignment="1" applyProtection="1">
      <alignment/>
      <protection/>
    </xf>
    <xf numFmtId="173" fontId="7" fillId="33" borderId="0" xfId="44" applyNumberFormat="1" applyFont="1" applyFill="1" applyBorder="1" applyAlignment="1" applyProtection="1">
      <alignment/>
      <protection/>
    </xf>
    <xf numFmtId="0" fontId="0" fillId="33" borderId="0" xfId="0" applyFill="1" applyAlignment="1">
      <alignment horizontal="left" indent="2"/>
    </xf>
    <xf numFmtId="173" fontId="7" fillId="33" borderId="14" xfId="44" applyNumberFormat="1" applyFont="1" applyFill="1" applyBorder="1" applyAlignment="1" applyProtection="1">
      <alignment/>
      <protection/>
    </xf>
    <xf numFmtId="171" fontId="7" fillId="33" borderId="0" xfId="42" applyFont="1" applyFill="1" applyBorder="1" applyAlignment="1" applyProtection="1">
      <alignment/>
      <protection/>
    </xf>
    <xf numFmtId="173"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1"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57">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3" fontId="0" fillId="33" borderId="0" xfId="0" applyNumberFormat="1" applyFill="1" applyBorder="1" applyAlignment="1" applyProtection="1">
      <alignment/>
      <protection/>
    </xf>
    <xf numFmtId="170" fontId="0" fillId="33" borderId="0" xfId="44" applyFill="1" applyBorder="1" applyAlignment="1" applyProtection="1">
      <alignment/>
      <protection/>
    </xf>
    <xf numFmtId="0" fontId="0" fillId="33" borderId="16" xfId="0" applyFill="1" applyBorder="1" applyAlignment="1" applyProtection="1">
      <alignment/>
      <protection/>
    </xf>
    <xf numFmtId="170" fontId="0" fillId="33" borderId="16" xfId="44" applyFill="1" applyBorder="1" applyAlignment="1" applyProtection="1">
      <alignment/>
      <protection/>
    </xf>
    <xf numFmtId="170" fontId="0" fillId="33" borderId="15" xfId="44" applyFill="1" applyBorder="1" applyAlignment="1" applyProtection="1">
      <alignment/>
      <protection/>
    </xf>
    <xf numFmtId="174" fontId="8" fillId="33" borderId="16" xfId="61"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3" fontId="0" fillId="33" borderId="15" xfId="0" applyNumberFormat="1" applyFill="1" applyBorder="1" applyAlignment="1" applyProtection="1">
      <alignment/>
      <protection/>
    </xf>
    <xf numFmtId="170" fontId="0" fillId="33" borderId="15" xfId="44" applyFont="1" applyFill="1" applyBorder="1" applyAlignment="1" applyProtection="1">
      <alignment/>
      <protection/>
    </xf>
    <xf numFmtId="0" fontId="0" fillId="33" borderId="17" xfId="0" applyFill="1" applyBorder="1" applyAlignment="1" applyProtection="1">
      <alignment/>
      <protection/>
    </xf>
    <xf numFmtId="170" fontId="0" fillId="33" borderId="18" xfId="44"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4" fontId="0" fillId="33" borderId="0" xfId="61"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6" fontId="0" fillId="33" borderId="0" xfId="42" applyNumberFormat="1" applyFill="1" applyBorder="1" applyAlignment="1" applyProtection="1">
      <alignment/>
      <protection/>
    </xf>
    <xf numFmtId="9" fontId="0" fillId="33" borderId="0" xfId="61"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61" applyFont="1" applyFill="1" applyAlignment="1" applyProtection="1">
      <alignment horizontal="center"/>
      <protection locked="0"/>
    </xf>
    <xf numFmtId="9" fontId="0" fillId="39" borderId="0" xfId="61" applyFont="1" applyFill="1" applyAlignment="1" applyProtection="1">
      <alignment horizontal="center"/>
      <protection/>
    </xf>
    <xf numFmtId="10" fontId="0" fillId="37" borderId="0" xfId="61" applyNumberFormat="1" applyFont="1" applyFill="1" applyAlignment="1" applyProtection="1">
      <alignment horizontal="center"/>
      <protection locked="0"/>
    </xf>
    <xf numFmtId="176" fontId="0" fillId="37" borderId="0" xfId="42" applyNumberFormat="1" applyFill="1" applyAlignment="1" applyProtection="1">
      <alignment horizontal="center"/>
      <protection locked="0"/>
    </xf>
    <xf numFmtId="171" fontId="20" fillId="33" borderId="20" xfId="42" applyFont="1" applyFill="1" applyBorder="1" applyAlignment="1" applyProtection="1">
      <alignment/>
      <protection/>
    </xf>
    <xf numFmtId="171" fontId="0" fillId="33" borderId="0" xfId="42" applyFont="1" applyFill="1" applyAlignment="1" applyProtection="1">
      <alignment/>
      <protection/>
    </xf>
    <xf numFmtId="10" fontId="0" fillId="39" borderId="0" xfId="61" applyNumberFormat="1" applyFont="1" applyFill="1" applyAlignment="1" applyProtection="1">
      <alignment horizontal="center"/>
      <protection/>
    </xf>
    <xf numFmtId="173" fontId="0" fillId="39" borderId="0" xfId="44" applyNumberFormat="1" applyFont="1" applyFill="1" applyAlignment="1" applyProtection="1">
      <alignment/>
      <protection/>
    </xf>
    <xf numFmtId="173" fontId="0" fillId="39" borderId="0" xfId="0" applyNumberFormat="1" applyFill="1" applyAlignment="1" applyProtection="1">
      <alignment/>
      <protection/>
    </xf>
    <xf numFmtId="173" fontId="0" fillId="39" borderId="12" xfId="0" applyNumberFormat="1" applyFill="1" applyBorder="1" applyAlignment="1" applyProtection="1">
      <alignment/>
      <protection/>
    </xf>
    <xf numFmtId="173" fontId="0" fillId="39" borderId="0" xfId="44" applyNumberFormat="1" applyFill="1" applyAlignment="1" applyProtection="1">
      <alignment/>
      <protection/>
    </xf>
    <xf numFmtId="173" fontId="0" fillId="39" borderId="12" xfId="44" applyNumberFormat="1" applyFont="1" applyFill="1" applyBorder="1" applyAlignment="1" applyProtection="1">
      <alignment/>
      <protection/>
    </xf>
    <xf numFmtId="173" fontId="0" fillId="39" borderId="12" xfId="44" applyNumberFormat="1" applyFill="1" applyBorder="1" applyAlignment="1" applyProtection="1">
      <alignment/>
      <protection/>
    </xf>
    <xf numFmtId="170" fontId="0" fillId="39" borderId="0" xfId="44" applyFill="1" applyAlignment="1" applyProtection="1">
      <alignment/>
      <protection/>
    </xf>
    <xf numFmtId="176" fontId="0" fillId="39" borderId="0" xfId="42" applyNumberFormat="1" applyFill="1" applyAlignment="1" applyProtection="1">
      <alignment/>
      <protection/>
    </xf>
    <xf numFmtId="9" fontId="0" fillId="39" borderId="0" xfId="61" applyFill="1" applyAlignment="1" applyProtection="1">
      <alignment/>
      <protection/>
    </xf>
    <xf numFmtId="170" fontId="0" fillId="39" borderId="11" xfId="0" applyNumberFormat="1" applyFill="1" applyBorder="1" applyAlignment="1" applyProtection="1">
      <alignment/>
      <protection/>
    </xf>
    <xf numFmtId="0" fontId="0" fillId="39" borderId="0" xfId="0" applyFill="1" applyAlignment="1" applyProtection="1">
      <alignment/>
      <protection/>
    </xf>
    <xf numFmtId="173"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4" applyNumberFormat="1" applyFill="1" applyBorder="1" applyAlignment="1" applyProtection="1">
      <alignment horizontal="center"/>
      <protection/>
    </xf>
    <xf numFmtId="9" fontId="0" fillId="33" borderId="0" xfId="61" applyFill="1" applyBorder="1" applyAlignment="1" applyProtection="1">
      <alignment horizontal="center"/>
      <protection/>
    </xf>
    <xf numFmtId="170" fontId="0" fillId="33" borderId="21" xfId="44" applyFill="1" applyBorder="1" applyAlignment="1" applyProtection="1">
      <alignment/>
      <protection/>
    </xf>
    <xf numFmtId="173" fontId="3" fillId="37" borderId="0" xfId="44" applyNumberFormat="1" applyFont="1" applyFill="1" applyAlignment="1">
      <alignment/>
    </xf>
    <xf numFmtId="173" fontId="3" fillId="39" borderId="0" xfId="44" applyNumberFormat="1" applyFont="1" applyFill="1" applyAlignment="1">
      <alignment/>
    </xf>
    <xf numFmtId="173" fontId="3" fillId="39" borderId="0" xfId="57" applyNumberFormat="1" applyFill="1">
      <alignment/>
      <protection/>
    </xf>
    <xf numFmtId="0" fontId="14" fillId="39" borderId="0" xfId="57" applyFont="1" applyFill="1">
      <alignment/>
      <protection/>
    </xf>
    <xf numFmtId="0" fontId="14" fillId="39" borderId="0" xfId="57" applyFont="1" applyFill="1" applyAlignment="1">
      <alignment horizontal="center" wrapText="1"/>
      <protection/>
    </xf>
    <xf numFmtId="0" fontId="14" fillId="39" borderId="0" xfId="57" applyFont="1" applyFill="1" applyAlignment="1">
      <alignment horizontal="center"/>
      <protection/>
    </xf>
    <xf numFmtId="9" fontId="0" fillId="39" borderId="0" xfId="61" applyFont="1" applyFill="1" applyAlignment="1" applyProtection="1">
      <alignment horizontal="center"/>
      <protection locked="0"/>
    </xf>
    <xf numFmtId="10" fontId="0" fillId="39" borderId="0" xfId="61" applyNumberFormat="1" applyFont="1" applyFill="1" applyAlignment="1" applyProtection="1">
      <alignment horizontal="center"/>
      <protection locked="0"/>
    </xf>
    <xf numFmtId="4" fontId="14" fillId="39" borderId="0" xfId="57" applyNumberFormat="1" applyFont="1" applyFill="1" applyAlignment="1">
      <alignment horizontal="center"/>
      <protection/>
    </xf>
    <xf numFmtId="173" fontId="3" fillId="39" borderId="12" xfId="57"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170" fontId="0" fillId="39" borderId="0" xfId="0" applyNumberFormat="1" applyFill="1" applyAlignment="1">
      <alignment/>
    </xf>
    <xf numFmtId="170" fontId="0" fillId="39" borderId="12" xfId="0" applyNumberFormat="1" applyFill="1" applyBorder="1" applyAlignment="1">
      <alignment/>
    </xf>
    <xf numFmtId="170" fontId="0" fillId="39" borderId="0" xfId="44" applyFont="1" applyFill="1" applyAlignment="1">
      <alignment/>
    </xf>
    <xf numFmtId="0" fontId="3" fillId="33" borderId="0" xfId="57" applyFill="1" applyAlignment="1">
      <alignment horizontal="center"/>
      <protection/>
    </xf>
    <xf numFmtId="0" fontId="3" fillId="33" borderId="0" xfId="57" applyFill="1">
      <alignment/>
      <protection/>
    </xf>
    <xf numFmtId="0" fontId="14" fillId="33" borderId="0" xfId="57" applyFont="1" applyFill="1" applyAlignment="1">
      <alignment horizontal="center"/>
      <protection/>
    </xf>
    <xf numFmtId="17" fontId="3" fillId="33" borderId="0" xfId="57" applyNumberFormat="1" applyFill="1" applyAlignment="1">
      <alignment horizontal="center"/>
      <protection/>
    </xf>
    <xf numFmtId="10" fontId="3" fillId="33" borderId="0" xfId="57" applyNumberFormat="1" applyFill="1">
      <alignment/>
      <protection/>
    </xf>
    <xf numFmtId="10" fontId="3" fillId="33" borderId="0" xfId="61" applyNumberFormat="1" applyFont="1" applyFill="1" applyAlignment="1">
      <alignment/>
    </xf>
    <xf numFmtId="170" fontId="8" fillId="39" borderId="0" xfId="44" applyFont="1" applyFill="1" applyAlignment="1" applyProtection="1">
      <alignment/>
      <protection/>
    </xf>
    <xf numFmtId="170" fontId="0" fillId="39" borderId="11" xfId="44" applyFill="1" applyBorder="1" applyAlignment="1" applyProtection="1">
      <alignment/>
      <protection/>
    </xf>
    <xf numFmtId="10" fontId="8" fillId="39" borderId="0" xfId="0" applyNumberFormat="1" applyFont="1" applyFill="1" applyAlignment="1" applyProtection="1">
      <alignment horizontal="center"/>
      <protection/>
    </xf>
    <xf numFmtId="170" fontId="8" fillId="39" borderId="0" xfId="44" applyFont="1" applyFill="1" applyBorder="1" applyAlignment="1" applyProtection="1">
      <alignment/>
      <protection/>
    </xf>
    <xf numFmtId="170" fontId="8" fillId="39" borderId="22" xfId="44" applyFont="1" applyFill="1" applyBorder="1" applyAlignment="1" applyProtection="1">
      <alignment/>
      <protection/>
    </xf>
    <xf numFmtId="178" fontId="0" fillId="39" borderId="0" xfId="61" applyNumberFormat="1" applyFill="1" applyAlignment="1" applyProtection="1">
      <alignment/>
      <protection/>
    </xf>
    <xf numFmtId="178" fontId="0" fillId="39" borderId="0" xfId="58" applyNumberFormat="1" applyFill="1">
      <alignment/>
      <protection/>
    </xf>
    <xf numFmtId="170" fontId="24" fillId="39" borderId="11" xfId="44" applyFont="1" applyFill="1" applyBorder="1" applyAlignment="1" applyProtection="1">
      <alignment/>
      <protection/>
    </xf>
    <xf numFmtId="170" fontId="0" fillId="39" borderId="12" xfId="44" applyFill="1" applyBorder="1" applyAlignment="1" applyProtection="1">
      <alignment/>
      <protection/>
    </xf>
    <xf numFmtId="170" fontId="9" fillId="39" borderId="11" xfId="44" applyFont="1" applyFill="1" applyBorder="1" applyAlignment="1" applyProtection="1">
      <alignment/>
      <protection/>
    </xf>
    <xf numFmtId="170" fontId="9" fillId="39" borderId="12" xfId="44" applyFont="1" applyFill="1" applyBorder="1" applyAlignment="1" applyProtection="1">
      <alignment/>
      <protection/>
    </xf>
    <xf numFmtId="170" fontId="8" fillId="39" borderId="16" xfId="44" applyFont="1" applyFill="1" applyBorder="1" applyAlignment="1" applyProtection="1">
      <alignment/>
      <protection/>
    </xf>
    <xf numFmtId="170" fontId="0" fillId="39" borderId="23" xfId="44" applyFill="1" applyBorder="1" applyAlignment="1" applyProtection="1">
      <alignment/>
      <protection/>
    </xf>
    <xf numFmtId="170" fontId="0" fillId="39" borderId="0" xfId="44" applyFill="1" applyBorder="1" applyAlignment="1" applyProtection="1">
      <alignment/>
      <protection/>
    </xf>
    <xf numFmtId="170" fontId="0" fillId="39" borderId="16" xfId="44" applyFill="1" applyBorder="1" applyAlignment="1" applyProtection="1">
      <alignment/>
      <protection/>
    </xf>
    <xf numFmtId="170" fontId="0" fillId="39" borderId="15" xfId="44" applyFill="1" applyBorder="1" applyAlignment="1" applyProtection="1">
      <alignment/>
      <protection/>
    </xf>
    <xf numFmtId="170" fontId="8" fillId="39" borderId="15" xfId="44" applyFont="1" applyFill="1" applyBorder="1" applyAlignment="1" applyProtection="1">
      <alignment/>
      <protection/>
    </xf>
    <xf numFmtId="170" fontId="9" fillId="39" borderId="15" xfId="44" applyFont="1" applyFill="1" applyBorder="1" applyAlignment="1" applyProtection="1">
      <alignment/>
      <protection/>
    </xf>
    <xf numFmtId="170" fontId="0" fillId="39" borderId="24" xfId="44" applyFill="1" applyBorder="1" applyAlignment="1" applyProtection="1">
      <alignment/>
      <protection/>
    </xf>
    <xf numFmtId="170" fontId="9" fillId="39" borderId="24" xfId="44" applyFont="1" applyFill="1" applyBorder="1" applyAlignment="1" applyProtection="1">
      <alignment/>
      <protection/>
    </xf>
    <xf numFmtId="170" fontId="0" fillId="39" borderId="15" xfId="44" applyFont="1" applyFill="1" applyBorder="1" applyAlignment="1" applyProtection="1">
      <alignment/>
      <protection/>
    </xf>
    <xf numFmtId="170" fontId="7" fillId="39" borderId="25" xfId="44" applyFont="1" applyFill="1" applyBorder="1" applyAlignment="1" applyProtection="1">
      <alignment/>
      <protection/>
    </xf>
    <xf numFmtId="173" fontId="0" fillId="33" borderId="0" xfId="44" applyNumberFormat="1" applyFont="1" applyFill="1" applyAlignment="1" applyProtection="1">
      <alignment/>
      <protection/>
    </xf>
    <xf numFmtId="0" fontId="27" fillId="37" borderId="0" xfId="0" applyFont="1" applyFill="1" applyAlignment="1">
      <alignment/>
    </xf>
    <xf numFmtId="0" fontId="9" fillId="33" borderId="0" xfId="0" applyFont="1" applyFill="1" applyAlignment="1" applyProtection="1">
      <alignment/>
      <protection/>
    </xf>
    <xf numFmtId="173" fontId="0" fillId="33" borderId="0" xfId="0" applyNumberFormat="1" applyFill="1" applyAlignment="1">
      <alignment/>
    </xf>
    <xf numFmtId="174" fontId="0" fillId="37" borderId="0" xfId="61" applyNumberFormat="1" applyFont="1" applyFill="1" applyAlignment="1" applyProtection="1">
      <alignment horizontal="center"/>
      <protection locked="0"/>
    </xf>
    <xf numFmtId="174" fontId="0" fillId="39" borderId="0" xfId="61" applyNumberFormat="1" applyFont="1" applyFill="1" applyAlignment="1" applyProtection="1">
      <alignment horizontal="center"/>
      <protection/>
    </xf>
    <xf numFmtId="176" fontId="0" fillId="37" borderId="0" xfId="42" applyNumberFormat="1" applyFont="1" applyFill="1" applyAlignment="1">
      <alignment/>
    </xf>
    <xf numFmtId="0" fontId="28" fillId="0" borderId="0" xfId="0" applyFont="1" applyAlignment="1">
      <alignment/>
    </xf>
    <xf numFmtId="170" fontId="8" fillId="39" borderId="26" xfId="44" applyFont="1" applyFill="1" applyBorder="1" applyAlignment="1" applyProtection="1">
      <alignment/>
      <protection/>
    </xf>
    <xf numFmtId="170" fontId="8" fillId="39" borderId="27" xfId="44" applyFont="1" applyFill="1" applyBorder="1" applyAlignment="1" applyProtection="1">
      <alignment/>
      <protection/>
    </xf>
    <xf numFmtId="170" fontId="7" fillId="39" borderId="28" xfId="44" applyFont="1" applyFill="1" applyBorder="1" applyAlignment="1">
      <alignment/>
    </xf>
    <xf numFmtId="0" fontId="2" fillId="35" borderId="29" xfId="53" applyFont="1" applyFill="1" applyBorder="1" applyAlignment="1" applyProtection="1">
      <alignment horizontal="left"/>
      <protection locked="0"/>
    </xf>
    <xf numFmtId="0" fontId="0" fillId="35" borderId="30"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9" xfId="0" applyFont="1" applyFill="1" applyBorder="1" applyAlignment="1" applyProtection="1">
      <alignment horizontal="left"/>
      <protection locked="0"/>
    </xf>
    <xf numFmtId="0" fontId="12" fillId="35" borderId="30"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9" fillId="33" borderId="31"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32" xfId="0" applyFont="1" applyFill="1" applyBorder="1" applyAlignment="1" applyProtection="1">
      <alignment horizontal="center"/>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8" fillId="33" borderId="0" xfId="0" applyFont="1" applyFill="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sem@londonhydr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P5" sqref="P5"/>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284</v>
      </c>
      <c r="D4"/>
      <c r="E4" s="12"/>
      <c r="F4" s="1"/>
      <c r="G4" s="1"/>
      <c r="H4" s="1"/>
    </row>
    <row r="5" spans="1:8" ht="15.75">
      <c r="A5" s="10"/>
      <c r="B5" s="11"/>
      <c r="C5" s="13"/>
      <c r="D5" s="13"/>
      <c r="E5" s="13"/>
      <c r="F5" s="1"/>
      <c r="G5" s="1"/>
      <c r="H5" s="1"/>
    </row>
    <row r="6" spans="1:8" ht="15.75">
      <c r="A6" s="10"/>
      <c r="B6" s="11" t="s">
        <v>1</v>
      </c>
      <c r="C6" s="167" t="s">
        <v>285</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40478</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73" t="s">
        <v>3</v>
      </c>
      <c r="B13" s="173"/>
      <c r="C13" s="16"/>
      <c r="D13" s="16"/>
      <c r="E13" s="16"/>
      <c r="F13" s="15"/>
      <c r="G13" s="15"/>
      <c r="H13" s="15"/>
    </row>
    <row r="14" spans="1:8" ht="16.5" thickBot="1">
      <c r="A14" s="15"/>
      <c r="B14" s="19" t="s">
        <v>4</v>
      </c>
      <c r="C14" s="174" t="s">
        <v>286</v>
      </c>
      <c r="D14" s="175"/>
      <c r="E14" s="20"/>
      <c r="F14" s="15"/>
      <c r="G14" s="15"/>
      <c r="H14" s="15"/>
    </row>
    <row r="15" spans="1:8" ht="16.5" thickBot="1">
      <c r="A15" s="15"/>
      <c r="B15" s="21"/>
      <c r="C15" s="16"/>
      <c r="D15" s="16"/>
      <c r="E15" s="16"/>
      <c r="F15" s="15"/>
      <c r="G15" s="15"/>
      <c r="H15" s="15"/>
    </row>
    <row r="16" spans="1:8" ht="16.5" thickBot="1">
      <c r="A16" s="15"/>
      <c r="B16" s="19" t="s">
        <v>5</v>
      </c>
      <c r="C16" s="174" t="s">
        <v>287</v>
      </c>
      <c r="D16" s="175"/>
      <c r="E16" s="20"/>
      <c r="F16" s="2"/>
      <c r="G16" s="15"/>
      <c r="H16" s="15"/>
    </row>
    <row r="17" spans="1:8" ht="16.5" thickBot="1">
      <c r="A17" s="15"/>
      <c r="B17" s="21"/>
      <c r="C17" s="16"/>
      <c r="D17" s="16"/>
      <c r="E17" s="16"/>
      <c r="F17" s="15"/>
      <c r="G17" s="15"/>
      <c r="H17" s="15"/>
    </row>
    <row r="18" spans="1:8" ht="16.5" thickBot="1">
      <c r="A18" s="15"/>
      <c r="B18" s="19" t="s">
        <v>6</v>
      </c>
      <c r="C18" s="174" t="s">
        <v>288</v>
      </c>
      <c r="D18" s="175"/>
      <c r="E18" s="20"/>
      <c r="F18" s="15"/>
      <c r="G18" s="15"/>
      <c r="H18" s="15"/>
    </row>
    <row r="19" spans="1:8" ht="15" thickBot="1">
      <c r="A19" s="1"/>
      <c r="B19" s="22"/>
      <c r="C19" s="23"/>
      <c r="D19" s="23"/>
      <c r="E19" s="23"/>
      <c r="F19" s="1"/>
      <c r="G19" s="1"/>
      <c r="H19" s="1"/>
    </row>
    <row r="20" spans="1:8" ht="16.5" thickBot="1">
      <c r="A20" s="1"/>
      <c r="B20" s="19" t="s">
        <v>7</v>
      </c>
      <c r="C20" s="171" t="s">
        <v>289</v>
      </c>
      <c r="D20" s="172"/>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chasem@londonhydro.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53"/>
  <sheetViews>
    <sheetView showGridLines="0" zoomScale="75" zoomScaleNormal="75" zoomScalePageLayoutView="0" workbookViewId="0" topLeftCell="C1">
      <selection activeCell="P5" sqref="P5"/>
    </sheetView>
  </sheetViews>
  <sheetFormatPr defaultColWidth="9.140625" defaultRowHeight="12.75"/>
  <cols>
    <col min="1" max="1" width="17.57421875" style="7" customWidth="1"/>
    <col min="2" max="2" width="102.8515625" style="7" bestFit="1" customWidth="1"/>
    <col min="3" max="3" width="20.57421875" style="7" customWidth="1"/>
    <col min="4" max="11" width="14.421875" style="7" customWidth="1"/>
    <col min="12" max="16384" width="9.140625" style="7" customWidth="1"/>
  </cols>
  <sheetData>
    <row r="1" spans="1:11" s="3" customFormat="1" ht="30">
      <c r="A1" s="1"/>
      <c r="B1" s="177" t="s">
        <v>12</v>
      </c>
      <c r="C1" s="177"/>
      <c r="D1" s="177"/>
      <c r="E1" s="177"/>
      <c r="F1" s="177"/>
      <c r="G1" s="177"/>
      <c r="H1" s="177"/>
      <c r="I1" s="177"/>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162" t="s">
        <v>283</v>
      </c>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c r="E6" s="92"/>
      <c r="F6" s="92"/>
      <c r="G6" s="92">
        <v>7462</v>
      </c>
      <c r="H6" s="92">
        <v>125973</v>
      </c>
      <c r="I6" s="92"/>
      <c r="J6" s="92"/>
      <c r="K6" s="33">
        <f>SUM(D6:J6)</f>
        <v>133435</v>
      </c>
    </row>
    <row r="7" ht="12.75"/>
    <row r="8" spans="1:11" ht="12.75">
      <c r="A8" s="5"/>
      <c r="B8" s="31" t="s">
        <v>18</v>
      </c>
      <c r="C8" s="31"/>
      <c r="D8" s="32"/>
      <c r="E8" s="32"/>
      <c r="F8" s="32"/>
      <c r="G8" s="32">
        <v>5</v>
      </c>
      <c r="H8" s="32">
        <v>11893</v>
      </c>
      <c r="I8" s="32"/>
      <c r="J8" s="32"/>
      <c r="K8" s="33">
        <f>SUM(D8:J8)</f>
        <v>11898</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7467</v>
      </c>
      <c r="H10" s="35">
        <f t="shared" si="0"/>
        <v>137866</v>
      </c>
      <c r="I10" s="35">
        <f t="shared" si="0"/>
        <v>0</v>
      </c>
      <c r="J10" s="35">
        <f t="shared" si="0"/>
        <v>0</v>
      </c>
      <c r="K10" s="35">
        <f t="shared" si="0"/>
        <v>145333</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v>
      </c>
      <c r="G12" s="85">
        <f>IF(ISERROR(SUM($D10:G10)/$K10),0,SUM($D10:G10)/$K10)</f>
        <v>0.05137855820770231</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c r="I14" s="32"/>
      <c r="J14" s="32"/>
      <c r="K14" s="33">
        <f>SUM(D14:J14)</f>
        <v>0</v>
      </c>
    </row>
    <row r="16" spans="1:11" ht="13.5" thickBot="1">
      <c r="A16" s="5"/>
      <c r="B16" s="57" t="s">
        <v>208</v>
      </c>
      <c r="C16" s="31"/>
      <c r="D16" s="36">
        <f aca="true" t="shared" si="1" ref="D16:J16">SUM(D10,D14)</f>
        <v>0</v>
      </c>
      <c r="E16" s="36">
        <f t="shared" si="1"/>
        <v>0</v>
      </c>
      <c r="F16" s="36">
        <f t="shared" si="1"/>
        <v>0</v>
      </c>
      <c r="G16" s="36">
        <f t="shared" si="1"/>
        <v>7467</v>
      </c>
      <c r="H16" s="36">
        <f t="shared" si="1"/>
        <v>137866</v>
      </c>
      <c r="I16" s="36">
        <f t="shared" si="1"/>
        <v>0</v>
      </c>
      <c r="J16" s="36">
        <f t="shared" si="1"/>
        <v>0</v>
      </c>
      <c r="K16" s="36">
        <f>SUM(D16:J16)</f>
        <v>145333</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c r="G21" s="32">
        <v>9</v>
      </c>
      <c r="H21" s="32"/>
      <c r="I21" s="32"/>
      <c r="J21" s="32"/>
      <c r="K21" s="33">
        <f>SUM(D21:J21)</f>
        <v>9</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161" t="s">
        <v>281</v>
      </c>
      <c r="D26" s="32"/>
      <c r="E26" s="32"/>
      <c r="F26" s="32"/>
      <c r="G26" s="32"/>
      <c r="H26" s="32"/>
      <c r="I26" s="32"/>
      <c r="J26" s="32"/>
      <c r="K26" s="33">
        <f>SUM(D26:J26)</f>
        <v>0</v>
      </c>
    </row>
    <row r="27" ht="12.75"/>
    <row r="28" spans="2:11" ht="12.75">
      <c r="B28" s="161" t="s">
        <v>280</v>
      </c>
      <c r="D28" s="32"/>
      <c r="E28" s="32"/>
      <c r="F28" s="32"/>
      <c r="G28" s="32"/>
      <c r="H28" s="32"/>
      <c r="I28" s="32"/>
      <c r="J28" s="32"/>
      <c r="K28" s="33">
        <f>SUM(D28:J28)</f>
        <v>0</v>
      </c>
    </row>
    <row r="29" spans="1:11" ht="12.75">
      <c r="A29" s="5"/>
      <c r="B29" s="37" t="s">
        <v>282</v>
      </c>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f>119378.06+140265</f>
        <v>259643.06</v>
      </c>
      <c r="E39" s="42">
        <v>16686</v>
      </c>
      <c r="F39" s="42"/>
      <c r="G39" s="42">
        <v>1712962.86</v>
      </c>
      <c r="H39" s="42">
        <v>12219800</v>
      </c>
      <c r="I39" s="42"/>
      <c r="J39" s="42"/>
      <c r="K39" s="43">
        <f>SUM(D39:J39)</f>
        <v>14209091.92</v>
      </c>
      <c r="U39" s="83"/>
    </row>
    <row r="40" spans="1:21" ht="20.25">
      <c r="A40" s="5"/>
      <c r="B40" s="44" t="s">
        <v>29</v>
      </c>
      <c r="C40" s="44"/>
      <c r="D40" s="88"/>
      <c r="E40" s="88"/>
      <c r="F40" s="88"/>
      <c r="G40" s="88"/>
      <c r="H40" s="88"/>
      <c r="I40" s="88"/>
      <c r="J40" s="80"/>
      <c r="K40" s="5"/>
      <c r="U40" s="83"/>
    </row>
    <row r="41" spans="1:21" ht="20.25">
      <c r="A41" s="5"/>
      <c r="B41" s="41" t="s">
        <v>30</v>
      </c>
      <c r="C41" s="86" t="s">
        <v>8</v>
      </c>
      <c r="D41" s="42">
        <f>10903.49+23302</f>
        <v>34205.49</v>
      </c>
      <c r="E41" s="42">
        <v>5963</v>
      </c>
      <c r="F41" s="42">
        <v>2350</v>
      </c>
      <c r="G41" s="42">
        <v>192585</v>
      </c>
      <c r="H41" s="42">
        <v>1409000</v>
      </c>
      <c r="I41" s="42">
        <v>15000</v>
      </c>
      <c r="J41" s="42"/>
      <c r="K41" s="43">
        <f>SUM(D41:J41)</f>
        <v>1659103.49</v>
      </c>
      <c r="U41" s="83"/>
    </row>
    <row r="42" spans="1:11" ht="12.75">
      <c r="A42" s="5"/>
      <c r="B42" s="44" t="s">
        <v>31</v>
      </c>
      <c r="C42" s="44"/>
      <c r="D42" s="176"/>
      <c r="E42" s="176"/>
      <c r="F42" s="176"/>
      <c r="G42" s="176"/>
      <c r="H42" s="176"/>
      <c r="I42" s="176"/>
      <c r="J42" s="80"/>
      <c r="K42" s="5"/>
    </row>
    <row r="43" spans="1:11" ht="15.75">
      <c r="A43" s="5"/>
      <c r="B43" s="41" t="s">
        <v>32</v>
      </c>
      <c r="C43" s="86" t="s">
        <v>9</v>
      </c>
      <c r="D43" s="42"/>
      <c r="E43" s="42"/>
      <c r="F43" s="42"/>
      <c r="G43" s="42"/>
      <c r="H43" s="42"/>
      <c r="I43" s="42"/>
      <c r="J43" s="42"/>
      <c r="K43" s="43">
        <f>SUM(D43:J43)</f>
        <v>0</v>
      </c>
    </row>
    <row r="44" spans="1:11" ht="12.75">
      <c r="A44" s="5"/>
      <c r="B44" s="44" t="s">
        <v>33</v>
      </c>
      <c r="C44" s="44"/>
      <c r="D44" s="176"/>
      <c r="E44" s="176"/>
      <c r="F44" s="176"/>
      <c r="G44" s="176"/>
      <c r="H44" s="176"/>
      <c r="I44" s="176"/>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76"/>
      <c r="E46" s="176"/>
      <c r="F46" s="176"/>
      <c r="G46" s="176"/>
      <c r="H46" s="176"/>
      <c r="I46" s="176"/>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293848.55</v>
      </c>
      <c r="E48" s="45">
        <f t="shared" si="6"/>
        <v>22649</v>
      </c>
      <c r="F48" s="45">
        <f t="shared" si="6"/>
        <v>2350</v>
      </c>
      <c r="G48" s="45">
        <f t="shared" si="6"/>
        <v>1905547.86</v>
      </c>
      <c r="H48" s="45">
        <f t="shared" si="6"/>
        <v>13628800</v>
      </c>
      <c r="I48" s="45">
        <f t="shared" si="6"/>
        <v>15000</v>
      </c>
      <c r="J48" s="45">
        <f t="shared" si="6"/>
        <v>0</v>
      </c>
      <c r="K48" s="45">
        <f t="shared" si="6"/>
        <v>15868195.41</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75">
      <c r="A53" s="5"/>
      <c r="B53" s="41" t="s">
        <v>37</v>
      </c>
      <c r="C53" s="86" t="s">
        <v>8</v>
      </c>
      <c r="D53" s="42"/>
      <c r="E53" s="42"/>
      <c r="F53" s="42"/>
      <c r="G53" s="42">
        <v>1239677.89</v>
      </c>
      <c r="H53" s="42"/>
      <c r="I53" s="42"/>
      <c r="J53" s="42"/>
      <c r="K53" s="46">
        <f>SUM(D53:J53)</f>
        <v>1239677.89</v>
      </c>
    </row>
    <row r="54" spans="1:11" ht="12.75">
      <c r="A54" s="5"/>
      <c r="B54" s="44"/>
      <c r="C54" s="44"/>
      <c r="D54" s="176"/>
      <c r="E54" s="176"/>
      <c r="F54" s="176"/>
      <c r="G54" s="176"/>
      <c r="H54" s="176"/>
      <c r="I54" s="176"/>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v>697493.12</v>
      </c>
      <c r="H56" s="42">
        <v>182900</v>
      </c>
      <c r="I56" s="42">
        <v>25200</v>
      </c>
      <c r="J56" s="42"/>
      <c r="K56" s="46">
        <f>SUM(D56:J56)</f>
        <v>905593.12</v>
      </c>
    </row>
    <row r="57" spans="1:11" ht="12.75">
      <c r="A57" s="5"/>
      <c r="B57" s="44" t="s">
        <v>39</v>
      </c>
      <c r="C57" s="44"/>
      <c r="D57" s="176"/>
      <c r="E57" s="176"/>
      <c r="F57" s="176"/>
      <c r="G57" s="176"/>
      <c r="H57" s="176"/>
      <c r="I57" s="176"/>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v>207779</v>
      </c>
      <c r="H59" s="42">
        <v>242600</v>
      </c>
      <c r="I59" s="42"/>
      <c r="J59" s="42"/>
      <c r="K59" s="46">
        <f>SUM(D59:J59)</f>
        <v>450379</v>
      </c>
    </row>
    <row r="60" spans="1:11" ht="12.75">
      <c r="A60" s="5"/>
      <c r="B60" s="44" t="s">
        <v>41</v>
      </c>
      <c r="C60" s="44"/>
      <c r="D60" s="176"/>
      <c r="E60" s="176"/>
      <c r="F60" s="176"/>
      <c r="G60" s="176"/>
      <c r="H60" s="176"/>
      <c r="I60" s="176"/>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2144950.01</v>
      </c>
      <c r="H62" s="45">
        <f t="shared" si="9"/>
        <v>425500</v>
      </c>
      <c r="I62" s="45">
        <f t="shared" si="9"/>
        <v>25200</v>
      </c>
      <c r="J62" s="45">
        <f t="shared" si="9"/>
        <v>0</v>
      </c>
      <c r="K62" s="45">
        <f t="shared" si="9"/>
        <v>2595650.01</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75">
      <c r="A67" s="5"/>
      <c r="B67" s="41" t="s">
        <v>44</v>
      </c>
      <c r="C67" s="86" t="s">
        <v>9</v>
      </c>
      <c r="D67" s="42"/>
      <c r="E67" s="42"/>
      <c r="F67" s="42"/>
      <c r="G67" s="42">
        <v>140328</v>
      </c>
      <c r="H67" s="42">
        <v>166200</v>
      </c>
      <c r="I67" s="42"/>
      <c r="J67" s="42"/>
      <c r="K67" s="46">
        <f>SUM(D67:J67)</f>
        <v>306528</v>
      </c>
    </row>
    <row r="68" spans="1:11" ht="12.75">
      <c r="A68" s="5"/>
      <c r="B68" s="44"/>
      <c r="C68" s="44"/>
      <c r="D68" s="87"/>
      <c r="E68" s="87"/>
      <c r="F68" s="87"/>
      <c r="G68" s="87"/>
      <c r="H68" s="87"/>
      <c r="I68" s="87"/>
      <c r="J68" s="80"/>
      <c r="K68" s="5"/>
    </row>
    <row r="69" spans="1:11" ht="15.75">
      <c r="A69" s="5"/>
      <c r="B69" s="41" t="s">
        <v>45</v>
      </c>
      <c r="C69" s="86" t="s">
        <v>10</v>
      </c>
      <c r="D69" s="42"/>
      <c r="E69" s="42"/>
      <c r="F69" s="42"/>
      <c r="G69" s="42">
        <v>15475.6</v>
      </c>
      <c r="H69" s="42">
        <v>21500</v>
      </c>
      <c r="I69" s="42"/>
      <c r="J69" s="42"/>
      <c r="K69" s="46">
        <f>SUM(D69:J69)</f>
        <v>36975.6</v>
      </c>
    </row>
    <row r="70" spans="1:11" ht="12.75">
      <c r="A70" s="5"/>
      <c r="B70" s="44"/>
      <c r="C70" s="44"/>
      <c r="D70" s="176"/>
      <c r="E70" s="176"/>
      <c r="F70" s="176"/>
      <c r="G70" s="176"/>
      <c r="H70" s="176"/>
      <c r="I70" s="176"/>
      <c r="J70" s="80"/>
      <c r="K70" s="5"/>
    </row>
    <row r="71" spans="1:11" ht="15.75">
      <c r="A71" s="5"/>
      <c r="B71" s="41" t="s">
        <v>46</v>
      </c>
      <c r="C71" s="86" t="s">
        <v>10</v>
      </c>
      <c r="D71" s="42"/>
      <c r="E71" s="42"/>
      <c r="F71" s="42"/>
      <c r="G71" s="42">
        <v>6411.929886113031</v>
      </c>
      <c r="H71" s="42">
        <v>14900</v>
      </c>
      <c r="I71" s="42">
        <v>5000</v>
      </c>
      <c r="J71" s="42"/>
      <c r="K71" s="46">
        <f>SUM(D71:J71)</f>
        <v>26311.92988611303</v>
      </c>
    </row>
    <row r="72" spans="1:11" ht="12.75">
      <c r="A72" s="5"/>
      <c r="B72" s="44" t="s">
        <v>47</v>
      </c>
      <c r="C72" s="44"/>
      <c r="D72" s="176"/>
      <c r="E72" s="176"/>
      <c r="F72" s="176"/>
      <c r="G72" s="176"/>
      <c r="H72" s="176"/>
      <c r="I72" s="176"/>
      <c r="J72" s="80"/>
      <c r="K72" s="5"/>
    </row>
    <row r="73" spans="1:11" ht="13.5" thickBot="1">
      <c r="A73" s="5"/>
      <c r="B73" s="41" t="s">
        <v>48</v>
      </c>
      <c r="C73" s="41"/>
      <c r="D73" s="45">
        <f aca="true" t="shared" si="12" ref="D73:K73">SUM(D67,D69,D71)</f>
        <v>0</v>
      </c>
      <c r="E73" s="45">
        <f t="shared" si="12"/>
        <v>0</v>
      </c>
      <c r="F73" s="45">
        <f t="shared" si="12"/>
        <v>0</v>
      </c>
      <c r="G73" s="45">
        <f t="shared" si="12"/>
        <v>162215.52988611304</v>
      </c>
      <c r="H73" s="45">
        <f t="shared" si="12"/>
        <v>202600</v>
      </c>
      <c r="I73" s="45">
        <f t="shared" si="12"/>
        <v>5000</v>
      </c>
      <c r="J73" s="45">
        <f t="shared" si="12"/>
        <v>0</v>
      </c>
      <c r="K73" s="45">
        <f t="shared" si="12"/>
        <v>369815.529886113</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75">
      <c r="A78" s="5"/>
      <c r="B78" s="41" t="s">
        <v>50</v>
      </c>
      <c r="C78" s="86" t="s">
        <v>211</v>
      </c>
      <c r="D78" s="42"/>
      <c r="E78" s="42"/>
      <c r="F78" s="42"/>
      <c r="G78" s="42">
        <v>100801.39</v>
      </c>
      <c r="H78" s="42">
        <v>645900</v>
      </c>
      <c r="I78" s="42"/>
      <c r="J78" s="42"/>
      <c r="K78" s="46">
        <f>SUM(D78:J78)</f>
        <v>746701.39</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100801.39</v>
      </c>
      <c r="H80" s="45">
        <f t="shared" si="15"/>
        <v>645900</v>
      </c>
      <c r="I80" s="45">
        <f t="shared" si="15"/>
        <v>0</v>
      </c>
      <c r="J80" s="45">
        <f t="shared" si="15"/>
        <v>0</v>
      </c>
      <c r="K80" s="45">
        <f t="shared" si="15"/>
        <v>746701.39</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75">
      <c r="A85" s="5"/>
      <c r="B85" s="41" t="s">
        <v>53</v>
      </c>
      <c r="C85" s="86" t="s">
        <v>210</v>
      </c>
      <c r="D85" s="42"/>
      <c r="E85" s="42"/>
      <c r="F85" s="42"/>
      <c r="G85" s="42">
        <v>3759.42</v>
      </c>
      <c r="H85" s="42">
        <v>108500</v>
      </c>
      <c r="I85" s="42"/>
      <c r="J85" s="42"/>
      <c r="K85" s="46">
        <f>SUM(D85:J85)</f>
        <v>112259.42</v>
      </c>
    </row>
    <row r="86" spans="1:11" ht="12.75">
      <c r="A86" s="5"/>
      <c r="B86" s="44"/>
      <c r="C86" s="44"/>
      <c r="D86" s="176"/>
      <c r="E86" s="176"/>
      <c r="F86" s="176"/>
      <c r="G86" s="176"/>
      <c r="H86" s="176"/>
      <c r="I86" s="176"/>
      <c r="J86" s="80"/>
      <c r="K86" s="5"/>
    </row>
    <row r="87" spans="1:11" ht="15.75">
      <c r="A87" s="5"/>
      <c r="B87" s="41" t="s">
        <v>54</v>
      </c>
      <c r="C87" s="86" t="s">
        <v>10</v>
      </c>
      <c r="D87" s="42"/>
      <c r="E87" s="42"/>
      <c r="F87" s="42"/>
      <c r="G87" s="42">
        <v>449301.80011388694</v>
      </c>
      <c r="H87" s="42">
        <v>1107900</v>
      </c>
      <c r="I87" s="42">
        <v>2378200</v>
      </c>
      <c r="J87" s="42"/>
      <c r="K87" s="46">
        <f>SUM(D87:J87)</f>
        <v>3935401.800113887</v>
      </c>
    </row>
    <row r="88" spans="1:11" ht="12.75">
      <c r="A88" s="5"/>
      <c r="B88" s="44"/>
      <c r="C88" s="44"/>
      <c r="D88" s="176"/>
      <c r="E88" s="176"/>
      <c r="F88" s="176"/>
      <c r="G88" s="176"/>
      <c r="H88" s="176"/>
      <c r="I88" s="176"/>
      <c r="J88" s="80"/>
      <c r="K88" s="5"/>
    </row>
    <row r="89" spans="1:11" ht="15.75">
      <c r="A89" s="5"/>
      <c r="B89" s="41" t="s">
        <v>55</v>
      </c>
      <c r="C89" s="86" t="s">
        <v>10</v>
      </c>
      <c r="D89" s="42"/>
      <c r="E89" s="42"/>
      <c r="F89" s="42"/>
      <c r="G89" s="42">
        <v>33056.3</v>
      </c>
      <c r="H89" s="42">
        <v>4400</v>
      </c>
      <c r="I89" s="42">
        <v>5000</v>
      </c>
      <c r="J89" s="42"/>
      <c r="K89" s="46">
        <f>SUM(D89:J89)</f>
        <v>42456.3</v>
      </c>
    </row>
    <row r="90" spans="1:11" ht="12.75">
      <c r="A90" s="5"/>
      <c r="B90" s="44"/>
      <c r="C90" s="44"/>
      <c r="D90" s="176"/>
      <c r="E90" s="176"/>
      <c r="F90" s="176"/>
      <c r="G90" s="176"/>
      <c r="H90" s="176"/>
      <c r="I90" s="176"/>
      <c r="J90" s="80"/>
      <c r="K90" s="5"/>
    </row>
    <row r="91" spans="1:11" ht="15.75">
      <c r="A91" s="5"/>
      <c r="B91" s="41" t="s">
        <v>56</v>
      </c>
      <c r="C91" s="86" t="s">
        <v>10</v>
      </c>
      <c r="D91" s="42"/>
      <c r="E91" s="42"/>
      <c r="F91" s="42"/>
      <c r="G91" s="42"/>
      <c r="H91" s="42"/>
      <c r="I91" s="42"/>
      <c r="J91" s="42"/>
      <c r="K91" s="46">
        <f>SUM(D91:J91)</f>
        <v>0</v>
      </c>
    </row>
    <row r="92" spans="1:11" ht="12.75">
      <c r="A92" s="5"/>
      <c r="B92" s="44"/>
      <c r="C92" s="44"/>
      <c r="D92" s="176"/>
      <c r="E92" s="176"/>
      <c r="F92" s="176"/>
      <c r="G92" s="176"/>
      <c r="H92" s="176"/>
      <c r="I92" s="176"/>
      <c r="J92" s="80"/>
      <c r="K92" s="5"/>
    </row>
    <row r="93" spans="1:11" ht="15.75">
      <c r="A93" s="5"/>
      <c r="B93" s="41" t="s">
        <v>57</v>
      </c>
      <c r="C93" s="86" t="s">
        <v>10</v>
      </c>
      <c r="D93" s="42"/>
      <c r="E93" s="42"/>
      <c r="F93" s="42"/>
      <c r="G93" s="42">
        <v>199815.47</v>
      </c>
      <c r="H93" s="42">
        <v>57900</v>
      </c>
      <c r="I93" s="42"/>
      <c r="J93" s="42"/>
      <c r="K93" s="46">
        <f>SUM(D93:J93)</f>
        <v>257715.47</v>
      </c>
    </row>
    <row r="94" spans="1:11" ht="12.75">
      <c r="A94" s="5"/>
      <c r="B94" s="44"/>
      <c r="D94" s="176"/>
      <c r="E94" s="176"/>
      <c r="F94" s="176"/>
      <c r="G94" s="176"/>
      <c r="H94" s="176"/>
      <c r="I94" s="176"/>
      <c r="J94" s="80"/>
      <c r="K94" s="5"/>
    </row>
    <row r="95" spans="1:11" ht="15.75">
      <c r="A95" s="5"/>
      <c r="B95" s="41" t="s">
        <v>58</v>
      </c>
      <c r="C95" s="86" t="s">
        <v>10</v>
      </c>
      <c r="D95" s="42"/>
      <c r="E95" s="42"/>
      <c r="F95" s="42"/>
      <c r="G95" s="42"/>
      <c r="H95" s="42"/>
      <c r="I95" s="42"/>
      <c r="J95" s="42"/>
      <c r="K95" s="46">
        <f>SUM(D95:J95)</f>
        <v>0</v>
      </c>
    </row>
    <row r="96" spans="1:11" ht="12.75">
      <c r="A96" s="5"/>
      <c r="B96" s="44"/>
      <c r="D96" s="176"/>
      <c r="E96" s="176"/>
      <c r="F96" s="176"/>
      <c r="G96" s="176"/>
      <c r="H96" s="176"/>
      <c r="I96" s="176"/>
      <c r="J96" s="80"/>
      <c r="K96" s="5"/>
    </row>
    <row r="97" spans="1:11" ht="13.5" thickBot="1">
      <c r="A97" s="5"/>
      <c r="B97" s="41" t="s">
        <v>59</v>
      </c>
      <c r="C97" s="41"/>
      <c r="D97" s="45">
        <f aca="true" t="shared" si="18" ref="D97:K97">SUM(D85,D87,D89,D91,D95,D93)</f>
        <v>0</v>
      </c>
      <c r="E97" s="45">
        <f t="shared" si="18"/>
        <v>0</v>
      </c>
      <c r="F97" s="45">
        <f t="shared" si="18"/>
        <v>0</v>
      </c>
      <c r="G97" s="45">
        <f t="shared" si="18"/>
        <v>685932.9901138869</v>
      </c>
      <c r="H97" s="45">
        <f t="shared" si="18"/>
        <v>1278700</v>
      </c>
      <c r="I97" s="45">
        <f t="shared" si="18"/>
        <v>2383200</v>
      </c>
      <c r="J97" s="45">
        <f t="shared" si="18"/>
        <v>0</v>
      </c>
      <c r="K97" s="45">
        <f t="shared" si="18"/>
        <v>4347832.990113887</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293848.55</v>
      </c>
      <c r="E99" s="49">
        <f t="shared" si="19"/>
        <v>22649</v>
      </c>
      <c r="F99" s="49">
        <f t="shared" si="19"/>
        <v>2350</v>
      </c>
      <c r="G99" s="49">
        <f t="shared" si="19"/>
        <v>4999447.78</v>
      </c>
      <c r="H99" s="49">
        <f t="shared" si="19"/>
        <v>16181500</v>
      </c>
      <c r="I99" s="49">
        <f t="shared" si="19"/>
        <v>2428400</v>
      </c>
      <c r="J99" s="49">
        <f t="shared" si="19"/>
        <v>0</v>
      </c>
      <c r="K99" s="49">
        <f t="shared" si="19"/>
        <v>23928195.330000002</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Actual</v>
      </c>
      <c r="I104" s="24" t="str">
        <f t="shared" si="21"/>
        <v>Forecasted</v>
      </c>
      <c r="J104" s="24" t="str">
        <f t="shared" si="21"/>
        <v>Forecasted</v>
      </c>
      <c r="K104" s="24"/>
    </row>
    <row r="105" spans="1:11" ht="12.75">
      <c r="A105" s="5"/>
      <c r="B105" s="41" t="s">
        <v>63</v>
      </c>
      <c r="C105" s="41"/>
      <c r="D105" s="42"/>
      <c r="E105" s="42"/>
      <c r="F105" s="42"/>
      <c r="G105" s="42">
        <v>4694.97</v>
      </c>
      <c r="H105" s="42">
        <v>21000</v>
      </c>
      <c r="I105" s="42">
        <v>1300</v>
      </c>
      <c r="J105" s="42">
        <v>1000</v>
      </c>
      <c r="K105" s="46">
        <f>SUM(D105:J105)</f>
        <v>27994.97</v>
      </c>
    </row>
    <row r="106" spans="1:11" ht="12.75">
      <c r="A106" s="5"/>
      <c r="B106" s="44" t="s">
        <v>64</v>
      </c>
      <c r="C106" s="44"/>
      <c r="D106" s="176"/>
      <c r="E106" s="176"/>
      <c r="F106" s="176"/>
      <c r="G106" s="176"/>
      <c r="H106" s="176"/>
      <c r="I106" s="176"/>
      <c r="J106" s="80"/>
      <c r="K106" s="5"/>
    </row>
    <row r="107" spans="1:11" ht="13.5" thickBot="1">
      <c r="A107" s="5"/>
      <c r="B107" s="41" t="s">
        <v>65</v>
      </c>
      <c r="C107" s="41"/>
      <c r="D107" s="45">
        <f aca="true" t="shared" si="22" ref="D107:K107">SUM(D105)</f>
        <v>0</v>
      </c>
      <c r="E107" s="45">
        <f t="shared" si="22"/>
        <v>0</v>
      </c>
      <c r="F107" s="45">
        <f t="shared" si="22"/>
        <v>0</v>
      </c>
      <c r="G107" s="45">
        <f t="shared" si="22"/>
        <v>4694.97</v>
      </c>
      <c r="H107" s="45">
        <f t="shared" si="22"/>
        <v>21000</v>
      </c>
      <c r="I107" s="45">
        <f t="shared" si="22"/>
        <v>1300</v>
      </c>
      <c r="J107" s="45">
        <f t="shared" si="22"/>
        <v>1000</v>
      </c>
      <c r="K107" s="45">
        <f t="shared" si="22"/>
        <v>27994.97</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c r="H110" s="42">
        <v>142300</v>
      </c>
      <c r="I110" s="42">
        <v>195100</v>
      </c>
      <c r="J110" s="42">
        <v>195100</v>
      </c>
      <c r="K110" s="46">
        <f>SUM(D110:J110)</f>
        <v>532500</v>
      </c>
    </row>
    <row r="111" spans="1:11" ht="12.75">
      <c r="A111" s="5"/>
      <c r="B111" s="44"/>
      <c r="C111" s="44"/>
      <c r="D111" s="176"/>
      <c r="E111" s="176"/>
      <c r="F111" s="176"/>
      <c r="G111" s="176"/>
      <c r="H111" s="176"/>
      <c r="I111" s="176"/>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142300</v>
      </c>
      <c r="I113" s="45">
        <f t="shared" si="23"/>
        <v>195100</v>
      </c>
      <c r="J113" s="45">
        <f t="shared" si="23"/>
        <v>195100</v>
      </c>
      <c r="K113" s="45">
        <f t="shared" si="23"/>
        <v>532500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v>12460.64</v>
      </c>
      <c r="H116" s="42">
        <v>4000</v>
      </c>
      <c r="I116" s="42">
        <v>4000</v>
      </c>
      <c r="J116" s="42">
        <v>9200</v>
      </c>
      <c r="K116" s="46">
        <f>SUM(D116:J116)</f>
        <v>29660.64</v>
      </c>
    </row>
    <row r="117" spans="1:11" ht="12.75">
      <c r="A117" s="5"/>
      <c r="B117" s="44" t="s">
        <v>70</v>
      </c>
      <c r="C117" s="44"/>
      <c r="D117" s="176"/>
      <c r="E117" s="176"/>
      <c r="F117" s="176"/>
      <c r="G117" s="176"/>
      <c r="H117" s="176"/>
      <c r="I117" s="176"/>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v>457.92</v>
      </c>
      <c r="H119" s="42">
        <v>120000</v>
      </c>
      <c r="I119" s="42">
        <v>170000</v>
      </c>
      <c r="J119" s="42">
        <v>170000</v>
      </c>
      <c r="K119" s="46">
        <f>SUM(D119:J119)</f>
        <v>460457.92</v>
      </c>
    </row>
    <row r="120" spans="1:11" ht="12.75">
      <c r="A120" s="5"/>
      <c r="B120" s="44" t="s">
        <v>72</v>
      </c>
      <c r="C120" s="44"/>
      <c r="D120" s="176"/>
      <c r="E120" s="176"/>
      <c r="F120" s="176"/>
      <c r="G120" s="176"/>
      <c r="H120" s="176"/>
      <c r="I120" s="176"/>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12918.56</v>
      </c>
      <c r="H122" s="45">
        <f t="shared" si="24"/>
        <v>124000</v>
      </c>
      <c r="I122" s="45">
        <f t="shared" si="24"/>
        <v>174000</v>
      </c>
      <c r="J122" s="45">
        <f t="shared" si="24"/>
        <v>179200</v>
      </c>
      <c r="K122" s="45">
        <f t="shared" si="24"/>
        <v>490118.56</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v>439.87</v>
      </c>
      <c r="H126" s="42">
        <v>15300</v>
      </c>
      <c r="I126" s="42">
        <v>32500</v>
      </c>
      <c r="J126" s="42">
        <v>32500</v>
      </c>
      <c r="K126" s="46">
        <f>SUM(D126:J126)</f>
        <v>80739.87</v>
      </c>
    </row>
    <row r="127" spans="1:11" ht="12.75">
      <c r="A127" s="5"/>
      <c r="B127" s="44" t="s">
        <v>75</v>
      </c>
      <c r="C127" s="44"/>
      <c r="D127" s="176"/>
      <c r="E127" s="176"/>
      <c r="F127" s="176"/>
      <c r="G127" s="176"/>
      <c r="H127" s="176"/>
      <c r="I127" s="176"/>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439.87</v>
      </c>
      <c r="H129" s="45">
        <f t="shared" si="25"/>
        <v>15300</v>
      </c>
      <c r="I129" s="45">
        <f t="shared" si="25"/>
        <v>32500</v>
      </c>
      <c r="J129" s="45">
        <f t="shared" si="25"/>
        <v>32500</v>
      </c>
      <c r="K129" s="45">
        <f t="shared" si="25"/>
        <v>80739.87</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76"/>
      <c r="E133" s="176"/>
      <c r="F133" s="176"/>
      <c r="G133" s="176"/>
      <c r="H133" s="176"/>
      <c r="I133" s="176"/>
      <c r="J133" s="80"/>
      <c r="K133" s="5"/>
    </row>
    <row r="134" spans="1:11" ht="12.75">
      <c r="A134" s="5"/>
      <c r="B134" s="41" t="s">
        <v>79</v>
      </c>
      <c r="C134" s="41"/>
      <c r="D134" s="42"/>
      <c r="E134" s="42"/>
      <c r="F134" s="42"/>
      <c r="G134" s="42">
        <v>62229.55</v>
      </c>
      <c r="H134" s="42">
        <v>42500</v>
      </c>
      <c r="I134" s="42">
        <v>282600</v>
      </c>
      <c r="J134" s="42"/>
      <c r="K134" s="46">
        <f>SUM(D134:J134)</f>
        <v>387329.55</v>
      </c>
    </row>
    <row r="135" spans="1:11" ht="12.75">
      <c r="A135" s="5"/>
      <c r="B135" s="44" t="s">
        <v>80</v>
      </c>
      <c r="C135" s="44"/>
      <c r="D135" s="176"/>
      <c r="E135" s="176"/>
      <c r="F135" s="176"/>
      <c r="G135" s="176"/>
      <c r="H135" s="176"/>
      <c r="I135" s="176"/>
      <c r="J135" s="80"/>
      <c r="K135" s="5"/>
    </row>
    <row r="136" spans="1:11" ht="12.75">
      <c r="A136" s="5"/>
      <c r="B136" s="41" t="s">
        <v>81</v>
      </c>
      <c r="C136" s="41"/>
      <c r="D136" s="42"/>
      <c r="E136" s="42"/>
      <c r="F136" s="42"/>
      <c r="G136" s="42">
        <v>4358.17</v>
      </c>
      <c r="H136" s="42">
        <v>138100</v>
      </c>
      <c r="I136" s="42">
        <v>-253700</v>
      </c>
      <c r="J136" s="42">
        <v>-222300</v>
      </c>
      <c r="K136" s="46">
        <f>SUM(D136:J136)</f>
        <v>-333541.82999999996</v>
      </c>
    </row>
    <row r="137" spans="1:11" ht="12.75">
      <c r="A137" s="5"/>
      <c r="B137" s="44"/>
      <c r="C137" s="44"/>
      <c r="D137" s="176"/>
      <c r="E137" s="176"/>
      <c r="F137" s="176"/>
      <c r="G137" s="176"/>
      <c r="H137" s="176"/>
      <c r="I137" s="176"/>
      <c r="J137" s="80"/>
      <c r="K137" s="5"/>
    </row>
    <row r="138" spans="1:11" ht="12.75">
      <c r="A138" s="5"/>
      <c r="B138" s="41" t="s">
        <v>82</v>
      </c>
      <c r="C138" s="41"/>
      <c r="D138" s="42"/>
      <c r="E138" s="42"/>
      <c r="F138" s="42"/>
      <c r="G138" s="42"/>
      <c r="H138" s="42">
        <v>60900</v>
      </c>
      <c r="I138" s="42">
        <v>10000</v>
      </c>
      <c r="J138" s="42"/>
      <c r="K138" s="46">
        <f>SUM(D138:J138)</f>
        <v>70900</v>
      </c>
    </row>
    <row r="139" spans="1:11" ht="12.75">
      <c r="A139" s="5"/>
      <c r="B139" s="44" t="s">
        <v>83</v>
      </c>
      <c r="C139" s="44"/>
      <c r="D139" s="176"/>
      <c r="E139" s="176"/>
      <c r="F139" s="176"/>
      <c r="G139" s="176"/>
      <c r="H139" s="176"/>
      <c r="I139" s="176"/>
      <c r="J139" s="80"/>
      <c r="K139" s="5"/>
    </row>
    <row r="140" spans="1:11" ht="12.75">
      <c r="A140" s="5"/>
      <c r="B140" s="41" t="s">
        <v>84</v>
      </c>
      <c r="C140" s="41"/>
      <c r="D140" s="42"/>
      <c r="E140" s="42"/>
      <c r="F140" s="42"/>
      <c r="G140" s="42">
        <v>24778.81</v>
      </c>
      <c r="H140" s="42">
        <v>39500</v>
      </c>
      <c r="I140" s="42">
        <v>54000</v>
      </c>
      <c r="J140" s="42">
        <v>54000</v>
      </c>
      <c r="K140" s="46">
        <f>SUM(D140:J140)</f>
        <v>172278.81</v>
      </c>
    </row>
    <row r="141" spans="1:11" ht="12.75">
      <c r="A141" s="5"/>
      <c r="B141" s="44"/>
      <c r="C141" s="44"/>
      <c r="D141" s="176"/>
      <c r="E141" s="176"/>
      <c r="F141" s="176"/>
      <c r="G141" s="176"/>
      <c r="H141" s="176"/>
      <c r="I141" s="176"/>
      <c r="J141" s="80"/>
      <c r="K141" s="5"/>
    </row>
    <row r="142" spans="1:11" ht="12.75">
      <c r="A142" s="5"/>
      <c r="B142" s="41" t="s">
        <v>85</v>
      </c>
      <c r="C142" s="41"/>
      <c r="D142" s="42"/>
      <c r="E142" s="42">
        <v>5998</v>
      </c>
      <c r="F142" s="42">
        <v>101711</v>
      </c>
      <c r="G142" s="42">
        <v>3929.09</v>
      </c>
      <c r="H142" s="42"/>
      <c r="I142" s="42"/>
      <c r="J142" s="42"/>
      <c r="K142" s="46">
        <f>SUM(D142:J142)</f>
        <v>111638.09</v>
      </c>
    </row>
    <row r="143" spans="1:11" ht="12.75">
      <c r="A143" s="5"/>
      <c r="B143" s="44"/>
      <c r="C143" s="44"/>
      <c r="D143" s="176"/>
      <c r="E143" s="176"/>
      <c r="F143" s="176"/>
      <c r="G143" s="176"/>
      <c r="H143" s="176"/>
      <c r="I143" s="176"/>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5998</v>
      </c>
      <c r="F145" s="45">
        <f t="shared" si="26"/>
        <v>101711</v>
      </c>
      <c r="G145" s="45">
        <f t="shared" si="26"/>
        <v>95295.62</v>
      </c>
      <c r="H145" s="45">
        <f t="shared" si="26"/>
        <v>281000</v>
      </c>
      <c r="I145" s="45">
        <f t="shared" si="26"/>
        <v>92900</v>
      </c>
      <c r="J145" s="45">
        <f t="shared" si="26"/>
        <v>-168300</v>
      </c>
      <c r="K145" s="45">
        <f t="shared" si="26"/>
        <v>408604.62</v>
      </c>
    </row>
    <row r="147" spans="2:11" ht="18.75" thickBot="1">
      <c r="B147" s="28" t="s">
        <v>87</v>
      </c>
      <c r="C147" s="28"/>
      <c r="D147" s="51">
        <f aca="true" t="shared" si="27" ref="D147:K147">SUM(D107,D113,D122,D129,D145)</f>
        <v>0</v>
      </c>
      <c r="E147" s="51">
        <f t="shared" si="27"/>
        <v>5998</v>
      </c>
      <c r="F147" s="51">
        <f t="shared" si="27"/>
        <v>101711</v>
      </c>
      <c r="G147" s="51">
        <f t="shared" si="27"/>
        <v>113349.01999999999</v>
      </c>
      <c r="H147" s="51">
        <f t="shared" si="27"/>
        <v>583600</v>
      </c>
      <c r="I147" s="51">
        <f t="shared" si="27"/>
        <v>495800</v>
      </c>
      <c r="J147" s="51">
        <f t="shared" si="27"/>
        <v>239500</v>
      </c>
      <c r="K147" s="51">
        <f t="shared" si="27"/>
        <v>1539958.02</v>
      </c>
    </row>
    <row r="148" ht="13.5" thickTop="1"/>
    <row r="153" ht="12.75">
      <c r="K153" s="163"/>
    </row>
  </sheetData>
  <sheetProtection formatColumns="0" selectLockedCells="1"/>
  <mergeCells count="26">
    <mergeCell ref="D143:I143"/>
    <mergeCell ref="D135:I135"/>
    <mergeCell ref="D137:I137"/>
    <mergeCell ref="D120:I120"/>
    <mergeCell ref="D127:I127"/>
    <mergeCell ref="D133:I133"/>
    <mergeCell ref="D139:I139"/>
    <mergeCell ref="D141:I141"/>
    <mergeCell ref="D90:I90"/>
    <mergeCell ref="D92:I92"/>
    <mergeCell ref="D96:I96"/>
    <mergeCell ref="D88:I88"/>
    <mergeCell ref="D117:I117"/>
    <mergeCell ref="D106:I106"/>
    <mergeCell ref="D111:I111"/>
    <mergeCell ref="D94:I94"/>
    <mergeCell ref="D86:I86"/>
    <mergeCell ref="D46:I46"/>
    <mergeCell ref="D60:I60"/>
    <mergeCell ref="D70:I70"/>
    <mergeCell ref="D72:I72"/>
    <mergeCell ref="B1:I1"/>
    <mergeCell ref="D42:I42"/>
    <mergeCell ref="D54:I54"/>
    <mergeCell ref="D57:I57"/>
    <mergeCell ref="D44:I44"/>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 right="0.748031496062992" top="0.45" bottom="0.23" header="0.46" footer="0.25"/>
  <pageSetup fitToHeight="2" horizontalDpi="600" verticalDpi="600" orientation="landscape" scale="4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2" max="10"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tabSelected="1" zoomScalePageLayoutView="0" workbookViewId="0" topLeftCell="A22">
      <selection activeCell="J33" sqref="J33"/>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5.28125" style="7" customWidth="1"/>
    <col min="11" max="16384" width="9.140625" style="7" customWidth="1"/>
  </cols>
  <sheetData>
    <row r="1" spans="1:12" s="3" customFormat="1" ht="21" customHeight="1">
      <c r="A1" s="1"/>
      <c r="B1" s="178" t="s">
        <v>88</v>
      </c>
      <c r="C1" s="178"/>
      <c r="D1" s="178"/>
      <c r="E1" s="178"/>
      <c r="F1" s="178"/>
      <c r="G1" s="178"/>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9" customHeight="1">
      <c r="A11" s="5"/>
      <c r="B11" s="52"/>
      <c r="C11" s="5"/>
      <c r="D11" s="5"/>
      <c r="E11" s="5"/>
      <c r="F11" s="5"/>
      <c r="G11" s="5"/>
      <c r="H11" s="46"/>
      <c r="I11" s="46"/>
      <c r="J11" s="46"/>
      <c r="K11" s="46"/>
      <c r="L11" s="46"/>
    </row>
    <row r="12" spans="1:12" ht="15.75">
      <c r="A12" s="5"/>
      <c r="B12" s="110" t="s">
        <v>155</v>
      </c>
      <c r="C12" s="160"/>
      <c r="D12" s="160"/>
      <c r="E12" s="160"/>
      <c r="F12" s="160"/>
      <c r="G12" s="160"/>
      <c r="H12" s="160"/>
      <c r="I12" s="160"/>
      <c r="J12" s="46"/>
      <c r="K12" s="46"/>
      <c r="L12" s="46"/>
    </row>
    <row r="13" ht="8.25" customHeight="1"/>
    <row r="14" spans="1:12" ht="12.75">
      <c r="A14" s="5"/>
      <c r="B14" s="54" t="s">
        <v>249</v>
      </c>
      <c r="C14" s="5"/>
      <c r="D14"/>
      <c r="E14" s="124">
        <v>0</v>
      </c>
      <c r="F14" s="123">
        <v>0.04</v>
      </c>
      <c r="G14" s="123">
        <v>0.04</v>
      </c>
      <c r="H14" s="123">
        <v>0.04</v>
      </c>
      <c r="I14" s="123">
        <v>0.04</v>
      </c>
      <c r="J14" s="46"/>
      <c r="K14" s="46"/>
      <c r="L14" s="46"/>
    </row>
    <row r="15" spans="1:12" ht="12.75">
      <c r="A15" s="5"/>
      <c r="B15" s="54" t="s">
        <v>276</v>
      </c>
      <c r="C15" s="89">
        <v>0.55</v>
      </c>
      <c r="D15" s="89">
        <v>0.55</v>
      </c>
      <c r="E15" s="164">
        <v>0.575</v>
      </c>
      <c r="F15" s="89">
        <v>0.56</v>
      </c>
      <c r="G15" s="89">
        <v>0.56</v>
      </c>
      <c r="H15" s="89">
        <v>0.56</v>
      </c>
      <c r="I15" s="89">
        <v>0.56</v>
      </c>
      <c r="J15" s="46"/>
      <c r="K15" s="46"/>
      <c r="L15" s="5"/>
    </row>
    <row r="16" spans="1:12" ht="12.75">
      <c r="A16" s="5"/>
      <c r="B16" s="54" t="s">
        <v>277</v>
      </c>
      <c r="C16" s="90">
        <f>1-C15</f>
        <v>0.44999999999999996</v>
      </c>
      <c r="D16" s="90">
        <f>1-D15</f>
        <v>0.44999999999999996</v>
      </c>
      <c r="E16" s="165">
        <f>1-E15-E14</f>
        <v>0.42500000000000004</v>
      </c>
      <c r="F16" s="90">
        <f>1-F15-F14</f>
        <v>0.39999999999999997</v>
      </c>
      <c r="G16" s="90">
        <f>1-G15-G14</f>
        <v>0.39999999999999997</v>
      </c>
      <c r="H16" s="90">
        <f>1-H15-H14</f>
        <v>0.39999999999999997</v>
      </c>
      <c r="I16" s="90">
        <f>1-I15-I14</f>
        <v>0.39999999999999997</v>
      </c>
      <c r="J16" s="46"/>
      <c r="K16" s="46"/>
      <c r="L16" s="5"/>
    </row>
    <row r="17" ht="12.75"/>
    <row r="18" spans="1:12" ht="12.75">
      <c r="A18" s="5"/>
      <c r="B18" s="54" t="s">
        <v>250</v>
      </c>
      <c r="C18" s="90"/>
      <c r="D18" s="90"/>
      <c r="E18" s="124">
        <v>0</v>
      </c>
      <c r="F18" s="124">
        <v>0.0113</v>
      </c>
      <c r="G18" s="124">
        <v>0.0113</v>
      </c>
      <c r="H18" s="124">
        <v>0.0113</v>
      </c>
      <c r="I18" s="124">
        <v>0.0113</v>
      </c>
      <c r="J18" s="46"/>
      <c r="K18" s="46"/>
      <c r="L18" s="5"/>
    </row>
    <row r="19" spans="1:12" ht="12.75">
      <c r="A19" s="5"/>
      <c r="B19" s="54" t="s">
        <v>278</v>
      </c>
      <c r="C19" s="91">
        <v>0.06</v>
      </c>
      <c r="D19" s="91">
        <v>0.06</v>
      </c>
      <c r="E19" s="91">
        <v>0.06</v>
      </c>
      <c r="F19" s="91">
        <v>0.06</v>
      </c>
      <c r="G19" s="91">
        <v>0.06</v>
      </c>
      <c r="H19" s="91">
        <v>0.06</v>
      </c>
      <c r="I19" s="91">
        <v>0.06</v>
      </c>
      <c r="J19" s="46"/>
      <c r="K19" s="46"/>
      <c r="L19" s="5"/>
    </row>
    <row r="20" spans="1:12" ht="13.5" customHeight="1">
      <c r="A20" s="5"/>
      <c r="B20" s="54" t="s">
        <v>279</v>
      </c>
      <c r="C20" s="91">
        <v>0.09</v>
      </c>
      <c r="D20" s="91">
        <v>0.09</v>
      </c>
      <c r="E20" s="91">
        <v>0.0857</v>
      </c>
      <c r="F20" s="91">
        <v>0.0801</v>
      </c>
      <c r="G20" s="91">
        <v>0.0801</v>
      </c>
      <c r="H20" s="91">
        <v>0.0801</v>
      </c>
      <c r="I20" s="91">
        <v>0.0801</v>
      </c>
      <c r="J20" s="5"/>
      <c r="K20" s="5"/>
      <c r="L20" s="5"/>
    </row>
    <row r="21" spans="1:12" ht="18" customHeight="1">
      <c r="A21" s="5"/>
      <c r="B21" s="55" t="s">
        <v>94</v>
      </c>
      <c r="C21" s="95">
        <f>(C19*C15)+(C16*C20)</f>
        <v>0.0735</v>
      </c>
      <c r="D21" s="95">
        <f>(D19*D15)+(D16*D20)</f>
        <v>0.0735</v>
      </c>
      <c r="E21" s="95">
        <f>(E14*E18)+(E15*E19)+(E16*E20)</f>
        <v>0.0709225</v>
      </c>
      <c r="F21" s="95">
        <f>(F14*F18)+(F15*F19)+(F16*F20)</f>
        <v>0.06609200000000001</v>
      </c>
      <c r="G21" s="95">
        <f>(G14*G18)+(G15*G19)+(G16*G20)</f>
        <v>0.06609200000000001</v>
      </c>
      <c r="H21" s="95">
        <f>(H14*H18)+(H15*H19)+(H16*H20)</f>
        <v>0.06609200000000001</v>
      </c>
      <c r="I21" s="95">
        <f>(I14*I18)+(I15*I19)+(I16*I20)</f>
        <v>0.06609200000000001</v>
      </c>
      <c r="J21" s="5"/>
      <c r="K21" s="5"/>
      <c r="L21" s="5"/>
    </row>
    <row r="22" spans="1:12" ht="12"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9.75"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0.32</v>
      </c>
      <c r="H26" s="91">
        <v>0.305</v>
      </c>
      <c r="I26" s="91">
        <v>0.29</v>
      </c>
      <c r="J26" s="5"/>
      <c r="K26" s="5"/>
      <c r="L26" s="5"/>
    </row>
    <row r="27" spans="1:12" ht="7.5" customHeight="1">
      <c r="A27" s="5"/>
      <c r="B27" s="29"/>
      <c r="C27" s="5"/>
      <c r="D27" s="5"/>
      <c r="E27" s="5"/>
      <c r="F27" s="5"/>
      <c r="G27" s="5"/>
      <c r="H27" s="5"/>
      <c r="I27" s="5"/>
      <c r="J27" s="5"/>
      <c r="K27" s="5"/>
      <c r="L27" s="5"/>
    </row>
    <row r="28" spans="1:12" ht="8.25" customHeight="1">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293848.55</v>
      </c>
      <c r="D31" s="96">
        <f>SUMIF('2. Smart Meter Data'!$C:$J,"Smart Meter",'2. Smart Meter Data'!E:E)</f>
        <v>22649</v>
      </c>
      <c r="E31" s="96">
        <f>SUMIF('2. Smart Meter Data'!$C:$J,"Smart Meter",'2. Smart Meter Data'!F:F)</f>
        <v>2350</v>
      </c>
      <c r="F31" s="96">
        <f>SUMIF('2. Smart Meter Data'!$C:$J,"Smart Meter",'2. Smart Meter Data'!G:G)</f>
        <v>4050497.87</v>
      </c>
      <c r="G31" s="96">
        <f>SUMIF('2. Smart Meter Data'!$C:$J,"Smart Meter",'2. Smart Meter Data'!H:H)</f>
        <v>14054300</v>
      </c>
      <c r="H31" s="96">
        <f>SUMIF('2. Smart Meter Data'!$C:$J,"Smart Meter",'2. Smart Meter Data'!I:I)</f>
        <v>40200</v>
      </c>
      <c r="I31" s="96">
        <f>SUMIF('2. Smart Meter Data'!$C:$J,"Smart Meter",'2. Smart Meter Data'!J:J)</f>
        <v>0</v>
      </c>
      <c r="J31" s="97">
        <f>SUM(C31:I31)</f>
        <v>18463845.42</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140328</v>
      </c>
      <c r="G32" s="96">
        <f>SUMIF('2. Smart Meter Data'!$C:$J,"Comp. Hard.",'2. Smart Meter Data'!H:H)</f>
        <v>166200</v>
      </c>
      <c r="H32" s="96">
        <f>SUMIF('2. Smart Meter Data'!$C:$J,"Comp. Hard.",'2. Smart Meter Data'!I:I)</f>
        <v>0</v>
      </c>
      <c r="I32" s="96">
        <f>SUMIF('2. Smart Meter Data'!$C:$J,"Comp. Hard.",'2. Smart Meter Data'!J:J)</f>
        <v>0</v>
      </c>
      <c r="J32" s="97">
        <f>SUM(C32:I32)</f>
        <v>306528</v>
      </c>
      <c r="K32" s="5"/>
      <c r="L32" s="5"/>
      <c r="M32" s="5"/>
    </row>
    <row r="33" spans="1:13" ht="12.75">
      <c r="A33" s="5"/>
      <c r="B33" s="31" t="s">
        <v>99</v>
      </c>
      <c r="C33" s="96">
        <f>SUMIF('2. Smart Meter Data'!$C:$J,"Comp. Soft.",'2. Smart Meter Data'!D:D)</f>
        <v>0</v>
      </c>
      <c r="D33" s="96">
        <f>SUMIF('2. Smart Meter Data'!$C:$J,"Comp. Soft.",'2. Smart Meter Data'!E:E)</f>
        <v>0</v>
      </c>
      <c r="E33" s="96">
        <f>SUMIF('2. Smart Meter Data'!$C:$J,"Comp. Soft.",'2. Smart Meter Data'!F:F)</f>
        <v>0</v>
      </c>
      <c r="F33" s="96">
        <f>SUMIF('2. Smart Meter Data'!$C:$J,"Comp. Soft.",'2. Smart Meter Data'!G:G)</f>
        <v>704061.1</v>
      </c>
      <c r="G33" s="96">
        <f>SUMIF('2. Smart Meter Data'!$C:$J,"Comp. Soft.",'2. Smart Meter Data'!H:H)</f>
        <v>1206600</v>
      </c>
      <c r="H33" s="96">
        <f>SUMIF('2. Smart Meter Data'!$C:$J,"Comp. Soft.",'2. Smart Meter Data'!I:I)</f>
        <v>2388200</v>
      </c>
      <c r="I33" s="96">
        <f>SUMIF('2. Smart Meter Data'!$C:$J,"Comp. Soft.",'2. Smart Meter Data'!J:J)</f>
        <v>0</v>
      </c>
      <c r="J33" s="97">
        <f>SUM(C33:I33)</f>
        <v>4298861.1</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100801.39</v>
      </c>
      <c r="G34" s="96">
        <f>SUMIF('2. Smart Meter Data'!$C:$J,"Tools &amp; Equip",'2. Smart Meter Data'!H:H)</f>
        <v>645900</v>
      </c>
      <c r="H34" s="96">
        <f>SUMIF('2. Smart Meter Data'!$C:$J,"Tools &amp; Equip",'2. Smart Meter Data'!I:I)</f>
        <v>0</v>
      </c>
      <c r="I34" s="96">
        <f>SUMIF('2. Smart Meter Data'!$C:$J,"Tools &amp; Equip",'2. Smart Meter Data'!J:J)</f>
        <v>0</v>
      </c>
      <c r="J34" s="97">
        <f>SUM(C34:I34)</f>
        <v>746701.39</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3759.42</v>
      </c>
      <c r="G35" s="96">
        <f>SUMIF('2. Smart Meter Data'!$C:$J,"Other Equip.",'2. Smart Meter Data'!H:H)</f>
        <v>108500</v>
      </c>
      <c r="H35" s="96">
        <f>SUMIF('2. Smart Meter Data'!$C:$J,"Other Equip.",'2. Smart Meter Data'!I:I)</f>
        <v>0</v>
      </c>
      <c r="I35" s="96">
        <f>SUMIF('2. Smart Meter Data'!$C:$J,"Other Equip.",'2. Smart Meter Data'!J:J)</f>
        <v>0</v>
      </c>
      <c r="J35" s="97">
        <f>SUM(C35:I35)</f>
        <v>112259.42</v>
      </c>
      <c r="K35" s="5"/>
      <c r="L35" s="5"/>
      <c r="M35" s="5"/>
    </row>
    <row r="36" spans="1:13" ht="13.5" thickBot="1">
      <c r="A36" s="5"/>
      <c r="B36" s="55" t="s">
        <v>60</v>
      </c>
      <c r="C36" s="98">
        <f aca="true" t="shared" si="1" ref="C36:I36">SUM(C31:C35)</f>
        <v>293848.55</v>
      </c>
      <c r="D36" s="98">
        <f t="shared" si="1"/>
        <v>22649</v>
      </c>
      <c r="E36" s="98">
        <f t="shared" si="1"/>
        <v>2350</v>
      </c>
      <c r="F36" s="98">
        <f t="shared" si="1"/>
        <v>4999447.779999999</v>
      </c>
      <c r="G36" s="98">
        <f t="shared" si="1"/>
        <v>16181500</v>
      </c>
      <c r="H36" s="98">
        <f t="shared" si="1"/>
        <v>2428400</v>
      </c>
      <c r="I36" s="98">
        <f t="shared" si="1"/>
        <v>0</v>
      </c>
      <c r="J36" s="98">
        <f>SUM(J31:J35)</f>
        <v>23928195.330000006</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6" customHeight="1">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4694.97</v>
      </c>
      <c r="G41" s="99">
        <f>'2. Smart Meter Data'!H107</f>
        <v>21000</v>
      </c>
      <c r="H41" s="99">
        <f>'2. Smart Meter Data'!I107</f>
        <v>1300</v>
      </c>
      <c r="I41" s="99">
        <f>'2. Smart Meter Data'!J107</f>
        <v>1000</v>
      </c>
      <c r="J41" s="97">
        <f>SUM(C41:I41)</f>
        <v>27994.97</v>
      </c>
      <c r="K41" s="5"/>
      <c r="L41" s="5"/>
      <c r="M41" s="5"/>
    </row>
    <row r="42" spans="1:13" ht="12.75">
      <c r="A42" s="5"/>
      <c r="B42" s="57" t="s">
        <v>102</v>
      </c>
      <c r="C42" s="99">
        <f>'2. Smart Meter Data'!D113</f>
        <v>0</v>
      </c>
      <c r="D42" s="99">
        <f>'2. Smart Meter Data'!E113</f>
        <v>0</v>
      </c>
      <c r="E42" s="99">
        <f>'2. Smart Meter Data'!F113</f>
        <v>0</v>
      </c>
      <c r="F42" s="99">
        <f>'2. Smart Meter Data'!G113</f>
        <v>0</v>
      </c>
      <c r="G42" s="99">
        <f>'2. Smart Meter Data'!H113</f>
        <v>142300</v>
      </c>
      <c r="H42" s="99">
        <f>'2. Smart Meter Data'!I113</f>
        <v>195100</v>
      </c>
      <c r="I42" s="99">
        <f>'2. Smart Meter Data'!J113</f>
        <v>195100</v>
      </c>
      <c r="J42" s="97">
        <f>SUM(C42:I42)</f>
        <v>532500</v>
      </c>
      <c r="K42" s="5"/>
      <c r="L42" s="5"/>
      <c r="M42" s="5"/>
    </row>
    <row r="43" spans="1:13" ht="12.75">
      <c r="A43" s="5"/>
      <c r="B43" s="57" t="s">
        <v>103</v>
      </c>
      <c r="C43" s="99">
        <f>'2. Smart Meter Data'!D122</f>
        <v>0</v>
      </c>
      <c r="D43" s="99">
        <f>'2. Smart Meter Data'!E122</f>
        <v>0</v>
      </c>
      <c r="E43" s="99">
        <f>'2. Smart Meter Data'!F122</f>
        <v>0</v>
      </c>
      <c r="F43" s="99">
        <f>'2. Smart Meter Data'!G122</f>
        <v>12918.56</v>
      </c>
      <c r="G43" s="99">
        <f>'2. Smart Meter Data'!H122</f>
        <v>124000</v>
      </c>
      <c r="H43" s="99">
        <f>'2. Smart Meter Data'!I122</f>
        <v>174000</v>
      </c>
      <c r="I43" s="99">
        <f>'2. Smart Meter Data'!J122</f>
        <v>179200</v>
      </c>
      <c r="J43" s="97">
        <f>SUM(C43:I43)</f>
        <v>490118.56</v>
      </c>
      <c r="K43" s="5"/>
      <c r="L43" s="5"/>
      <c r="M43" s="5"/>
    </row>
    <row r="44" spans="1:13" ht="12.75">
      <c r="A44" s="5"/>
      <c r="B44" s="57" t="s">
        <v>104</v>
      </c>
      <c r="C44" s="99">
        <f>'2. Smart Meter Data'!D129</f>
        <v>0</v>
      </c>
      <c r="D44" s="99">
        <f>'2. Smart Meter Data'!E129</f>
        <v>0</v>
      </c>
      <c r="E44" s="99">
        <f>'2. Smart Meter Data'!F129</f>
        <v>0</v>
      </c>
      <c r="F44" s="99">
        <f>'2. Smart Meter Data'!G129</f>
        <v>439.87</v>
      </c>
      <c r="G44" s="99">
        <f>'2. Smart Meter Data'!H129</f>
        <v>15300</v>
      </c>
      <c r="H44" s="99">
        <f>'2. Smart Meter Data'!I129</f>
        <v>32500</v>
      </c>
      <c r="I44" s="99">
        <f>'2. Smart Meter Data'!J129</f>
        <v>32500</v>
      </c>
      <c r="J44" s="97">
        <f>SUM(C44:I44)</f>
        <v>80739.87</v>
      </c>
      <c r="K44" s="5"/>
      <c r="L44" s="5"/>
      <c r="M44" s="5"/>
    </row>
    <row r="45" spans="1:13" ht="12.75">
      <c r="A45" s="5"/>
      <c r="B45" s="57" t="s">
        <v>105</v>
      </c>
      <c r="C45" s="99">
        <f>'2. Smart Meter Data'!D145</f>
        <v>0</v>
      </c>
      <c r="D45" s="99">
        <f>'2. Smart Meter Data'!E145</f>
        <v>5998</v>
      </c>
      <c r="E45" s="99">
        <f>'2. Smart Meter Data'!F145</f>
        <v>101711</v>
      </c>
      <c r="F45" s="99">
        <f>'2. Smart Meter Data'!G145</f>
        <v>95295.62</v>
      </c>
      <c r="G45" s="99">
        <f>'2. Smart Meter Data'!H145</f>
        <v>281000</v>
      </c>
      <c r="H45" s="99">
        <f>'2. Smart Meter Data'!I145</f>
        <v>92900</v>
      </c>
      <c r="I45" s="99">
        <f>'2. Smart Meter Data'!J145</f>
        <v>-168300</v>
      </c>
      <c r="J45" s="97">
        <f>SUM(C45:I45)</f>
        <v>408604.62</v>
      </c>
      <c r="K45" s="5"/>
      <c r="L45" s="5"/>
      <c r="M45" s="5"/>
    </row>
    <row r="46" spans="1:13" ht="13.5" thickBot="1">
      <c r="A46" s="5"/>
      <c r="B46" s="54" t="s">
        <v>87</v>
      </c>
      <c r="C46" s="100">
        <f aca="true" t="shared" si="4" ref="C46:I46">SUM(C41:C45)</f>
        <v>0</v>
      </c>
      <c r="D46" s="100">
        <f t="shared" si="4"/>
        <v>5998</v>
      </c>
      <c r="E46" s="100">
        <f t="shared" si="4"/>
        <v>101711</v>
      </c>
      <c r="F46" s="101">
        <f t="shared" si="4"/>
        <v>113349.01999999999</v>
      </c>
      <c r="G46" s="101">
        <f t="shared" si="4"/>
        <v>583600</v>
      </c>
      <c r="H46" s="101">
        <f t="shared" si="4"/>
        <v>495800</v>
      </c>
      <c r="I46" s="101">
        <f t="shared" si="4"/>
        <v>239500</v>
      </c>
      <c r="J46" s="101">
        <f>SUM(J41:J45)</f>
        <v>1539958.02</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0</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127.04509932362231</v>
      </c>
      <c r="D50" s="103">
        <f>'2. Smart Meter Data'!K10</f>
        <v>145333</v>
      </c>
      <c r="E50" s="97">
        <f>J31</f>
        <v>18463845.42</v>
      </c>
      <c r="F50" s="104">
        <f aca="true" t="shared" si="6" ref="F50:F55">IF(ISERROR(E50/$E$56),0,E50/$E$56)</f>
        <v>0.7249777856390989</v>
      </c>
      <c r="G50" s="5"/>
      <c r="H50" s="5"/>
      <c r="I50" s="5"/>
      <c r="J50" s="5"/>
      <c r="K50" s="5"/>
      <c r="L50" s="5"/>
    </row>
    <row r="51" spans="1:12" ht="12.75">
      <c r="A51" s="5"/>
      <c r="B51" s="31" t="s">
        <v>112</v>
      </c>
      <c r="C51" s="102">
        <f t="shared" si="5"/>
        <v>2.1091424521615876</v>
      </c>
      <c r="D51" s="103">
        <f>D50</f>
        <v>145333</v>
      </c>
      <c r="E51" s="97">
        <f>J32</f>
        <v>306528</v>
      </c>
      <c r="F51" s="104">
        <f t="shared" si="6"/>
        <v>0.01203573717291128</v>
      </c>
      <c r="G51" s="5"/>
      <c r="H51" s="5"/>
      <c r="I51" s="5"/>
      <c r="J51" s="5"/>
      <c r="K51" s="5"/>
      <c r="L51" s="5"/>
    </row>
    <row r="52" spans="1:12" ht="12.75">
      <c r="A52" s="5"/>
      <c r="B52" s="31" t="s">
        <v>113</v>
      </c>
      <c r="C52" s="102">
        <f t="shared" si="5"/>
        <v>29.579387338044352</v>
      </c>
      <c r="D52" s="103">
        <f>D51</f>
        <v>145333</v>
      </c>
      <c r="E52" s="97">
        <f>J33</f>
        <v>4298861.1</v>
      </c>
      <c r="F52" s="104">
        <f t="shared" si="6"/>
        <v>0.16879359256724433</v>
      </c>
      <c r="G52" s="5"/>
      <c r="H52" s="5"/>
      <c r="I52" s="5"/>
      <c r="J52" s="5"/>
      <c r="K52" s="5"/>
      <c r="L52" s="5"/>
    </row>
    <row r="53" spans="1:12" ht="12.75">
      <c r="A53" s="5"/>
      <c r="B53" s="31" t="s">
        <v>11</v>
      </c>
      <c r="C53" s="102">
        <f t="shared" si="5"/>
        <v>5.1378653850123515</v>
      </c>
      <c r="D53" s="103">
        <f>D52</f>
        <v>145333</v>
      </c>
      <c r="E53" s="97">
        <f>J34</f>
        <v>746701.39</v>
      </c>
      <c r="F53" s="104">
        <f t="shared" si="6"/>
        <v>0.029319023634668033</v>
      </c>
      <c r="G53" s="5"/>
      <c r="H53" s="5"/>
      <c r="I53" s="5"/>
      <c r="J53" s="5"/>
      <c r="K53" s="5"/>
      <c r="L53" s="5"/>
    </row>
    <row r="54" spans="1:12" ht="12.75">
      <c r="A54" s="5"/>
      <c r="B54" s="31" t="s">
        <v>13</v>
      </c>
      <c r="C54" s="102">
        <f t="shared" si="5"/>
        <v>0.7724289734609483</v>
      </c>
      <c r="D54" s="103">
        <f>D53</f>
        <v>145333</v>
      </c>
      <c r="E54" s="97">
        <f>J35</f>
        <v>112259.42</v>
      </c>
      <c r="F54" s="104">
        <f t="shared" si="6"/>
        <v>0.00440783508946478</v>
      </c>
      <c r="G54" s="5"/>
      <c r="H54" s="5"/>
      <c r="I54" s="5"/>
      <c r="J54" s="5"/>
      <c r="K54" s="5"/>
      <c r="L54" s="5"/>
    </row>
    <row r="55" spans="1:12" ht="12.75">
      <c r="A55" s="5"/>
      <c r="B55" s="31" t="s">
        <v>114</v>
      </c>
      <c r="C55" s="102">
        <f t="shared" si="5"/>
        <v>10.596065724921388</v>
      </c>
      <c r="D55" s="103">
        <f>D52</f>
        <v>145333</v>
      </c>
      <c r="E55" s="97">
        <f>J46</f>
        <v>1539958.02</v>
      </c>
      <c r="F55" s="104">
        <f t="shared" si="6"/>
        <v>0.060466025896612555</v>
      </c>
      <c r="G55" s="5"/>
      <c r="H55" s="5"/>
      <c r="I55" s="5"/>
      <c r="J55" s="5"/>
      <c r="K55" s="5"/>
      <c r="L55" s="5"/>
    </row>
    <row r="56" spans="1:12" ht="12.75">
      <c r="A56" s="5"/>
      <c r="B56" s="5" t="s">
        <v>115</v>
      </c>
      <c r="C56" s="105">
        <f>SUM(C50:C55)</f>
        <v>175.23998919722294</v>
      </c>
      <c r="D56" s="106"/>
      <c r="E56" s="107">
        <f>SUM(E50:E55)</f>
        <v>25468153.350000005</v>
      </c>
      <c r="F56" s="108">
        <f>SUM(F50:F55)</f>
        <v>0.9999999999999998</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10</v>
      </c>
      <c r="D61" s="112">
        <v>10</v>
      </c>
      <c r="E61" s="112">
        <v>10</v>
      </c>
      <c r="F61" s="112">
        <v>10</v>
      </c>
      <c r="G61" s="112">
        <v>10</v>
      </c>
      <c r="H61" s="112">
        <v>10</v>
      </c>
      <c r="I61" s="112">
        <v>10</v>
      </c>
    </row>
    <row r="62" spans="2:9" ht="12.75">
      <c r="B62" s="31" t="s">
        <v>215</v>
      </c>
      <c r="C62" s="112">
        <v>5</v>
      </c>
      <c r="D62" s="112">
        <v>5</v>
      </c>
      <c r="E62" s="112">
        <v>5</v>
      </c>
      <c r="F62" s="112">
        <v>5</v>
      </c>
      <c r="G62" s="112">
        <v>5</v>
      </c>
      <c r="H62" s="112">
        <v>5</v>
      </c>
      <c r="I62" s="112">
        <v>5</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0.55</v>
      </c>
      <c r="G72" s="113">
        <v>0.55</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3"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75" zoomScaleNormal="75" zoomScalePageLayoutView="0" workbookViewId="0" topLeftCell="E4">
      <selection activeCell="R48" sqref="R48"/>
    </sheetView>
  </sheetViews>
  <sheetFormatPr defaultColWidth="9.140625" defaultRowHeight="12.75"/>
  <cols>
    <col min="1" max="1" width="6.28125" style="7" customWidth="1"/>
    <col min="2" max="2" width="68.28125" style="7" bestFit="1" customWidth="1"/>
    <col min="3" max="6" width="15.421875" style="7" customWidth="1"/>
    <col min="7" max="7" width="15.421875" style="74" customWidth="1"/>
    <col min="8" max="23" width="15.421875" style="7" customWidth="1"/>
    <col min="24" max="16384" width="9.140625" style="7" customWidth="1"/>
  </cols>
  <sheetData>
    <row r="1" spans="1:7" s="3" customFormat="1" ht="21" customHeight="1">
      <c r="A1" s="1"/>
      <c r="B1" s="185" t="s">
        <v>229</v>
      </c>
      <c r="C1" s="185"/>
      <c r="D1" s="185"/>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79">
        <f>'2. Smart Meter Data'!D4</f>
        <v>2006</v>
      </c>
      <c r="D6" s="180"/>
      <c r="E6" s="181"/>
      <c r="F6" s="179">
        <f>'2. Smart Meter Data'!E4</f>
        <v>2007</v>
      </c>
      <c r="G6" s="180"/>
      <c r="H6" s="181"/>
      <c r="I6" s="179">
        <f>'2. Smart Meter Data'!F4</f>
        <v>2008</v>
      </c>
      <c r="J6" s="180"/>
      <c r="K6" s="181"/>
      <c r="L6" s="179">
        <f>'2. Smart Meter Data'!G4</f>
        <v>2009</v>
      </c>
      <c r="M6" s="180"/>
      <c r="N6" s="181"/>
      <c r="O6" s="179">
        <f>'2. Smart Meter Data'!H4</f>
        <v>2010</v>
      </c>
      <c r="P6" s="180"/>
      <c r="Q6" s="181"/>
      <c r="R6" s="179">
        <f>'2. Smart Meter Data'!I4</f>
        <v>2011</v>
      </c>
      <c r="S6" s="180"/>
      <c r="T6" s="181"/>
      <c r="U6" s="179" t="str">
        <f>'2. Smart Meter Data'!J4</f>
        <v>Later</v>
      </c>
      <c r="V6" s="180"/>
      <c r="W6" s="181"/>
    </row>
    <row r="7" spans="1:23" ht="18.75" thickBot="1">
      <c r="A7" s="5"/>
      <c r="B7" s="28"/>
      <c r="C7" s="182" t="str">
        <f>'2. Smart Meter Data'!D5</f>
        <v>Audited Actual</v>
      </c>
      <c r="D7" s="183"/>
      <c r="E7" s="184"/>
      <c r="F7" s="182" t="str">
        <f>'2. Smart Meter Data'!E5</f>
        <v>Audited Actual</v>
      </c>
      <c r="G7" s="183"/>
      <c r="H7" s="184"/>
      <c r="I7" s="182" t="str">
        <f>'2. Smart Meter Data'!F5</f>
        <v>Audited Actual</v>
      </c>
      <c r="J7" s="183"/>
      <c r="K7" s="184"/>
      <c r="L7" s="182" t="str">
        <f>'2. Smart Meter Data'!G5</f>
        <v>Audited Actual</v>
      </c>
      <c r="M7" s="183"/>
      <c r="N7" s="184"/>
      <c r="O7" s="182" t="str">
        <f>'2. Smart Meter Data'!H5</f>
        <v>Actual</v>
      </c>
      <c r="P7" s="183"/>
      <c r="Q7" s="184"/>
      <c r="R7" s="182" t="str">
        <f>'2. Smart Meter Data'!I5</f>
        <v>Forecasted</v>
      </c>
      <c r="S7" s="183"/>
      <c r="T7" s="184"/>
      <c r="U7" s="182" t="str">
        <f>'2. Smart Meter Data'!J5</f>
        <v>Forecasted</v>
      </c>
      <c r="V7" s="183"/>
      <c r="W7" s="184"/>
    </row>
    <row r="8" spans="1:23" ht="12.75">
      <c r="A8" s="5"/>
      <c r="B8" s="61" t="s">
        <v>129</v>
      </c>
      <c r="C8" s="149">
        <f>'6. Avg Nt Fix Ass &amp;UCC'!C18</f>
        <v>142026.79916666666</v>
      </c>
      <c r="D8" s="6"/>
      <c r="E8" s="62"/>
      <c r="F8" s="149">
        <f>'6. Avg Nt Fix Ass &amp;UCC'!D18</f>
        <v>285205.66333333333</v>
      </c>
      <c r="G8" s="6"/>
      <c r="H8" s="62"/>
      <c r="I8" s="149">
        <f>'6. Avg Nt Fix Ass &amp;UCC'!E18</f>
        <v>2233548.4471666664</v>
      </c>
      <c r="J8" s="6"/>
      <c r="K8" s="62"/>
      <c r="L8" s="149">
        <f>'6. Avg Nt Fix Ass &amp;UCC'!F18</f>
        <v>10828084.318666669</v>
      </c>
      <c r="M8" s="6"/>
      <c r="N8" s="62"/>
      <c r="O8" s="149">
        <f>'6. Avg Nt Fix Ass &amp;UCC'!G18</f>
        <v>16880816.29066667</v>
      </c>
      <c r="P8" s="6"/>
      <c r="Q8" s="62"/>
      <c r="R8" s="149">
        <f>'6. Avg Nt Fix Ass &amp;UCC'!H18</f>
        <v>15670819.929333335</v>
      </c>
      <c r="S8" s="6"/>
      <c r="T8" s="62"/>
      <c r="U8" s="149">
        <f>'6. Avg Nt Fix Ass &amp;UCC'!M18</f>
        <v>0</v>
      </c>
      <c r="V8" s="6"/>
      <c r="W8" s="62"/>
    </row>
    <row r="9" spans="1:23" ht="12.75">
      <c r="A9" s="5"/>
      <c r="B9" s="61" t="s">
        <v>130</v>
      </c>
      <c r="C9" s="149">
        <f>'6. Avg Nt Fix Ass &amp;UCC'!C33</f>
        <v>0</v>
      </c>
      <c r="D9" s="63"/>
      <c r="E9" s="62"/>
      <c r="F9" s="149">
        <f>'6. Avg Nt Fix Ass &amp;UCC'!D33</f>
        <v>0</v>
      </c>
      <c r="G9" s="63"/>
      <c r="H9" s="62"/>
      <c r="I9" s="149">
        <f>'6. Avg Nt Fix Ass &amp;UCC'!E33</f>
        <v>66655.8</v>
      </c>
      <c r="J9" s="63"/>
      <c r="K9" s="62"/>
      <c r="L9" s="149">
        <f>'6. Avg Nt Fix Ass &amp;UCC'!F33</f>
        <v>205240.2</v>
      </c>
      <c r="M9" s="63"/>
      <c r="N9" s="62"/>
      <c r="O9" s="149">
        <f>'6. Avg Nt Fix Ass &amp;UCC'!G33</f>
        <v>261842.4</v>
      </c>
      <c r="P9" s="63"/>
      <c r="Q9" s="62"/>
      <c r="R9" s="149">
        <f>'6. Avg Nt Fix Ass &amp;UCC'!H33</f>
        <v>231189.6</v>
      </c>
      <c r="S9" s="63"/>
      <c r="T9" s="62"/>
      <c r="U9" s="149">
        <f>'6. Avg Nt Fix Ass &amp;UCC'!I33</f>
        <v>0</v>
      </c>
      <c r="V9" s="63"/>
      <c r="W9" s="62"/>
    </row>
    <row r="10" spans="1:23" ht="12.75">
      <c r="A10" s="5"/>
      <c r="B10" s="61" t="s">
        <v>131</v>
      </c>
      <c r="C10" s="149">
        <f>'6. Avg Nt Fix Ass &amp;UCC'!C48</f>
        <v>0</v>
      </c>
      <c r="D10" s="64"/>
      <c r="E10" s="62"/>
      <c r="F10" s="149">
        <f>'6. Avg Nt Fix Ass &amp;UCC'!D48</f>
        <v>0</v>
      </c>
      <c r="G10" s="64"/>
      <c r="H10" s="62"/>
      <c r="I10" s="149">
        <f>'6. Avg Nt Fix Ass &amp;UCC'!E48</f>
        <v>316827.495</v>
      </c>
      <c r="J10" s="64"/>
      <c r="K10" s="62"/>
      <c r="L10" s="149">
        <f>'6. Avg Nt Fix Ass &amp;UCC'!F48</f>
        <v>1106218.88</v>
      </c>
      <c r="M10" s="64"/>
      <c r="N10" s="62"/>
      <c r="O10" s="149">
        <f>'6. Avg Nt Fix Ass &amp;UCC'!G48</f>
        <v>2462406.66</v>
      </c>
      <c r="P10" s="64"/>
      <c r="Q10" s="62"/>
      <c r="R10" s="149">
        <f>'6. Avg Nt Fix Ass &amp;UCC'!H48</f>
        <v>2916144.4399999995</v>
      </c>
      <c r="S10" s="64"/>
      <c r="T10" s="62"/>
      <c r="U10" s="149">
        <f>'6. Avg Nt Fix Ass &amp;UCC'!I48</f>
        <v>0</v>
      </c>
      <c r="V10" s="64"/>
      <c r="W10" s="62"/>
    </row>
    <row r="11" spans="1:23" ht="12.75">
      <c r="A11" s="5"/>
      <c r="B11" s="61" t="s">
        <v>132</v>
      </c>
      <c r="C11" s="149">
        <f>'6. Avg Nt Fix Ass &amp;UCC'!C63</f>
        <v>0</v>
      </c>
      <c r="D11" s="64"/>
      <c r="E11" s="62"/>
      <c r="F11" s="149">
        <f>'6. Avg Nt Fix Ass &amp;UCC'!D63</f>
        <v>0</v>
      </c>
      <c r="G11" s="64"/>
      <c r="H11" s="62"/>
      <c r="I11" s="149">
        <f>'6. Avg Nt Fix Ass &amp;UCC'!E63</f>
        <v>47880.66025</v>
      </c>
      <c r="J11" s="64"/>
      <c r="K11" s="62"/>
      <c r="L11" s="149">
        <f>'6. Avg Nt Fix Ass &amp;UCC'!F63</f>
        <v>397523.75100000005</v>
      </c>
      <c r="M11" s="64"/>
      <c r="N11" s="62"/>
      <c r="O11" s="149">
        <f>'6. Avg Nt Fix Ass &amp;UCC'!G63</f>
        <v>661951.112</v>
      </c>
      <c r="P11" s="64"/>
      <c r="Q11" s="62"/>
      <c r="R11" s="149">
        <f>'6. Avg Nt Fix Ass &amp;UCC'!H63</f>
        <v>587280.973</v>
      </c>
      <c r="S11" s="64"/>
      <c r="T11" s="62"/>
      <c r="U11" s="149">
        <f>'6. Avg Nt Fix Ass &amp;UCC'!I63</f>
        <v>0</v>
      </c>
      <c r="V11" s="64"/>
      <c r="W11" s="62"/>
    </row>
    <row r="12" spans="1:23" ht="12.75">
      <c r="A12" s="5"/>
      <c r="B12" s="61" t="s">
        <v>133</v>
      </c>
      <c r="C12" s="149">
        <f>'6. Avg Nt Fix Ass &amp;UCC'!C78</f>
        <v>0</v>
      </c>
      <c r="D12" s="64"/>
      <c r="E12" s="62"/>
      <c r="F12" s="149">
        <f>'6. Avg Nt Fix Ass &amp;UCC'!D78</f>
        <v>0</v>
      </c>
      <c r="G12" s="64"/>
      <c r="H12" s="62"/>
      <c r="I12" s="149">
        <f>'6. Avg Nt Fix Ass &amp;UCC'!E78</f>
        <v>1785.7245</v>
      </c>
      <c r="J12" s="64"/>
      <c r="K12" s="62"/>
      <c r="L12" s="149">
        <f>'6. Avg Nt Fix Ass &amp;UCC'!F78</f>
        <v>54920.977999999996</v>
      </c>
      <c r="M12" s="64"/>
      <c r="N12" s="62"/>
      <c r="O12" s="149">
        <f>'6. Avg Nt Fix Ass &amp;UCC'!G78</f>
        <v>100657.536</v>
      </c>
      <c r="P12" s="64"/>
      <c r="Q12" s="62"/>
      <c r="R12" s="149">
        <f>'6. Avg Nt Fix Ass &amp;UCC'!H78</f>
        <v>89431.594</v>
      </c>
      <c r="S12" s="64"/>
      <c r="T12" s="62"/>
      <c r="U12" s="149">
        <f>'6. Avg Nt Fix Ass &amp;UCC'!I78</f>
        <v>0</v>
      </c>
      <c r="V12" s="64"/>
      <c r="W12" s="62"/>
    </row>
    <row r="13" spans="1:23" ht="12.75">
      <c r="A13" s="5"/>
      <c r="B13" s="61" t="s">
        <v>134</v>
      </c>
      <c r="C13" s="150">
        <f>SUM(C8:C12)</f>
        <v>142026.79916666666</v>
      </c>
      <c r="D13" s="151">
        <f>C13</f>
        <v>142026.79916666666</v>
      </c>
      <c r="E13" s="62"/>
      <c r="F13" s="150">
        <f>SUM(F8:F12)</f>
        <v>285205.66333333333</v>
      </c>
      <c r="G13" s="151">
        <f>F13</f>
        <v>285205.66333333333</v>
      </c>
      <c r="H13" s="62"/>
      <c r="I13" s="150">
        <f>SUM(I8:I12)</f>
        <v>2666698.1269166665</v>
      </c>
      <c r="J13" s="151">
        <f>I13</f>
        <v>2666698.1269166665</v>
      </c>
      <c r="K13" s="62"/>
      <c r="L13" s="150">
        <f>SUM(L8:L12)</f>
        <v>12591988.127666669</v>
      </c>
      <c r="M13" s="151">
        <f>L13</f>
        <v>12591988.127666669</v>
      </c>
      <c r="N13" s="62"/>
      <c r="O13" s="150">
        <f>SUM(O8:O12)</f>
        <v>20367673.998666666</v>
      </c>
      <c r="P13" s="151">
        <f>O13</f>
        <v>20367673.998666666</v>
      </c>
      <c r="Q13" s="62"/>
      <c r="R13" s="150">
        <f>SUM(R8:R12)</f>
        <v>19494866.536333337</v>
      </c>
      <c r="S13" s="151">
        <f>R13</f>
        <v>19494866.536333337</v>
      </c>
      <c r="T13" s="62"/>
      <c r="U13" s="150">
        <f>SUM(U8:U12)</f>
        <v>0</v>
      </c>
      <c r="V13" s="151">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2">
        <f>E33</f>
        <v>0</v>
      </c>
      <c r="D16" s="64"/>
      <c r="E16" s="67"/>
      <c r="F16" s="152">
        <f>H33</f>
        <v>5998</v>
      </c>
      <c r="G16" s="64"/>
      <c r="H16" s="67"/>
      <c r="I16" s="152">
        <f>K33</f>
        <v>101711</v>
      </c>
      <c r="J16" s="64"/>
      <c r="K16" s="67"/>
      <c r="L16" s="152">
        <f>N33</f>
        <v>113349.01999999999</v>
      </c>
      <c r="M16" s="64"/>
      <c r="N16" s="67"/>
      <c r="O16" s="152">
        <f>Q33</f>
        <v>583600</v>
      </c>
      <c r="P16" s="64"/>
      <c r="Q16" s="67"/>
      <c r="R16" s="152">
        <f>T33</f>
        <v>495800</v>
      </c>
      <c r="S16" s="64"/>
      <c r="T16" s="67"/>
      <c r="U16" s="152">
        <f>W33</f>
        <v>239500</v>
      </c>
      <c r="V16" s="64"/>
      <c r="W16" s="67"/>
    </row>
    <row r="17" spans="1:23" ht="12.75">
      <c r="A17" s="5"/>
      <c r="B17" s="61" t="str">
        <f>"Working Capital  %"</f>
        <v>Working Capital  %</v>
      </c>
      <c r="C17" s="152">
        <f>C16*'3.  LDC Assumptions and Data'!$C$23</f>
        <v>0</v>
      </c>
      <c r="D17" s="151">
        <f>C17</f>
        <v>0</v>
      </c>
      <c r="E17" s="67"/>
      <c r="F17" s="152">
        <f>F16*'3.  LDC Assumptions and Data'!$D$23</f>
        <v>899.6999999999999</v>
      </c>
      <c r="G17" s="151">
        <f>F17</f>
        <v>899.6999999999999</v>
      </c>
      <c r="H17" s="67"/>
      <c r="I17" s="152">
        <f>I16*'3.  LDC Assumptions and Data'!$E$23</f>
        <v>15256.65</v>
      </c>
      <c r="J17" s="151">
        <f>I17</f>
        <v>15256.65</v>
      </c>
      <c r="K17" s="67"/>
      <c r="L17" s="152">
        <f>L16*'3.  LDC Assumptions and Data'!$F$23</f>
        <v>17002.353</v>
      </c>
      <c r="M17" s="151">
        <f>L17</f>
        <v>17002.353</v>
      </c>
      <c r="N17" s="67"/>
      <c r="O17" s="152">
        <f>O16*'3.  LDC Assumptions and Data'!$G$23</f>
        <v>87540</v>
      </c>
      <c r="P17" s="151">
        <f>O17</f>
        <v>87540</v>
      </c>
      <c r="Q17" s="67"/>
      <c r="R17" s="152">
        <f>R16*'3.  LDC Assumptions and Data'!$H$23</f>
        <v>74370</v>
      </c>
      <c r="S17" s="151">
        <f>R17</f>
        <v>74370</v>
      </c>
      <c r="T17" s="67"/>
      <c r="U17" s="152">
        <f>U16*'3.  LDC Assumptions and Data'!$I$23</f>
        <v>35925</v>
      </c>
      <c r="V17" s="151">
        <f>U17</f>
        <v>35925</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39">
        <f>SUM(D9:D17)</f>
        <v>142026.79916666666</v>
      </c>
      <c r="E19" s="67"/>
      <c r="F19" s="66"/>
      <c r="G19" s="139">
        <f>SUM(G9:G17)</f>
        <v>286105.36333333334</v>
      </c>
      <c r="H19" s="67"/>
      <c r="I19" s="66"/>
      <c r="J19" s="139">
        <f>SUM(J9:J17)</f>
        <v>2681954.7769166664</v>
      </c>
      <c r="K19" s="67"/>
      <c r="L19" s="66"/>
      <c r="M19" s="139">
        <f>SUM(M9:M17)</f>
        <v>12608990.48066667</v>
      </c>
      <c r="N19" s="67"/>
      <c r="O19" s="66"/>
      <c r="P19" s="139">
        <f>SUM(P9:P17)</f>
        <v>20455213.998666666</v>
      </c>
      <c r="Q19" s="67"/>
      <c r="R19" s="66"/>
      <c r="S19" s="139">
        <f>SUM(S9:S17)</f>
        <v>19569236.536333337</v>
      </c>
      <c r="T19" s="67"/>
      <c r="U19" s="66"/>
      <c r="V19" s="139">
        <f>SUM(V9:V17)</f>
        <v>35925</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5">
        <f>'3.  LDC Assumptions and Data'!$E$14</f>
        <v>0</v>
      </c>
      <c r="J22" s="6"/>
      <c r="K22" s="62"/>
      <c r="L22" s="65">
        <f>'3.  LDC Assumptions and Data'!$F14</f>
        <v>0.04</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247</v>
      </c>
      <c r="C23" s="68">
        <f>'3.  LDC Assumptions and Data'!$C$15</f>
        <v>0.55</v>
      </c>
      <c r="D23" s="151">
        <f>D19*C23</f>
        <v>78114.73954166667</v>
      </c>
      <c r="E23" s="62"/>
      <c r="F23" s="68">
        <f>'3.  LDC Assumptions and Data'!$D$15</f>
        <v>0.55</v>
      </c>
      <c r="G23" s="151">
        <f>G19*F23</f>
        <v>157357.94983333335</v>
      </c>
      <c r="H23" s="62"/>
      <c r="I23" s="68">
        <f>'3.  LDC Assumptions and Data'!$E$15</f>
        <v>0.575</v>
      </c>
      <c r="J23" s="151">
        <f>J19*I23</f>
        <v>1542123.996727083</v>
      </c>
      <c r="K23" s="62"/>
      <c r="L23" s="68">
        <f>'3.  LDC Assumptions and Data'!$F15</f>
        <v>0.56</v>
      </c>
      <c r="M23" s="151">
        <f>M19*L23</f>
        <v>7061034.669173336</v>
      </c>
      <c r="N23" s="62"/>
      <c r="O23" s="68">
        <f>'3.  LDC Assumptions and Data'!$G15</f>
        <v>0.56</v>
      </c>
      <c r="P23" s="151">
        <f>P19*O23</f>
        <v>11454919.839253334</v>
      </c>
      <c r="Q23" s="62"/>
      <c r="R23" s="68">
        <f>'3.  LDC Assumptions and Data'!$H15</f>
        <v>0.56</v>
      </c>
      <c r="S23" s="151">
        <f>S19*R23</f>
        <v>10958772.46034667</v>
      </c>
      <c r="T23" s="62"/>
      <c r="U23" s="68">
        <f>'3.  LDC Assumptions and Data'!$I15</f>
        <v>0.56</v>
      </c>
      <c r="V23" s="151">
        <f>V19*U23</f>
        <v>20118.000000000004</v>
      </c>
      <c r="W23" s="62"/>
    </row>
    <row r="24" spans="1:23" ht="12.75">
      <c r="A24" s="5"/>
      <c r="B24" s="2" t="s">
        <v>248</v>
      </c>
      <c r="C24" s="68">
        <f>'3.  LDC Assumptions and Data'!$C$16</f>
        <v>0.44999999999999996</v>
      </c>
      <c r="D24" s="151">
        <f>D19*C24</f>
        <v>63912.059624999994</v>
      </c>
      <c r="E24" s="62"/>
      <c r="F24" s="68">
        <f>'3.  LDC Assumptions and Data'!$D$16</f>
        <v>0.44999999999999996</v>
      </c>
      <c r="G24" s="151">
        <f>G19*F24</f>
        <v>128747.4135</v>
      </c>
      <c r="H24" s="62"/>
      <c r="I24" s="68">
        <f>'3.  LDC Assumptions and Data'!$E$16</f>
        <v>0.42500000000000004</v>
      </c>
      <c r="J24" s="151">
        <f>J19*I24</f>
        <v>1139830.7801895833</v>
      </c>
      <c r="K24" s="62"/>
      <c r="L24" s="68">
        <f>'3.  LDC Assumptions and Data'!$F$16</f>
        <v>0.39999999999999997</v>
      </c>
      <c r="M24" s="151">
        <f>M19*L24</f>
        <v>5043596.192266667</v>
      </c>
      <c r="N24" s="62"/>
      <c r="O24" s="68">
        <f>'3.  LDC Assumptions and Data'!$G$16</f>
        <v>0.39999999999999997</v>
      </c>
      <c r="P24" s="151">
        <f>P19*O24</f>
        <v>8182085.599466666</v>
      </c>
      <c r="Q24" s="62"/>
      <c r="R24" s="68">
        <f>'3.  LDC Assumptions and Data'!$H$16</f>
        <v>0.39999999999999997</v>
      </c>
      <c r="S24" s="151">
        <f>S19*R24</f>
        <v>7827694.614533334</v>
      </c>
      <c r="T24" s="62"/>
      <c r="U24" s="68">
        <f>'3.  LDC Assumptions and Data'!$I$16</f>
        <v>0.39999999999999997</v>
      </c>
      <c r="V24" s="151">
        <f>V19*U24</f>
        <v>14369.999999999998</v>
      </c>
      <c r="W24" s="62"/>
    </row>
    <row r="25" spans="1:23" ht="12.75">
      <c r="A25" s="5"/>
      <c r="B25" s="61"/>
      <c r="C25" s="69"/>
      <c r="D25" s="139">
        <f>SUM(D23:D24)</f>
        <v>142026.79916666666</v>
      </c>
      <c r="E25" s="62"/>
      <c r="F25" s="69"/>
      <c r="G25" s="139">
        <f>SUM(G23:G24)</f>
        <v>286105.36333333334</v>
      </c>
      <c r="H25" s="62"/>
      <c r="I25" s="69"/>
      <c r="J25" s="139">
        <f>SUM(J23:J24)</f>
        <v>2681954.7769166664</v>
      </c>
      <c r="K25" s="62"/>
      <c r="L25" s="69"/>
      <c r="M25" s="139">
        <f>SUM(M23:M24)</f>
        <v>12104630.861440003</v>
      </c>
      <c r="N25" s="62"/>
      <c r="O25" s="69"/>
      <c r="P25" s="139">
        <f>SUM(P23:P24)</f>
        <v>19637005.43872</v>
      </c>
      <c r="Q25" s="62"/>
      <c r="R25" s="69"/>
      <c r="S25" s="139">
        <f>SUM(S23:S24)</f>
        <v>18786467.074880004</v>
      </c>
      <c r="T25" s="62"/>
      <c r="U25" s="69"/>
      <c r="V25" s="139">
        <f>SUM(V23:V24)</f>
        <v>34488</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v>
      </c>
      <c r="J27" s="6"/>
      <c r="K27" s="62"/>
      <c r="L27" s="68">
        <f>'3.  LDC Assumptions and Data'!$F18</f>
        <v>0.0113</v>
      </c>
      <c r="M27" s="6"/>
      <c r="N27" s="62"/>
      <c r="O27" s="68">
        <f>'3.  LDC Assumptions and Data'!$G18</f>
        <v>0.0113</v>
      </c>
      <c r="P27" s="6"/>
      <c r="Q27" s="62"/>
      <c r="R27" s="68">
        <f>'3.  LDC Assumptions and Data'!$H18</f>
        <v>0.0113</v>
      </c>
      <c r="S27" s="6"/>
      <c r="T27" s="62"/>
      <c r="U27" s="68">
        <f>'3.  LDC Assumptions and Data'!$I18</f>
        <v>0.0113</v>
      </c>
      <c r="V27" s="6"/>
      <c r="W27" s="62"/>
    </row>
    <row r="28" spans="1:23" ht="12.75">
      <c r="A28" s="5"/>
      <c r="B28" s="61" t="s">
        <v>196</v>
      </c>
      <c r="C28" s="68">
        <f>'3.  LDC Assumptions and Data'!$C$19</f>
        <v>0.06</v>
      </c>
      <c r="D28" s="151">
        <f>D23*C28</f>
        <v>4686.8843725</v>
      </c>
      <c r="E28" s="67"/>
      <c r="F28" s="68">
        <f>'3.  LDC Assumptions and Data'!$D$19</f>
        <v>0.06</v>
      </c>
      <c r="G28" s="151">
        <f>G23*F28</f>
        <v>9441.476990000001</v>
      </c>
      <c r="H28" s="67"/>
      <c r="I28" s="68">
        <f>'3.  LDC Assumptions and Data'!$E$19</f>
        <v>0.06</v>
      </c>
      <c r="J28" s="151">
        <f>J23*I28</f>
        <v>92527.43980362498</v>
      </c>
      <c r="K28" s="67"/>
      <c r="L28" s="68">
        <f>'3.  LDC Assumptions and Data'!$F19</f>
        <v>0.06</v>
      </c>
      <c r="M28" s="151">
        <f>M23*L28</f>
        <v>423662.0801504001</v>
      </c>
      <c r="N28" s="67"/>
      <c r="O28" s="68">
        <f>'3.  LDC Assumptions and Data'!$G19</f>
        <v>0.06</v>
      </c>
      <c r="P28" s="151">
        <f>P23*O28</f>
        <v>687295.1903552001</v>
      </c>
      <c r="Q28" s="67"/>
      <c r="R28" s="68">
        <f>'3.  LDC Assumptions and Data'!$H19</f>
        <v>0.06</v>
      </c>
      <c r="S28" s="151">
        <f>S23*R28</f>
        <v>657526.3476208003</v>
      </c>
      <c r="T28" s="67"/>
      <c r="U28" s="68">
        <f>'3.  LDC Assumptions and Data'!$I19</f>
        <v>0.06</v>
      </c>
      <c r="V28" s="151">
        <f>V23*U28</f>
        <v>1207.0800000000002</v>
      </c>
      <c r="W28" s="67"/>
    </row>
    <row r="29" spans="1:23" ht="12.75">
      <c r="A29" s="5"/>
      <c r="B29" s="61" t="s">
        <v>197</v>
      </c>
      <c r="C29" s="68">
        <f>'3.  LDC Assumptions and Data'!$C$20</f>
        <v>0.09</v>
      </c>
      <c r="D29" s="151">
        <f>D24*C29</f>
        <v>5752.085366249999</v>
      </c>
      <c r="E29" s="67"/>
      <c r="F29" s="68">
        <f>'3.  LDC Assumptions and Data'!$D$20</f>
        <v>0.09</v>
      </c>
      <c r="G29" s="151">
        <f>G24*F29</f>
        <v>11587.267215</v>
      </c>
      <c r="H29" s="67"/>
      <c r="I29" s="68">
        <f>'3.  LDC Assumptions and Data'!$E$20</f>
        <v>0.0857</v>
      </c>
      <c r="J29" s="151">
        <f>J24*I29</f>
        <v>97683.49786224728</v>
      </c>
      <c r="K29" s="67"/>
      <c r="L29" s="68">
        <f>'3.  LDC Assumptions and Data'!$F$20</f>
        <v>0.0801</v>
      </c>
      <c r="M29" s="151">
        <f>M24*L29</f>
        <v>403992.05500056007</v>
      </c>
      <c r="N29" s="67"/>
      <c r="O29" s="68">
        <f>'3.  LDC Assumptions and Data'!$G$20</f>
        <v>0.0801</v>
      </c>
      <c r="P29" s="151">
        <f>P24*O29</f>
        <v>655385.0565172799</v>
      </c>
      <c r="Q29" s="67"/>
      <c r="R29" s="68">
        <f>'3.  LDC Assumptions and Data'!$H$20</f>
        <v>0.0801</v>
      </c>
      <c r="S29" s="151">
        <f>S24*R29</f>
        <v>626998.3386241201</v>
      </c>
      <c r="T29" s="67"/>
      <c r="U29" s="68">
        <f>'3.  LDC Assumptions and Data'!$I$20</f>
        <v>0.0801</v>
      </c>
      <c r="V29" s="151">
        <f>V24*U29</f>
        <v>1151.0369999999998</v>
      </c>
      <c r="W29" s="67"/>
    </row>
    <row r="30" spans="1:23" ht="15.75">
      <c r="A30" s="5"/>
      <c r="B30" s="52" t="s">
        <v>118</v>
      </c>
      <c r="C30" s="65"/>
      <c r="D30" s="139">
        <f>SUM(D28:D29)</f>
        <v>10438.969738749998</v>
      </c>
      <c r="E30" s="153">
        <f>D30</f>
        <v>10438.969738749998</v>
      </c>
      <c r="F30" s="65"/>
      <c r="G30" s="139">
        <f>SUM(G28:G29)</f>
        <v>21028.744205000003</v>
      </c>
      <c r="H30" s="153">
        <f>G30</f>
        <v>21028.744205000003</v>
      </c>
      <c r="I30" s="65"/>
      <c r="J30" s="139">
        <f>SUM(J28:J29)</f>
        <v>190210.93766587228</v>
      </c>
      <c r="K30" s="153">
        <f>J30</f>
        <v>190210.93766587228</v>
      </c>
      <c r="L30" s="65"/>
      <c r="M30" s="139">
        <f>SUM(M28:M29)</f>
        <v>827654.1351509602</v>
      </c>
      <c r="N30" s="153">
        <f>M30</f>
        <v>827654.1351509602</v>
      </c>
      <c r="O30" s="65"/>
      <c r="P30" s="139">
        <f>SUM(P28:P29)</f>
        <v>1342680.24687248</v>
      </c>
      <c r="Q30" s="153">
        <f>P30</f>
        <v>1342680.24687248</v>
      </c>
      <c r="R30" s="65"/>
      <c r="S30" s="139">
        <f>SUM(S28:S29)</f>
        <v>1284524.6862449204</v>
      </c>
      <c r="T30" s="153">
        <f>S30</f>
        <v>1284524.6862449204</v>
      </c>
      <c r="U30" s="65"/>
      <c r="V30" s="139">
        <f>SUM(V28:V29)</f>
        <v>2358.117</v>
      </c>
      <c r="W30" s="153">
        <f>V30</f>
        <v>2358.117</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4">
        <f>'3.  LDC Assumptions and Data'!C46</f>
        <v>0</v>
      </c>
      <c r="F33" s="65"/>
      <c r="G33" s="64"/>
      <c r="H33" s="154">
        <f>'3.  LDC Assumptions and Data'!D46</f>
        <v>5998</v>
      </c>
      <c r="I33" s="65"/>
      <c r="J33" s="64"/>
      <c r="K33" s="154">
        <f>'3.  LDC Assumptions and Data'!E46</f>
        <v>101711</v>
      </c>
      <c r="L33" s="65"/>
      <c r="M33" s="64"/>
      <c r="N33" s="154">
        <f>'3.  LDC Assumptions and Data'!F46</f>
        <v>113349.01999999999</v>
      </c>
      <c r="O33" s="65"/>
      <c r="P33" s="64"/>
      <c r="Q33" s="154">
        <f>'3.  LDC Assumptions and Data'!G46</f>
        <v>583600</v>
      </c>
      <c r="R33" s="65"/>
      <c r="S33" s="64"/>
      <c r="T33" s="154">
        <f>'3.  LDC Assumptions and Data'!H46</f>
        <v>495800</v>
      </c>
      <c r="U33" s="65"/>
      <c r="V33" s="64"/>
      <c r="W33" s="154">
        <f>'3.  LDC Assumptions and Data'!I46</f>
        <v>239500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1">
        <f>SUM('6. Avg Nt Fix Ass &amp;UCC'!C13:C13)</f>
        <v>9794.951666666666</v>
      </c>
      <c r="E36" s="67"/>
      <c r="F36" s="65"/>
      <c r="G36" s="141">
        <f>SUM('6. Avg Nt Fix Ass &amp;UCC'!D13:D13)</f>
        <v>20344.87</v>
      </c>
      <c r="H36" s="67"/>
      <c r="I36" s="65"/>
      <c r="J36" s="141">
        <f>SUM('6. Avg Nt Fix Ass &amp;UCC'!E13:E13)</f>
        <v>156116.43233333333</v>
      </c>
      <c r="K36" s="67"/>
      <c r="L36" s="65"/>
      <c r="M36" s="141">
        <f>SUM('6. Avg Nt Fix Ass &amp;UCC'!F13:F13)</f>
        <v>759609.6946666667</v>
      </c>
      <c r="N36" s="67"/>
      <c r="O36" s="65"/>
      <c r="P36" s="141">
        <f>SUM('6. Avg Nt Fix Ass &amp;UCC'!G13:G13)</f>
        <v>1229426.3613333334</v>
      </c>
      <c r="Q36" s="67"/>
      <c r="R36" s="65"/>
      <c r="S36" s="141">
        <f>SUM('6. Avg Nt Fix Ass &amp;UCC'!H13:H13)</f>
        <v>1230766.3613333334</v>
      </c>
      <c r="T36" s="67"/>
      <c r="U36" s="65"/>
      <c r="V36" s="141">
        <f>SUM('6. Avg Nt Fix Ass &amp;UCC'!I13:I13)</f>
        <v>0</v>
      </c>
      <c r="W36" s="67"/>
    </row>
    <row r="37" spans="1:23" ht="12.75">
      <c r="A37" s="5"/>
      <c r="B37" s="57" t="s">
        <v>138</v>
      </c>
      <c r="C37" s="65"/>
      <c r="D37" s="141">
        <f>SUM('6. Avg Nt Fix Ass &amp;UCC'!C28:C28)</f>
        <v>0</v>
      </c>
      <c r="E37" s="67"/>
      <c r="F37" s="65"/>
      <c r="G37" s="141">
        <f>SUM('6. Avg Nt Fix Ass &amp;UCC'!D28:D28)</f>
        <v>0</v>
      </c>
      <c r="H37" s="67"/>
      <c r="I37" s="65"/>
      <c r="J37" s="141">
        <f>SUM('6. Avg Nt Fix Ass &amp;UCC'!E28:E28)</f>
        <v>7016.4</v>
      </c>
      <c r="K37" s="67"/>
      <c r="L37" s="65"/>
      <c r="M37" s="141">
        <f>SUM('6. Avg Nt Fix Ass &amp;UCC'!F28:F28)</f>
        <v>22342.8</v>
      </c>
      <c r="N37" s="67"/>
      <c r="O37" s="65"/>
      <c r="P37" s="141">
        <f>SUM('6. Avg Nt Fix Ass &amp;UCC'!G28:G28)</f>
        <v>30652.8</v>
      </c>
      <c r="Q37" s="67"/>
      <c r="R37" s="65"/>
      <c r="S37" s="141">
        <f>SUM('6. Avg Nt Fix Ass &amp;UCC'!H28:H28)</f>
        <v>30652.8</v>
      </c>
      <c r="T37" s="67"/>
      <c r="U37" s="65"/>
      <c r="V37" s="141">
        <f>SUM('6. Avg Nt Fix Ass &amp;UCC'!I28:I28)</f>
        <v>0</v>
      </c>
      <c r="W37" s="67"/>
    </row>
    <row r="38" spans="1:23" ht="12.75">
      <c r="A38" s="5"/>
      <c r="B38" s="57" t="s">
        <v>139</v>
      </c>
      <c r="C38" s="65"/>
      <c r="D38" s="141">
        <f>SUM('6. Avg Nt Fix Ass &amp;UCC'!C43:C43)</f>
        <v>0</v>
      </c>
      <c r="E38" s="67"/>
      <c r="F38" s="65"/>
      <c r="G38" s="141">
        <f>SUM('6. Avg Nt Fix Ass &amp;UCC'!D43:D43)</f>
        <v>0</v>
      </c>
      <c r="H38" s="67"/>
      <c r="I38" s="65"/>
      <c r="J38" s="141">
        <f>SUM('6. Avg Nt Fix Ass &amp;UCC'!E43:E43)</f>
        <v>70406.11</v>
      </c>
      <c r="K38" s="67"/>
      <c r="L38" s="65"/>
      <c r="M38" s="141">
        <f>SUM('6. Avg Nt Fix Ass &amp;UCC'!F43:F43)</f>
        <v>261472.22</v>
      </c>
      <c r="N38" s="67"/>
      <c r="O38" s="65"/>
      <c r="P38" s="141">
        <f>SUM('6. Avg Nt Fix Ass &amp;UCC'!G43:G43)</f>
        <v>620952.22</v>
      </c>
      <c r="Q38" s="67"/>
      <c r="R38" s="65"/>
      <c r="S38" s="141">
        <f>SUM('6. Avg Nt Fix Ass &amp;UCC'!H43:H43)</f>
        <v>859772.22</v>
      </c>
      <c r="T38" s="67"/>
      <c r="U38" s="65"/>
      <c r="V38" s="141">
        <f>SUM('6. Avg Nt Fix Ass &amp;UCC'!I43:I43)</f>
        <v>0</v>
      </c>
      <c r="W38" s="67"/>
    </row>
    <row r="39" spans="1:23" ht="12.75">
      <c r="A39" s="5"/>
      <c r="B39" s="57" t="s">
        <v>140</v>
      </c>
      <c r="C39" s="65"/>
      <c r="D39" s="141">
        <f>SUM('6. Avg Nt Fix Ass &amp;UCC'!C58:C58)</f>
        <v>0</v>
      </c>
      <c r="E39" s="67"/>
      <c r="F39" s="65"/>
      <c r="G39" s="141">
        <f>SUM('6. Avg Nt Fix Ass &amp;UCC'!D58:D58)</f>
        <v>0</v>
      </c>
      <c r="H39" s="67"/>
      <c r="I39" s="65"/>
      <c r="J39" s="141">
        <f>SUM('6. Avg Nt Fix Ass &amp;UCC'!E58:E58)</f>
        <v>5040.0695</v>
      </c>
      <c r="K39" s="67"/>
      <c r="L39" s="65"/>
      <c r="M39" s="141">
        <f>SUM('6. Avg Nt Fix Ass &amp;UCC'!F58:F58)</f>
        <v>42375.138999999996</v>
      </c>
      <c r="N39" s="67"/>
      <c r="O39" s="65"/>
      <c r="P39" s="141">
        <f>SUM('6. Avg Nt Fix Ass &amp;UCC'!G58:G58)</f>
        <v>74670.139</v>
      </c>
      <c r="Q39" s="67"/>
      <c r="R39" s="65"/>
      <c r="S39" s="141">
        <f>SUM('6. Avg Nt Fix Ass &amp;UCC'!H58:H58)</f>
        <v>74670.139</v>
      </c>
      <c r="T39" s="67"/>
      <c r="U39" s="65"/>
      <c r="V39" s="141">
        <f>SUM('6. Avg Nt Fix Ass &amp;UCC'!I58:I58)</f>
        <v>0</v>
      </c>
      <c r="W39" s="67"/>
    </row>
    <row r="40" spans="1:23" ht="12.75">
      <c r="A40" s="5"/>
      <c r="B40" s="57" t="s">
        <v>141</v>
      </c>
      <c r="C40" s="65"/>
      <c r="D40" s="141">
        <f>SUM('6. Avg Nt Fix Ass &amp;UCC'!C73:C73)</f>
        <v>0</v>
      </c>
      <c r="E40" s="67"/>
      <c r="F40" s="65"/>
      <c r="G40" s="141">
        <f>SUM('6. Avg Nt Fix Ass &amp;UCC'!D73:D73)</f>
        <v>0</v>
      </c>
      <c r="H40" s="67"/>
      <c r="I40" s="65"/>
      <c r="J40" s="141">
        <f>SUM('6. Avg Nt Fix Ass &amp;UCC'!E73:E73)</f>
        <v>187.971</v>
      </c>
      <c r="K40" s="67"/>
      <c r="L40" s="65"/>
      <c r="M40" s="141">
        <f>SUM('6. Avg Nt Fix Ass &amp;UCC'!F73:F73)</f>
        <v>5800.942</v>
      </c>
      <c r="N40" s="67"/>
      <c r="O40" s="65"/>
      <c r="P40" s="141">
        <f>SUM('6. Avg Nt Fix Ass &amp;UCC'!G73:G73)</f>
        <v>11225.942</v>
      </c>
      <c r="Q40" s="67"/>
      <c r="R40" s="65"/>
      <c r="S40" s="141">
        <f>SUM('6. Avg Nt Fix Ass &amp;UCC'!H73:H73)</f>
        <v>11225.942</v>
      </c>
      <c r="T40" s="67"/>
      <c r="U40" s="65"/>
      <c r="V40" s="141">
        <f>SUM('6. Avg Nt Fix Ass &amp;UCC'!I73:I73)</f>
        <v>0</v>
      </c>
      <c r="W40" s="67"/>
    </row>
    <row r="41" spans="1:23" ht="15.75">
      <c r="A41" s="5"/>
      <c r="B41" s="52" t="s">
        <v>142</v>
      </c>
      <c r="C41" s="65"/>
      <c r="D41" s="64"/>
      <c r="E41" s="155">
        <f>SUM(D36:D40)</f>
        <v>9794.951666666666</v>
      </c>
      <c r="F41" s="65"/>
      <c r="G41" s="64"/>
      <c r="H41" s="155">
        <f>SUM(G36:G40)</f>
        <v>20344.87</v>
      </c>
      <c r="I41" s="65"/>
      <c r="J41" s="64"/>
      <c r="K41" s="155">
        <f>SUM(J36:J40)</f>
        <v>238766.9828333333</v>
      </c>
      <c r="L41" s="65"/>
      <c r="M41" s="64"/>
      <c r="N41" s="155">
        <f>SUM(M36:M40)</f>
        <v>1091600.7956666667</v>
      </c>
      <c r="O41" s="65"/>
      <c r="P41" s="64"/>
      <c r="Q41" s="155">
        <f>SUM(P36:P40)</f>
        <v>1966927.4623333334</v>
      </c>
      <c r="R41" s="65"/>
      <c r="S41" s="64"/>
      <c r="T41" s="155">
        <f>SUM(S36:S40)</f>
        <v>2207087.462333333</v>
      </c>
      <c r="U41" s="65"/>
      <c r="V41" s="64"/>
      <c r="W41" s="155">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6">
        <f>SUM(E30,E41,E33)</f>
        <v>20233.921405416666</v>
      </c>
      <c r="F43" s="65"/>
      <c r="G43" s="64"/>
      <c r="H43" s="156">
        <f>SUM(H30,H41,H33)</f>
        <v>47371.614205000005</v>
      </c>
      <c r="I43" s="65"/>
      <c r="J43" s="64"/>
      <c r="K43" s="156">
        <f>SUM(K30,K41,K33)</f>
        <v>530688.9204992056</v>
      </c>
      <c r="L43" s="65"/>
      <c r="M43" s="64"/>
      <c r="N43" s="156">
        <f>SUM(N30,N41,N33)</f>
        <v>2032603.950817627</v>
      </c>
      <c r="O43" s="65"/>
      <c r="P43" s="64"/>
      <c r="Q43" s="156">
        <f>SUM(Q30,Q41,Q33)</f>
        <v>3893207.7092058137</v>
      </c>
      <c r="R43" s="65"/>
      <c r="S43" s="64"/>
      <c r="T43" s="156">
        <f>SUM(T30,T41,T33)</f>
        <v>3987412.1485782536</v>
      </c>
      <c r="U43" s="65"/>
      <c r="V43" s="64"/>
      <c r="W43" s="156">
        <f>SUM(W30,W41,W33)</f>
        <v>241858.117</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3">
        <f>-E33</f>
        <v>0</v>
      </c>
      <c r="F46" s="65"/>
      <c r="G46" s="64"/>
      <c r="H46" s="153">
        <f>-H33</f>
        <v>-5998</v>
      </c>
      <c r="I46" s="65"/>
      <c r="J46" s="64"/>
      <c r="K46" s="153">
        <f>-K33</f>
        <v>-101711</v>
      </c>
      <c r="L46" s="65"/>
      <c r="M46" s="64"/>
      <c r="N46" s="153">
        <f>-N33</f>
        <v>-113349.01999999999</v>
      </c>
      <c r="O46" s="65"/>
      <c r="P46" s="64"/>
      <c r="Q46" s="153">
        <f>-Q33</f>
        <v>-583600</v>
      </c>
      <c r="R46" s="65"/>
      <c r="S46" s="64"/>
      <c r="T46" s="153">
        <f>-T33</f>
        <v>-495800</v>
      </c>
      <c r="U46" s="65"/>
      <c r="V46" s="64"/>
      <c r="W46" s="153">
        <f>-W33</f>
        <v>-239500</v>
      </c>
    </row>
    <row r="47" spans="1:23" ht="12.75">
      <c r="A47" s="5"/>
      <c r="B47" s="57" t="s">
        <v>144</v>
      </c>
      <c r="C47" s="65"/>
      <c r="D47" s="64"/>
      <c r="E47" s="153">
        <f>-E41</f>
        <v>-9794.951666666666</v>
      </c>
      <c r="F47" s="65"/>
      <c r="G47" s="64"/>
      <c r="H47" s="153">
        <f>-H41</f>
        <v>-20344.87</v>
      </c>
      <c r="I47" s="65"/>
      <c r="J47" s="64"/>
      <c r="K47" s="153">
        <f>-K41</f>
        <v>-238766.9828333333</v>
      </c>
      <c r="L47" s="65"/>
      <c r="M47" s="64"/>
      <c r="N47" s="153">
        <f>-N41</f>
        <v>-1091600.7956666667</v>
      </c>
      <c r="O47" s="65"/>
      <c r="P47" s="64"/>
      <c r="Q47" s="153">
        <f>-Q41</f>
        <v>-1966927.4623333334</v>
      </c>
      <c r="R47" s="65"/>
      <c r="S47" s="64"/>
      <c r="T47" s="153">
        <f>-T41</f>
        <v>-2207087.462333333</v>
      </c>
      <c r="U47" s="65"/>
      <c r="V47" s="64"/>
      <c r="W47" s="153">
        <f>-W41</f>
        <v>0</v>
      </c>
    </row>
    <row r="48" spans="1:23" ht="12.75">
      <c r="A48" s="5"/>
      <c r="B48" s="57" t="s">
        <v>145</v>
      </c>
      <c r="C48" s="65"/>
      <c r="D48" s="64"/>
      <c r="E48" s="153">
        <f>-D28</f>
        <v>-4686.8843725</v>
      </c>
      <c r="F48" s="65"/>
      <c r="G48" s="64"/>
      <c r="H48" s="153">
        <f>-G28</f>
        <v>-9441.476990000001</v>
      </c>
      <c r="I48" s="65"/>
      <c r="J48" s="64"/>
      <c r="K48" s="153">
        <f>-J28</f>
        <v>-92527.43980362498</v>
      </c>
      <c r="L48" s="65"/>
      <c r="M48" s="64"/>
      <c r="N48" s="153">
        <f>-M28</f>
        <v>-423662.0801504001</v>
      </c>
      <c r="O48" s="65"/>
      <c r="P48" s="64"/>
      <c r="Q48" s="153">
        <f>-P28</f>
        <v>-687295.1903552001</v>
      </c>
      <c r="R48" s="65"/>
      <c r="S48" s="64"/>
      <c r="T48" s="153">
        <f>-S28</f>
        <v>-657526.3476208003</v>
      </c>
      <c r="U48" s="65"/>
      <c r="V48" s="64"/>
      <c r="W48" s="153">
        <f>-V28</f>
        <v>-1207.0800000000002</v>
      </c>
    </row>
    <row r="49" spans="1:23" ht="15.75">
      <c r="A49" s="5"/>
      <c r="B49" s="52" t="s">
        <v>146</v>
      </c>
      <c r="C49" s="65"/>
      <c r="D49" s="64"/>
      <c r="E49" s="157">
        <f>SUM(E43:E48)</f>
        <v>5752.08536625</v>
      </c>
      <c r="F49" s="65"/>
      <c r="G49" s="64"/>
      <c r="H49" s="157">
        <f>SUM(H43:H48)</f>
        <v>11587.267215000005</v>
      </c>
      <c r="I49" s="65"/>
      <c r="J49" s="64"/>
      <c r="K49" s="157">
        <f>SUM(K43:K48)</f>
        <v>97683.4978622473</v>
      </c>
      <c r="L49" s="65"/>
      <c r="M49" s="64"/>
      <c r="N49" s="157">
        <f>SUM(N43:N48)</f>
        <v>403992.05500056007</v>
      </c>
      <c r="O49" s="65"/>
      <c r="P49" s="64"/>
      <c r="Q49" s="157">
        <f>SUM(Q43:Q48)</f>
        <v>655385.0565172802</v>
      </c>
      <c r="R49" s="65"/>
      <c r="S49" s="64"/>
      <c r="T49" s="157">
        <f>SUM(T43:T48)</f>
        <v>626998.3386241201</v>
      </c>
      <c r="U49" s="65"/>
      <c r="V49" s="64"/>
      <c r="W49" s="157">
        <f>SUM(W43:W48)</f>
        <v>1151.0369999999982</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4">
        <f>'5. PILs'!C42</f>
        <v>2996.910209354258</v>
      </c>
      <c r="F51" s="65"/>
      <c r="G51" s="64"/>
      <c r="H51" s="154">
        <f>'5. PILs'!D42</f>
        <v>5427.099843806357</v>
      </c>
      <c r="I51" s="65"/>
      <c r="J51" s="64"/>
      <c r="K51" s="154">
        <f>'5. PILs'!E42</f>
        <v>-34575.82975475715</v>
      </c>
      <c r="L51" s="65"/>
      <c r="M51" s="64"/>
      <c r="N51" s="154">
        <f>'5. PILs'!F42</f>
        <v>-58380.79235079232</v>
      </c>
      <c r="O51" s="65"/>
      <c r="P51" s="64"/>
      <c r="Q51" s="154">
        <f>'5. PILs'!G42</f>
        <v>-112350.17730181463</v>
      </c>
      <c r="R51" s="65"/>
      <c r="S51" s="64"/>
      <c r="T51" s="154">
        <f>'5. PILs'!H42</f>
        <v>74460.43272626329</v>
      </c>
      <c r="U51" s="65"/>
      <c r="V51" s="64"/>
      <c r="W51" s="154">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8">
        <f>E43</f>
        <v>20233.921405416666</v>
      </c>
      <c r="F53" s="65"/>
      <c r="G53" s="64"/>
      <c r="H53" s="158">
        <f>H43</f>
        <v>47371.614205000005</v>
      </c>
      <c r="I53" s="65"/>
      <c r="J53" s="64"/>
      <c r="K53" s="158">
        <f>K43</f>
        <v>530688.9204992056</v>
      </c>
      <c r="L53" s="65"/>
      <c r="M53" s="64"/>
      <c r="N53" s="158">
        <f>N43</f>
        <v>2032603.950817627</v>
      </c>
      <c r="O53" s="65"/>
      <c r="P53" s="64"/>
      <c r="Q53" s="158">
        <f>Q43</f>
        <v>3893207.7092058137</v>
      </c>
      <c r="R53" s="65"/>
      <c r="S53" s="64"/>
      <c r="T53" s="158">
        <f>T43</f>
        <v>3987412.1485782536</v>
      </c>
      <c r="U53" s="65"/>
      <c r="V53" s="64"/>
      <c r="W53" s="158">
        <f>W43</f>
        <v>241858.117</v>
      </c>
    </row>
    <row r="54" spans="1:23" ht="12.75">
      <c r="A54" s="5"/>
      <c r="B54" s="61" t="s">
        <v>147</v>
      </c>
      <c r="C54" s="65"/>
      <c r="D54" s="64"/>
      <c r="E54" s="158">
        <f>E51</f>
        <v>2996.910209354258</v>
      </c>
      <c r="F54" s="65"/>
      <c r="G54" s="64"/>
      <c r="H54" s="158">
        <f>H51</f>
        <v>5427.099843806357</v>
      </c>
      <c r="I54" s="65"/>
      <c r="J54" s="64"/>
      <c r="K54" s="158">
        <f>K51</f>
        <v>-34575.82975475715</v>
      </c>
      <c r="L54" s="65"/>
      <c r="M54" s="64"/>
      <c r="N54" s="158">
        <f>N51</f>
        <v>-58380.79235079232</v>
      </c>
      <c r="O54" s="65"/>
      <c r="P54" s="64"/>
      <c r="Q54" s="158">
        <f>Q51</f>
        <v>-112350.17730181463</v>
      </c>
      <c r="R54" s="65"/>
      <c r="S54" s="64"/>
      <c r="T54" s="158">
        <f>T51</f>
        <v>74460.43272626329</v>
      </c>
      <c r="U54" s="65"/>
      <c r="V54" s="64"/>
      <c r="W54" s="158">
        <f>W51</f>
        <v>0</v>
      </c>
    </row>
    <row r="55" spans="1:23" ht="16.5" thickBot="1">
      <c r="A55" s="5"/>
      <c r="B55" s="52" t="s">
        <v>123</v>
      </c>
      <c r="C55" s="65"/>
      <c r="D55" s="64"/>
      <c r="E55" s="159">
        <f>SUM(E53:E54)</f>
        <v>23230.831614770923</v>
      </c>
      <c r="F55" s="65"/>
      <c r="G55" s="64"/>
      <c r="H55" s="159">
        <f>SUM(H53:H54)</f>
        <v>52798.71404880636</v>
      </c>
      <c r="I55" s="65"/>
      <c r="J55" s="64"/>
      <c r="K55" s="159">
        <f>SUM(K53:K54)</f>
        <v>496113.0907444484</v>
      </c>
      <c r="L55" s="65"/>
      <c r="M55" s="64"/>
      <c r="N55" s="159">
        <f>SUM(N53:N54)</f>
        <v>1974223.1584668346</v>
      </c>
      <c r="O55" s="65"/>
      <c r="P55" s="64"/>
      <c r="Q55" s="159">
        <f>SUM(Q53:Q54)</f>
        <v>3780857.531903999</v>
      </c>
      <c r="R55" s="65"/>
      <c r="S55" s="64"/>
      <c r="T55" s="159">
        <f>SUM(T53:T54)</f>
        <v>4061872.5813045166</v>
      </c>
      <c r="U55" s="65"/>
      <c r="V55" s="64"/>
      <c r="W55" s="159">
        <f>SUM(W53:W54)</f>
        <v>241858.117</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B1:D1"/>
    <mergeCell ref="C7:E7"/>
    <mergeCell ref="F7:H7"/>
    <mergeCell ref="I7:K7"/>
    <mergeCell ref="I6:K6"/>
    <mergeCell ref="C6:E6"/>
    <mergeCell ref="F6:H6"/>
    <mergeCell ref="U6:W6"/>
    <mergeCell ref="U7:W7"/>
    <mergeCell ref="L7:N7"/>
    <mergeCell ref="O7:Q7"/>
    <mergeCell ref="R6:T6"/>
    <mergeCell ref="R7:T7"/>
    <mergeCell ref="L6:N6"/>
    <mergeCell ref="O6:Q6"/>
  </mergeCells>
  <printOptions/>
  <pageMargins left="0.18" right="0.18" top="0.79" bottom="0.54" header="0.5" footer="0.5"/>
  <pageSetup fitToHeight="1" fitToWidth="1" horizontalDpi="600" verticalDpi="600" orientation="landscape" scale="3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4">
      <selection activeCell="K15" sqref="K15"/>
    </sheetView>
  </sheetViews>
  <sheetFormatPr defaultColWidth="9.140625" defaultRowHeight="12.75"/>
  <cols>
    <col min="1" max="1" width="16.28125" style="7" customWidth="1"/>
    <col min="2" max="2" width="33.00390625" style="7" bestFit="1" customWidth="1"/>
    <col min="3" max="4" width="13.28125" style="7" bestFit="1" customWidth="1"/>
    <col min="5" max="5" width="14.7109375" style="7" customWidth="1"/>
    <col min="6" max="6" width="15.7109375" style="7" customWidth="1"/>
    <col min="7" max="7" width="17.140625" style="7" customWidth="1"/>
    <col min="8" max="8" width="17.57421875" style="7" customWidth="1"/>
    <col min="9" max="9" width="15.28125" style="7" bestFit="1" customWidth="1"/>
    <col min="10" max="16384" width="9.140625" style="7" customWidth="1"/>
  </cols>
  <sheetData>
    <row r="1" spans="1:6" s="3" customFormat="1" ht="21" customHeight="1">
      <c r="A1" s="1"/>
      <c r="B1" s="185" t="s">
        <v>148</v>
      </c>
      <c r="C1" s="185"/>
      <c r="D1" s="185"/>
      <c r="E1" s="185"/>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3.5" thickBot="1">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8">
        <f>'4. Smart Meter Rev Req'!E49</f>
        <v>5752.08536625</v>
      </c>
      <c r="D8" s="138">
        <f>'4. Smart Meter Rev Req'!H49</f>
        <v>11587.267215000005</v>
      </c>
      <c r="E8" s="138">
        <f>'4. Smart Meter Rev Req'!K49</f>
        <v>97683.4978622473</v>
      </c>
      <c r="F8" s="138">
        <f>'4. Smart Meter Rev Req'!N49</f>
        <v>403992.05500056007</v>
      </c>
      <c r="G8" s="138">
        <f>'4. Smart Meter Rev Req'!Q49</f>
        <v>655385.0565172802</v>
      </c>
      <c r="H8" s="168">
        <f>+'4. Smart Meter Rev Req'!T49</f>
        <v>626998.3386241201</v>
      </c>
      <c r="I8" s="138">
        <f>'4. Smart Meter Rev Req'!S49</f>
        <v>0</v>
      </c>
    </row>
    <row r="9" spans="1:9" ht="13.5" thickBot="1">
      <c r="A9" s="5"/>
      <c r="B9" s="5" t="s">
        <v>200</v>
      </c>
      <c r="C9" s="138">
        <f>-'4. Smart Meter Rev Req'!E47</f>
        <v>9794.951666666666</v>
      </c>
      <c r="D9" s="138">
        <f>-'4. Smart Meter Rev Req'!H47</f>
        <v>20344.87</v>
      </c>
      <c r="E9" s="138">
        <f>-'4. Smart Meter Rev Req'!K47</f>
        <v>238766.9828333333</v>
      </c>
      <c r="F9" s="138">
        <f>-'4. Smart Meter Rev Req'!N47</f>
        <v>1091600.7956666667</v>
      </c>
      <c r="G9" s="138">
        <f>-'4. Smart Meter Rev Req'!Q47</f>
        <v>1966927.4623333334</v>
      </c>
      <c r="H9" s="169">
        <f>-'4. Smart Meter Rev Req'!T47</f>
        <v>2207087.462333333</v>
      </c>
      <c r="I9" s="138">
        <f>-'4. Smart Meter Rev Req'!S47</f>
        <v>0</v>
      </c>
    </row>
    <row r="10" spans="1:9" ht="12.75">
      <c r="A10" s="5"/>
      <c r="B10" s="5" t="s">
        <v>225</v>
      </c>
      <c r="C10" s="138">
        <f>-'6. Avg Nt Fix Ass &amp;UCC'!C93</f>
        <v>-11753.942</v>
      </c>
      <c r="D10" s="138">
        <f>-'6. Avg Nt Fix Ass &amp;UCC'!D93</f>
        <v>-23473.52864</v>
      </c>
      <c r="E10" s="138">
        <f>-'6. Avg Nt Fix Ass &amp;UCC'!E93</f>
        <v>-184521.5211488</v>
      </c>
      <c r="F10" s="138">
        <f>-'6. Avg Nt Fix Ass &amp;UCC'!F93</f>
        <v>-893951.714256896</v>
      </c>
      <c r="G10" s="138">
        <f>-'6. Avg Nt Fix Ass &amp;UCC'!G93</f>
        <v>-1386215.5771163444</v>
      </c>
      <c r="H10" s="138">
        <f>-'6. Avg Nt Fix Ass &amp;UCC'!H93</f>
        <v>-1276926.3309470369</v>
      </c>
      <c r="I10" s="138">
        <f>-'6. Avg Nt Fix Ass &amp;UCC'!I93</f>
        <v>0</v>
      </c>
    </row>
    <row r="11" spans="1:9" ht="12.75">
      <c r="A11" s="5"/>
      <c r="B11" s="5" t="s">
        <v>227</v>
      </c>
      <c r="C11" s="138">
        <f>-'6. Avg Nt Fix Ass &amp;UCC'!C107</f>
        <v>0</v>
      </c>
      <c r="D11" s="138">
        <f>-'6. Avg Nt Fix Ass &amp;UCC'!D107</f>
        <v>0</v>
      </c>
      <c r="E11" s="138">
        <f>-'6. Avg Nt Fix Ass &amp;UCC'!E107</f>
        <v>-232207.0025</v>
      </c>
      <c r="F11" s="138">
        <f>-'6. Avg Nt Fix Ass &amp;UCC'!F107</f>
        <v>-714220.153625</v>
      </c>
      <c r="G11" s="138">
        <f>-'6. Avg Nt Fix Ass &amp;UCC'!G107</f>
        <v>-1355674.06913125</v>
      </c>
      <c r="H11" s="138">
        <f>-'6. Avg Nt Fix Ass &amp;UCC'!H107</f>
        <v>-1266808.3311090625</v>
      </c>
      <c r="I11" s="138">
        <f>-'6. Avg Nt Fix Ass &amp;UCC'!I107</f>
        <v>0</v>
      </c>
    </row>
    <row r="12" spans="1:9" ht="12.75">
      <c r="A12" s="5"/>
      <c r="B12" s="5" t="s">
        <v>226</v>
      </c>
      <c r="C12" s="138">
        <f>-'6. Avg Nt Fix Ass &amp;UCC'!C121</f>
        <v>0</v>
      </c>
      <c r="D12" s="138">
        <f>-'6. Avg Nt Fix Ass &amp;UCC'!D121</f>
        <v>0</v>
      </c>
      <c r="E12" s="138">
        <f>-'6. Avg Nt Fix Ass &amp;UCC'!E121</f>
        <v>-10456.081</v>
      </c>
      <c r="F12" s="138">
        <f>-'6. Avg Nt Fix Ass &amp;UCC'!F121</f>
        <v>-94260.9458</v>
      </c>
      <c r="G12" s="138">
        <f>-'6. Avg Nt Fix Ass &amp;UCC'!G121</f>
        <v>-150848.75664</v>
      </c>
      <c r="H12" s="138">
        <f>-'6. Avg Nt Fix Ass &amp;UCC'!H121</f>
        <v>-120679.00531200001</v>
      </c>
      <c r="I12" s="138">
        <f>-'6. Avg Nt Fix Ass &amp;UCC'!I121</f>
        <v>0</v>
      </c>
    </row>
    <row r="13" spans="1:9" ht="12.75">
      <c r="A13" s="5"/>
      <c r="B13" s="5" t="s">
        <v>152</v>
      </c>
      <c r="C13" s="139">
        <f aca="true" t="shared" si="0" ref="C13:I13">SUM(C8:C12)</f>
        <v>3793.0950329166662</v>
      </c>
      <c r="D13" s="139">
        <f t="shared" si="0"/>
        <v>8458.608575000002</v>
      </c>
      <c r="E13" s="139">
        <f t="shared" si="0"/>
        <v>-90734.12395321942</v>
      </c>
      <c r="F13" s="139">
        <f t="shared" si="0"/>
        <v>-206839.96301466925</v>
      </c>
      <c r="G13" s="139">
        <f t="shared" si="0"/>
        <v>-270425.88403698104</v>
      </c>
      <c r="H13" s="139">
        <f t="shared" si="0"/>
        <v>169672.13358935405</v>
      </c>
      <c r="I13" s="139">
        <f t="shared" si="0"/>
        <v>0</v>
      </c>
    </row>
    <row r="14" spans="1:9" ht="12.75">
      <c r="A14" s="5"/>
      <c r="B14" s="5" t="s">
        <v>201</v>
      </c>
      <c r="C14" s="140">
        <f>'3.  LDC Assumptions and Data'!C26</f>
        <v>0.3612</v>
      </c>
      <c r="D14" s="140">
        <f>'3.  LDC Assumptions and Data'!D26</f>
        <v>0.3612</v>
      </c>
      <c r="E14" s="140">
        <f>'3.  LDC Assumptions and Data'!E26</f>
        <v>0.335</v>
      </c>
      <c r="F14" s="140">
        <f>'3.  LDC Assumptions and Data'!F26</f>
        <v>0.33</v>
      </c>
      <c r="G14" s="140">
        <f>'3.  LDC Assumptions and Data'!G26</f>
        <v>0.32</v>
      </c>
      <c r="H14" s="140">
        <f>'3.  LDC Assumptions and Data'!H26</f>
        <v>0.305</v>
      </c>
      <c r="I14" s="140">
        <f>'3.  LDC Assumptions and Data'!I26</f>
        <v>0.29</v>
      </c>
    </row>
    <row r="15" spans="1:9" ht="12.75">
      <c r="A15" s="5"/>
      <c r="B15" s="5" t="s">
        <v>153</v>
      </c>
      <c r="C15" s="139">
        <f aca="true" t="shared" si="1" ref="C15:I15">C13*C14</f>
        <v>1370.0659258895</v>
      </c>
      <c r="D15" s="139">
        <f t="shared" si="1"/>
        <v>3055.249417290001</v>
      </c>
      <c r="E15" s="139">
        <f t="shared" si="1"/>
        <v>-30395.931524328505</v>
      </c>
      <c r="F15" s="139">
        <f t="shared" si="1"/>
        <v>-68257.18779484085</v>
      </c>
      <c r="G15" s="139">
        <f t="shared" si="1"/>
        <v>-86536.28289183394</v>
      </c>
      <c r="H15" s="139">
        <f t="shared" si="1"/>
        <v>51750.000744752986</v>
      </c>
      <c r="I15" s="139">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8">
        <f>'6. Avg Nt Fix Ass &amp;UCC'!C17</f>
        <v>284053.5983333333</v>
      </c>
      <c r="D18" s="138">
        <f>'6. Avg Nt Fix Ass &amp;UCC'!D17</f>
        <v>286357.72833333333</v>
      </c>
      <c r="E18" s="138">
        <f>'6. Avg Nt Fix Ass &amp;UCC'!E17</f>
        <v>4180739.1659999997</v>
      </c>
      <c r="F18" s="138">
        <f>'6. Avg Nt Fix Ass &amp;UCC'!F17</f>
        <v>17475429.471333336</v>
      </c>
      <c r="G18" s="138">
        <f>'6. Avg Nt Fix Ass &amp;UCC'!G17</f>
        <v>16286203.110000001</v>
      </c>
      <c r="H18" s="138">
        <f>'6. Avg Nt Fix Ass &amp;UCC'!H17</f>
        <v>15055436.748666668</v>
      </c>
      <c r="I18" s="138">
        <f>'6. Avg Nt Fix Ass &amp;UCC'!I17</f>
        <v>0</v>
      </c>
    </row>
    <row r="19" spans="1:9" ht="12.75">
      <c r="A19" s="5"/>
      <c r="B19" s="61" t="s">
        <v>98</v>
      </c>
      <c r="C19" s="138">
        <f>'6. Avg Nt Fix Ass &amp;UCC'!C32</f>
        <v>0</v>
      </c>
      <c r="D19" s="138">
        <f>'6. Avg Nt Fix Ass &amp;UCC'!D32</f>
        <v>0</v>
      </c>
      <c r="E19" s="138">
        <f>'6. Avg Nt Fix Ass &amp;UCC'!E32</f>
        <v>133311.6</v>
      </c>
      <c r="F19" s="138">
        <f>'6. Avg Nt Fix Ass &amp;UCC'!F32</f>
        <v>277168.8</v>
      </c>
      <c r="G19" s="138">
        <f>'6. Avg Nt Fix Ass &amp;UCC'!G32</f>
        <v>246516</v>
      </c>
      <c r="H19" s="138">
        <f>'6. Avg Nt Fix Ass &amp;UCC'!H32</f>
        <v>215863.2</v>
      </c>
      <c r="I19" s="138">
        <f>'6. Avg Nt Fix Ass &amp;UCC'!I32</f>
        <v>0</v>
      </c>
    </row>
    <row r="20" spans="1:9" ht="12.75">
      <c r="A20" s="5"/>
      <c r="B20" s="61" t="s">
        <v>99</v>
      </c>
      <c r="C20" s="141">
        <f>'6. Avg Nt Fix Ass &amp;UCC'!C47</f>
        <v>0</v>
      </c>
      <c r="D20" s="141">
        <f>'6. Avg Nt Fix Ass &amp;UCC'!D47</f>
        <v>0</v>
      </c>
      <c r="E20" s="141">
        <f>'6. Avg Nt Fix Ass &amp;UCC'!E47</f>
        <v>633654.99</v>
      </c>
      <c r="F20" s="141">
        <f>'6. Avg Nt Fix Ass &amp;UCC'!F47</f>
        <v>1578782.77</v>
      </c>
      <c r="G20" s="141">
        <f>'6. Avg Nt Fix Ass &amp;UCC'!G47</f>
        <v>3346030.55</v>
      </c>
      <c r="H20" s="141">
        <f>'6. Avg Nt Fix Ass &amp;UCC'!H47</f>
        <v>2486258.3299999996</v>
      </c>
      <c r="I20" s="141">
        <f>'6. Avg Nt Fix Ass &amp;UCC'!I47</f>
        <v>0</v>
      </c>
    </row>
    <row r="21" spans="1:9" ht="12.75">
      <c r="A21" s="5"/>
      <c r="B21" s="61" t="s">
        <v>11</v>
      </c>
      <c r="C21" s="141">
        <f>'6. Avg Nt Fix Ass &amp;UCC'!C62</f>
        <v>0</v>
      </c>
      <c r="D21" s="141">
        <f>'6. Avg Nt Fix Ass &amp;UCC'!D62</f>
        <v>0</v>
      </c>
      <c r="E21" s="141">
        <f>'6. Avg Nt Fix Ass &amp;UCC'!E62</f>
        <v>95761.3205</v>
      </c>
      <c r="F21" s="141">
        <f>'6. Avg Nt Fix Ass &amp;UCC'!F62</f>
        <v>699286.1815000001</v>
      </c>
      <c r="G21" s="141">
        <f>'6. Avg Nt Fix Ass &amp;UCC'!G62</f>
        <v>624616.0425</v>
      </c>
      <c r="H21" s="141">
        <f>'6. Avg Nt Fix Ass &amp;UCC'!H62</f>
        <v>549945.9035</v>
      </c>
      <c r="I21" s="141">
        <f>'6. Avg Nt Fix Ass &amp;UCC'!I62</f>
        <v>0</v>
      </c>
    </row>
    <row r="22" spans="1:9" ht="12.75">
      <c r="A22" s="5"/>
      <c r="B22" s="61" t="s">
        <v>13</v>
      </c>
      <c r="C22" s="142">
        <f>'6. Avg Nt Fix Ass &amp;UCC'!C77</f>
        <v>0</v>
      </c>
      <c r="D22" s="142">
        <f>'6. Avg Nt Fix Ass &amp;UCC'!D77</f>
        <v>0</v>
      </c>
      <c r="E22" s="142">
        <f>'6. Avg Nt Fix Ass &amp;UCC'!E77</f>
        <v>3571.449</v>
      </c>
      <c r="F22" s="142">
        <f>'6. Avg Nt Fix Ass &amp;UCC'!F77</f>
        <v>106270.507</v>
      </c>
      <c r="G22" s="142">
        <f>'6. Avg Nt Fix Ass &amp;UCC'!G77</f>
        <v>95044.565</v>
      </c>
      <c r="H22" s="142">
        <f>'6. Avg Nt Fix Ass &amp;UCC'!H77</f>
        <v>83818.62299999999</v>
      </c>
      <c r="I22" s="142">
        <f>'6. Avg Nt Fix Ass &amp;UCC'!I77</f>
        <v>0</v>
      </c>
    </row>
    <row r="23" spans="1:9" ht="12.75">
      <c r="A23" s="5"/>
      <c r="B23" s="5" t="s">
        <v>155</v>
      </c>
      <c r="C23" s="102">
        <f aca="true" t="shared" si="2" ref="C23:I23">SUM(C18:C20)</f>
        <v>284053.5983333333</v>
      </c>
      <c r="D23" s="102">
        <f t="shared" si="2"/>
        <v>286357.72833333333</v>
      </c>
      <c r="E23" s="102">
        <f t="shared" si="2"/>
        <v>4947705.756</v>
      </c>
      <c r="F23" s="102">
        <f t="shared" si="2"/>
        <v>19331381.041333336</v>
      </c>
      <c r="G23" s="102">
        <f t="shared" si="2"/>
        <v>19878749.66</v>
      </c>
      <c r="H23" s="102">
        <f t="shared" si="2"/>
        <v>17757558.278666668</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39">
        <f aca="true" t="shared" si="3" ref="C25:I25">C23-C24</f>
        <v>284053.5983333333</v>
      </c>
      <c r="D25" s="139">
        <f t="shared" si="3"/>
        <v>286357.72833333333</v>
      </c>
      <c r="E25" s="139">
        <f t="shared" si="3"/>
        <v>4947705.756</v>
      </c>
      <c r="F25" s="139">
        <f t="shared" si="3"/>
        <v>19331381.041333336</v>
      </c>
      <c r="G25" s="139">
        <f t="shared" si="3"/>
        <v>19878749.66</v>
      </c>
      <c r="H25" s="139">
        <f t="shared" si="3"/>
        <v>17757558.278666668</v>
      </c>
      <c r="I25" s="139">
        <f t="shared" si="3"/>
        <v>0</v>
      </c>
    </row>
    <row r="26" spans="1:9" ht="12.75">
      <c r="A26" s="5"/>
      <c r="B26" s="5" t="s">
        <v>158</v>
      </c>
      <c r="C26" s="143">
        <v>0.003</v>
      </c>
      <c r="D26" s="144">
        <v>0.00225</v>
      </c>
      <c r="E26" s="144">
        <v>0.00225</v>
      </c>
      <c r="F26" s="144">
        <v>0.00225</v>
      </c>
      <c r="G26" s="144">
        <f>0.15%/2</f>
        <v>0.00075</v>
      </c>
      <c r="H26" s="143">
        <v>0</v>
      </c>
      <c r="I26" s="143">
        <v>0</v>
      </c>
    </row>
    <row r="27" spans="1:9" ht="12.75">
      <c r="A27" s="5"/>
      <c r="B27" s="5" t="s">
        <v>159</v>
      </c>
      <c r="C27" s="139">
        <f aca="true" t="shared" si="4" ref="C27:I27">C25*C26</f>
        <v>852.160795</v>
      </c>
      <c r="D27" s="139">
        <f t="shared" si="4"/>
        <v>644.3048887499999</v>
      </c>
      <c r="E27" s="139">
        <f t="shared" si="4"/>
        <v>11132.337951</v>
      </c>
      <c r="F27" s="139">
        <f t="shared" si="4"/>
        <v>43495.607343</v>
      </c>
      <c r="G27" s="139">
        <f t="shared" si="4"/>
        <v>14909.062245000001</v>
      </c>
      <c r="H27" s="139">
        <f t="shared" si="4"/>
        <v>0</v>
      </c>
      <c r="I27" s="139">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1370.0659258895</v>
      </c>
      <c r="D32" s="102">
        <f t="shared" si="5"/>
        <v>3055.249417290001</v>
      </c>
      <c r="E32" s="102">
        <f t="shared" si="5"/>
        <v>-30395.931524328505</v>
      </c>
      <c r="F32" s="102">
        <f t="shared" si="5"/>
        <v>-68257.18779484085</v>
      </c>
      <c r="G32" s="102">
        <f t="shared" si="5"/>
        <v>-86536.28289183394</v>
      </c>
      <c r="H32" s="102">
        <f t="shared" si="5"/>
        <v>51750.000744752986</v>
      </c>
      <c r="I32" s="102">
        <f t="shared" si="5"/>
        <v>0</v>
      </c>
    </row>
    <row r="33" spans="1:9" ht="12.75">
      <c r="A33" s="5"/>
      <c r="B33" s="5" t="s">
        <v>163</v>
      </c>
      <c r="C33" s="102">
        <f aca="true" t="shared" si="6" ref="C33:I33">C27</f>
        <v>852.160795</v>
      </c>
      <c r="D33" s="102">
        <f t="shared" si="6"/>
        <v>644.3048887499999</v>
      </c>
      <c r="E33" s="102">
        <f t="shared" si="6"/>
        <v>11132.337951</v>
      </c>
      <c r="F33" s="102">
        <f t="shared" si="6"/>
        <v>43495.607343</v>
      </c>
      <c r="G33" s="102">
        <f t="shared" si="6"/>
        <v>14909.062245000001</v>
      </c>
      <c r="H33" s="102">
        <f t="shared" si="6"/>
        <v>0</v>
      </c>
      <c r="I33" s="102">
        <f t="shared" si="6"/>
        <v>0</v>
      </c>
    </row>
    <row r="34" spans="1:9" ht="12.75">
      <c r="A34" s="5"/>
      <c r="B34" s="5" t="s">
        <v>164</v>
      </c>
      <c r="C34" s="139">
        <f aca="true" t="shared" si="7" ref="C34:I34">SUM(C32:C33)</f>
        <v>2222.2267208895</v>
      </c>
      <c r="D34" s="139">
        <f t="shared" si="7"/>
        <v>3699.554306040001</v>
      </c>
      <c r="E34" s="139">
        <f t="shared" si="7"/>
        <v>-19263.593573328508</v>
      </c>
      <c r="F34" s="139">
        <f t="shared" si="7"/>
        <v>-24761.580451840848</v>
      </c>
      <c r="G34" s="139">
        <f t="shared" si="7"/>
        <v>-71627.22064683394</v>
      </c>
      <c r="H34" s="139">
        <f t="shared" si="7"/>
        <v>51750.000744752986</v>
      </c>
      <c r="I34" s="139">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0.32</v>
      </c>
      <c r="H37" s="76">
        <f t="shared" si="8"/>
        <v>0.305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2144.749414354258</v>
      </c>
      <c r="D40" s="102">
        <f t="shared" si="9"/>
        <v>4782.794955056357</v>
      </c>
      <c r="E40" s="102">
        <f t="shared" si="9"/>
        <v>-45708.16770575715</v>
      </c>
      <c r="F40" s="102">
        <f t="shared" si="9"/>
        <v>-101876.39969379232</v>
      </c>
      <c r="G40" s="102">
        <f t="shared" si="9"/>
        <v>-127259.23954681463</v>
      </c>
      <c r="H40" s="102">
        <f t="shared" si="9"/>
        <v>74460.43272626329</v>
      </c>
      <c r="I40" s="102">
        <f t="shared" si="9"/>
        <v>0</v>
      </c>
    </row>
    <row r="41" spans="2:9" ht="12.75">
      <c r="B41" s="5" t="s">
        <v>163</v>
      </c>
      <c r="C41" s="102">
        <f aca="true" t="shared" si="10" ref="C41:I41">C33</f>
        <v>852.160795</v>
      </c>
      <c r="D41" s="102">
        <f t="shared" si="10"/>
        <v>644.3048887499999</v>
      </c>
      <c r="E41" s="102">
        <f t="shared" si="10"/>
        <v>11132.337951</v>
      </c>
      <c r="F41" s="102">
        <f t="shared" si="10"/>
        <v>43495.607343</v>
      </c>
      <c r="G41" s="102">
        <f t="shared" si="10"/>
        <v>14909.062245000001</v>
      </c>
      <c r="H41" s="102">
        <f t="shared" si="10"/>
        <v>0</v>
      </c>
      <c r="I41" s="102">
        <f t="shared" si="10"/>
        <v>0</v>
      </c>
    </row>
    <row r="42" spans="2:9" ht="12.75">
      <c r="B42" s="5" t="s">
        <v>164</v>
      </c>
      <c r="C42" s="145">
        <f aca="true" t="shared" si="11" ref="C42:I42">SUM(C40:C41)</f>
        <v>2996.910209354258</v>
      </c>
      <c r="D42" s="145">
        <f t="shared" si="11"/>
        <v>5427.099843806357</v>
      </c>
      <c r="E42" s="145">
        <f t="shared" si="11"/>
        <v>-34575.82975475715</v>
      </c>
      <c r="F42" s="145">
        <f t="shared" si="11"/>
        <v>-58380.79235079232</v>
      </c>
      <c r="G42" s="145">
        <f t="shared" si="11"/>
        <v>-112350.17730181463</v>
      </c>
      <c r="H42" s="145">
        <f t="shared" si="11"/>
        <v>74460.43272626329</v>
      </c>
      <c r="I42" s="145">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83"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I127"/>
  <sheetViews>
    <sheetView zoomScalePageLayoutView="0" workbookViewId="0" topLeftCell="A68">
      <selection activeCell="P5" sqref="P5"/>
    </sheetView>
  </sheetViews>
  <sheetFormatPr defaultColWidth="9.140625" defaultRowHeight="12.75"/>
  <cols>
    <col min="1" max="1" width="16.57421875" style="7" customWidth="1"/>
    <col min="2" max="2" width="75.28125" style="7" bestFit="1" customWidth="1"/>
    <col min="3" max="7" width="15.00390625" style="7" bestFit="1" customWidth="1"/>
    <col min="8" max="8" width="16.421875" style="7" customWidth="1"/>
    <col min="9" max="16384" width="9.140625" style="7" customWidth="1"/>
  </cols>
  <sheetData>
    <row r="1" spans="1:9" s="3" customFormat="1" ht="21" customHeight="1">
      <c r="A1" s="1"/>
      <c r="B1" s="178" t="s">
        <v>219</v>
      </c>
      <c r="C1" s="178"/>
      <c r="D1" s="178"/>
      <c r="E1" s="178"/>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39">
        <v>0</v>
      </c>
      <c r="D8" s="139">
        <f>C10</f>
        <v>293848.55</v>
      </c>
      <c r="E8" s="139">
        <f>D10</f>
        <v>316497.55</v>
      </c>
      <c r="F8" s="139">
        <f>E10</f>
        <v>4366995.42</v>
      </c>
      <c r="G8" s="139">
        <f>F10</f>
        <v>18421295.42</v>
      </c>
      <c r="H8" s="139">
        <f>G10</f>
        <v>18461495.42</v>
      </c>
      <c r="I8" s="5"/>
    </row>
    <row r="9" spans="1:9" ht="12.75">
      <c r="A9" s="5"/>
      <c r="B9" s="5" t="s">
        <v>202</v>
      </c>
      <c r="C9" s="141">
        <f>'3.  LDC Assumptions and Data'!C31</f>
        <v>293848.55</v>
      </c>
      <c r="D9" s="141">
        <f>'3.  LDC Assumptions and Data'!D31</f>
        <v>22649</v>
      </c>
      <c r="E9" s="141">
        <f>'3.  LDC Assumptions and Data'!F31</f>
        <v>4050497.87</v>
      </c>
      <c r="F9" s="141">
        <f>'3.  LDC Assumptions and Data'!G31</f>
        <v>14054300</v>
      </c>
      <c r="G9" s="141">
        <f>'3.  LDC Assumptions and Data'!H31</f>
        <v>40200</v>
      </c>
      <c r="H9" s="141">
        <f>'3.  LDC Assumptions and Data'!I31</f>
        <v>0</v>
      </c>
      <c r="I9" s="5"/>
    </row>
    <row r="10" spans="1:9" ht="12.75">
      <c r="A10" s="5"/>
      <c r="B10" s="5" t="s">
        <v>169</v>
      </c>
      <c r="C10" s="139">
        <f aca="true" t="shared" si="0" ref="C10:H10">SUM(C8:C9)</f>
        <v>293848.55</v>
      </c>
      <c r="D10" s="139">
        <f t="shared" si="0"/>
        <v>316497.55</v>
      </c>
      <c r="E10" s="139">
        <f t="shared" si="0"/>
        <v>4366995.42</v>
      </c>
      <c r="F10" s="139">
        <f t="shared" si="0"/>
        <v>18421295.42</v>
      </c>
      <c r="G10" s="139">
        <f t="shared" si="0"/>
        <v>18461495.42</v>
      </c>
      <c r="H10" s="139">
        <f t="shared" si="0"/>
        <v>18461495.42</v>
      </c>
      <c r="I10" s="5"/>
    </row>
    <row r="11" spans="1:9" ht="12.75">
      <c r="A11" s="5"/>
      <c r="B11" s="5"/>
      <c r="C11" s="63"/>
      <c r="D11" s="63"/>
      <c r="E11" s="63"/>
      <c r="F11" s="63"/>
      <c r="G11" s="63"/>
      <c r="H11" s="5"/>
      <c r="I11" s="5"/>
    </row>
    <row r="12" spans="1:9" ht="12.75">
      <c r="A12" s="5"/>
      <c r="B12" s="5" t="s">
        <v>170</v>
      </c>
      <c r="C12" s="139">
        <v>0</v>
      </c>
      <c r="D12" s="139">
        <f>C14</f>
        <v>9794.951666666666</v>
      </c>
      <c r="E12" s="139">
        <f>D14</f>
        <v>30139.821666666663</v>
      </c>
      <c r="F12" s="139">
        <f>E14</f>
        <v>186256.254</v>
      </c>
      <c r="G12" s="139">
        <f>F14</f>
        <v>945865.9486666666</v>
      </c>
      <c r="H12" s="139">
        <f>G14</f>
        <v>2175292.31</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9794.951666666666</v>
      </c>
      <c r="D13" s="102">
        <f>IF(D12+(D8/'3.  LDC Assumptions and Data'!D60)+(D9/'3.  LDC Assumptions and Data'!D60/2)&lt;D10,(D8/'3.  LDC Assumptions and Data'!D60)+(D9/'3.  LDC Assumptions and Data'!D60/2),D10-D12)</f>
        <v>20344.87</v>
      </c>
      <c r="E13" s="102">
        <f>IF(E12+(E8/'3.  LDC Assumptions and Data'!E60)+(E9/'3.  LDC Assumptions and Data'!E60/2)&lt;E10,(E8/'3.  LDC Assumptions and Data'!E60)+(E9/'3.  LDC Assumptions and Data'!E60/2),E10-E12)</f>
        <v>156116.43233333333</v>
      </c>
      <c r="F13" s="102">
        <f>IF(F12+(F8/'3.  LDC Assumptions and Data'!F60)+(F9/'3.  LDC Assumptions and Data'!F60/2)&lt;F10,(F8/'3.  LDC Assumptions and Data'!F60)+(F9/'3.  LDC Assumptions and Data'!F60/2),F10-F12)</f>
        <v>759609.6946666667</v>
      </c>
      <c r="G13" s="102">
        <f>IF(G12+(G8/'3.  LDC Assumptions and Data'!G60)+(G9/'3.  LDC Assumptions and Data'!G60/2)&lt;G10,(G8/'3.  LDC Assumptions and Data'!G60)+(G9/'3.  LDC Assumptions and Data'!G60/2),G10-G12)</f>
        <v>1229426.3613333334</v>
      </c>
      <c r="H13" s="102">
        <f>IF(H12+(H8/'3.  LDC Assumptions and Data'!H60)+(H9/'3.  LDC Assumptions and Data'!H60/2)&lt;H10,(H8/'3.  LDC Assumptions and Data'!H60)+(H9/'3.  LDC Assumptions and Data'!H60/2),H10-H12)</f>
        <v>1230766.3613333334</v>
      </c>
      <c r="I13" s="5"/>
    </row>
    <row r="14" spans="1:9" ht="12.75">
      <c r="A14" s="5"/>
      <c r="B14" s="5" t="s">
        <v>171</v>
      </c>
      <c r="C14" s="139">
        <f aca="true" t="shared" si="1" ref="C14:H14">SUM(C12:C13)</f>
        <v>9794.951666666666</v>
      </c>
      <c r="D14" s="139">
        <f t="shared" si="1"/>
        <v>30139.821666666663</v>
      </c>
      <c r="E14" s="139">
        <f t="shared" si="1"/>
        <v>186256.254</v>
      </c>
      <c r="F14" s="139">
        <f t="shared" si="1"/>
        <v>945865.9486666666</v>
      </c>
      <c r="G14" s="139">
        <f t="shared" si="1"/>
        <v>2175292.31</v>
      </c>
      <c r="H14" s="139">
        <f t="shared" si="1"/>
        <v>3406058.6713333335</v>
      </c>
      <c r="I14" s="5"/>
    </row>
    <row r="15" spans="1:9" ht="12.75">
      <c r="A15" s="5"/>
      <c r="B15" s="5"/>
      <c r="H15" s="5"/>
      <c r="I15" s="5"/>
    </row>
    <row r="16" spans="1:9" ht="16.5" customHeight="1">
      <c r="A16" s="5"/>
      <c r="B16" s="5" t="s">
        <v>172</v>
      </c>
      <c r="C16" s="102">
        <f>0</f>
        <v>0</v>
      </c>
      <c r="D16" s="102">
        <f>C17</f>
        <v>284053.5983333333</v>
      </c>
      <c r="E16" s="102">
        <f>D17</f>
        <v>286357.72833333333</v>
      </c>
      <c r="F16" s="102">
        <f>E17</f>
        <v>4180739.1659999997</v>
      </c>
      <c r="G16" s="102">
        <f>F17</f>
        <v>17475429.471333336</v>
      </c>
      <c r="H16" s="102">
        <f>G17</f>
        <v>16286203.110000001</v>
      </c>
      <c r="I16" s="5"/>
    </row>
    <row r="17" spans="1:8" ht="12.75">
      <c r="A17" s="5"/>
      <c r="B17" s="5" t="s">
        <v>173</v>
      </c>
      <c r="C17" s="139">
        <f aca="true" t="shared" si="2" ref="C17:H17">C10-C14</f>
        <v>284053.5983333333</v>
      </c>
      <c r="D17" s="139">
        <f t="shared" si="2"/>
        <v>286357.72833333333</v>
      </c>
      <c r="E17" s="139">
        <f t="shared" si="2"/>
        <v>4180739.1659999997</v>
      </c>
      <c r="F17" s="139">
        <f t="shared" si="2"/>
        <v>17475429.471333336</v>
      </c>
      <c r="G17" s="139">
        <f t="shared" si="2"/>
        <v>16286203.110000001</v>
      </c>
      <c r="H17" s="139">
        <f t="shared" si="2"/>
        <v>15055436.748666668</v>
      </c>
    </row>
    <row r="18" spans="1:8" ht="13.5" thickBot="1">
      <c r="A18" s="5"/>
      <c r="B18" s="5" t="s">
        <v>174</v>
      </c>
      <c r="C18" s="146">
        <f aca="true" t="shared" si="3" ref="C18:H18">(C17+C16)/2</f>
        <v>142026.79916666666</v>
      </c>
      <c r="D18" s="146">
        <f t="shared" si="3"/>
        <v>285205.66333333333</v>
      </c>
      <c r="E18" s="146">
        <f t="shared" si="3"/>
        <v>2233548.4471666664</v>
      </c>
      <c r="F18" s="146">
        <f t="shared" si="3"/>
        <v>10828084.318666669</v>
      </c>
      <c r="G18" s="146">
        <f t="shared" si="3"/>
        <v>16880816.29066667</v>
      </c>
      <c r="H18" s="146">
        <f t="shared" si="3"/>
        <v>15670819.929333335</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39">
        <v>0</v>
      </c>
      <c r="D23" s="139">
        <f>C25</f>
        <v>0</v>
      </c>
      <c r="E23" s="139">
        <f>D25</f>
        <v>0</v>
      </c>
      <c r="F23" s="139">
        <f>E25</f>
        <v>140328</v>
      </c>
      <c r="G23" s="139">
        <f>F25</f>
        <v>306528</v>
      </c>
      <c r="H23" s="139">
        <f>G25</f>
        <v>306528</v>
      </c>
      <c r="I23" s="5"/>
    </row>
    <row r="24" spans="1:9" ht="12.75">
      <c r="A24" s="5"/>
      <c r="B24" s="5" t="s">
        <v>203</v>
      </c>
      <c r="C24" s="141">
        <f>'3.  LDC Assumptions and Data'!C32</f>
        <v>0</v>
      </c>
      <c r="D24" s="141">
        <f>'3.  LDC Assumptions and Data'!D32</f>
        <v>0</v>
      </c>
      <c r="E24" s="141">
        <f>'3.  LDC Assumptions and Data'!F32</f>
        <v>140328</v>
      </c>
      <c r="F24" s="141">
        <f>'3.  LDC Assumptions and Data'!G32</f>
        <v>166200</v>
      </c>
      <c r="G24" s="141">
        <f>'3.  LDC Assumptions and Data'!H32</f>
        <v>0</v>
      </c>
      <c r="H24" s="141">
        <f>'3.  LDC Assumptions and Data'!I32</f>
        <v>0</v>
      </c>
      <c r="I24" s="5"/>
    </row>
    <row r="25" spans="1:9" ht="12.75">
      <c r="A25" s="5"/>
      <c r="B25" s="5" t="s">
        <v>169</v>
      </c>
      <c r="C25" s="139">
        <f aca="true" t="shared" si="5" ref="C25:H25">SUM(C23:C24)</f>
        <v>0</v>
      </c>
      <c r="D25" s="139">
        <f t="shared" si="5"/>
        <v>0</v>
      </c>
      <c r="E25" s="139">
        <f t="shared" si="5"/>
        <v>140328</v>
      </c>
      <c r="F25" s="139">
        <f t="shared" si="5"/>
        <v>306528</v>
      </c>
      <c r="G25" s="139">
        <f t="shared" si="5"/>
        <v>306528</v>
      </c>
      <c r="H25" s="139">
        <f t="shared" si="5"/>
        <v>306528</v>
      </c>
      <c r="I25" s="5"/>
    </row>
    <row r="26" spans="1:9" ht="12.75">
      <c r="A26" s="5"/>
      <c r="B26" s="5"/>
      <c r="C26" s="64"/>
      <c r="D26" s="64"/>
      <c r="E26" s="64"/>
      <c r="F26" s="64"/>
      <c r="G26" s="64"/>
      <c r="H26" s="5"/>
      <c r="I26" s="5"/>
    </row>
    <row r="27" spans="1:9" ht="12.75">
      <c r="A27" s="5"/>
      <c r="B27" s="5" t="s">
        <v>170</v>
      </c>
      <c r="C27" s="139">
        <v>0</v>
      </c>
      <c r="D27" s="139">
        <f>C29</f>
        <v>0</v>
      </c>
      <c r="E27" s="139">
        <f>D29</f>
        <v>0</v>
      </c>
      <c r="F27" s="139">
        <f>E29</f>
        <v>7016.4</v>
      </c>
      <c r="G27" s="139">
        <f>F29</f>
        <v>29359.199999999997</v>
      </c>
      <c r="H27" s="139">
        <f>G29</f>
        <v>60012</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7016.4</v>
      </c>
      <c r="F28" s="102">
        <f>IF(F27+(F23/'3.  LDC Assumptions and Data'!C61)+(F24/'3.  LDC Assumptions and Data'!C61/2)&lt;F25,(F23/'3.  LDC Assumptions and Data'!C61)+(F24/'3.  LDC Assumptions and Data'!C61/2),F25-F27)</f>
        <v>22342.8</v>
      </c>
      <c r="G28" s="102">
        <f>IF(G27+(G23/'3.  LDC Assumptions and Data'!C61)+(G24/'3.  LDC Assumptions and Data'!C61/2)&lt;G25,(G23/'3.  LDC Assumptions and Data'!C61)+(G24/'3.  LDC Assumptions and Data'!C61/2),G25-G27)</f>
        <v>30652.8</v>
      </c>
      <c r="H28" s="102">
        <f>IF(H27+(H23/'3.  LDC Assumptions and Data'!D61)+(H24/'3.  LDC Assumptions and Data'!D61/2)&lt;H25,(H23/'3.  LDC Assumptions and Data'!D61)+(H24/'3.  LDC Assumptions and Data'!D61/2),H25-H27)</f>
        <v>30652.8</v>
      </c>
      <c r="I28" s="5"/>
    </row>
    <row r="29" spans="1:9" ht="12.75">
      <c r="A29" s="5"/>
      <c r="B29" s="5" t="s">
        <v>171</v>
      </c>
      <c r="C29" s="139">
        <f aca="true" t="shared" si="6" ref="C29:H29">SUM(C27:C28)</f>
        <v>0</v>
      </c>
      <c r="D29" s="139">
        <f t="shared" si="6"/>
        <v>0</v>
      </c>
      <c r="E29" s="139">
        <f t="shared" si="6"/>
        <v>7016.4</v>
      </c>
      <c r="F29" s="139">
        <f t="shared" si="6"/>
        <v>29359.199999999997</v>
      </c>
      <c r="G29" s="139">
        <f t="shared" si="6"/>
        <v>60012</v>
      </c>
      <c r="H29" s="139">
        <f t="shared" si="6"/>
        <v>90664.8</v>
      </c>
      <c r="I29" s="5"/>
    </row>
    <row r="30" spans="1:9" ht="12.75">
      <c r="A30" s="5"/>
      <c r="B30" s="5"/>
      <c r="H30" s="5"/>
      <c r="I30" s="5"/>
    </row>
    <row r="31" spans="1:9" ht="12.75">
      <c r="A31" s="5"/>
      <c r="B31" s="5" t="s">
        <v>172</v>
      </c>
      <c r="C31" s="102">
        <f>0</f>
        <v>0</v>
      </c>
      <c r="D31" s="102">
        <f>C32</f>
        <v>0</v>
      </c>
      <c r="E31" s="102">
        <f>D32</f>
        <v>0</v>
      </c>
      <c r="F31" s="102">
        <f>E32</f>
        <v>133311.6</v>
      </c>
      <c r="G31" s="102">
        <f>F32</f>
        <v>277168.8</v>
      </c>
      <c r="H31" s="102">
        <f>G32</f>
        <v>246516</v>
      </c>
      <c r="I31" s="5"/>
    </row>
    <row r="32" spans="1:9" ht="12.75">
      <c r="A32" s="5"/>
      <c r="B32" s="5" t="s">
        <v>173</v>
      </c>
      <c r="C32" s="139">
        <f aca="true" t="shared" si="7" ref="C32:H32">C25-C29</f>
        <v>0</v>
      </c>
      <c r="D32" s="147">
        <f t="shared" si="7"/>
        <v>0</v>
      </c>
      <c r="E32" s="147">
        <f t="shared" si="7"/>
        <v>133311.6</v>
      </c>
      <c r="F32" s="147">
        <f t="shared" si="7"/>
        <v>277168.8</v>
      </c>
      <c r="G32" s="147">
        <f t="shared" si="7"/>
        <v>246516</v>
      </c>
      <c r="H32" s="147">
        <f t="shared" si="7"/>
        <v>215863.2</v>
      </c>
      <c r="I32" s="5"/>
    </row>
    <row r="33" spans="1:9" ht="13.5" thickBot="1">
      <c r="A33" s="5"/>
      <c r="B33" s="5" t="s">
        <v>174</v>
      </c>
      <c r="C33" s="146">
        <f aca="true" t="shared" si="8" ref="C33:H33">(C32+C31)/2</f>
        <v>0</v>
      </c>
      <c r="D33" s="148">
        <f t="shared" si="8"/>
        <v>0</v>
      </c>
      <c r="E33" s="148">
        <f t="shared" si="8"/>
        <v>66655.8</v>
      </c>
      <c r="F33" s="148">
        <f t="shared" si="8"/>
        <v>205240.2</v>
      </c>
      <c r="G33" s="148">
        <f t="shared" si="8"/>
        <v>261842.4</v>
      </c>
      <c r="H33" s="148">
        <f t="shared" si="8"/>
        <v>231189.6</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39">
        <v>0</v>
      </c>
      <c r="D38" s="139">
        <f>C40</f>
        <v>0</v>
      </c>
      <c r="E38" s="139">
        <f>D40</f>
        <v>0</v>
      </c>
      <c r="F38" s="139">
        <f>E40</f>
        <v>704061.1</v>
      </c>
      <c r="G38" s="139">
        <f>F40</f>
        <v>1910661.1</v>
      </c>
      <c r="H38" s="139">
        <f>G40</f>
        <v>4298861.1</v>
      </c>
      <c r="I38" s="5"/>
    </row>
    <row r="39" spans="1:9" ht="12.75">
      <c r="A39" s="5"/>
      <c r="B39" s="5" t="s">
        <v>202</v>
      </c>
      <c r="C39" s="141">
        <f>'3.  LDC Assumptions and Data'!C33</f>
        <v>0</v>
      </c>
      <c r="D39" s="141">
        <f>'3.  LDC Assumptions and Data'!D33</f>
        <v>0</v>
      </c>
      <c r="E39" s="141">
        <f>'3.  LDC Assumptions and Data'!F33</f>
        <v>704061.1</v>
      </c>
      <c r="F39" s="141">
        <f>'3.  LDC Assumptions and Data'!G33</f>
        <v>1206600</v>
      </c>
      <c r="G39" s="141">
        <f>'3.  LDC Assumptions and Data'!H33</f>
        <v>2388200</v>
      </c>
      <c r="H39" s="141">
        <f>'3.  LDC Assumptions and Data'!I33</f>
        <v>0</v>
      </c>
      <c r="I39" s="5"/>
    </row>
    <row r="40" spans="1:9" ht="12.75">
      <c r="A40" s="5"/>
      <c r="B40" s="5" t="s">
        <v>169</v>
      </c>
      <c r="C40" s="139">
        <f aca="true" t="shared" si="10" ref="C40:H40">SUM(C38:C39)</f>
        <v>0</v>
      </c>
      <c r="D40" s="139">
        <f t="shared" si="10"/>
        <v>0</v>
      </c>
      <c r="E40" s="139">
        <f t="shared" si="10"/>
        <v>704061.1</v>
      </c>
      <c r="F40" s="139">
        <f t="shared" si="10"/>
        <v>1910661.1</v>
      </c>
      <c r="G40" s="139">
        <f t="shared" si="10"/>
        <v>4298861.1</v>
      </c>
      <c r="H40" s="139">
        <f t="shared" si="10"/>
        <v>4298861.1</v>
      </c>
      <c r="I40" s="5"/>
    </row>
    <row r="41" spans="1:9" ht="12.75">
      <c r="A41" s="5"/>
      <c r="B41" s="5"/>
      <c r="C41" s="64"/>
      <c r="D41" s="64"/>
      <c r="E41" s="64"/>
      <c r="F41" s="64"/>
      <c r="G41" s="64"/>
      <c r="H41" s="5"/>
      <c r="I41" s="5"/>
    </row>
    <row r="42" spans="1:9" ht="12.75">
      <c r="A42" s="5"/>
      <c r="B42" s="5" t="s">
        <v>170</v>
      </c>
      <c r="C42" s="139">
        <v>0</v>
      </c>
      <c r="D42" s="139">
        <f>C44</f>
        <v>0</v>
      </c>
      <c r="E42" s="139">
        <f>D44</f>
        <v>0</v>
      </c>
      <c r="F42" s="139">
        <f>E44</f>
        <v>70406.11</v>
      </c>
      <c r="G42" s="139">
        <f>F44</f>
        <v>331878.33</v>
      </c>
      <c r="H42" s="139">
        <f>G44</f>
        <v>952830.55</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70406.11</v>
      </c>
      <c r="F43" s="102">
        <f>IF(F42+(F38/'3.  LDC Assumptions and Data'!C62)+(F39/'3.  LDC Assumptions and Data'!C62/2)&lt;F40,(F38/'3.  LDC Assumptions and Data'!C62)+(F39/'3.  LDC Assumptions and Data'!C62/2),F40-F42)</f>
        <v>261472.22</v>
      </c>
      <c r="G43" s="102">
        <f>IF(G42+(G38/'3.  LDC Assumptions and Data'!C62)+(G39/'3.  LDC Assumptions and Data'!C62/2)&lt;G40,(G38/'3.  LDC Assumptions and Data'!C62)+(G39/'3.  LDC Assumptions and Data'!C62/2),G40-G42)</f>
        <v>620952.22</v>
      </c>
      <c r="H43" s="102">
        <f>IF(H42+(H38/'3.  LDC Assumptions and Data'!D62)+(H39/'3.  LDC Assumptions and Data'!D62/2)&lt;H40,(H38/'3.  LDC Assumptions and Data'!D62)+(H39/'3.  LDC Assumptions and Data'!D62/2),H40-H42)</f>
        <v>859772.22</v>
      </c>
      <c r="I43" s="5"/>
    </row>
    <row r="44" spans="1:9" ht="12.75">
      <c r="A44" s="5"/>
      <c r="B44" s="5" t="s">
        <v>171</v>
      </c>
      <c r="C44" s="139">
        <f aca="true" t="shared" si="11" ref="C44:H44">SUM(C42:C43)</f>
        <v>0</v>
      </c>
      <c r="D44" s="139">
        <f t="shared" si="11"/>
        <v>0</v>
      </c>
      <c r="E44" s="139">
        <f t="shared" si="11"/>
        <v>70406.11</v>
      </c>
      <c r="F44" s="139">
        <f t="shared" si="11"/>
        <v>331878.33</v>
      </c>
      <c r="G44" s="139">
        <f t="shared" si="11"/>
        <v>952830.55</v>
      </c>
      <c r="H44" s="139">
        <f t="shared" si="11"/>
        <v>1812602.77</v>
      </c>
      <c r="I44" s="5"/>
    </row>
    <row r="45" spans="1:9" ht="12.75">
      <c r="A45" s="5"/>
      <c r="B45" s="5"/>
      <c r="H45" s="5"/>
      <c r="I45" s="5"/>
    </row>
    <row r="46" spans="1:9" ht="12.75">
      <c r="A46" s="5"/>
      <c r="B46" s="5" t="s">
        <v>172</v>
      </c>
      <c r="C46" s="102">
        <f>0</f>
        <v>0</v>
      </c>
      <c r="D46" s="102">
        <f>C47</f>
        <v>0</v>
      </c>
      <c r="E46" s="102">
        <f>D47</f>
        <v>0</v>
      </c>
      <c r="F46" s="102">
        <f>E47</f>
        <v>633654.99</v>
      </c>
      <c r="G46" s="102">
        <f>F47</f>
        <v>1578782.77</v>
      </c>
      <c r="H46" s="102">
        <f>G47</f>
        <v>3346030.55</v>
      </c>
      <c r="I46" s="5"/>
    </row>
    <row r="47" spans="1:9" ht="12.75">
      <c r="A47" s="5"/>
      <c r="B47" s="5" t="s">
        <v>173</v>
      </c>
      <c r="C47" s="139">
        <f aca="true" t="shared" si="12" ref="C47:H47">C40-C44</f>
        <v>0</v>
      </c>
      <c r="D47" s="147">
        <f t="shared" si="12"/>
        <v>0</v>
      </c>
      <c r="E47" s="147">
        <f t="shared" si="12"/>
        <v>633654.99</v>
      </c>
      <c r="F47" s="147">
        <f t="shared" si="12"/>
        <v>1578782.77</v>
      </c>
      <c r="G47" s="147">
        <f t="shared" si="12"/>
        <v>3346030.55</v>
      </c>
      <c r="H47" s="147">
        <f t="shared" si="12"/>
        <v>2486258.3299999996</v>
      </c>
      <c r="I47" s="5"/>
    </row>
    <row r="48" spans="1:9" ht="13.5" thickBot="1">
      <c r="A48" s="5"/>
      <c r="B48" s="5" t="s">
        <v>174</v>
      </c>
      <c r="C48" s="146">
        <f aca="true" t="shared" si="13" ref="C48:H48">(C47+C46)/2</f>
        <v>0</v>
      </c>
      <c r="D48" s="148">
        <f t="shared" si="13"/>
        <v>0</v>
      </c>
      <c r="E48" s="148">
        <f t="shared" si="13"/>
        <v>316827.495</v>
      </c>
      <c r="F48" s="148">
        <f t="shared" si="13"/>
        <v>1106218.88</v>
      </c>
      <c r="G48" s="148">
        <f t="shared" si="13"/>
        <v>2462406.66</v>
      </c>
      <c r="H48" s="148">
        <f t="shared" si="13"/>
        <v>2916144.4399999995</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39">
        <v>0</v>
      </c>
      <c r="D53" s="139">
        <f>C55</f>
        <v>0</v>
      </c>
      <c r="E53" s="139">
        <f>D55</f>
        <v>0</v>
      </c>
      <c r="F53" s="139">
        <f>E55</f>
        <v>100801.39</v>
      </c>
      <c r="G53" s="139">
        <f>F55</f>
        <v>746701.39</v>
      </c>
      <c r="H53" s="139">
        <f>G55</f>
        <v>746701.39</v>
      </c>
      <c r="I53" s="5"/>
    </row>
    <row r="54" spans="1:9" ht="12.75">
      <c r="A54" s="5"/>
      <c r="B54" s="5" t="s">
        <v>202</v>
      </c>
      <c r="C54" s="141">
        <f>'3.  LDC Assumptions and Data'!C34</f>
        <v>0</v>
      </c>
      <c r="D54" s="141">
        <f>'3.  LDC Assumptions and Data'!D34</f>
        <v>0</v>
      </c>
      <c r="E54" s="141">
        <f>'3.  LDC Assumptions and Data'!F34</f>
        <v>100801.39</v>
      </c>
      <c r="F54" s="141">
        <f>'3.  LDC Assumptions and Data'!G34</f>
        <v>645900</v>
      </c>
      <c r="G54" s="141">
        <f>'3.  LDC Assumptions and Data'!H34</f>
        <v>0</v>
      </c>
      <c r="H54" s="141">
        <f>'3.  LDC Assumptions and Data'!I34</f>
        <v>0</v>
      </c>
      <c r="I54" s="5"/>
    </row>
    <row r="55" spans="1:9" ht="12.75">
      <c r="A55" s="5"/>
      <c r="B55" s="5" t="s">
        <v>169</v>
      </c>
      <c r="C55" s="139">
        <f aca="true" t="shared" si="15" ref="C55:H55">SUM(C53:C54)</f>
        <v>0</v>
      </c>
      <c r="D55" s="139">
        <f t="shared" si="15"/>
        <v>0</v>
      </c>
      <c r="E55" s="139">
        <f t="shared" si="15"/>
        <v>100801.39</v>
      </c>
      <c r="F55" s="139">
        <f t="shared" si="15"/>
        <v>746701.39</v>
      </c>
      <c r="G55" s="139">
        <f t="shared" si="15"/>
        <v>746701.39</v>
      </c>
      <c r="H55" s="139">
        <f t="shared" si="15"/>
        <v>746701.39</v>
      </c>
      <c r="I55" s="5"/>
    </row>
    <row r="56" spans="1:9" ht="12.75">
      <c r="A56" s="5"/>
      <c r="B56" s="5"/>
      <c r="C56" s="64"/>
      <c r="D56" s="64"/>
      <c r="E56" s="64"/>
      <c r="F56" s="64"/>
      <c r="G56" s="64"/>
      <c r="H56" s="5"/>
      <c r="I56" s="5"/>
    </row>
    <row r="57" spans="1:9" ht="12.75">
      <c r="A57" s="5"/>
      <c r="B57" s="5" t="s">
        <v>170</v>
      </c>
      <c r="C57" s="139">
        <v>0</v>
      </c>
      <c r="D57" s="139">
        <f>C59</f>
        <v>0</v>
      </c>
      <c r="E57" s="139">
        <f>D59</f>
        <v>0</v>
      </c>
      <c r="F57" s="139">
        <f>E59</f>
        <v>5040.0695</v>
      </c>
      <c r="G57" s="139">
        <f>F59</f>
        <v>47415.20849999999</v>
      </c>
      <c r="H57" s="139">
        <f>G59</f>
        <v>122085.34749999999</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5040.0695</v>
      </c>
      <c r="F58" s="102">
        <f>IF(F57+(F53/'3.  LDC Assumptions and Data'!C63)+(F54/'3.  LDC Assumptions and Data'!C63/2)&lt;F55,(F53/'3.  LDC Assumptions and Data'!C63)+(F54/'3.  LDC Assumptions and Data'!C63/2),F55-F57)</f>
        <v>42375.138999999996</v>
      </c>
      <c r="G58" s="102">
        <f>IF(G57+(G53/'3.  LDC Assumptions and Data'!C63)+(G54/'3.  LDC Assumptions and Data'!C63/2)&lt;G55,(G53/'3.  LDC Assumptions and Data'!C63)+(G54/'3.  LDC Assumptions and Data'!C63/2),G55-G57)</f>
        <v>74670.139</v>
      </c>
      <c r="H58" s="102">
        <f>IF(H57+(H53/'3.  LDC Assumptions and Data'!D63)+(H54/'3.  LDC Assumptions and Data'!D63/2)&lt;H55,(H53/'3.  LDC Assumptions and Data'!D63)+(H54/'3.  LDC Assumptions and Data'!D63/2),H55-H57)</f>
        <v>74670.139</v>
      </c>
      <c r="I58" s="5"/>
    </row>
    <row r="59" spans="1:9" ht="12.75">
      <c r="A59" s="5"/>
      <c r="B59" s="5" t="s">
        <v>171</v>
      </c>
      <c r="C59" s="139">
        <f aca="true" t="shared" si="16" ref="C59:H59">SUM(C57:C58)</f>
        <v>0</v>
      </c>
      <c r="D59" s="139">
        <f t="shared" si="16"/>
        <v>0</v>
      </c>
      <c r="E59" s="139">
        <f t="shared" si="16"/>
        <v>5040.0695</v>
      </c>
      <c r="F59" s="139">
        <f t="shared" si="16"/>
        <v>47415.20849999999</v>
      </c>
      <c r="G59" s="139">
        <f t="shared" si="16"/>
        <v>122085.34749999999</v>
      </c>
      <c r="H59" s="139">
        <f t="shared" si="16"/>
        <v>196755.4865</v>
      </c>
      <c r="I59" s="5"/>
    </row>
    <row r="60" spans="1:9" ht="12.75">
      <c r="A60" s="5"/>
      <c r="B60" s="5"/>
      <c r="H60" s="5"/>
      <c r="I60" s="5"/>
    </row>
    <row r="61" spans="1:9" ht="12.75">
      <c r="A61" s="5"/>
      <c r="B61" s="5" t="s">
        <v>172</v>
      </c>
      <c r="C61" s="102">
        <f>0</f>
        <v>0</v>
      </c>
      <c r="D61" s="102">
        <f>C62</f>
        <v>0</v>
      </c>
      <c r="E61" s="102">
        <f>D62</f>
        <v>0</v>
      </c>
      <c r="F61" s="102">
        <f>E62</f>
        <v>95761.3205</v>
      </c>
      <c r="G61" s="102">
        <f>F62</f>
        <v>699286.1815000001</v>
      </c>
      <c r="H61" s="102">
        <f>G62</f>
        <v>624616.0425</v>
      </c>
      <c r="I61" s="5"/>
    </row>
    <row r="62" spans="1:9" ht="12.75">
      <c r="A62" s="5"/>
      <c r="B62" s="5" t="s">
        <v>173</v>
      </c>
      <c r="C62" s="139">
        <f aca="true" t="shared" si="17" ref="C62:H62">C55-C59</f>
        <v>0</v>
      </c>
      <c r="D62" s="147">
        <f t="shared" si="17"/>
        <v>0</v>
      </c>
      <c r="E62" s="147">
        <f t="shared" si="17"/>
        <v>95761.3205</v>
      </c>
      <c r="F62" s="147">
        <f t="shared" si="17"/>
        <v>699286.1815000001</v>
      </c>
      <c r="G62" s="147">
        <f t="shared" si="17"/>
        <v>624616.0425</v>
      </c>
      <c r="H62" s="147">
        <f t="shared" si="17"/>
        <v>549945.9035</v>
      </c>
      <c r="I62" s="5"/>
    </row>
    <row r="63" spans="1:9" ht="13.5" thickBot="1">
      <c r="A63" s="5"/>
      <c r="B63" s="5" t="s">
        <v>174</v>
      </c>
      <c r="C63" s="146">
        <f aca="true" t="shared" si="18" ref="C63:H63">(C62+C61)/2</f>
        <v>0</v>
      </c>
      <c r="D63" s="148">
        <f t="shared" si="18"/>
        <v>0</v>
      </c>
      <c r="E63" s="148">
        <f t="shared" si="18"/>
        <v>47880.66025</v>
      </c>
      <c r="F63" s="148">
        <f t="shared" si="18"/>
        <v>397523.75100000005</v>
      </c>
      <c r="G63" s="148">
        <f t="shared" si="18"/>
        <v>661951.112</v>
      </c>
      <c r="H63" s="148">
        <f t="shared" si="18"/>
        <v>587280.973</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39">
        <v>0</v>
      </c>
      <c r="D68" s="139">
        <f>C70</f>
        <v>0</v>
      </c>
      <c r="E68" s="139">
        <f>D70</f>
        <v>0</v>
      </c>
      <c r="F68" s="139">
        <f>E70</f>
        <v>3759.42</v>
      </c>
      <c r="G68" s="139">
        <f>F70</f>
        <v>112259.42</v>
      </c>
      <c r="H68" s="139">
        <f>G70</f>
        <v>112259.42</v>
      </c>
      <c r="I68" s="5"/>
    </row>
    <row r="69" spans="1:9" ht="12.75">
      <c r="A69" s="5"/>
      <c r="B69" s="5" t="s">
        <v>202</v>
      </c>
      <c r="C69" s="141">
        <f>'3.  LDC Assumptions and Data'!C35</f>
        <v>0</v>
      </c>
      <c r="D69" s="141">
        <f>'3.  LDC Assumptions and Data'!D35</f>
        <v>0</v>
      </c>
      <c r="E69" s="141">
        <f>'3.  LDC Assumptions and Data'!F35</f>
        <v>3759.42</v>
      </c>
      <c r="F69" s="141">
        <f>'3.  LDC Assumptions and Data'!G35</f>
        <v>108500</v>
      </c>
      <c r="G69" s="141">
        <f>'3.  LDC Assumptions and Data'!H35</f>
        <v>0</v>
      </c>
      <c r="H69" s="141">
        <f>'3.  LDC Assumptions and Data'!I35</f>
        <v>0</v>
      </c>
      <c r="I69" s="5"/>
    </row>
    <row r="70" spans="1:9" ht="12.75">
      <c r="A70" s="5"/>
      <c r="B70" s="5" t="s">
        <v>169</v>
      </c>
      <c r="C70" s="139">
        <f aca="true" t="shared" si="20" ref="C70:H70">SUM(C68:C69)</f>
        <v>0</v>
      </c>
      <c r="D70" s="139">
        <f t="shared" si="20"/>
        <v>0</v>
      </c>
      <c r="E70" s="139">
        <f t="shared" si="20"/>
        <v>3759.42</v>
      </c>
      <c r="F70" s="139">
        <f t="shared" si="20"/>
        <v>112259.42</v>
      </c>
      <c r="G70" s="139">
        <f t="shared" si="20"/>
        <v>112259.42</v>
      </c>
      <c r="H70" s="139">
        <f t="shared" si="20"/>
        <v>112259.42</v>
      </c>
      <c r="I70" s="5"/>
    </row>
    <row r="71" spans="1:9" ht="12.75">
      <c r="A71" s="5"/>
      <c r="B71" s="5"/>
      <c r="C71" s="64"/>
      <c r="D71" s="64"/>
      <c r="E71" s="64"/>
      <c r="F71" s="64"/>
      <c r="G71" s="64"/>
      <c r="H71" s="64"/>
      <c r="I71" s="5"/>
    </row>
    <row r="72" spans="1:9" ht="12.75">
      <c r="A72" s="5"/>
      <c r="B72" s="5" t="s">
        <v>170</v>
      </c>
      <c r="C72" s="139">
        <v>0</v>
      </c>
      <c r="D72" s="139">
        <f>C74</f>
        <v>0</v>
      </c>
      <c r="E72" s="139">
        <f>D74</f>
        <v>0</v>
      </c>
      <c r="F72" s="139">
        <f>E74</f>
        <v>187.971</v>
      </c>
      <c r="G72" s="139">
        <f>F74</f>
        <v>5988.9130000000005</v>
      </c>
      <c r="H72" s="139">
        <f>G74</f>
        <v>17214.855</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187.971</v>
      </c>
      <c r="F73" s="102">
        <f>IF(F72+(F68/'3.  LDC Assumptions and Data'!C64)+(F69/'3.  LDC Assumptions and Data'!C64/2)&lt;F70,(F68/'3.  LDC Assumptions and Data'!C64)+(F69/'3.  LDC Assumptions and Data'!C64/2),F70-F72)</f>
        <v>5800.942</v>
      </c>
      <c r="G73" s="102">
        <f>IF(G72+(G68/'3.  LDC Assumptions and Data'!C64)+(G69/'3.  LDC Assumptions and Data'!C64/2)&lt;G70,(G68/'3.  LDC Assumptions and Data'!C64)+(G69/'3.  LDC Assumptions and Data'!C64/2),G70-G72)</f>
        <v>11225.942</v>
      </c>
      <c r="H73" s="102">
        <f>IF(H72+(H68/'3.  LDC Assumptions and Data'!D64)+(H69/'3.  LDC Assumptions and Data'!D64/2)&lt;H70,(H68/'3.  LDC Assumptions and Data'!D64)+(H69/'3.  LDC Assumptions and Data'!D64/2),H70-H72)</f>
        <v>11225.942</v>
      </c>
      <c r="I73" s="5"/>
    </row>
    <row r="74" spans="1:9" ht="12.75">
      <c r="A74" s="5"/>
      <c r="B74" s="5" t="s">
        <v>171</v>
      </c>
      <c r="C74" s="139">
        <f aca="true" t="shared" si="21" ref="C74:H74">SUM(C72:C73)</f>
        <v>0</v>
      </c>
      <c r="D74" s="139">
        <f t="shared" si="21"/>
        <v>0</v>
      </c>
      <c r="E74" s="139">
        <f t="shared" si="21"/>
        <v>187.971</v>
      </c>
      <c r="F74" s="139">
        <f t="shared" si="21"/>
        <v>5988.9130000000005</v>
      </c>
      <c r="G74" s="139">
        <f t="shared" si="21"/>
        <v>17214.855</v>
      </c>
      <c r="H74" s="139">
        <f t="shared" si="21"/>
        <v>28440.797</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3571.449</v>
      </c>
      <c r="G76" s="102">
        <f>F77</f>
        <v>106270.507</v>
      </c>
      <c r="H76" s="102">
        <f>G77</f>
        <v>95044.565</v>
      </c>
      <c r="I76" s="5"/>
    </row>
    <row r="77" spans="1:9" ht="12.75">
      <c r="A77" s="5"/>
      <c r="B77" s="5" t="s">
        <v>173</v>
      </c>
      <c r="C77" s="139">
        <f aca="true" t="shared" si="22" ref="C77:H77">C70-C74</f>
        <v>0</v>
      </c>
      <c r="D77" s="147">
        <f t="shared" si="22"/>
        <v>0</v>
      </c>
      <c r="E77" s="147">
        <f t="shared" si="22"/>
        <v>3571.449</v>
      </c>
      <c r="F77" s="147">
        <f t="shared" si="22"/>
        <v>106270.507</v>
      </c>
      <c r="G77" s="147">
        <f t="shared" si="22"/>
        <v>95044.565</v>
      </c>
      <c r="H77" s="147">
        <f t="shared" si="22"/>
        <v>83818.62299999999</v>
      </c>
      <c r="I77" s="5"/>
    </row>
    <row r="78" spans="1:9" ht="13.5" thickBot="1">
      <c r="A78" s="5"/>
      <c r="B78" s="5" t="s">
        <v>174</v>
      </c>
      <c r="C78" s="146">
        <f aca="true" t="shared" si="23" ref="C78:H78">(C77+C76)/2</f>
        <v>0</v>
      </c>
      <c r="D78" s="148">
        <f t="shared" si="23"/>
        <v>0</v>
      </c>
      <c r="E78" s="148">
        <f t="shared" si="23"/>
        <v>1785.7245</v>
      </c>
      <c r="F78" s="148">
        <f t="shared" si="23"/>
        <v>54920.977999999996</v>
      </c>
      <c r="G78" s="148">
        <f t="shared" si="23"/>
        <v>100657.536</v>
      </c>
      <c r="H78" s="148">
        <f t="shared" si="23"/>
        <v>89431.594</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39">
        <v>0</v>
      </c>
      <c r="D86" s="139">
        <f>C88-C93</f>
        <v>282094.608</v>
      </c>
      <c r="E86" s="139">
        <f>D88-D93</f>
        <v>281270.07936000003</v>
      </c>
      <c r="F86" s="139">
        <f>E88-E93</f>
        <v>4147246.4282112</v>
      </c>
      <c r="G86" s="139">
        <f>F88-F93</f>
        <v>17307594.713954303</v>
      </c>
      <c r="H86" s="139">
        <f>G88-G93</f>
        <v>15961579.13683796</v>
      </c>
      <c r="I86" s="5"/>
    </row>
    <row r="87" spans="1:9" ht="12.75">
      <c r="A87" s="5"/>
      <c r="B87" s="5" t="s">
        <v>182</v>
      </c>
      <c r="C87" s="102">
        <f aca="true" t="shared" si="25" ref="C87:H87">C9</f>
        <v>293848.55</v>
      </c>
      <c r="D87" s="102">
        <f t="shared" si="25"/>
        <v>22649</v>
      </c>
      <c r="E87" s="102">
        <f t="shared" si="25"/>
        <v>4050497.87</v>
      </c>
      <c r="F87" s="102">
        <f t="shared" si="25"/>
        <v>14054300</v>
      </c>
      <c r="G87" s="102">
        <f t="shared" si="25"/>
        <v>40200</v>
      </c>
      <c r="H87" s="102">
        <f t="shared" si="25"/>
        <v>0</v>
      </c>
      <c r="I87" s="5"/>
    </row>
    <row r="88" spans="1:9" ht="12.75">
      <c r="A88" s="5"/>
      <c r="B88" s="5" t="s">
        <v>183</v>
      </c>
      <c r="C88" s="139">
        <f aca="true" t="shared" si="26" ref="C88:H88">SUM(C86:C87)</f>
        <v>293848.55</v>
      </c>
      <c r="D88" s="139">
        <f t="shared" si="26"/>
        <v>304743.608</v>
      </c>
      <c r="E88" s="139">
        <f t="shared" si="26"/>
        <v>4331767.94936</v>
      </c>
      <c r="F88" s="139">
        <f t="shared" si="26"/>
        <v>18201546.4282112</v>
      </c>
      <c r="G88" s="139">
        <f t="shared" si="26"/>
        <v>17347794.713954303</v>
      </c>
      <c r="H88" s="139">
        <f t="shared" si="26"/>
        <v>15961579.13683796</v>
      </c>
      <c r="I88" s="5"/>
    </row>
    <row r="89" spans="1:9" ht="12.75">
      <c r="A89" s="5"/>
      <c r="B89" s="5" t="s">
        <v>184</v>
      </c>
      <c r="C89" s="102">
        <f aca="true" t="shared" si="27" ref="C89:H89">SUM(C87:C87)/2</f>
        <v>146924.275</v>
      </c>
      <c r="D89" s="102">
        <f t="shared" si="27"/>
        <v>11324.5</v>
      </c>
      <c r="E89" s="102">
        <f t="shared" si="27"/>
        <v>2025248.935</v>
      </c>
      <c r="F89" s="102">
        <f t="shared" si="27"/>
        <v>7027150</v>
      </c>
      <c r="G89" s="102">
        <f t="shared" si="27"/>
        <v>20100</v>
      </c>
      <c r="H89" s="102">
        <f t="shared" si="27"/>
        <v>0</v>
      </c>
      <c r="I89" s="5"/>
    </row>
    <row r="90" spans="1:9" ht="12.75">
      <c r="A90" s="5"/>
      <c r="B90" s="5" t="s">
        <v>185</v>
      </c>
      <c r="C90" s="139">
        <f aca="true" t="shared" si="28" ref="C90:H90">C86+C89</f>
        <v>146924.275</v>
      </c>
      <c r="D90" s="139">
        <f t="shared" si="28"/>
        <v>293419.108</v>
      </c>
      <c r="E90" s="139">
        <f t="shared" si="28"/>
        <v>2306519.01436</v>
      </c>
      <c r="F90" s="139">
        <f t="shared" si="28"/>
        <v>11174396.428211201</v>
      </c>
      <c r="G90" s="139">
        <f t="shared" si="28"/>
        <v>17327694.713954303</v>
      </c>
      <c r="H90" s="139">
        <f t="shared" si="28"/>
        <v>15961579.13683796</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39">
        <f aca="true" t="shared" si="29" ref="C93:H93">IF((C90*C92)&lt;C90,(C90*C92),C90)</f>
        <v>11753.942</v>
      </c>
      <c r="D93" s="139">
        <f t="shared" si="29"/>
        <v>23473.52864</v>
      </c>
      <c r="E93" s="139">
        <f t="shared" si="29"/>
        <v>184521.5211488</v>
      </c>
      <c r="F93" s="139">
        <f t="shared" si="29"/>
        <v>893951.714256896</v>
      </c>
      <c r="G93" s="139">
        <f t="shared" si="29"/>
        <v>1386215.5771163444</v>
      </c>
      <c r="H93" s="139">
        <f t="shared" si="29"/>
        <v>1276926.3309470369</v>
      </c>
      <c r="I93" s="5"/>
    </row>
    <row r="94" spans="1:9" ht="13.5" thickBot="1">
      <c r="A94" s="5"/>
      <c r="B94" s="5" t="s">
        <v>187</v>
      </c>
      <c r="C94" s="146">
        <f aca="true" t="shared" si="30" ref="C94:H94">IF((C88-C93)&lt;0,0,(C88-C93))</f>
        <v>282094.608</v>
      </c>
      <c r="D94" s="146">
        <f t="shared" si="30"/>
        <v>281270.07936000003</v>
      </c>
      <c r="E94" s="146">
        <f t="shared" si="30"/>
        <v>4147246.4282112</v>
      </c>
      <c r="F94" s="146">
        <f t="shared" si="30"/>
        <v>17307594.713954303</v>
      </c>
      <c r="G94" s="146">
        <f t="shared" si="30"/>
        <v>15961579.13683796</v>
      </c>
      <c r="H94" s="146">
        <f t="shared" si="30"/>
        <v>14684652.805890922</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39">
        <v>0</v>
      </c>
      <c r="D99" s="139">
        <f>C108</f>
        <v>0</v>
      </c>
      <c r="E99" s="139">
        <f>D108</f>
        <v>0</v>
      </c>
      <c r="F99" s="139">
        <f>E108</f>
        <v>612182.0974999999</v>
      </c>
      <c r="G99" s="139">
        <f>F108</f>
        <v>1270761.9438749999</v>
      </c>
      <c r="H99" s="139">
        <f>G108</f>
        <v>2303287.87474375</v>
      </c>
      <c r="I99" s="5"/>
    </row>
    <row r="100" spans="1:9" ht="12.75">
      <c r="A100" s="5"/>
      <c r="B100" s="5" t="s">
        <v>189</v>
      </c>
      <c r="C100" s="102">
        <f aca="true" t="shared" si="32" ref="C100:H100">C24</f>
        <v>0</v>
      </c>
      <c r="D100" s="102">
        <f t="shared" si="32"/>
        <v>0</v>
      </c>
      <c r="E100" s="102">
        <f t="shared" si="32"/>
        <v>140328</v>
      </c>
      <c r="F100" s="102">
        <f t="shared" si="32"/>
        <v>166200</v>
      </c>
      <c r="G100" s="102">
        <f t="shared" si="32"/>
        <v>0</v>
      </c>
      <c r="H100" s="102">
        <f t="shared" si="32"/>
        <v>0</v>
      </c>
      <c r="I100" s="5"/>
    </row>
    <row r="101" spans="1:9" ht="12.75">
      <c r="A101" s="5"/>
      <c r="B101" s="5" t="s">
        <v>190</v>
      </c>
      <c r="C101" s="102">
        <f aca="true" t="shared" si="33" ref="C101:H101">C39</f>
        <v>0</v>
      </c>
      <c r="D101" s="102">
        <f t="shared" si="33"/>
        <v>0</v>
      </c>
      <c r="E101" s="102">
        <f t="shared" si="33"/>
        <v>704061.1</v>
      </c>
      <c r="F101" s="102">
        <f t="shared" si="33"/>
        <v>1206600</v>
      </c>
      <c r="G101" s="102">
        <f t="shared" si="33"/>
        <v>2388200</v>
      </c>
      <c r="H101" s="102">
        <f t="shared" si="33"/>
        <v>0</v>
      </c>
      <c r="I101" s="5"/>
    </row>
    <row r="102" spans="1:9" ht="12.75">
      <c r="A102" s="5"/>
      <c r="B102" s="5" t="s">
        <v>183</v>
      </c>
      <c r="C102" s="139">
        <f aca="true" t="shared" si="34" ref="C102:H102">SUM(C99:C101)</f>
        <v>0</v>
      </c>
      <c r="D102" s="139">
        <f t="shared" si="34"/>
        <v>0</v>
      </c>
      <c r="E102" s="139">
        <f t="shared" si="34"/>
        <v>844389.1</v>
      </c>
      <c r="F102" s="139">
        <f t="shared" si="34"/>
        <v>1984982.0975</v>
      </c>
      <c r="G102" s="139">
        <f t="shared" si="34"/>
        <v>3658961.943875</v>
      </c>
      <c r="H102" s="139">
        <f t="shared" si="34"/>
        <v>2303287.87474375</v>
      </c>
      <c r="I102" s="5"/>
    </row>
    <row r="103" spans="1:9" ht="12.75">
      <c r="A103" s="5"/>
      <c r="B103" s="5" t="s">
        <v>184</v>
      </c>
      <c r="C103" s="102">
        <f aca="true" t="shared" si="35" ref="C103:H103">SUM(C100:C101)/2</f>
        <v>0</v>
      </c>
      <c r="D103" s="102">
        <f t="shared" si="35"/>
        <v>0</v>
      </c>
      <c r="E103" s="102">
        <f t="shared" si="35"/>
        <v>422194.55</v>
      </c>
      <c r="F103" s="102">
        <f t="shared" si="35"/>
        <v>686400</v>
      </c>
      <c r="G103" s="102">
        <f t="shared" si="35"/>
        <v>1194100</v>
      </c>
      <c r="H103" s="102">
        <f t="shared" si="35"/>
        <v>0</v>
      </c>
      <c r="I103" s="5"/>
    </row>
    <row r="104" spans="1:9" ht="12.75">
      <c r="A104" s="5"/>
      <c r="B104" s="5" t="s">
        <v>185</v>
      </c>
      <c r="C104" s="139">
        <f aca="true" t="shared" si="36" ref="C104:H104">C99+C103</f>
        <v>0</v>
      </c>
      <c r="D104" s="139">
        <f t="shared" si="36"/>
        <v>0</v>
      </c>
      <c r="E104" s="139">
        <f t="shared" si="36"/>
        <v>422194.55</v>
      </c>
      <c r="F104" s="139">
        <f t="shared" si="36"/>
        <v>1298582.0975</v>
      </c>
      <c r="G104" s="139">
        <f t="shared" si="36"/>
        <v>2464861.943875</v>
      </c>
      <c r="H104" s="139">
        <f t="shared" si="36"/>
        <v>2303287.87474375</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39">
        <f aca="true" t="shared" si="37" ref="C107:H107">IF((C104*C106)&lt;C104,(C104*C106),C104)</f>
        <v>0</v>
      </c>
      <c r="D107" s="139">
        <f t="shared" si="37"/>
        <v>0</v>
      </c>
      <c r="E107" s="139">
        <f t="shared" si="37"/>
        <v>232207.0025</v>
      </c>
      <c r="F107" s="139">
        <f t="shared" si="37"/>
        <v>714220.153625</v>
      </c>
      <c r="G107" s="139">
        <f t="shared" si="37"/>
        <v>1355674.06913125</v>
      </c>
      <c r="H107" s="139">
        <f t="shared" si="37"/>
        <v>1266808.3311090625</v>
      </c>
      <c r="I107" s="5"/>
    </row>
    <row r="108" spans="1:9" ht="13.5" thickBot="1">
      <c r="A108" s="5"/>
      <c r="B108" s="5" t="s">
        <v>187</v>
      </c>
      <c r="C108" s="146">
        <f aca="true" t="shared" si="38" ref="C108:H108">IF((C102-C107)&lt;0,0,(C102-C107))</f>
        <v>0</v>
      </c>
      <c r="D108" s="146">
        <f t="shared" si="38"/>
        <v>0</v>
      </c>
      <c r="E108" s="146">
        <f t="shared" si="38"/>
        <v>612182.0974999999</v>
      </c>
      <c r="F108" s="146">
        <f t="shared" si="38"/>
        <v>1270761.9438749999</v>
      </c>
      <c r="G108" s="146">
        <f t="shared" si="38"/>
        <v>2303287.87474375</v>
      </c>
      <c r="H108" s="146">
        <f t="shared" si="38"/>
        <v>1036479.5436346873</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39">
        <v>0</v>
      </c>
      <c r="D113" s="139">
        <f>C122</f>
        <v>0</v>
      </c>
      <c r="E113" s="139">
        <f>D122</f>
        <v>0</v>
      </c>
      <c r="F113" s="139">
        <f>E122</f>
        <v>94104.72899999999</v>
      </c>
      <c r="G113" s="139">
        <f>F122</f>
        <v>754243.7832000001</v>
      </c>
      <c r="H113" s="139">
        <f>G122</f>
        <v>603395.02656</v>
      </c>
      <c r="I113" s="5"/>
    </row>
    <row r="114" spans="1:9" ht="12.75">
      <c r="A114" s="5"/>
      <c r="B114" s="5" t="s">
        <v>192</v>
      </c>
      <c r="C114" s="102">
        <f aca="true" t="shared" si="40" ref="C114:H114">C54</f>
        <v>0</v>
      </c>
      <c r="D114" s="102">
        <f t="shared" si="40"/>
        <v>0</v>
      </c>
      <c r="E114" s="102">
        <f t="shared" si="40"/>
        <v>100801.39</v>
      </c>
      <c r="F114" s="102">
        <f t="shared" si="40"/>
        <v>645900</v>
      </c>
      <c r="G114" s="102">
        <f t="shared" si="40"/>
        <v>0</v>
      </c>
      <c r="H114" s="102">
        <f t="shared" si="40"/>
        <v>0</v>
      </c>
      <c r="I114" s="5"/>
    </row>
    <row r="115" spans="1:9" ht="12.75">
      <c r="A115" s="5"/>
      <c r="B115" s="5" t="s">
        <v>193</v>
      </c>
      <c r="C115" s="102">
        <f aca="true" t="shared" si="41" ref="C115:H115">C69</f>
        <v>0</v>
      </c>
      <c r="D115" s="102">
        <f t="shared" si="41"/>
        <v>0</v>
      </c>
      <c r="E115" s="102">
        <f t="shared" si="41"/>
        <v>3759.42</v>
      </c>
      <c r="F115" s="102">
        <f t="shared" si="41"/>
        <v>108500</v>
      </c>
      <c r="G115" s="102">
        <f t="shared" si="41"/>
        <v>0</v>
      </c>
      <c r="H115" s="102">
        <f t="shared" si="41"/>
        <v>0</v>
      </c>
      <c r="I115" s="5"/>
    </row>
    <row r="116" spans="1:9" ht="12.75">
      <c r="A116" s="5"/>
      <c r="B116" s="5" t="s">
        <v>183</v>
      </c>
      <c r="C116" s="139">
        <f aca="true" t="shared" si="42" ref="C116:H116">SUM(C113:C115)</f>
        <v>0</v>
      </c>
      <c r="D116" s="139">
        <f t="shared" si="42"/>
        <v>0</v>
      </c>
      <c r="E116" s="139">
        <f t="shared" si="42"/>
        <v>104560.81</v>
      </c>
      <c r="F116" s="139">
        <f t="shared" si="42"/>
        <v>848504.729</v>
      </c>
      <c r="G116" s="139">
        <f t="shared" si="42"/>
        <v>754243.7832000001</v>
      </c>
      <c r="H116" s="139">
        <f t="shared" si="42"/>
        <v>603395.02656</v>
      </c>
      <c r="I116" s="5"/>
    </row>
    <row r="117" spans="1:9" ht="12.75">
      <c r="A117" s="5"/>
      <c r="B117" s="5" t="s">
        <v>184</v>
      </c>
      <c r="C117" s="102">
        <f aca="true" t="shared" si="43" ref="C117:H117">SUM(C114:C115)/2</f>
        <v>0</v>
      </c>
      <c r="D117" s="102">
        <f t="shared" si="43"/>
        <v>0</v>
      </c>
      <c r="E117" s="102">
        <f t="shared" si="43"/>
        <v>52280.405</v>
      </c>
      <c r="F117" s="102">
        <f t="shared" si="43"/>
        <v>377200</v>
      </c>
      <c r="G117" s="102">
        <f t="shared" si="43"/>
        <v>0</v>
      </c>
      <c r="H117" s="102">
        <f t="shared" si="43"/>
        <v>0</v>
      </c>
      <c r="I117" s="5"/>
    </row>
    <row r="118" spans="1:9" ht="12.75">
      <c r="A118" s="5"/>
      <c r="B118" s="5" t="s">
        <v>185</v>
      </c>
      <c r="C118" s="139">
        <f aca="true" t="shared" si="44" ref="C118:H118">C113+C117</f>
        <v>0</v>
      </c>
      <c r="D118" s="139">
        <f t="shared" si="44"/>
        <v>0</v>
      </c>
      <c r="E118" s="139">
        <f t="shared" si="44"/>
        <v>52280.405</v>
      </c>
      <c r="F118" s="139">
        <f t="shared" si="44"/>
        <v>471304.729</v>
      </c>
      <c r="G118" s="139">
        <f t="shared" si="44"/>
        <v>754243.7832000001</v>
      </c>
      <c r="H118" s="139">
        <f t="shared" si="44"/>
        <v>603395.02656</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39">
        <f aca="true" t="shared" si="45" ref="C121:H121">IF((C118*C120)&lt;C118,(C118*C120),C118)</f>
        <v>0</v>
      </c>
      <c r="D121" s="139">
        <f t="shared" si="45"/>
        <v>0</v>
      </c>
      <c r="E121" s="139">
        <f t="shared" si="45"/>
        <v>10456.081</v>
      </c>
      <c r="F121" s="139">
        <f t="shared" si="45"/>
        <v>94260.9458</v>
      </c>
      <c r="G121" s="139">
        <f t="shared" si="45"/>
        <v>150848.75664</v>
      </c>
      <c r="H121" s="139">
        <f t="shared" si="45"/>
        <v>120679.00531200001</v>
      </c>
      <c r="I121" s="5"/>
    </row>
    <row r="122" spans="1:9" ht="13.5" thickBot="1">
      <c r="A122" s="5"/>
      <c r="B122" s="5" t="s">
        <v>187</v>
      </c>
      <c r="C122" s="146">
        <f aca="true" t="shared" si="46" ref="C122:H122">IF((C116-C121)&lt;0,0,(C116-C121))</f>
        <v>0</v>
      </c>
      <c r="D122" s="146">
        <f t="shared" si="46"/>
        <v>0</v>
      </c>
      <c r="E122" s="146">
        <f t="shared" si="46"/>
        <v>94104.72899999999</v>
      </c>
      <c r="F122" s="146">
        <f t="shared" si="46"/>
        <v>754243.7832000001</v>
      </c>
      <c r="G122" s="146">
        <f t="shared" si="46"/>
        <v>603395.02656</v>
      </c>
      <c r="H122" s="146">
        <f t="shared" si="46"/>
        <v>482716.02124800003</v>
      </c>
      <c r="I122" s="5"/>
    </row>
    <row r="126" ht="15">
      <c r="B126" s="25"/>
    </row>
    <row r="127" ht="15">
      <c r="B127" s="25"/>
    </row>
  </sheetData>
  <sheetProtection formatColumns="0" selectLockedCells="1"/>
  <mergeCells count="1">
    <mergeCell ref="B1:E1"/>
  </mergeCells>
  <printOptions verticalCentered="1"/>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49" max="255" man="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46">
      <selection activeCell="P5" sqref="P5"/>
    </sheetView>
  </sheetViews>
  <sheetFormatPr defaultColWidth="11.421875" defaultRowHeight="12.75"/>
  <cols>
    <col min="1" max="1" width="23.8515625" style="132" customWidth="1"/>
    <col min="2" max="2" width="14.140625" style="133" bestFit="1" customWidth="1"/>
    <col min="3" max="3" width="16.5742187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v>0</v>
      </c>
      <c r="D4" s="136">
        <f>'3.  LDC Assumptions and Data'!$C$19</f>
        <v>0.06</v>
      </c>
      <c r="E4" s="118">
        <f aca="true" t="shared" si="0" ref="E4:E27">(B4*D4)/12</f>
        <v>0</v>
      </c>
      <c r="F4" s="118">
        <f>SUM(B4:C4,E4)</f>
        <v>0</v>
      </c>
      <c r="I4" s="120" t="s">
        <v>245</v>
      </c>
      <c r="J4" s="122">
        <v>4.59</v>
      </c>
      <c r="K4" s="122">
        <v>5.05</v>
      </c>
    </row>
    <row r="5" spans="1:11" ht="15.75">
      <c r="A5" s="135">
        <v>38749</v>
      </c>
      <c r="B5" s="119">
        <f aca="true" t="shared" si="1" ref="B5:B28">F4</f>
        <v>0</v>
      </c>
      <c r="C5" s="117">
        <v>0</v>
      </c>
      <c r="D5" s="136">
        <f>'3.  LDC Assumptions and Data'!$C$19</f>
        <v>0.06</v>
      </c>
      <c r="E5" s="118">
        <f t="shared" si="0"/>
        <v>0</v>
      </c>
      <c r="F5" s="118">
        <f aca="true" t="shared" si="2" ref="F5:F27">SUM(B5:C5,E5)</f>
        <v>0</v>
      </c>
      <c r="I5" s="120" t="s">
        <v>244</v>
      </c>
      <c r="J5" s="122">
        <v>4.59</v>
      </c>
      <c r="K5" s="122">
        <v>4.72</v>
      </c>
    </row>
    <row r="6" spans="1:11" ht="15.75">
      <c r="A6" s="135">
        <v>38777</v>
      </c>
      <c r="B6" s="119">
        <f t="shared" si="1"/>
        <v>0</v>
      </c>
      <c r="C6" s="117">
        <v>0</v>
      </c>
      <c r="D6" s="136">
        <f>'3.  LDC Assumptions and Data'!$C$19</f>
        <v>0.06</v>
      </c>
      <c r="E6" s="118">
        <f t="shared" si="0"/>
        <v>0</v>
      </c>
      <c r="F6" s="118">
        <f t="shared" si="2"/>
        <v>0</v>
      </c>
      <c r="I6" s="120" t="s">
        <v>243</v>
      </c>
      <c r="J6" s="122">
        <v>4.59</v>
      </c>
      <c r="K6" s="122">
        <v>4.72</v>
      </c>
    </row>
    <row r="7" spans="1:11" ht="15.75">
      <c r="A7" s="135">
        <v>38808</v>
      </c>
      <c r="B7" s="119">
        <f t="shared" si="1"/>
        <v>0</v>
      </c>
      <c r="C7" s="117">
        <v>0</v>
      </c>
      <c r="D7" s="137">
        <v>0.0414</v>
      </c>
      <c r="E7" s="118">
        <f t="shared" si="0"/>
        <v>0</v>
      </c>
      <c r="F7" s="118">
        <f t="shared" si="2"/>
        <v>0</v>
      </c>
      <c r="I7" s="120" t="s">
        <v>242</v>
      </c>
      <c r="J7" s="122">
        <v>4.59</v>
      </c>
      <c r="K7" s="122">
        <v>4.72</v>
      </c>
    </row>
    <row r="8" spans="1:11" ht="15.75">
      <c r="A8" s="135">
        <v>38838</v>
      </c>
      <c r="B8" s="119">
        <f t="shared" si="1"/>
        <v>0</v>
      </c>
      <c r="C8" s="117">
        <v>0</v>
      </c>
      <c r="D8" s="137">
        <v>0.0414</v>
      </c>
      <c r="E8" s="118">
        <f t="shared" si="0"/>
        <v>0</v>
      </c>
      <c r="F8" s="118">
        <f t="shared" si="2"/>
        <v>0</v>
      </c>
      <c r="I8" s="120" t="s">
        <v>241</v>
      </c>
      <c r="J8" s="122">
        <v>4.59</v>
      </c>
      <c r="K8" s="122">
        <v>5.18</v>
      </c>
    </row>
    <row r="9" spans="1:11" ht="15.75">
      <c r="A9" s="135">
        <v>38869</v>
      </c>
      <c r="B9" s="119">
        <f t="shared" si="1"/>
        <v>0</v>
      </c>
      <c r="C9" s="117">
        <v>34088.48</v>
      </c>
      <c r="D9" s="137">
        <v>0.0414</v>
      </c>
      <c r="E9" s="118">
        <f t="shared" si="0"/>
        <v>0</v>
      </c>
      <c r="F9" s="118">
        <f t="shared" si="2"/>
        <v>34088.48</v>
      </c>
      <c r="I9" s="120" t="s">
        <v>240</v>
      </c>
      <c r="J9" s="122">
        <v>5.14</v>
      </c>
      <c r="K9" s="122">
        <v>5.18</v>
      </c>
    </row>
    <row r="10" spans="1:11" ht="15.75">
      <c r="A10" s="135">
        <v>38899</v>
      </c>
      <c r="B10" s="119">
        <f t="shared" si="1"/>
        <v>34088.48</v>
      </c>
      <c r="C10" s="117">
        <v>37694.74</v>
      </c>
      <c r="D10" s="137">
        <v>0.0459</v>
      </c>
      <c r="E10" s="118">
        <f t="shared" si="0"/>
        <v>130.388436</v>
      </c>
      <c r="F10" s="118">
        <f t="shared" si="2"/>
        <v>71913.608436</v>
      </c>
      <c r="I10" s="120" t="s">
        <v>239</v>
      </c>
      <c r="J10" s="122">
        <v>5.14</v>
      </c>
      <c r="K10" s="122">
        <v>5.18</v>
      </c>
    </row>
    <row r="11" spans="1:11" ht="15.75">
      <c r="A11" s="135">
        <v>38930</v>
      </c>
      <c r="B11" s="119">
        <f t="shared" si="1"/>
        <v>71913.608436</v>
      </c>
      <c r="C11" s="117">
        <v>38850.49</v>
      </c>
      <c r="D11" s="137">
        <v>0.0459</v>
      </c>
      <c r="E11" s="118">
        <f t="shared" si="0"/>
        <v>275.0695522677</v>
      </c>
      <c r="F11" s="118">
        <f t="shared" si="2"/>
        <v>111039.1679882677</v>
      </c>
      <c r="I11" s="120" t="s">
        <v>238</v>
      </c>
      <c r="J11" s="122">
        <v>4.08</v>
      </c>
      <c r="K11" s="122">
        <v>5.18</v>
      </c>
    </row>
    <row r="12" spans="1:11" ht="15.75">
      <c r="A12" s="135">
        <v>38961</v>
      </c>
      <c r="B12" s="119">
        <f t="shared" si="1"/>
        <v>111039.1679882677</v>
      </c>
      <c r="C12" s="117">
        <v>35719.36</v>
      </c>
      <c r="D12" s="137">
        <v>0.0459</v>
      </c>
      <c r="E12" s="118">
        <f t="shared" si="0"/>
        <v>424.724817555124</v>
      </c>
      <c r="F12" s="118">
        <f t="shared" si="2"/>
        <v>147183.25280582285</v>
      </c>
      <c r="I12" s="120" t="s">
        <v>237</v>
      </c>
      <c r="J12" s="122">
        <v>3.35</v>
      </c>
      <c r="K12" s="122">
        <v>5.43</v>
      </c>
    </row>
    <row r="13" spans="1:11" ht="15.75">
      <c r="A13" s="135">
        <v>38991</v>
      </c>
      <c r="B13" s="119">
        <f t="shared" si="1"/>
        <v>147183.25280582285</v>
      </c>
      <c r="C13" s="117">
        <v>39906.81460982076</v>
      </c>
      <c r="D13" s="137">
        <v>0.0459</v>
      </c>
      <c r="E13" s="118">
        <f t="shared" si="0"/>
        <v>562.9759419822725</v>
      </c>
      <c r="F13" s="118">
        <f t="shared" si="2"/>
        <v>187653.04335762587</v>
      </c>
      <c r="I13" s="120" t="s">
        <v>236</v>
      </c>
      <c r="J13" s="122">
        <v>3.35</v>
      </c>
      <c r="K13" s="122">
        <v>5.43</v>
      </c>
    </row>
    <row r="14" spans="1:11" ht="15.75">
      <c r="A14" s="135">
        <v>39022</v>
      </c>
      <c r="B14" s="119">
        <f t="shared" si="1"/>
        <v>187653.04335762587</v>
      </c>
      <c r="C14" s="117">
        <v>36938.99866473067</v>
      </c>
      <c r="D14" s="137">
        <v>0.0459</v>
      </c>
      <c r="E14" s="118">
        <f t="shared" si="0"/>
        <v>717.772890842919</v>
      </c>
      <c r="F14" s="118">
        <f t="shared" si="2"/>
        <v>225309.81491319946</v>
      </c>
      <c r="I14" s="120" t="s">
        <v>252</v>
      </c>
      <c r="J14" s="125">
        <v>2.45</v>
      </c>
      <c r="K14" s="125">
        <v>6.61</v>
      </c>
    </row>
    <row r="15" spans="1:11" ht="15.75">
      <c r="A15" s="135">
        <v>39052</v>
      </c>
      <c r="B15" s="119">
        <f t="shared" si="1"/>
        <v>225309.81491319946</v>
      </c>
      <c r="C15" s="117">
        <v>34650.9</v>
      </c>
      <c r="D15" s="137">
        <v>0.0459</v>
      </c>
      <c r="E15" s="118">
        <f t="shared" si="0"/>
        <v>861.8100420429879</v>
      </c>
      <c r="F15" s="118">
        <f t="shared" si="2"/>
        <v>260822.52495524244</v>
      </c>
      <c r="I15" s="120" t="s">
        <v>253</v>
      </c>
      <c r="J15" s="125">
        <v>1</v>
      </c>
      <c r="K15" s="125">
        <v>6.61</v>
      </c>
    </row>
    <row r="16" spans="1:11" ht="15.75">
      <c r="A16" s="135">
        <v>39083</v>
      </c>
      <c r="B16" s="119">
        <f t="shared" si="1"/>
        <v>260822.52495524244</v>
      </c>
      <c r="C16" s="117">
        <v>42194.11</v>
      </c>
      <c r="D16" s="137">
        <v>0.0459</v>
      </c>
      <c r="E16" s="118">
        <f t="shared" si="0"/>
        <v>997.6461579538023</v>
      </c>
      <c r="F16" s="118">
        <f t="shared" si="2"/>
        <v>304014.2811131963</v>
      </c>
      <c r="I16" s="120" t="s">
        <v>254</v>
      </c>
      <c r="J16" s="125">
        <v>0.55</v>
      </c>
      <c r="K16" s="125">
        <v>5.67</v>
      </c>
    </row>
    <row r="17" spans="1:11" ht="15.75">
      <c r="A17" s="135">
        <v>39114</v>
      </c>
      <c r="B17" s="119">
        <f t="shared" si="1"/>
        <v>304014.2811131963</v>
      </c>
      <c r="C17" s="117">
        <v>34801.5708546058</v>
      </c>
      <c r="D17" s="137">
        <v>0.0459</v>
      </c>
      <c r="E17" s="118">
        <f t="shared" si="0"/>
        <v>1162.8546252579758</v>
      </c>
      <c r="F17" s="118">
        <f t="shared" si="2"/>
        <v>339978.70659306005</v>
      </c>
      <c r="I17" s="120" t="s">
        <v>256</v>
      </c>
      <c r="J17" s="125">
        <v>0.55</v>
      </c>
      <c r="K17" s="125">
        <v>4.66</v>
      </c>
    </row>
    <row r="18" spans="1:11" ht="15.75">
      <c r="A18" s="135">
        <v>39142</v>
      </c>
      <c r="B18" s="119">
        <f t="shared" si="1"/>
        <v>339978.70659306005</v>
      </c>
      <c r="C18" s="117">
        <v>40149.82</v>
      </c>
      <c r="D18" s="137">
        <v>0.0459</v>
      </c>
      <c r="E18" s="118">
        <f t="shared" si="0"/>
        <v>1300.4185527184547</v>
      </c>
      <c r="F18" s="118">
        <f t="shared" si="2"/>
        <v>381428.94514577853</v>
      </c>
      <c r="I18" s="120" t="s">
        <v>257</v>
      </c>
      <c r="J18" s="125">
        <v>0.55</v>
      </c>
      <c r="K18" s="125">
        <v>4.34</v>
      </c>
    </row>
    <row r="19" spans="1:11" ht="15.75">
      <c r="A19" s="135">
        <v>39173</v>
      </c>
      <c r="B19" s="119">
        <f t="shared" si="1"/>
        <v>381428.94514577853</v>
      </c>
      <c r="C19" s="117">
        <v>37096.45</v>
      </c>
      <c r="D19" s="137">
        <v>0.0459</v>
      </c>
      <c r="E19" s="118">
        <f t="shared" si="0"/>
        <v>1458.965715182603</v>
      </c>
      <c r="F19" s="118">
        <f t="shared" si="2"/>
        <v>419984.36086096114</v>
      </c>
      <c r="I19" s="120" t="s">
        <v>258</v>
      </c>
      <c r="J19" s="125">
        <v>0.55</v>
      </c>
      <c r="K19" s="125">
        <v>4.34</v>
      </c>
    </row>
    <row r="20" spans="1:11" ht="15.75">
      <c r="A20" s="135">
        <v>39203</v>
      </c>
      <c r="B20" s="119">
        <f t="shared" si="1"/>
        <v>419984.36086096114</v>
      </c>
      <c r="C20" s="117">
        <v>39445.13</v>
      </c>
      <c r="D20" s="137">
        <v>0.0459</v>
      </c>
      <c r="E20" s="118">
        <f t="shared" si="0"/>
        <v>1606.4401802931764</v>
      </c>
      <c r="F20" s="118">
        <f t="shared" si="2"/>
        <v>461035.9310412543</v>
      </c>
      <c r="I20" s="120" t="s">
        <v>255</v>
      </c>
      <c r="J20" s="125">
        <v>0.89</v>
      </c>
      <c r="K20" s="125">
        <v>4.66</v>
      </c>
    </row>
    <row r="21" spans="1:6" ht="15">
      <c r="A21" s="135">
        <v>39234</v>
      </c>
      <c r="B21" s="119">
        <f t="shared" si="1"/>
        <v>461035.9310412543</v>
      </c>
      <c r="C21" s="117">
        <v>37176.19</v>
      </c>
      <c r="D21" s="137">
        <v>0.0459</v>
      </c>
      <c r="E21" s="118">
        <f t="shared" si="0"/>
        <v>1763.462436232798</v>
      </c>
      <c r="F21" s="118">
        <f t="shared" si="2"/>
        <v>499975.5834774871</v>
      </c>
    </row>
    <row r="22" spans="1:6" ht="15">
      <c r="A22" s="135">
        <v>39264</v>
      </c>
      <c r="B22" s="119">
        <f t="shared" si="1"/>
        <v>499975.5834774871</v>
      </c>
      <c r="C22" s="117">
        <v>40277</v>
      </c>
      <c r="D22" s="137">
        <v>0.0459</v>
      </c>
      <c r="E22" s="118">
        <f t="shared" si="0"/>
        <v>1912.4066068013883</v>
      </c>
      <c r="F22" s="118">
        <f t="shared" si="2"/>
        <v>542164.9900842885</v>
      </c>
    </row>
    <row r="23" spans="1:10" ht="15">
      <c r="A23" s="135">
        <v>39295</v>
      </c>
      <c r="B23" s="119">
        <f t="shared" si="1"/>
        <v>542164.9900842885</v>
      </c>
      <c r="C23" s="117">
        <v>38394.86</v>
      </c>
      <c r="D23" s="137">
        <v>0.0459</v>
      </c>
      <c r="E23" s="118">
        <f t="shared" si="0"/>
        <v>2073.781087072404</v>
      </c>
      <c r="F23" s="118">
        <f t="shared" si="2"/>
        <v>582633.631171361</v>
      </c>
      <c r="J23" s="132" t="s">
        <v>235</v>
      </c>
    </row>
    <row r="24" spans="1:6" ht="15">
      <c r="A24" s="135">
        <v>39326</v>
      </c>
      <c r="B24" s="119">
        <f t="shared" si="1"/>
        <v>582633.631171361</v>
      </c>
      <c r="C24" s="117">
        <v>35296.91</v>
      </c>
      <c r="D24" s="137">
        <v>0.0459</v>
      </c>
      <c r="E24" s="118">
        <f t="shared" si="0"/>
        <v>2228.5736392304557</v>
      </c>
      <c r="F24" s="118">
        <f t="shared" si="2"/>
        <v>620159.1148105914</v>
      </c>
    </row>
    <row r="25" spans="1:6" ht="15">
      <c r="A25" s="135">
        <v>39356</v>
      </c>
      <c r="B25" s="119">
        <f t="shared" si="1"/>
        <v>620159.1148105914</v>
      </c>
      <c r="C25" s="117">
        <v>41537.56</v>
      </c>
      <c r="D25" s="137">
        <v>0.0514</v>
      </c>
      <c r="E25" s="118">
        <f t="shared" si="0"/>
        <v>2656.3482084387</v>
      </c>
      <c r="F25" s="118">
        <f t="shared" si="2"/>
        <v>664353.0230190301</v>
      </c>
    </row>
    <row r="26" spans="1:6" ht="15">
      <c r="A26" s="135">
        <v>39387</v>
      </c>
      <c r="B26" s="119">
        <f t="shared" si="1"/>
        <v>664353.0230190301</v>
      </c>
      <c r="C26" s="117">
        <v>37470.87</v>
      </c>
      <c r="D26" s="137">
        <v>0.0514</v>
      </c>
      <c r="E26" s="118">
        <f t="shared" si="0"/>
        <v>2845.645448598179</v>
      </c>
      <c r="F26" s="118">
        <f t="shared" si="2"/>
        <v>704669.5384676283</v>
      </c>
    </row>
    <row r="27" spans="1:6" ht="15">
      <c r="A27" s="135">
        <v>39417</v>
      </c>
      <c r="B27" s="119">
        <f t="shared" si="1"/>
        <v>704669.5384676283</v>
      </c>
      <c r="C27" s="117">
        <v>35210.4</v>
      </c>
      <c r="D27" s="137">
        <v>0.0514</v>
      </c>
      <c r="E27" s="118">
        <f t="shared" si="0"/>
        <v>3018.3345231030075</v>
      </c>
      <c r="F27" s="118">
        <f t="shared" si="2"/>
        <v>742898.2729907313</v>
      </c>
    </row>
    <row r="28" spans="1:6" ht="15">
      <c r="A28" s="135">
        <v>39448</v>
      </c>
      <c r="B28" s="119">
        <f t="shared" si="1"/>
        <v>742898.2729907313</v>
      </c>
      <c r="C28" s="117">
        <v>42818.3</v>
      </c>
      <c r="D28" s="137">
        <v>0.0514</v>
      </c>
      <c r="E28" s="118">
        <f aca="true" t="shared" si="3" ref="E28:E80">(B28*D28)/12</f>
        <v>3182.080935976966</v>
      </c>
      <c r="F28" s="118">
        <f aca="true" t="shared" si="4" ref="F28:F80">SUM(B28:C28,E28)</f>
        <v>788898.6539267083</v>
      </c>
    </row>
    <row r="29" spans="1:6" ht="15">
      <c r="A29" s="135">
        <v>39479</v>
      </c>
      <c r="B29" s="119">
        <f aca="true" t="shared" si="5" ref="B29:B80">F28</f>
        <v>788898.6539267083</v>
      </c>
      <c r="C29" s="117">
        <v>35324.27</v>
      </c>
      <c r="D29" s="137">
        <v>0.0514</v>
      </c>
      <c r="E29" s="118">
        <f t="shared" si="3"/>
        <v>3379.115900986067</v>
      </c>
      <c r="F29" s="118">
        <f t="shared" si="4"/>
        <v>827602.0398276943</v>
      </c>
    </row>
    <row r="30" spans="1:6" ht="15">
      <c r="A30" s="135">
        <v>39508</v>
      </c>
      <c r="B30" s="119">
        <f t="shared" si="5"/>
        <v>827602.0398276943</v>
      </c>
      <c r="C30" s="117">
        <v>37473.58</v>
      </c>
      <c r="D30" s="137">
        <v>0.0514</v>
      </c>
      <c r="E30" s="118">
        <f t="shared" si="3"/>
        <v>3544.895403928624</v>
      </c>
      <c r="F30" s="118">
        <f t="shared" si="4"/>
        <v>868620.5152316228</v>
      </c>
    </row>
    <row r="31" spans="1:10" ht="15">
      <c r="A31" s="135">
        <v>39539</v>
      </c>
      <c r="B31" s="119">
        <f t="shared" si="5"/>
        <v>868620.5152316228</v>
      </c>
      <c r="C31" s="117">
        <v>41851.45</v>
      </c>
      <c r="D31" s="137">
        <v>0.0408</v>
      </c>
      <c r="E31" s="118">
        <f t="shared" si="3"/>
        <v>2953.3097517875176</v>
      </c>
      <c r="F31" s="118">
        <f t="shared" si="4"/>
        <v>913425.2749834104</v>
      </c>
      <c r="J31" s="132" t="s">
        <v>235</v>
      </c>
    </row>
    <row r="32" spans="1:6" ht="15">
      <c r="A32" s="135">
        <v>39569</v>
      </c>
      <c r="B32" s="119">
        <f t="shared" si="5"/>
        <v>913425.2749834104</v>
      </c>
      <c r="C32" s="117">
        <v>37657.87</v>
      </c>
      <c r="D32" s="137">
        <v>0.0408</v>
      </c>
      <c r="E32" s="118">
        <f t="shared" si="3"/>
        <v>3105.6459349435954</v>
      </c>
      <c r="F32" s="118">
        <f t="shared" si="4"/>
        <v>954188.790918354</v>
      </c>
    </row>
    <row r="33" spans="1:6" ht="15">
      <c r="A33" s="135">
        <v>39600</v>
      </c>
      <c r="B33" s="119">
        <f t="shared" si="5"/>
        <v>954188.790918354</v>
      </c>
      <c r="C33" s="117">
        <v>38698.72</v>
      </c>
      <c r="D33" s="137">
        <v>0.0408</v>
      </c>
      <c r="E33" s="118">
        <f t="shared" si="3"/>
        <v>3244.241889122404</v>
      </c>
      <c r="F33" s="118">
        <f t="shared" si="4"/>
        <v>996131.7528074763</v>
      </c>
    </row>
    <row r="34" spans="1:6" ht="15">
      <c r="A34" s="135">
        <v>39630</v>
      </c>
      <c r="B34" s="119">
        <f t="shared" si="5"/>
        <v>996131.7528074763</v>
      </c>
      <c r="C34" s="117">
        <v>40939.31</v>
      </c>
      <c r="D34" s="137">
        <v>0.0335</v>
      </c>
      <c r="E34" s="118">
        <f t="shared" si="3"/>
        <v>2780.8678099208714</v>
      </c>
      <c r="F34" s="118">
        <f t="shared" si="4"/>
        <v>1039851.9306173973</v>
      </c>
    </row>
    <row r="35" spans="1:10" ht="15">
      <c r="A35" s="135">
        <v>39661</v>
      </c>
      <c r="B35" s="119">
        <f t="shared" si="5"/>
        <v>1039851.9306173973</v>
      </c>
      <c r="C35" s="117">
        <v>36731.82</v>
      </c>
      <c r="D35" s="137">
        <v>0.0335</v>
      </c>
      <c r="E35" s="118">
        <f t="shared" si="3"/>
        <v>2902.919972973568</v>
      </c>
      <c r="F35" s="118">
        <f t="shared" si="4"/>
        <v>1079486.670590371</v>
      </c>
      <c r="J35" s="132" t="s">
        <v>235</v>
      </c>
    </row>
    <row r="36" spans="1:6" ht="15">
      <c r="A36" s="135">
        <v>39692</v>
      </c>
      <c r="B36" s="119">
        <f t="shared" si="5"/>
        <v>1079486.670590371</v>
      </c>
      <c r="C36" s="117">
        <v>39936.61</v>
      </c>
      <c r="D36" s="137">
        <v>0.0335</v>
      </c>
      <c r="E36" s="118">
        <f t="shared" si="3"/>
        <v>3013.566955398119</v>
      </c>
      <c r="F36" s="118">
        <f t="shared" si="4"/>
        <v>1122436.847545769</v>
      </c>
    </row>
    <row r="37" spans="1:6" ht="15">
      <c r="A37" s="135">
        <v>39722</v>
      </c>
      <c r="B37" s="119">
        <f t="shared" si="5"/>
        <v>1122436.847545769</v>
      </c>
      <c r="C37" s="117">
        <v>39888.41</v>
      </c>
      <c r="D37" s="137">
        <v>0.0335</v>
      </c>
      <c r="E37" s="118">
        <f t="shared" si="3"/>
        <v>3133.4695327319387</v>
      </c>
      <c r="F37" s="118">
        <f t="shared" si="4"/>
        <v>1165458.727078501</v>
      </c>
    </row>
    <row r="38" spans="1:6" ht="15">
      <c r="A38" s="135">
        <v>39753</v>
      </c>
      <c r="B38" s="119">
        <f t="shared" si="5"/>
        <v>1165458.727078501</v>
      </c>
      <c r="C38" s="117">
        <v>35696.82</v>
      </c>
      <c r="D38" s="137">
        <v>0.0335</v>
      </c>
      <c r="E38" s="118">
        <f t="shared" si="3"/>
        <v>3253.5722797608155</v>
      </c>
      <c r="F38" s="118">
        <f t="shared" si="4"/>
        <v>1204409.1193582618</v>
      </c>
    </row>
    <row r="39" spans="1:10" ht="15">
      <c r="A39" s="135">
        <v>39783</v>
      </c>
      <c r="B39" s="119">
        <f t="shared" si="5"/>
        <v>1204409.1193582618</v>
      </c>
      <c r="C39" s="117">
        <v>38942.78</v>
      </c>
      <c r="D39" s="137">
        <v>0.0335</v>
      </c>
      <c r="E39" s="118">
        <f t="shared" si="3"/>
        <v>3362.3087915418146</v>
      </c>
      <c r="F39" s="118">
        <f t="shared" si="4"/>
        <v>1246714.2081498036</v>
      </c>
      <c r="J39" s="132" t="s">
        <v>235</v>
      </c>
    </row>
    <row r="40" spans="1:6" ht="15">
      <c r="A40" s="135">
        <v>39814</v>
      </c>
      <c r="B40" s="119">
        <f t="shared" si="5"/>
        <v>1246714.2081498036</v>
      </c>
      <c r="C40" s="117">
        <v>41101.64</v>
      </c>
      <c r="D40" s="137">
        <v>0.0245</v>
      </c>
      <c r="E40" s="118">
        <f t="shared" si="3"/>
        <v>2545.3748416391823</v>
      </c>
      <c r="F40" s="118">
        <f t="shared" si="4"/>
        <v>1290361.2229914425</v>
      </c>
    </row>
    <row r="41" spans="1:6" ht="15">
      <c r="A41" s="135">
        <v>39845</v>
      </c>
      <c r="B41" s="119">
        <f t="shared" si="5"/>
        <v>1290361.2229914425</v>
      </c>
      <c r="C41" s="117">
        <v>34381.55</v>
      </c>
      <c r="D41" s="137">
        <v>0.0245</v>
      </c>
      <c r="E41" s="118">
        <f t="shared" si="3"/>
        <v>2634.487496940862</v>
      </c>
      <c r="F41" s="118">
        <f t="shared" si="4"/>
        <v>1327377.2604883835</v>
      </c>
    </row>
    <row r="42" spans="1:6" ht="15">
      <c r="A42" s="135">
        <v>39873</v>
      </c>
      <c r="B42" s="119">
        <f t="shared" si="5"/>
        <v>1327377.2604883835</v>
      </c>
      <c r="C42" s="117">
        <v>44644.58</v>
      </c>
      <c r="D42" s="137">
        <v>0.0245</v>
      </c>
      <c r="E42" s="118">
        <f t="shared" si="3"/>
        <v>2710.06190683045</v>
      </c>
      <c r="F42" s="118">
        <f t="shared" si="4"/>
        <v>1374731.902395214</v>
      </c>
    </row>
    <row r="43" spans="1:10" ht="15">
      <c r="A43" s="135">
        <v>39904</v>
      </c>
      <c r="B43" s="119">
        <f t="shared" si="5"/>
        <v>1374731.902395214</v>
      </c>
      <c r="C43" s="117">
        <v>36904.84</v>
      </c>
      <c r="D43" s="137">
        <v>0.01</v>
      </c>
      <c r="E43" s="118">
        <f t="shared" si="3"/>
        <v>1145.6099186626782</v>
      </c>
      <c r="F43" s="118">
        <f t="shared" si="4"/>
        <v>1412782.3523138766</v>
      </c>
      <c r="J43" s="132" t="s">
        <v>235</v>
      </c>
    </row>
    <row r="44" spans="1:6" ht="15">
      <c r="A44" s="135">
        <v>39934</v>
      </c>
      <c r="B44" s="119">
        <f t="shared" si="5"/>
        <v>1412782.3523138766</v>
      </c>
      <c r="C44" s="117">
        <v>36671.23</v>
      </c>
      <c r="D44" s="137">
        <v>0.01</v>
      </c>
      <c r="E44" s="118">
        <f t="shared" si="3"/>
        <v>1177.3186269282305</v>
      </c>
      <c r="F44" s="118">
        <f t="shared" si="4"/>
        <v>1450630.9009408047</v>
      </c>
    </row>
    <row r="45" spans="1:6" ht="15">
      <c r="A45" s="135">
        <v>39965</v>
      </c>
      <c r="B45" s="119">
        <f t="shared" si="5"/>
        <v>1450630.9009408047</v>
      </c>
      <c r="C45" s="117">
        <v>24848.76</v>
      </c>
      <c r="D45" s="137">
        <v>0.01</v>
      </c>
      <c r="E45" s="118">
        <f t="shared" si="3"/>
        <v>1208.8590841173373</v>
      </c>
      <c r="F45" s="118">
        <f t="shared" si="4"/>
        <v>1476688.520024922</v>
      </c>
    </row>
    <row r="46" spans="1:6" ht="15">
      <c r="A46" s="135">
        <v>39995</v>
      </c>
      <c r="B46" s="119">
        <f t="shared" si="5"/>
        <v>1476688.520024922</v>
      </c>
      <c r="C46" s="117">
        <v>50032.15</v>
      </c>
      <c r="D46" s="137">
        <v>0.0055</v>
      </c>
      <c r="E46" s="118">
        <f t="shared" si="3"/>
        <v>676.8155716780892</v>
      </c>
      <c r="F46" s="118">
        <f t="shared" si="4"/>
        <v>1527397.4855966</v>
      </c>
    </row>
    <row r="47" spans="1:10" ht="15">
      <c r="A47" s="135">
        <v>40026</v>
      </c>
      <c r="B47" s="119">
        <f t="shared" si="5"/>
        <v>1527397.4855966</v>
      </c>
      <c r="C47" s="117">
        <v>45893.67</v>
      </c>
      <c r="D47" s="137">
        <v>0.0055</v>
      </c>
      <c r="E47" s="118">
        <f t="shared" si="3"/>
        <v>700.0571808984415</v>
      </c>
      <c r="F47" s="118">
        <f t="shared" si="4"/>
        <v>1573991.2127774984</v>
      </c>
      <c r="J47" s="132" t="s">
        <v>235</v>
      </c>
    </row>
    <row r="48" spans="1:6" ht="15">
      <c r="A48" s="135">
        <v>40057</v>
      </c>
      <c r="B48" s="119">
        <f t="shared" si="5"/>
        <v>1573991.2127774984</v>
      </c>
      <c r="C48" s="117">
        <v>37876.25</v>
      </c>
      <c r="D48" s="137">
        <v>0.0055</v>
      </c>
      <c r="E48" s="118">
        <f t="shared" si="3"/>
        <v>721.4126391896867</v>
      </c>
      <c r="F48" s="118">
        <f t="shared" si="4"/>
        <v>1612588.8754166882</v>
      </c>
    </row>
    <row r="49" spans="1:6" ht="15">
      <c r="A49" s="135">
        <v>40087</v>
      </c>
      <c r="B49" s="119">
        <f t="shared" si="5"/>
        <v>1612588.8754166882</v>
      </c>
      <c r="C49" s="117">
        <v>47987.83</v>
      </c>
      <c r="D49" s="137">
        <v>0.0055</v>
      </c>
      <c r="E49" s="118">
        <f t="shared" si="3"/>
        <v>739.103234565982</v>
      </c>
      <c r="F49" s="118">
        <f t="shared" si="4"/>
        <v>1661315.8086512543</v>
      </c>
    </row>
    <row r="50" spans="1:6" ht="15">
      <c r="A50" s="135">
        <v>40118</v>
      </c>
      <c r="B50" s="119">
        <f t="shared" si="5"/>
        <v>1661315.8086512543</v>
      </c>
      <c r="C50" s="117">
        <v>124769.33</v>
      </c>
      <c r="D50" s="137">
        <v>0.0055</v>
      </c>
      <c r="E50" s="118">
        <f t="shared" si="3"/>
        <v>761.4364122984915</v>
      </c>
      <c r="F50" s="118">
        <f t="shared" si="4"/>
        <v>1786846.575063553</v>
      </c>
    </row>
    <row r="51" spans="1:10" ht="15">
      <c r="A51" s="135">
        <v>40148</v>
      </c>
      <c r="B51" s="119">
        <f t="shared" si="5"/>
        <v>1786846.575063553</v>
      </c>
      <c r="C51" s="117">
        <v>114037.99</v>
      </c>
      <c r="D51" s="137">
        <v>0.0055</v>
      </c>
      <c r="E51" s="118">
        <f t="shared" si="3"/>
        <v>818.9713469041284</v>
      </c>
      <c r="F51" s="118">
        <f t="shared" si="4"/>
        <v>1901703.536410457</v>
      </c>
      <c r="J51" s="132" t="s">
        <v>235</v>
      </c>
    </row>
    <row r="52" spans="1:6" ht="15">
      <c r="A52" s="135">
        <v>40179</v>
      </c>
      <c r="B52" s="119">
        <f t="shared" si="5"/>
        <v>1901703.536410457</v>
      </c>
      <c r="C52" s="117">
        <v>159463.17</v>
      </c>
      <c r="D52" s="137">
        <v>0.0055</v>
      </c>
      <c r="E52" s="118">
        <f t="shared" si="3"/>
        <v>871.6141208547928</v>
      </c>
      <c r="F52" s="118">
        <f t="shared" si="4"/>
        <v>2062038.3205313117</v>
      </c>
    </row>
    <row r="53" spans="1:6" ht="15">
      <c r="A53" s="135">
        <v>40210</v>
      </c>
      <c r="B53" s="119">
        <f t="shared" si="5"/>
        <v>2062038.3205313117</v>
      </c>
      <c r="C53" s="117">
        <v>131562.89</v>
      </c>
      <c r="D53" s="137">
        <v>0.0055</v>
      </c>
      <c r="E53" s="118">
        <f t="shared" si="3"/>
        <v>945.1008969101845</v>
      </c>
      <c r="F53" s="118">
        <f t="shared" si="4"/>
        <v>2194546.311428222</v>
      </c>
    </row>
    <row r="54" spans="1:6" ht="15">
      <c r="A54" s="135">
        <v>40238</v>
      </c>
      <c r="B54" s="119">
        <f t="shared" si="5"/>
        <v>2194546.311428222</v>
      </c>
      <c r="C54" s="117">
        <v>179056.42</v>
      </c>
      <c r="D54" s="137">
        <v>0.0055</v>
      </c>
      <c r="E54" s="118">
        <f t="shared" si="3"/>
        <v>1005.8337260712683</v>
      </c>
      <c r="F54" s="118">
        <f t="shared" si="4"/>
        <v>2374608.565154293</v>
      </c>
    </row>
    <row r="55" spans="1:10" ht="15">
      <c r="A55" s="135">
        <v>40269</v>
      </c>
      <c r="B55" s="119">
        <f t="shared" si="5"/>
        <v>2374608.565154293</v>
      </c>
      <c r="C55" s="117">
        <v>143962.49</v>
      </c>
      <c r="D55" s="137">
        <v>0.0055</v>
      </c>
      <c r="E55" s="118">
        <f t="shared" si="3"/>
        <v>1088.3622590290508</v>
      </c>
      <c r="F55" s="118">
        <f t="shared" si="4"/>
        <v>2519659.417413322</v>
      </c>
      <c r="J55" s="132" t="s">
        <v>235</v>
      </c>
    </row>
    <row r="56" spans="1:6" ht="15">
      <c r="A56" s="135">
        <v>40299</v>
      </c>
      <c r="B56" s="119">
        <f t="shared" si="5"/>
        <v>2519659.417413322</v>
      </c>
      <c r="C56" s="117">
        <v>142148.99</v>
      </c>
      <c r="D56" s="137">
        <v>0.0055</v>
      </c>
      <c r="E56" s="118">
        <f t="shared" si="3"/>
        <v>1154.8438996477723</v>
      </c>
      <c r="F56" s="118">
        <f t="shared" si="4"/>
        <v>2662963.2513129693</v>
      </c>
    </row>
    <row r="57" spans="1:6" ht="15">
      <c r="A57" s="135">
        <v>40330</v>
      </c>
      <c r="B57" s="119">
        <f t="shared" si="5"/>
        <v>2662963.2513129693</v>
      </c>
      <c r="C57" s="117">
        <v>155897.94</v>
      </c>
      <c r="D57" s="137">
        <v>0.0055</v>
      </c>
      <c r="E57" s="118">
        <f t="shared" si="3"/>
        <v>1220.5248235184442</v>
      </c>
      <c r="F57" s="118">
        <f t="shared" si="4"/>
        <v>2820081.7161364877</v>
      </c>
    </row>
    <row r="58" spans="1:6" ht="15">
      <c r="A58" s="135">
        <v>40360</v>
      </c>
      <c r="B58" s="119">
        <f t="shared" si="5"/>
        <v>2820081.7161364877</v>
      </c>
      <c r="C58" s="117">
        <v>146686.25</v>
      </c>
      <c r="D58" s="137">
        <v>0.0089</v>
      </c>
      <c r="E58" s="118">
        <f t="shared" si="3"/>
        <v>2091.5606061345616</v>
      </c>
      <c r="F58" s="118">
        <f t="shared" si="4"/>
        <v>2968859.5267426223</v>
      </c>
    </row>
    <row r="59" spans="1:6" ht="15">
      <c r="A59" s="135">
        <v>40391</v>
      </c>
      <c r="B59" s="119">
        <f t="shared" si="5"/>
        <v>2968859.5267426223</v>
      </c>
      <c r="C59" s="117">
        <v>145000</v>
      </c>
      <c r="D59" s="137">
        <v>0.0089</v>
      </c>
      <c r="E59" s="118">
        <f t="shared" si="3"/>
        <v>2201.904149000778</v>
      </c>
      <c r="F59" s="118">
        <f t="shared" si="4"/>
        <v>3116061.4308916233</v>
      </c>
    </row>
    <row r="60" spans="1:6" ht="15">
      <c r="A60" s="135">
        <v>40422</v>
      </c>
      <c r="B60" s="119">
        <f t="shared" si="5"/>
        <v>3116061.4308916233</v>
      </c>
      <c r="C60" s="117">
        <v>145000</v>
      </c>
      <c r="D60" s="137">
        <v>0.0089</v>
      </c>
      <c r="E60" s="118">
        <f t="shared" si="3"/>
        <v>2311.0788945779536</v>
      </c>
      <c r="F60" s="118">
        <f t="shared" si="4"/>
        <v>3263372.509786201</v>
      </c>
    </row>
    <row r="61" spans="1:6" ht="15">
      <c r="A61" s="135">
        <v>40452</v>
      </c>
      <c r="B61" s="119">
        <f t="shared" si="5"/>
        <v>3263372.509786201</v>
      </c>
      <c r="C61" s="117">
        <v>145000</v>
      </c>
      <c r="D61" s="137">
        <v>0.012</v>
      </c>
      <c r="E61" s="118">
        <f t="shared" si="3"/>
        <v>3263.372509786201</v>
      </c>
      <c r="F61" s="118">
        <f t="shared" si="4"/>
        <v>3411635.8822959876</v>
      </c>
    </row>
    <row r="62" spans="1:6" ht="15">
      <c r="A62" s="135">
        <v>40483</v>
      </c>
      <c r="B62" s="119">
        <f t="shared" si="5"/>
        <v>3411635.8822959876</v>
      </c>
      <c r="C62" s="117">
        <v>145000</v>
      </c>
      <c r="D62" s="137">
        <v>0.012</v>
      </c>
      <c r="E62" s="118">
        <f t="shared" si="3"/>
        <v>3411.635882295988</v>
      </c>
      <c r="F62" s="118">
        <f t="shared" si="4"/>
        <v>3560047.5181782837</v>
      </c>
    </row>
    <row r="63" spans="1:6" ht="15">
      <c r="A63" s="135">
        <v>40513</v>
      </c>
      <c r="B63" s="119">
        <f t="shared" si="5"/>
        <v>3560047.5181782837</v>
      </c>
      <c r="C63" s="117">
        <v>145000</v>
      </c>
      <c r="D63" s="137">
        <v>0.012</v>
      </c>
      <c r="E63" s="118">
        <f t="shared" si="3"/>
        <v>3560.047518178284</v>
      </c>
      <c r="F63" s="118">
        <f t="shared" si="4"/>
        <v>3708607.565696462</v>
      </c>
    </row>
    <row r="64" spans="1:6" ht="15">
      <c r="A64" s="135">
        <v>40544</v>
      </c>
      <c r="B64" s="119">
        <f t="shared" si="5"/>
        <v>3708607.565696462</v>
      </c>
      <c r="C64" s="117">
        <v>145000</v>
      </c>
      <c r="D64" s="137">
        <v>0.012</v>
      </c>
      <c r="E64" s="118">
        <f t="shared" si="3"/>
        <v>3708.607565696462</v>
      </c>
      <c r="F64" s="118">
        <f t="shared" si="4"/>
        <v>3857316.1732621584</v>
      </c>
    </row>
    <row r="65" spans="1:6" ht="15">
      <c r="A65" s="135">
        <v>40575</v>
      </c>
      <c r="B65" s="119">
        <f t="shared" si="5"/>
        <v>3857316.1732621584</v>
      </c>
      <c r="C65" s="117">
        <v>145000</v>
      </c>
      <c r="D65" s="137">
        <v>0.012</v>
      </c>
      <c r="E65" s="118">
        <f t="shared" si="3"/>
        <v>3857.316173262159</v>
      </c>
      <c r="F65" s="118">
        <f t="shared" si="4"/>
        <v>4006173.4894354204</v>
      </c>
    </row>
    <row r="66" spans="1:6" ht="15">
      <c r="A66" s="135">
        <v>40603</v>
      </c>
      <c r="B66" s="119">
        <f t="shared" si="5"/>
        <v>4006173.4894354204</v>
      </c>
      <c r="C66" s="117">
        <v>145000</v>
      </c>
      <c r="D66" s="137">
        <v>0.012</v>
      </c>
      <c r="E66" s="118">
        <f t="shared" si="3"/>
        <v>4006.173489435421</v>
      </c>
      <c r="F66" s="118">
        <f t="shared" si="4"/>
        <v>4155179.662924856</v>
      </c>
    </row>
    <row r="67" spans="1:6" ht="15">
      <c r="A67" s="135">
        <v>40634</v>
      </c>
      <c r="B67" s="119">
        <f t="shared" si="5"/>
        <v>4155179.662924856</v>
      </c>
      <c r="C67" s="117">
        <v>145000</v>
      </c>
      <c r="D67" s="137">
        <v>0.012</v>
      </c>
      <c r="E67" s="118">
        <f t="shared" si="3"/>
        <v>4155.179662924856</v>
      </c>
      <c r="F67" s="118">
        <f t="shared" si="4"/>
        <v>4304334.842587781</v>
      </c>
    </row>
    <row r="68" spans="1:6" ht="15">
      <c r="A68" s="135">
        <v>40664</v>
      </c>
      <c r="B68" s="119">
        <f t="shared" si="5"/>
        <v>4304334.842587781</v>
      </c>
      <c r="C68" s="117">
        <v>0</v>
      </c>
      <c r="D68" s="137"/>
      <c r="E68" s="118">
        <f t="shared" si="3"/>
        <v>0</v>
      </c>
      <c r="F68" s="118">
        <f t="shared" si="4"/>
        <v>4304334.842587781</v>
      </c>
    </row>
    <row r="69" spans="1:6" ht="15">
      <c r="A69" s="135">
        <v>40695</v>
      </c>
      <c r="B69" s="119">
        <f t="shared" si="5"/>
        <v>4304334.842587781</v>
      </c>
      <c r="C69" s="117">
        <v>0</v>
      </c>
      <c r="D69" s="137"/>
      <c r="E69" s="118">
        <f t="shared" si="3"/>
        <v>0</v>
      </c>
      <c r="F69" s="118">
        <f t="shared" si="4"/>
        <v>4304334.842587781</v>
      </c>
    </row>
    <row r="70" spans="1:6" ht="15">
      <c r="A70" s="135">
        <v>40725</v>
      </c>
      <c r="B70" s="119">
        <f t="shared" si="5"/>
        <v>4304334.842587781</v>
      </c>
      <c r="C70" s="117">
        <v>0</v>
      </c>
      <c r="D70" s="137"/>
      <c r="E70" s="118">
        <f t="shared" si="3"/>
        <v>0</v>
      </c>
      <c r="F70" s="118">
        <f t="shared" si="4"/>
        <v>4304334.842587781</v>
      </c>
    </row>
    <row r="71" spans="1:6" ht="15">
      <c r="A71" s="135">
        <v>40756</v>
      </c>
      <c r="B71" s="119">
        <f t="shared" si="5"/>
        <v>4304334.842587781</v>
      </c>
      <c r="C71" s="117">
        <v>0</v>
      </c>
      <c r="D71" s="137"/>
      <c r="E71" s="118">
        <f t="shared" si="3"/>
        <v>0</v>
      </c>
      <c r="F71" s="118">
        <f t="shared" si="4"/>
        <v>4304334.842587781</v>
      </c>
    </row>
    <row r="72" spans="1:6" ht="15">
      <c r="A72" s="135">
        <v>40787</v>
      </c>
      <c r="B72" s="119">
        <f t="shared" si="5"/>
        <v>4304334.842587781</v>
      </c>
      <c r="C72" s="117">
        <v>0</v>
      </c>
      <c r="D72" s="137"/>
      <c r="E72" s="118">
        <f t="shared" si="3"/>
        <v>0</v>
      </c>
      <c r="F72" s="118">
        <f t="shared" si="4"/>
        <v>4304334.842587781</v>
      </c>
    </row>
    <row r="73" spans="1:6" ht="15">
      <c r="A73" s="135">
        <v>40817</v>
      </c>
      <c r="B73" s="119">
        <f t="shared" si="5"/>
        <v>4304334.842587781</v>
      </c>
      <c r="C73" s="117">
        <v>0</v>
      </c>
      <c r="D73" s="137"/>
      <c r="E73" s="118">
        <f t="shared" si="3"/>
        <v>0</v>
      </c>
      <c r="F73" s="118">
        <f t="shared" si="4"/>
        <v>4304334.842587781</v>
      </c>
    </row>
    <row r="74" spans="1:6" ht="15">
      <c r="A74" s="135">
        <v>40848</v>
      </c>
      <c r="B74" s="119">
        <f t="shared" si="5"/>
        <v>4304334.842587781</v>
      </c>
      <c r="C74" s="117">
        <v>0</v>
      </c>
      <c r="D74" s="137"/>
      <c r="E74" s="118">
        <f t="shared" si="3"/>
        <v>0</v>
      </c>
      <c r="F74" s="118">
        <f t="shared" si="4"/>
        <v>4304334.842587781</v>
      </c>
    </row>
    <row r="75" spans="1:6" ht="15">
      <c r="A75" s="135">
        <v>40878</v>
      </c>
      <c r="B75" s="119">
        <f t="shared" si="5"/>
        <v>4304334.842587781</v>
      </c>
      <c r="C75" s="117">
        <v>0</v>
      </c>
      <c r="D75" s="137"/>
      <c r="E75" s="118">
        <f t="shared" si="3"/>
        <v>0</v>
      </c>
      <c r="F75" s="118">
        <f t="shared" si="4"/>
        <v>4304334.842587781</v>
      </c>
    </row>
    <row r="76" spans="1:6" ht="15">
      <c r="A76" s="135">
        <v>40909</v>
      </c>
      <c r="B76" s="119">
        <f t="shared" si="5"/>
        <v>4304334.842587781</v>
      </c>
      <c r="C76" s="117">
        <v>0</v>
      </c>
      <c r="D76" s="137"/>
      <c r="E76" s="118">
        <f t="shared" si="3"/>
        <v>0</v>
      </c>
      <c r="F76" s="118">
        <f t="shared" si="4"/>
        <v>4304334.842587781</v>
      </c>
    </row>
    <row r="77" spans="1:6" ht="15">
      <c r="A77" s="135">
        <v>40940</v>
      </c>
      <c r="B77" s="119">
        <f t="shared" si="5"/>
        <v>4304334.842587781</v>
      </c>
      <c r="C77" s="117">
        <v>0</v>
      </c>
      <c r="D77" s="137"/>
      <c r="E77" s="118">
        <f t="shared" si="3"/>
        <v>0</v>
      </c>
      <c r="F77" s="118">
        <f t="shared" si="4"/>
        <v>4304334.842587781</v>
      </c>
    </row>
    <row r="78" spans="1:6" ht="15">
      <c r="A78" s="135">
        <v>40969</v>
      </c>
      <c r="B78" s="119">
        <f t="shared" si="5"/>
        <v>4304334.842587781</v>
      </c>
      <c r="C78" s="117">
        <v>0</v>
      </c>
      <c r="D78" s="137"/>
      <c r="E78" s="118">
        <f t="shared" si="3"/>
        <v>0</v>
      </c>
      <c r="F78" s="118">
        <f t="shared" si="4"/>
        <v>4304334.842587781</v>
      </c>
    </row>
    <row r="79" spans="1:6" ht="15">
      <c r="A79" s="135">
        <v>41000</v>
      </c>
      <c r="B79" s="119">
        <f t="shared" si="5"/>
        <v>4304334.842587781</v>
      </c>
      <c r="C79" s="117">
        <v>0</v>
      </c>
      <c r="D79" s="137"/>
      <c r="E79" s="118">
        <f t="shared" si="3"/>
        <v>0</v>
      </c>
      <c r="F79" s="118">
        <f t="shared" si="4"/>
        <v>4304334.842587781</v>
      </c>
    </row>
    <row r="80" spans="1:6" ht="15">
      <c r="A80" s="135">
        <v>41030</v>
      </c>
      <c r="B80" s="119">
        <f t="shared" si="5"/>
        <v>4304334.842587781</v>
      </c>
      <c r="C80" s="117">
        <v>0</v>
      </c>
      <c r="D80" s="137"/>
      <c r="E80" s="118">
        <f t="shared" si="3"/>
        <v>0</v>
      </c>
      <c r="F80" s="118">
        <f t="shared" si="4"/>
        <v>4304334.842587781</v>
      </c>
    </row>
    <row r="81" spans="3:6" ht="15.75" thickBot="1">
      <c r="C81" s="126">
        <f>SUM(C4:C80)</f>
        <v>4185788.5641291575</v>
      </c>
      <c r="E81" s="126">
        <f>SUM(E4:E80)</f>
        <v>118546.27845862396</v>
      </c>
      <c r="F81" s="58"/>
    </row>
  </sheetData>
  <sheetProtection/>
  <printOptions/>
  <pageMargins left="0.75" right="0.75" top="1" bottom="1" header="0.5" footer="0.5"/>
  <pageSetup fitToHeight="1" fitToWidth="1" horizontalDpi="600" verticalDpi="600" orientation="portrait"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zoomScalePageLayoutView="0" workbookViewId="0" topLeftCell="A1">
      <selection activeCell="F30" sqref="F30"/>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23230.831614770923</v>
      </c>
    </row>
    <row r="6" spans="2:3" ht="12.75">
      <c r="B6" s="128" t="s">
        <v>262</v>
      </c>
      <c r="C6" s="129">
        <f>'4. Smart Meter Rev Req'!H55</f>
        <v>52798.71404880636</v>
      </c>
    </row>
    <row r="7" spans="2:3" ht="12.75">
      <c r="B7" s="128" t="s">
        <v>263</v>
      </c>
      <c r="C7" s="129">
        <f>'4. Smart Meter Rev Req'!K55</f>
        <v>496113.0907444484</v>
      </c>
    </row>
    <row r="8" spans="2:3" ht="12.75">
      <c r="B8" s="128" t="s">
        <v>264</v>
      </c>
      <c r="C8" s="129">
        <f>'4. Smart Meter Rev Req'!N55</f>
        <v>1974223.1584668346</v>
      </c>
    </row>
    <row r="9" spans="2:3" ht="12.75">
      <c r="B9" s="128" t="s">
        <v>265</v>
      </c>
      <c r="C9" s="129">
        <f>'4. Smart Meter Rev Req'!Q55</f>
        <v>3780857.531903999</v>
      </c>
    </row>
    <row r="10" spans="2:3" ht="12.75">
      <c r="B10" s="128" t="s">
        <v>266</v>
      </c>
      <c r="C10" s="129">
        <f>'4. Smart Meter Rev Req'!T55</f>
        <v>4061872.5813045166</v>
      </c>
    </row>
    <row r="11" spans="2:3" ht="13.5" thickBot="1">
      <c r="B11" s="7" t="s">
        <v>267</v>
      </c>
      <c r="C11" s="130">
        <f>SUM(C5:C10)</f>
        <v>10389095.908083376</v>
      </c>
    </row>
    <row r="13" spans="2:3" ht="12.75">
      <c r="B13" s="7" t="s">
        <v>270</v>
      </c>
      <c r="C13" s="131">
        <f>-'7. Funding Adder Collected'!C81</f>
        <v>-4185788.5641291575</v>
      </c>
    </row>
    <row r="14" spans="2:3" ht="12.75">
      <c r="B14" s="7" t="s">
        <v>271</v>
      </c>
      <c r="C14" s="131">
        <f>-'7. Funding Adder Collected'!E81</f>
        <v>-118546.27845862396</v>
      </c>
    </row>
    <row r="16" spans="2:3" ht="13.5" thickBot="1">
      <c r="B16" s="7" t="s">
        <v>272</v>
      </c>
      <c r="C16" s="130">
        <f>SUM(C11:C14)</f>
        <v>6084761.065495594</v>
      </c>
    </row>
    <row r="18" spans="2:3" ht="12.75">
      <c r="B18" s="7" t="s">
        <v>274</v>
      </c>
      <c r="C18" s="166">
        <v>145000</v>
      </c>
    </row>
    <row r="19" ht="13.5" thickBot="1"/>
    <row r="20" spans="2:3" ht="13.5" thickBot="1">
      <c r="B20" s="127" t="s">
        <v>275</v>
      </c>
      <c r="C20" s="170">
        <f>IF(C18&lt;&gt;0,C16/C18/12,0)</f>
        <v>3.4969891181009163</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chasem</cp:lastModifiedBy>
  <cp:lastPrinted>2011-01-27T15:23:01Z</cp:lastPrinted>
  <dcterms:created xsi:type="dcterms:W3CDTF">2007-08-13T15:48:29Z</dcterms:created>
  <dcterms:modified xsi:type="dcterms:W3CDTF">2011-01-27T15:23:08Z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