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tabRatio="835" firstSheet="2" activeTab="7"/>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Data'!$A$1:$K$149</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comments7.xml><?xml version="1.0" encoding="utf-8"?>
<comments xmlns="http://schemas.openxmlformats.org/spreadsheetml/2006/main">
  <authors>
    <author>Keith C. Ritchie</author>
  </authors>
  <commentList>
    <comment ref="C60" authorId="0">
      <text>
        <r>
          <rPr>
            <b/>
            <sz val="8"/>
            <rFont val="Tahoma"/>
            <family val="0"/>
          </rPr>
          <t>Keith C. Ritchie:</t>
        </r>
        <r>
          <rPr>
            <sz val="8"/>
            <rFont val="Tahoma"/>
            <family val="0"/>
          </rPr>
          <t xml:space="preserve">
Why not estimate?</t>
        </r>
      </text>
    </comment>
  </commentList>
</comments>
</file>

<file path=xl/sharedStrings.xml><?xml version="1.0" encoding="utf-8"?>
<sst xmlns="http://schemas.openxmlformats.org/spreadsheetml/2006/main" count="405" uniqueCount="286">
  <si>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</si>
  <si>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</si>
  <si>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</si>
  <si>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</si>
  <si>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</si>
  <si>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</si>
  <si>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</si>
  <si>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</si>
  <si>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</si>
  <si>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</si>
  <si>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</si>
  <si>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</si>
  <si>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</si>
  <si>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</si>
  <si>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</si>
  <si>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</si>
  <si>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</si>
  <si>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</si>
  <si>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</si>
  <si>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</si>
  <si>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</si>
  <si>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</si>
  <si>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</si>
  <si>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</si>
  <si>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</si>
  <si>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</si>
  <si>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</si>
  <si>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</si>
  <si>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</si>
  <si>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</si>
  <si>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</si>
  <si>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</si>
  <si>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</si>
  <si>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</si>
  <si>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</si>
  <si>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</si>
  <si>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</si>
  <si>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</si>
  <si>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</si>
  <si>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</si>
  <si>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</si>
  <si>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</si>
  <si>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</si>
  <si>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</si>
  <si>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</si>
  <si>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</si>
  <si>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</si>
  <si>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</si>
  <si>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</si>
  <si>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</si>
  <si>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</si>
  <si>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</si>
  <si>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</si>
  <si>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</si>
  <si>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</si>
  <si>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</si>
  <si>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</si>
  <si>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</si>
  <si>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</si>
  <si>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</si>
  <si>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</si>
  <si>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</si>
  <si>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</si>
  <si>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</si>
  <si>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</si>
  <si>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</si>
  <si>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</si>
  <si>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</si>
  <si>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</si>
  <si>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</si>
  <si>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</si>
  <si>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</si>
  <si>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</si>
  <si>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</si>
  <si>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</si>
  <si>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</si>
  <si>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</si>
  <si>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</si>
  <si>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</si>
  <si>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</si>
  <si>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</si>
  <si>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</si>
  <si>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</si>
  <si>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</si>
  <si>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</si>
  <si>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</si>
  <si>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</si>
  <si>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</si>
  <si>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</si>
  <si>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</si>
  <si>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</si>
  <si>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</si>
  <si>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</si>
  <si>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</si>
  <si>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</si>
  <si>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</si>
  <si>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</si>
  <si>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</si>
  <si>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</si>
  <si>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</si>
  <si>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</si>
  <si>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</si>
  <si>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</si>
  <si>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</si>
  <si>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</si>
  <si>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</si>
  <si>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</si>
  <si>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</si>
  <si>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</si>
  <si>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</si>
  <si>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</si>
  <si>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</si>
  <si>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</si>
  <si>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</si>
  <si>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</si>
  <si>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</si>
  <si>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</si>
  <si>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</si>
  <si>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</si>
  <si>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</si>
  <si>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</si>
  <si>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</si>
  <si>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</si>
  <si>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</si>
  <si>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</si>
  <si>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</si>
  <si>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</si>
  <si>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</si>
  <si>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</si>
  <si>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</si>
  <si>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</si>
  <si>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</si>
  <si>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</si>
  <si>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</si>
  <si>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</si>
  <si>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</si>
  <si>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</si>
  <si>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</si>
  <si>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</si>
  <si>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</si>
  <si>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</si>
  <si>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</si>
  <si>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</si>
  <si>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</si>
  <si>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</si>
  <si>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</si>
  <si>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</si>
  <si>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</si>
  <si>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</si>
  <si>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</si>
  <si>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</si>
  <si>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</si>
  <si>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</si>
  <si>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</si>
  <si>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</si>
  <si>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</si>
  <si>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</si>
  <si>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</si>
  <si>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</si>
  <si>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</si>
  <si>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</si>
  <si>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</si>
  <si>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</si>
  <si>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</si>
  <si>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</si>
  <si>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</si>
  <si>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</si>
  <si>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</si>
  <si>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</si>
  <si>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</si>
  <si>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</si>
  <si>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</si>
  <si>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</si>
  <si>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</si>
  <si>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</si>
  <si>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</si>
  <si>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</si>
  <si>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</si>
  <si>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</si>
  <si>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</si>
  <si>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</si>
  <si>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</si>
  <si>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</si>
  <si>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</si>
  <si>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</si>
  <si>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</si>
  <si>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</si>
  <si>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</si>
  <si>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</si>
  <si>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</si>
  <si>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</si>
  <si>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</si>
  <si>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</si>
  <si>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</si>
  <si>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</si>
  <si>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</si>
  <si>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</si>
  <si>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</si>
  <si>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</si>
  <si>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</si>
  <si>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</si>
  <si>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</si>
  <si>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</si>
  <si>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</si>
  <si>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</si>
  <si>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</si>
  <si>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</si>
  <si>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</si>
  <si>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</si>
  <si>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</si>
  <si>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</si>
  <si>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</si>
  <si>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</si>
  <si>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</si>
  <si>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</si>
  <si>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</si>
  <si>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</si>
  <si>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</si>
  <si>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</si>
  <si>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</si>
  <si>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</si>
  <si>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</si>
  <si>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</si>
  <si>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</si>
  <si>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</si>
  <si>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</si>
  <si>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</si>
  <si>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</si>
  <si>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</si>
  <si>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</si>
  <si>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</si>
  <si>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</si>
  <si>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</si>
  <si>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</si>
  <si>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</si>
  <si>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</si>
  <si>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</si>
  <si>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</si>
  <si>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</si>
  <si>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</si>
  <si>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</si>
  <si>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</si>
  <si>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</si>
  <si>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</si>
  <si>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</si>
  <si>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</si>
  <si>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</si>
  <si>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</si>
  <si>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</si>
  <si>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</si>
  <si>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</si>
  <si>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</si>
  <si>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</si>
  <si>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</si>
  <si>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</si>
  <si>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</si>
  <si>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</si>
  <si>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</si>
  <si>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</si>
  <si>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</si>
  <si>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</si>
  <si>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</si>
  <si>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</si>
  <si>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</si>
  <si>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</si>
  <si>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</si>
  <si>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</si>
  <si>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</si>
  <si>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</si>
  <si>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</si>
  <si>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</si>
  <si>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</si>
  <si>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</si>
  <si>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</si>
  <si>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</si>
  <si>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</si>
  <si>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</si>
  <si>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</si>
  <si>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</si>
  <si>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</si>
  <si>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Fort Frances Power Corporation</t>
  </si>
  <si>
    <t>ED-2003-0028</t>
  </si>
  <si>
    <t>Joerg Ruppenstein</t>
  </si>
  <si>
    <t>President and CEO</t>
  </si>
  <si>
    <t>807-274-9291</t>
  </si>
  <si>
    <t>ffpc@fort-frances.com</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</si>
</sst>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s>
  <fonts count="45">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8"/>
      <name val="Tahoma"/>
      <family val="0"/>
    </font>
    <font>
      <b/>
      <sz val="8"/>
      <name val="Tahoma"/>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3" fillId="0" borderId="0">
      <alignment/>
      <protection/>
    </xf>
    <xf numFmtId="0" fontId="0" fillId="0" borderId="0">
      <alignment/>
      <protection/>
    </xf>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9" fillId="0" borderId="0" applyNumberFormat="0" applyFill="0" applyBorder="0" applyAlignment="0" applyProtection="0"/>
  </cellStyleXfs>
  <cellXfs count="188">
    <xf numFmtId="0" fontId="0" fillId="0" borderId="0" xfId="0" applyAlignment="1">
      <alignment/>
    </xf>
    <xf numFmtId="0" fontId="4" fillId="24" borderId="0" xfId="0" applyFont="1" applyFill="1" applyAlignment="1" applyProtection="1">
      <alignment/>
      <protection/>
    </xf>
    <xf numFmtId="0" fontId="0" fillId="0" borderId="0" xfId="0" applyAlignment="1" applyProtection="1">
      <alignment/>
      <protection/>
    </xf>
    <xf numFmtId="0" fontId="4" fillId="24" borderId="0" xfId="0" applyFont="1" applyFill="1" applyAlignment="1">
      <alignment/>
    </xf>
    <xf numFmtId="0" fontId="6"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0" fillId="24" borderId="0" xfId="0" applyFill="1" applyAlignment="1">
      <alignment/>
    </xf>
    <xf numFmtId="0" fontId="4" fillId="20" borderId="0" xfId="0" applyFont="1" applyFill="1" applyBorder="1" applyAlignment="1" applyProtection="1">
      <alignment/>
      <protection/>
    </xf>
    <xf numFmtId="0" fontId="10" fillId="24" borderId="0" xfId="0" applyFont="1" applyFill="1" applyAlignment="1" applyProtection="1">
      <alignment/>
      <protection/>
    </xf>
    <xf numFmtId="0" fontId="3" fillId="24" borderId="0" xfId="0" applyFont="1" applyFill="1" applyAlignment="1" applyProtection="1">
      <alignment/>
      <protection/>
    </xf>
    <xf numFmtId="0" fontId="11" fillId="24" borderId="0" xfId="0" applyFont="1" applyFill="1" applyAlignment="1" applyProtection="1">
      <alignment horizontal="right" indent="1"/>
      <protection/>
    </xf>
    <xf numFmtId="0" fontId="13" fillId="24" borderId="0" xfId="0" applyFont="1" applyFill="1" applyAlignment="1" applyProtection="1">
      <alignment horizontal="left" indent="4"/>
      <protection/>
    </xf>
    <xf numFmtId="0" fontId="12" fillId="24" borderId="0" xfId="0" applyFont="1" applyFill="1" applyBorder="1" applyAlignment="1" applyProtection="1">
      <alignment horizontal="left"/>
      <protection/>
    </xf>
    <xf numFmtId="0" fontId="11" fillId="24" borderId="0" xfId="0" applyFont="1" applyFill="1" applyAlignment="1" applyProtection="1">
      <alignment/>
      <protection/>
    </xf>
    <xf numFmtId="0" fontId="14" fillId="24" borderId="0" xfId="0" applyFont="1" applyFill="1" applyBorder="1" applyAlignment="1" applyProtection="1">
      <alignment/>
      <protection/>
    </xf>
    <xf numFmtId="0" fontId="15" fillId="24" borderId="0" xfId="0" applyFont="1" applyFill="1" applyBorder="1" applyAlignment="1" applyProtection="1">
      <alignment/>
      <protection/>
    </xf>
    <xf numFmtId="212" fontId="12" fillId="25" borderId="10" xfId="0" applyNumberFormat="1" applyFont="1" applyFill="1" applyBorder="1" applyAlignment="1" applyProtection="1">
      <alignment horizontal="left"/>
      <protection locked="0"/>
    </xf>
    <xf numFmtId="0" fontId="12" fillId="26" borderId="0" xfId="0" applyFont="1" applyFill="1" applyBorder="1" applyAlignment="1" applyProtection="1">
      <alignment/>
      <protection/>
    </xf>
    <xf numFmtId="0" fontId="11" fillId="24" borderId="0" xfId="0" applyFont="1" applyFill="1" applyBorder="1" applyAlignment="1" applyProtection="1">
      <alignment horizontal="right" indent="1"/>
      <protection/>
    </xf>
    <xf numFmtId="0" fontId="12" fillId="24" borderId="0" xfId="0" applyFont="1" applyFill="1" applyBorder="1" applyAlignment="1" applyProtection="1">
      <alignment/>
      <protection/>
    </xf>
    <xf numFmtId="0" fontId="11" fillId="24" borderId="0" xfId="0" applyFont="1" applyFill="1" applyBorder="1" applyAlignment="1" applyProtection="1">
      <alignment/>
      <protection/>
    </xf>
    <xf numFmtId="0" fontId="17" fillId="24" borderId="0" xfId="0" applyFont="1" applyFill="1" applyAlignment="1" applyProtection="1">
      <alignment/>
      <protection/>
    </xf>
    <xf numFmtId="0" fontId="12" fillId="24" borderId="0" xfId="0" applyFont="1" applyFill="1" applyAlignment="1" applyProtection="1">
      <alignment/>
      <protection/>
    </xf>
    <xf numFmtId="0" fontId="0" fillId="24" borderId="0" xfId="0" applyFill="1" applyAlignment="1" applyProtection="1">
      <alignment horizontal="center"/>
      <protection/>
    </xf>
    <xf numFmtId="0" fontId="3" fillId="24" borderId="0" xfId="0" applyFont="1" applyFill="1" applyAlignment="1">
      <alignment/>
    </xf>
    <xf numFmtId="0" fontId="18" fillId="24" borderId="0" xfId="0" applyFont="1" applyFill="1" applyAlignment="1" applyProtection="1">
      <alignment/>
      <protection/>
    </xf>
    <xf numFmtId="0" fontId="4" fillId="20" borderId="0" xfId="0" applyFont="1" applyFill="1" applyAlignment="1" applyProtection="1">
      <alignment/>
      <protection/>
    </xf>
    <xf numFmtId="0" fontId="19" fillId="24" borderId="0" xfId="0" applyFont="1" applyFill="1" applyAlignment="1" applyProtection="1">
      <alignment/>
      <protection/>
    </xf>
    <xf numFmtId="0" fontId="20" fillId="24" borderId="0" xfId="0" applyFont="1" applyFill="1" applyAlignment="1" applyProtection="1">
      <alignment horizontal="left" vertical="top" indent="2"/>
      <protection/>
    </xf>
    <xf numFmtId="0" fontId="0" fillId="24" borderId="0" xfId="0" applyFill="1" applyAlignment="1" applyProtection="1">
      <alignment horizontal="right"/>
      <protection/>
    </xf>
    <xf numFmtId="0" fontId="0" fillId="24" borderId="0" xfId="0" applyFill="1" applyAlignment="1" applyProtection="1">
      <alignment horizontal="left" indent="1"/>
      <protection/>
    </xf>
    <xf numFmtId="176" fontId="0" fillId="4" borderId="0" xfId="42" applyNumberFormat="1" applyFill="1" applyAlignment="1" applyProtection="1">
      <alignment/>
      <protection locked="0"/>
    </xf>
    <xf numFmtId="176" fontId="0" fillId="24" borderId="0" xfId="0" applyNumberFormat="1" applyFill="1" applyAlignment="1" applyProtection="1">
      <alignment/>
      <protection/>
    </xf>
    <xf numFmtId="0" fontId="7" fillId="24" borderId="0" xfId="0" applyFont="1" applyFill="1" applyAlignment="1" applyProtection="1">
      <alignment/>
      <protection/>
    </xf>
    <xf numFmtId="176" fontId="0" fillId="24" borderId="11" xfId="42" applyNumberFormat="1" applyFill="1" applyBorder="1" applyAlignment="1" applyProtection="1">
      <alignment/>
      <protection/>
    </xf>
    <xf numFmtId="176" fontId="0" fillId="24" borderId="12" xfId="42" applyNumberFormat="1" applyFont="1" applyFill="1" applyBorder="1" applyAlignment="1" applyProtection="1">
      <alignment/>
      <protection/>
    </xf>
    <xf numFmtId="0" fontId="0" fillId="4" borderId="0" xfId="0" applyFill="1" applyAlignment="1">
      <alignment/>
    </xf>
    <xf numFmtId="0" fontId="21" fillId="24" borderId="0" xfId="0" applyFont="1" applyFill="1" applyAlignment="1" applyProtection="1">
      <alignment/>
      <protection/>
    </xf>
    <xf numFmtId="0" fontId="19" fillId="24" borderId="0" xfId="0" applyFont="1" applyFill="1" applyAlignment="1" applyProtection="1">
      <alignment horizontal="left" indent="2"/>
      <protection/>
    </xf>
    <xf numFmtId="0" fontId="0" fillId="24" borderId="0" xfId="0" applyFill="1" applyAlignment="1" applyProtection="1">
      <alignment horizontal="left" indent="2"/>
      <protection/>
    </xf>
    <xf numFmtId="0" fontId="7" fillId="24" borderId="0" xfId="0" applyFont="1" applyFill="1" applyAlignment="1" applyProtection="1">
      <alignment horizontal="left" indent="2"/>
      <protection/>
    </xf>
    <xf numFmtId="173" fontId="9" fillId="4" borderId="13" xfId="44" applyNumberFormat="1" applyFont="1" applyFill="1" applyBorder="1" applyAlignment="1" applyProtection="1">
      <alignment/>
      <protection locked="0"/>
    </xf>
    <xf numFmtId="173" fontId="0" fillId="24" borderId="0" xfId="0" applyNumberFormat="1" applyFill="1" applyAlignment="1" applyProtection="1">
      <alignment/>
      <protection/>
    </xf>
    <xf numFmtId="0" fontId="20" fillId="24" borderId="0" xfId="0" applyFont="1" applyFill="1" applyAlignment="1" applyProtection="1">
      <alignment horizontal="left" wrapText="1" indent="2"/>
      <protection/>
    </xf>
    <xf numFmtId="173" fontId="7" fillId="24" borderId="12" xfId="44" applyNumberFormat="1" applyFont="1" applyFill="1" applyBorder="1" applyAlignment="1" applyProtection="1">
      <alignment/>
      <protection/>
    </xf>
    <xf numFmtId="173" fontId="0" fillId="24" borderId="0" xfId="44" applyNumberFormat="1" applyFill="1" applyAlignment="1" applyProtection="1">
      <alignment/>
      <protection/>
    </xf>
    <xf numFmtId="173" fontId="7" fillId="24" borderId="0" xfId="44" applyNumberFormat="1" applyFont="1" applyFill="1" applyBorder="1" applyAlignment="1" applyProtection="1">
      <alignment/>
      <protection/>
    </xf>
    <xf numFmtId="0" fontId="0" fillId="24" borderId="0" xfId="0" applyFill="1" applyAlignment="1">
      <alignment horizontal="left" indent="2"/>
    </xf>
    <xf numFmtId="173" fontId="7" fillId="24" borderId="14" xfId="44" applyNumberFormat="1" applyFont="1" applyFill="1" applyBorder="1" applyAlignment="1" applyProtection="1">
      <alignment/>
      <protection/>
    </xf>
    <xf numFmtId="43" fontId="7" fillId="24" borderId="0" xfId="42" applyFont="1" applyFill="1" applyBorder="1" applyAlignment="1" applyProtection="1">
      <alignment/>
      <protection/>
    </xf>
    <xf numFmtId="173" fontId="7" fillId="24" borderId="14" xfId="0" applyNumberFormat="1" applyFont="1" applyFill="1" applyBorder="1" applyAlignment="1">
      <alignment/>
    </xf>
    <xf numFmtId="0" fontId="14" fillId="24" borderId="0" xfId="0" applyFont="1" applyFill="1" applyAlignment="1" applyProtection="1">
      <alignment/>
      <protection/>
    </xf>
    <xf numFmtId="0" fontId="0" fillId="24" borderId="0" xfId="0" applyFill="1" applyAlignment="1" applyProtection="1">
      <alignment wrapText="1"/>
      <protection/>
    </xf>
    <xf numFmtId="0" fontId="7" fillId="24" borderId="0" xfId="0" applyFont="1" applyFill="1" applyAlignment="1" applyProtection="1">
      <alignment horizontal="left" indent="1"/>
      <protection/>
    </xf>
    <xf numFmtId="0" fontId="7" fillId="24" borderId="0" xfId="0" applyFont="1" applyFill="1" applyAlignment="1" applyProtection="1">
      <alignment horizontal="left"/>
      <protection/>
    </xf>
    <xf numFmtId="10" fontId="0" fillId="24" borderId="0" xfId="61" applyNumberFormat="1" applyFont="1" applyFill="1" applyAlignment="1" applyProtection="1">
      <alignment horizontal="center"/>
      <protection/>
    </xf>
    <xf numFmtId="0" fontId="0" fillId="24" borderId="0" xfId="0" applyFont="1" applyFill="1" applyAlignment="1" applyProtection="1">
      <alignment horizontal="left" indent="1"/>
      <protection/>
    </xf>
    <xf numFmtId="0" fontId="3" fillId="0" borderId="0" xfId="57">
      <alignment/>
      <protection/>
    </xf>
    <xf numFmtId="0" fontId="0" fillId="24" borderId="0" xfId="0" applyFont="1" applyFill="1" applyAlignment="1" applyProtection="1">
      <alignment/>
      <protection/>
    </xf>
    <xf numFmtId="0" fontId="22" fillId="24" borderId="0" xfId="0" applyFont="1" applyFill="1" applyAlignment="1" applyProtection="1">
      <alignment/>
      <protection/>
    </xf>
    <xf numFmtId="0" fontId="0" fillId="24" borderId="0" xfId="0" applyFont="1" applyFill="1" applyAlignment="1" applyProtection="1">
      <alignment/>
      <protection/>
    </xf>
    <xf numFmtId="0" fontId="0" fillId="24" borderId="15" xfId="0" applyFill="1" applyBorder="1" applyAlignment="1" applyProtection="1">
      <alignment/>
      <protection/>
    </xf>
    <xf numFmtId="173" fontId="0" fillId="24" borderId="0" xfId="0" applyNumberFormat="1" applyFill="1" applyBorder="1" applyAlignment="1" applyProtection="1">
      <alignment/>
      <protection/>
    </xf>
    <xf numFmtId="44" fontId="0" fillId="24" borderId="0" xfId="44" applyFill="1" applyBorder="1" applyAlignment="1" applyProtection="1">
      <alignment/>
      <protection/>
    </xf>
    <xf numFmtId="0" fontId="0" fillId="24" borderId="16" xfId="0" applyFill="1" applyBorder="1" applyAlignment="1" applyProtection="1">
      <alignment/>
      <protection/>
    </xf>
    <xf numFmtId="44" fontId="0" fillId="24" borderId="16" xfId="44" applyFill="1" applyBorder="1" applyAlignment="1" applyProtection="1">
      <alignment/>
      <protection/>
    </xf>
    <xf numFmtId="44" fontId="0" fillId="24" borderId="15" xfId="44" applyFill="1" applyBorder="1" applyAlignment="1" applyProtection="1">
      <alignment/>
      <protection/>
    </xf>
    <xf numFmtId="174" fontId="8" fillId="24" borderId="16" xfId="61" applyNumberFormat="1" applyFont="1" applyFill="1" applyBorder="1" applyAlignment="1" applyProtection="1">
      <alignment horizontal="center"/>
      <protection/>
    </xf>
    <xf numFmtId="9" fontId="0" fillId="24" borderId="16" xfId="0" applyNumberFormat="1" applyFill="1" applyBorder="1" applyAlignment="1" applyProtection="1">
      <alignment/>
      <protection/>
    </xf>
    <xf numFmtId="173" fontId="0" fillId="24" borderId="15" xfId="0" applyNumberFormat="1" applyFill="1" applyBorder="1" applyAlignment="1" applyProtection="1">
      <alignment/>
      <protection/>
    </xf>
    <xf numFmtId="44" fontId="0" fillId="24" borderId="15" xfId="44" applyFont="1" applyFill="1" applyBorder="1" applyAlignment="1" applyProtection="1">
      <alignment/>
      <protection/>
    </xf>
    <xf numFmtId="0" fontId="0" fillId="24" borderId="17" xfId="0" applyFill="1" applyBorder="1" applyAlignment="1" applyProtection="1">
      <alignment/>
      <protection/>
    </xf>
    <xf numFmtId="44" fontId="0" fillId="24" borderId="18" xfId="44" applyFill="1" applyBorder="1" applyAlignment="1" applyProtection="1">
      <alignment/>
      <protection/>
    </xf>
    <xf numFmtId="0" fontId="0" fillId="24" borderId="0" xfId="0" applyFont="1" applyFill="1" applyAlignment="1">
      <alignment/>
    </xf>
    <xf numFmtId="0" fontId="14" fillId="24" borderId="0" xfId="0" applyFont="1" applyFill="1" applyAlignment="1" applyProtection="1">
      <alignment horizontal="left"/>
      <protection/>
    </xf>
    <xf numFmtId="10" fontId="0" fillId="24" borderId="0" xfId="0" applyNumberFormat="1" applyFill="1" applyAlignment="1" applyProtection="1">
      <alignment horizontal="center"/>
      <protection/>
    </xf>
    <xf numFmtId="0" fontId="0" fillId="24" borderId="0" xfId="0" applyFill="1" applyAlignment="1" applyProtection="1">
      <alignment horizontal="center" wrapText="1"/>
      <protection/>
    </xf>
    <xf numFmtId="174" fontId="0" fillId="24" borderId="0" xfId="61" applyNumberFormat="1" applyFill="1" applyAlignment="1" applyProtection="1">
      <alignment/>
      <protection/>
    </xf>
    <xf numFmtId="0" fontId="25" fillId="24" borderId="0" xfId="0" applyFont="1" applyFill="1" applyAlignment="1" applyProtection="1">
      <alignment/>
      <protection/>
    </xf>
    <xf numFmtId="0" fontId="20" fillId="24" borderId="0" xfId="0" applyFont="1" applyFill="1" applyBorder="1" applyAlignment="1" applyProtection="1">
      <alignment horizontal="center" vertical="top"/>
      <protection/>
    </xf>
    <xf numFmtId="0" fontId="0" fillId="27" borderId="0" xfId="0" applyFill="1" applyAlignment="1" applyProtection="1">
      <alignment horizontal="center"/>
      <protection/>
    </xf>
    <xf numFmtId="0" fontId="0" fillId="24" borderId="0" xfId="0" applyFont="1" applyFill="1" applyAlignment="1" applyProtection="1">
      <alignment horizontal="center"/>
      <protection/>
    </xf>
    <xf numFmtId="0" fontId="26" fillId="24" borderId="0" xfId="0" applyFont="1" applyFill="1" applyAlignment="1">
      <alignment/>
    </xf>
    <xf numFmtId="176" fontId="0" fillId="24" borderId="0" xfId="42" applyNumberFormat="1" applyFill="1" applyBorder="1" applyAlignment="1" applyProtection="1">
      <alignment/>
      <protection/>
    </xf>
    <xf numFmtId="9" fontId="0" fillId="24" borderId="0" xfId="61" applyFill="1" applyBorder="1" applyAlignment="1" applyProtection="1">
      <alignment/>
      <protection/>
    </xf>
    <xf numFmtId="0" fontId="14" fillId="27" borderId="0" xfId="0" applyFont="1" applyFill="1" applyAlignment="1" applyProtection="1">
      <alignment horizontal="left" indent="2"/>
      <protection/>
    </xf>
    <xf numFmtId="0" fontId="20" fillId="24" borderId="11" xfId="0" applyFont="1" applyFill="1" applyBorder="1" applyAlignment="1" applyProtection="1">
      <alignment vertical="top"/>
      <protection/>
    </xf>
    <xf numFmtId="0" fontId="20" fillId="24" borderId="19" xfId="0" applyFont="1" applyFill="1" applyBorder="1" applyAlignment="1" applyProtection="1">
      <alignment vertical="top"/>
      <protection/>
    </xf>
    <xf numFmtId="9" fontId="0" fillId="4" borderId="0" xfId="61" applyFont="1" applyFill="1" applyAlignment="1" applyProtection="1">
      <alignment horizontal="center"/>
      <protection locked="0"/>
    </xf>
    <xf numFmtId="9" fontId="0" fillId="28" borderId="0" xfId="61" applyFont="1" applyFill="1" applyAlignment="1" applyProtection="1">
      <alignment horizontal="center"/>
      <protection/>
    </xf>
    <xf numFmtId="10" fontId="0" fillId="4" borderId="0" xfId="61" applyNumberFormat="1" applyFont="1" applyFill="1" applyAlignment="1" applyProtection="1">
      <alignment horizontal="center"/>
      <protection locked="0"/>
    </xf>
    <xf numFmtId="176" fontId="0" fillId="4" borderId="0" xfId="42" applyNumberFormat="1" applyFill="1" applyAlignment="1" applyProtection="1">
      <alignment horizontal="center"/>
      <protection locked="0"/>
    </xf>
    <xf numFmtId="43" fontId="20" fillId="24" borderId="20" xfId="42" applyFont="1" applyFill="1" applyBorder="1" applyAlignment="1" applyProtection="1">
      <alignment/>
      <protection/>
    </xf>
    <xf numFmtId="43" fontId="0" fillId="24" borderId="0" xfId="42" applyFont="1" applyFill="1" applyAlignment="1" applyProtection="1">
      <alignment/>
      <protection/>
    </xf>
    <xf numFmtId="10" fontId="0" fillId="28" borderId="0" xfId="61" applyNumberFormat="1" applyFont="1" applyFill="1" applyAlignment="1" applyProtection="1">
      <alignment horizontal="center"/>
      <protection/>
    </xf>
    <xf numFmtId="173" fontId="0" fillId="28" borderId="0" xfId="44" applyNumberFormat="1" applyFont="1" applyFill="1" applyAlignment="1" applyProtection="1">
      <alignment/>
      <protection/>
    </xf>
    <xf numFmtId="173" fontId="0" fillId="28" borderId="0" xfId="0" applyNumberFormat="1" applyFill="1" applyAlignment="1" applyProtection="1">
      <alignment/>
      <protection/>
    </xf>
    <xf numFmtId="173" fontId="0" fillId="28" borderId="12" xfId="0" applyNumberFormat="1" applyFill="1" applyBorder="1" applyAlignment="1" applyProtection="1">
      <alignment/>
      <protection/>
    </xf>
    <xf numFmtId="173" fontId="0" fillId="28" borderId="0" xfId="44" applyNumberFormat="1" applyFill="1" applyAlignment="1" applyProtection="1">
      <alignment/>
      <protection/>
    </xf>
    <xf numFmtId="173" fontId="0" fillId="28" borderId="12" xfId="44" applyNumberFormat="1" applyFont="1" applyFill="1" applyBorder="1" applyAlignment="1" applyProtection="1">
      <alignment/>
      <protection/>
    </xf>
    <xf numFmtId="173" fontId="0" fillId="28" borderId="12" xfId="44" applyNumberFormat="1" applyFill="1" applyBorder="1" applyAlignment="1" applyProtection="1">
      <alignment/>
      <protection/>
    </xf>
    <xf numFmtId="44" fontId="0" fillId="28" borderId="0" xfId="44" applyFill="1" applyAlignment="1" applyProtection="1">
      <alignment/>
      <protection/>
    </xf>
    <xf numFmtId="176" fontId="0" fillId="28" borderId="0" xfId="42" applyNumberFormat="1" applyFill="1" applyAlignment="1" applyProtection="1">
      <alignment/>
      <protection/>
    </xf>
    <xf numFmtId="9" fontId="0" fillId="28" borderId="0" xfId="61" applyFill="1" applyAlignment="1" applyProtection="1">
      <alignment/>
      <protection/>
    </xf>
    <xf numFmtId="44" fontId="0" fillId="28" borderId="11" xfId="0" applyNumberFormat="1" applyFill="1" applyBorder="1" applyAlignment="1" applyProtection="1">
      <alignment/>
      <protection/>
    </xf>
    <xf numFmtId="0" fontId="0" fillId="28" borderId="0" xfId="0" applyFill="1" applyAlignment="1" applyProtection="1">
      <alignment/>
      <protection/>
    </xf>
    <xf numFmtId="173" fontId="0" fillId="28" borderId="11" xfId="0" applyNumberFormat="1" applyFill="1" applyBorder="1" applyAlignment="1" applyProtection="1">
      <alignment/>
      <protection/>
    </xf>
    <xf numFmtId="9" fontId="0" fillId="28" borderId="11" xfId="0" applyNumberFormat="1" applyFill="1" applyBorder="1" applyAlignment="1" applyProtection="1">
      <alignment/>
      <protection/>
    </xf>
    <xf numFmtId="0" fontId="14" fillId="24" borderId="0" xfId="0" applyFont="1" applyFill="1" applyAlignment="1" applyProtection="1">
      <alignment horizontal="center" wrapText="1"/>
      <protection/>
    </xf>
    <xf numFmtId="0" fontId="14" fillId="0" borderId="0" xfId="0" applyFont="1" applyFill="1" applyAlignment="1" applyProtection="1">
      <alignment/>
      <protection/>
    </xf>
    <xf numFmtId="0" fontId="0" fillId="24" borderId="0" xfId="0" applyFill="1" applyAlignment="1">
      <alignment horizontal="center"/>
    </xf>
    <xf numFmtId="0" fontId="0" fillId="4" borderId="0" xfId="0" applyFill="1" applyAlignment="1">
      <alignment horizontal="center"/>
    </xf>
    <xf numFmtId="9" fontId="0" fillId="4" borderId="0" xfId="0" applyNumberFormat="1" applyFill="1" applyAlignment="1">
      <alignment horizontal="center"/>
    </xf>
    <xf numFmtId="0" fontId="0" fillId="24" borderId="0" xfId="44" applyNumberFormat="1" applyFill="1" applyBorder="1" applyAlignment="1" applyProtection="1">
      <alignment horizontal="center"/>
      <protection/>
    </xf>
    <xf numFmtId="9" fontId="0" fillId="24" borderId="0" xfId="61" applyFill="1" applyBorder="1" applyAlignment="1" applyProtection="1">
      <alignment horizontal="center"/>
      <protection/>
    </xf>
    <xf numFmtId="44" fontId="0" fillId="24" borderId="21" xfId="44" applyFill="1" applyBorder="1" applyAlignment="1" applyProtection="1">
      <alignment/>
      <protection/>
    </xf>
    <xf numFmtId="173" fontId="3" fillId="4" borderId="0" xfId="44" applyNumberFormat="1" applyFont="1" applyFill="1" applyAlignment="1">
      <alignment/>
    </xf>
    <xf numFmtId="173" fontId="3" fillId="28" borderId="0" xfId="44" applyNumberFormat="1" applyFont="1" applyFill="1" applyAlignment="1">
      <alignment/>
    </xf>
    <xf numFmtId="173" fontId="3" fillId="28" borderId="0" xfId="57" applyNumberFormat="1" applyFill="1">
      <alignment/>
      <protection/>
    </xf>
    <xf numFmtId="0" fontId="14" fillId="28" borderId="0" xfId="57" applyFont="1" applyFill="1">
      <alignment/>
      <protection/>
    </xf>
    <xf numFmtId="0" fontId="14" fillId="28" borderId="0" xfId="57" applyFont="1" applyFill="1" applyAlignment="1">
      <alignment horizontal="center" wrapText="1"/>
      <protection/>
    </xf>
    <xf numFmtId="0" fontId="14" fillId="28" borderId="0" xfId="57" applyFont="1" applyFill="1" applyAlignment="1">
      <alignment horizontal="center"/>
      <protection/>
    </xf>
    <xf numFmtId="10" fontId="0" fillId="28" borderId="0" xfId="61" applyNumberFormat="1" applyFont="1" applyFill="1" applyAlignment="1" applyProtection="1">
      <alignment horizontal="center"/>
      <protection locked="0"/>
    </xf>
    <xf numFmtId="4" fontId="14" fillId="28" borderId="0" xfId="57" applyNumberFormat="1" applyFont="1" applyFill="1" applyAlignment="1">
      <alignment horizontal="center"/>
      <protection/>
    </xf>
    <xf numFmtId="173" fontId="3" fillId="28" borderId="12" xfId="57" applyNumberFormat="1" applyFill="1" applyBorder="1">
      <alignment/>
      <protection/>
    </xf>
    <xf numFmtId="0" fontId="7" fillId="24" borderId="0" xfId="0" applyFont="1" applyFill="1" applyAlignment="1">
      <alignment/>
    </xf>
    <xf numFmtId="0" fontId="0" fillId="24" borderId="0" xfId="0" applyFill="1" applyAlignment="1">
      <alignment horizontal="left" indent="1"/>
    </xf>
    <xf numFmtId="44" fontId="0" fillId="28" borderId="0" xfId="0" applyNumberFormat="1" applyFill="1" applyAlignment="1">
      <alignment/>
    </xf>
    <xf numFmtId="44" fontId="0" fillId="28" borderId="12" xfId="0" applyNumberFormat="1" applyFill="1" applyBorder="1" applyAlignment="1">
      <alignment/>
    </xf>
    <xf numFmtId="44" fontId="0" fillId="28" borderId="0" xfId="44" applyFont="1" applyFill="1" applyAlignment="1">
      <alignment/>
    </xf>
    <xf numFmtId="0" fontId="3" fillId="24" borderId="0" xfId="57" applyFill="1" applyAlignment="1">
      <alignment horizontal="center"/>
      <protection/>
    </xf>
    <xf numFmtId="0" fontId="3" fillId="24" borderId="0" xfId="57" applyFill="1">
      <alignment/>
      <protection/>
    </xf>
    <xf numFmtId="0" fontId="14" fillId="24" borderId="0" xfId="57" applyFont="1" applyFill="1" applyAlignment="1">
      <alignment horizontal="center"/>
      <protection/>
    </xf>
    <xf numFmtId="17" fontId="3" fillId="24" borderId="0" xfId="57" applyNumberFormat="1" applyFill="1" applyAlignment="1">
      <alignment horizontal="center"/>
      <protection/>
    </xf>
    <xf numFmtId="10" fontId="3" fillId="24" borderId="0" xfId="57" applyNumberFormat="1" applyFill="1">
      <alignment/>
      <protection/>
    </xf>
    <xf numFmtId="10" fontId="3" fillId="24" borderId="0" xfId="61" applyNumberFormat="1" applyFont="1" applyFill="1" applyAlignment="1">
      <alignment/>
    </xf>
    <xf numFmtId="44" fontId="7" fillId="28" borderId="0" xfId="44" applyFont="1" applyFill="1" applyAlignment="1">
      <alignment/>
    </xf>
    <xf numFmtId="44" fontId="8" fillId="28" borderId="0" xfId="44" applyFont="1" applyFill="1" applyAlignment="1" applyProtection="1">
      <alignment/>
      <protection/>
    </xf>
    <xf numFmtId="44" fontId="0" fillId="28" borderId="11" xfId="44" applyFill="1" applyBorder="1" applyAlignment="1" applyProtection="1">
      <alignment/>
      <protection/>
    </xf>
    <xf numFmtId="10" fontId="8" fillId="28" borderId="0" xfId="0" applyNumberFormat="1" applyFont="1" applyFill="1" applyAlignment="1" applyProtection="1">
      <alignment horizontal="center"/>
      <protection/>
    </xf>
    <xf numFmtId="44" fontId="8" fillId="28" borderId="0" xfId="44" applyFont="1" applyFill="1" applyBorder="1" applyAlignment="1" applyProtection="1">
      <alignment/>
      <protection/>
    </xf>
    <xf numFmtId="44" fontId="8" fillId="28" borderId="22" xfId="44" applyFont="1" applyFill="1" applyBorder="1" applyAlignment="1" applyProtection="1">
      <alignment/>
      <protection/>
    </xf>
    <xf numFmtId="178" fontId="0" fillId="28" borderId="0" xfId="61" applyNumberFormat="1" applyFill="1" applyAlignment="1" applyProtection="1">
      <alignment/>
      <protection/>
    </xf>
    <xf numFmtId="178" fontId="0" fillId="28" borderId="0" xfId="58" applyNumberFormat="1" applyFill="1">
      <alignment/>
      <protection/>
    </xf>
    <xf numFmtId="44" fontId="24" fillId="28" borderId="11" xfId="44" applyFont="1" applyFill="1" applyBorder="1" applyAlignment="1" applyProtection="1">
      <alignment/>
      <protection/>
    </xf>
    <xf numFmtId="44" fontId="0" fillId="28" borderId="12" xfId="44" applyFill="1" applyBorder="1" applyAlignment="1" applyProtection="1">
      <alignment/>
      <protection/>
    </xf>
    <xf numFmtId="44" fontId="9" fillId="28" borderId="11" xfId="44" applyFont="1" applyFill="1" applyBorder="1" applyAlignment="1" applyProtection="1">
      <alignment/>
      <protection/>
    </xf>
    <xf numFmtId="44" fontId="9" fillId="28" borderId="12" xfId="44" applyFont="1" applyFill="1" applyBorder="1" applyAlignment="1" applyProtection="1">
      <alignment/>
      <protection/>
    </xf>
    <xf numFmtId="44" fontId="8" fillId="28" borderId="16" xfId="44" applyFont="1" applyFill="1" applyBorder="1" applyAlignment="1" applyProtection="1">
      <alignment/>
      <protection/>
    </xf>
    <xf numFmtId="44" fontId="0" fillId="28" borderId="23" xfId="44" applyFill="1" applyBorder="1" applyAlignment="1" applyProtection="1">
      <alignment/>
      <protection/>
    </xf>
    <xf numFmtId="44" fontId="0" fillId="28" borderId="0" xfId="44" applyFill="1" applyBorder="1" applyAlignment="1" applyProtection="1">
      <alignment/>
      <protection/>
    </xf>
    <xf numFmtId="44" fontId="0" fillId="28" borderId="16" xfId="44" applyFill="1" applyBorder="1" applyAlignment="1" applyProtection="1">
      <alignment/>
      <protection/>
    </xf>
    <xf numFmtId="44" fontId="0" fillId="28" borderId="15" xfId="44" applyFill="1" applyBorder="1" applyAlignment="1" applyProtection="1">
      <alignment/>
      <protection/>
    </xf>
    <xf numFmtId="44" fontId="8" fillId="28" borderId="15" xfId="44" applyFont="1" applyFill="1" applyBorder="1" applyAlignment="1" applyProtection="1">
      <alignment/>
      <protection/>
    </xf>
    <xf numFmtId="44" fontId="9" fillId="28" borderId="15" xfId="44" applyFont="1" applyFill="1" applyBorder="1" applyAlignment="1" applyProtection="1">
      <alignment/>
      <protection/>
    </xf>
    <xf numFmtId="44" fontId="0" fillId="28" borderId="24" xfId="44" applyFill="1" applyBorder="1" applyAlignment="1" applyProtection="1">
      <alignment/>
      <protection/>
    </xf>
    <xf numFmtId="44" fontId="9" fillId="28" borderId="24" xfId="44" applyFont="1" applyFill="1" applyBorder="1" applyAlignment="1" applyProtection="1">
      <alignment/>
      <protection/>
    </xf>
    <xf numFmtId="44" fontId="0" fillId="28" borderId="15" xfId="44" applyFont="1" applyFill="1" applyBorder="1" applyAlignment="1" applyProtection="1">
      <alignment/>
      <protection/>
    </xf>
    <xf numFmtId="44" fontId="7" fillId="28" borderId="25" xfId="44" applyFont="1" applyFill="1" applyBorder="1" applyAlignment="1" applyProtection="1">
      <alignment/>
      <protection/>
    </xf>
    <xf numFmtId="173" fontId="0" fillId="24" borderId="0" xfId="44" applyNumberFormat="1" applyFont="1" applyFill="1" applyAlignment="1" applyProtection="1">
      <alignment/>
      <protection/>
    </xf>
    <xf numFmtId="173" fontId="9" fillId="4" borderId="19" xfId="44" applyNumberFormat="1" applyFont="1" applyFill="1" applyBorder="1" applyAlignment="1" applyProtection="1">
      <alignment/>
      <protection locked="0"/>
    </xf>
    <xf numFmtId="173" fontId="9" fillId="4" borderId="0" xfId="44" applyNumberFormat="1" applyFont="1" applyFill="1" applyBorder="1" applyAlignment="1" applyProtection="1">
      <alignment/>
      <protection locked="0"/>
    </xf>
    <xf numFmtId="9" fontId="0" fillId="28" borderId="0" xfId="61" applyFont="1" applyFill="1" applyAlignment="1" applyProtection="1">
      <alignment horizontal="center"/>
      <protection/>
    </xf>
    <xf numFmtId="9" fontId="0" fillId="27" borderId="0" xfId="61" applyFont="1" applyFill="1" applyAlignment="1" applyProtection="1">
      <alignment horizontal="center"/>
      <protection locked="0"/>
    </xf>
    <xf numFmtId="10" fontId="0" fillId="27" borderId="0" xfId="61" applyNumberFormat="1" applyFont="1" applyFill="1" applyAlignment="1" applyProtection="1">
      <alignment horizontal="center"/>
      <protection locked="0"/>
    </xf>
    <xf numFmtId="9" fontId="0" fillId="27" borderId="16" xfId="61" applyFill="1" applyBorder="1" applyAlignment="1" applyProtection="1">
      <alignment/>
      <protection/>
    </xf>
    <xf numFmtId="44" fontId="0" fillId="27" borderId="0" xfId="0" applyNumberFormat="1" applyFill="1" applyBorder="1" applyAlignment="1" applyProtection="1">
      <alignment/>
      <protection/>
    </xf>
    <xf numFmtId="44" fontId="0" fillId="27" borderId="11" xfId="44" applyFill="1" applyBorder="1" applyAlignment="1" applyProtection="1">
      <alignment/>
      <protection/>
    </xf>
    <xf numFmtId="44" fontId="0" fillId="27" borderId="15" xfId="44" applyFill="1" applyBorder="1" applyAlignment="1" applyProtection="1">
      <alignment/>
      <protection/>
    </xf>
    <xf numFmtId="173" fontId="3" fillId="27" borderId="0" xfId="44" applyNumberFormat="1" applyFont="1" applyFill="1" applyAlignment="1">
      <alignment/>
    </xf>
    <xf numFmtId="44" fontId="8" fillId="27" borderId="0" xfId="44" applyFont="1" applyFill="1" applyBorder="1" applyAlignment="1" applyProtection="1">
      <alignment/>
      <protection/>
    </xf>
    <xf numFmtId="44" fontId="8" fillId="27" borderId="0" xfId="44" applyFont="1" applyFill="1" applyAlignment="1" applyProtection="1">
      <alignment/>
      <protection/>
    </xf>
    <xf numFmtId="0" fontId="2" fillId="25" borderId="26" xfId="53" applyFill="1" applyBorder="1" applyAlignment="1" applyProtection="1">
      <alignment horizontal="left"/>
      <protection locked="0"/>
    </xf>
    <xf numFmtId="0" fontId="0" fillId="25" borderId="27" xfId="0" applyFont="1" applyFill="1" applyBorder="1" applyAlignment="1" applyProtection="1">
      <alignment horizontal="left"/>
      <protection locked="0"/>
    </xf>
    <xf numFmtId="0" fontId="16" fillId="24" borderId="0" xfId="0" applyFont="1" applyFill="1" applyBorder="1" applyAlignment="1" applyProtection="1">
      <alignment horizontal="right" indent="1"/>
      <protection/>
    </xf>
    <xf numFmtId="0" fontId="12" fillId="25" borderId="26" xfId="0" applyFont="1" applyFill="1" applyBorder="1" applyAlignment="1" applyProtection="1">
      <alignment horizontal="left"/>
      <protection locked="0"/>
    </xf>
    <xf numFmtId="0" fontId="12" fillId="25" borderId="27" xfId="0" applyFont="1" applyFill="1" applyBorder="1" applyAlignment="1" applyProtection="1">
      <alignment horizontal="left"/>
      <protection locked="0"/>
    </xf>
    <xf numFmtId="0" fontId="20" fillId="24" borderId="19" xfId="0" applyFont="1" applyFill="1" applyBorder="1" applyAlignment="1" applyProtection="1">
      <alignment horizontal="center" vertical="top"/>
      <protection/>
    </xf>
    <xf numFmtId="0" fontId="25" fillId="24" borderId="0" xfId="0" applyFont="1" applyFill="1" applyAlignment="1" applyProtection="1">
      <alignment/>
      <protection/>
    </xf>
    <xf numFmtId="0" fontId="18" fillId="24" borderId="0" xfId="0" applyFont="1" applyFill="1" applyAlignment="1" applyProtection="1">
      <alignment/>
      <protection/>
    </xf>
    <xf numFmtId="0" fontId="19" fillId="24" borderId="28" xfId="0" applyFont="1" applyFill="1" applyBorder="1" applyAlignment="1" applyProtection="1">
      <alignment horizontal="center"/>
      <protection/>
    </xf>
    <xf numFmtId="0" fontId="19" fillId="24" borderId="20" xfId="0" applyFont="1" applyFill="1" applyBorder="1" applyAlignment="1" applyProtection="1">
      <alignment horizontal="center"/>
      <protection/>
    </xf>
    <xf numFmtId="0" fontId="19" fillId="24" borderId="29" xfId="0" applyFont="1" applyFill="1" applyBorder="1" applyAlignment="1" applyProtection="1">
      <alignment horizontal="center"/>
      <protection/>
    </xf>
    <xf numFmtId="0" fontId="19" fillId="24" borderId="17" xfId="0" applyFont="1" applyFill="1" applyBorder="1" applyAlignment="1" applyProtection="1">
      <alignment horizontal="center"/>
      <protection/>
    </xf>
    <xf numFmtId="0" fontId="19" fillId="24" borderId="18" xfId="0" applyFont="1" applyFill="1" applyBorder="1" applyAlignment="1" applyProtection="1">
      <alignment horizontal="center"/>
      <protection/>
    </xf>
    <xf numFmtId="0" fontId="19" fillId="24" borderId="21" xfId="0" applyFont="1" applyFill="1" applyBorder="1" applyAlignment="1" applyProtection="1">
      <alignment horizontal="center"/>
      <protection/>
    </xf>
    <xf numFmtId="0" fontId="18" fillId="24" borderId="0" xfId="0" applyFont="1" applyFill="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ulation of Revenue Requirement" xfId="57"/>
    <cellStyle name="Normal_Tax Rates for 2006-2012_Sep4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fpc@fort-france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zoomScalePageLayoutView="0" workbookViewId="0" topLeftCell="A4">
      <selection activeCell="E20" sqref="E20"/>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37" t="s">
        <v>280</v>
      </c>
      <c r="D4"/>
      <c r="E4" s="12"/>
      <c r="F4" s="1"/>
      <c r="G4" s="1"/>
      <c r="H4" s="1"/>
    </row>
    <row r="5" spans="1:8" ht="15.75">
      <c r="A5" s="10"/>
      <c r="B5" s="11"/>
      <c r="C5" s="13"/>
      <c r="D5" s="13"/>
      <c r="E5" s="13"/>
      <c r="F5" s="1"/>
      <c r="G5" s="1"/>
      <c r="H5" s="1"/>
    </row>
    <row r="6" spans="1:8" ht="15.75">
      <c r="A6" s="10"/>
      <c r="B6" s="11" t="s">
        <v>1</v>
      </c>
      <c r="C6" s="37" t="s">
        <v>281</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40480</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75" t="s">
        <v>3</v>
      </c>
      <c r="B13" s="175"/>
      <c r="C13" s="16"/>
      <c r="D13" s="16"/>
      <c r="E13" s="16"/>
      <c r="F13" s="15"/>
      <c r="G13" s="15"/>
      <c r="H13" s="15"/>
    </row>
    <row r="14" spans="1:8" ht="16.5" thickBot="1">
      <c r="A14" s="15"/>
      <c r="B14" s="19" t="s">
        <v>4</v>
      </c>
      <c r="C14" s="176" t="s">
        <v>282</v>
      </c>
      <c r="D14" s="177"/>
      <c r="E14" s="20"/>
      <c r="F14" s="15"/>
      <c r="G14" s="15"/>
      <c r="H14" s="15"/>
    </row>
    <row r="15" spans="1:8" ht="16.5" thickBot="1">
      <c r="A15" s="15"/>
      <c r="B15" s="21"/>
      <c r="C15" s="16"/>
      <c r="D15" s="16"/>
      <c r="E15" s="16"/>
      <c r="F15" s="15"/>
      <c r="G15" s="15"/>
      <c r="H15" s="15"/>
    </row>
    <row r="16" spans="1:8" ht="16.5" thickBot="1">
      <c r="A16" s="15"/>
      <c r="B16" s="19" t="s">
        <v>5</v>
      </c>
      <c r="C16" s="176" t="s">
        <v>283</v>
      </c>
      <c r="D16" s="177"/>
      <c r="E16" s="20"/>
      <c r="F16" s="2"/>
      <c r="G16" s="15"/>
      <c r="H16" s="15"/>
    </row>
    <row r="17" spans="1:8" ht="16.5" thickBot="1">
      <c r="A17" s="15"/>
      <c r="B17" s="21"/>
      <c r="C17" s="16"/>
      <c r="D17" s="16"/>
      <c r="E17" s="16"/>
      <c r="F17" s="15"/>
      <c r="G17" s="15"/>
      <c r="H17" s="15"/>
    </row>
    <row r="18" spans="1:8" ht="16.5" thickBot="1">
      <c r="A18" s="15"/>
      <c r="B18" s="19" t="s">
        <v>6</v>
      </c>
      <c r="C18" s="176" t="s">
        <v>284</v>
      </c>
      <c r="D18" s="177"/>
      <c r="E18" s="20"/>
      <c r="F18" s="15"/>
      <c r="G18" s="15"/>
      <c r="H18" s="15"/>
    </row>
    <row r="19" spans="1:8" ht="15" thickBot="1">
      <c r="A19" s="1"/>
      <c r="B19" s="22"/>
      <c r="C19" s="23"/>
      <c r="D19" s="23"/>
      <c r="E19" s="23"/>
      <c r="F19" s="1"/>
      <c r="G19" s="1"/>
      <c r="H19" s="1"/>
    </row>
    <row r="20" spans="1:8" ht="16.5" thickBot="1">
      <c r="A20" s="1"/>
      <c r="B20" s="19" t="s">
        <v>7</v>
      </c>
      <c r="C20" s="173" t="s">
        <v>285</v>
      </c>
      <c r="D20" s="174"/>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ffpc@fort-frances.com"/>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U148"/>
  <sheetViews>
    <sheetView showGridLines="0" zoomScale="75" zoomScaleNormal="75" zoomScalePageLayoutView="0" workbookViewId="0" topLeftCell="D85">
      <selection activeCell="E20" sqref="E20"/>
    </sheetView>
  </sheetViews>
  <sheetFormatPr defaultColWidth="9.140625" defaultRowHeight="12.75"/>
  <cols>
    <col min="1" max="1" width="17.57421875" style="7" customWidth="1"/>
    <col min="2" max="2" width="102.8515625" style="7" bestFit="1" customWidth="1"/>
    <col min="3" max="3" width="20.57421875" style="7" customWidth="1"/>
    <col min="4" max="4" width="17.421875" style="7" customWidth="1"/>
    <col min="5" max="5" width="15.28125" style="7" customWidth="1"/>
    <col min="6" max="10" width="17.28125" style="7" customWidth="1"/>
    <col min="11" max="11" width="15.421875" style="7" customWidth="1"/>
    <col min="12" max="16384" width="9.140625" style="7" customWidth="1"/>
  </cols>
  <sheetData>
    <row r="1" spans="1:11" s="3" customFormat="1" ht="30">
      <c r="A1" s="1"/>
      <c r="B1" s="179" t="s">
        <v>12</v>
      </c>
      <c r="C1" s="179"/>
      <c r="D1" s="179"/>
      <c r="E1" s="179"/>
      <c r="F1" s="179"/>
      <c r="G1" s="179"/>
      <c r="H1" s="179"/>
      <c r="I1" s="179"/>
      <c r="J1" s="79"/>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207</v>
      </c>
      <c r="K4" s="24" t="s">
        <v>16</v>
      </c>
    </row>
    <row r="5" spans="1:11" ht="12.75">
      <c r="A5" s="5"/>
      <c r="B5" s="29"/>
      <c r="C5" s="29"/>
      <c r="D5" s="81" t="s">
        <v>205</v>
      </c>
      <c r="E5" s="81" t="s">
        <v>205</v>
      </c>
      <c r="F5" s="81" t="s">
        <v>205</v>
      </c>
      <c r="G5" s="81" t="s">
        <v>205</v>
      </c>
      <c r="H5" s="81" t="s">
        <v>204</v>
      </c>
      <c r="I5" s="81" t="s">
        <v>206</v>
      </c>
      <c r="J5" s="81" t="s">
        <v>206</v>
      </c>
      <c r="K5" s="30"/>
    </row>
    <row r="6" spans="1:11" ht="12.75">
      <c r="A6" s="5"/>
      <c r="B6" s="31" t="s">
        <v>17</v>
      </c>
      <c r="C6" s="31"/>
      <c r="D6" s="92">
        <v>0</v>
      </c>
      <c r="E6" s="92">
        <v>0</v>
      </c>
      <c r="F6" s="92">
        <v>0</v>
      </c>
      <c r="G6" s="92">
        <v>3273</v>
      </c>
      <c r="H6" s="92">
        <v>37</v>
      </c>
      <c r="I6" s="92"/>
      <c r="J6" s="92"/>
      <c r="K6" s="33">
        <f>SUM(D6:J6)</f>
        <v>3310</v>
      </c>
    </row>
    <row r="7" ht="12.75"/>
    <row r="8" spans="1:11" ht="12.75">
      <c r="A8" s="5"/>
      <c r="B8" s="31" t="s">
        <v>18</v>
      </c>
      <c r="C8" s="31"/>
      <c r="D8" s="32"/>
      <c r="E8" s="32"/>
      <c r="F8" s="32"/>
      <c r="G8" s="32">
        <v>264</v>
      </c>
      <c r="H8" s="32">
        <v>156</v>
      </c>
      <c r="I8" s="32"/>
      <c r="J8" s="32"/>
      <c r="K8" s="33">
        <f>SUM(D8:J8)</f>
        <v>420</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3537</v>
      </c>
      <c r="H10" s="35">
        <f t="shared" si="0"/>
        <v>193</v>
      </c>
      <c r="I10" s="35">
        <f t="shared" si="0"/>
        <v>0</v>
      </c>
      <c r="J10" s="35">
        <f t="shared" si="0"/>
        <v>0</v>
      </c>
      <c r="K10" s="35">
        <f t="shared" si="0"/>
        <v>3730</v>
      </c>
    </row>
    <row r="11" spans="1:11" ht="12.75">
      <c r="A11" s="5"/>
      <c r="B11" s="34"/>
      <c r="C11" s="34"/>
      <c r="D11" s="84"/>
      <c r="E11" s="84"/>
      <c r="F11" s="84"/>
      <c r="G11" s="84"/>
      <c r="H11" s="84"/>
      <c r="I11" s="84"/>
      <c r="J11" s="84"/>
      <c r="K11" s="84"/>
    </row>
    <row r="12" spans="1:11" ht="12.75">
      <c r="A12" s="5"/>
      <c r="B12" s="34" t="s">
        <v>209</v>
      </c>
      <c r="C12" s="34"/>
      <c r="D12" s="85">
        <f>IF(ISERROR(SUM($D10:D10)/$K10),0,SUM($D10:D10)/$K10)</f>
        <v>0</v>
      </c>
      <c r="E12" s="85">
        <f>IF(ISERROR(SUM($D10:E10)/$K10),0,SUM($D10:E10)/$K10)</f>
        <v>0</v>
      </c>
      <c r="F12" s="85">
        <f>IF(ISERROR(SUM($D10:F10)/$K10),0,SUM($D10:F10)/$K10)</f>
        <v>0</v>
      </c>
      <c r="G12" s="85">
        <f>IF(ISERROR(SUM($D10:G10)/$K10),0,SUM($D10:G10)/$K10)</f>
        <v>0.9482573726541556</v>
      </c>
      <c r="H12" s="85">
        <f>IF(ISERROR(SUM($D10:H10)/$K10),0,SUM($D10:H10)/$K10)</f>
        <v>1</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c r="G14" s="32"/>
      <c r="H14" s="32">
        <v>48</v>
      </c>
      <c r="I14" s="32"/>
      <c r="J14" s="32"/>
      <c r="K14" s="33">
        <f>SUM(D14:J14)</f>
        <v>48</v>
      </c>
    </row>
    <row r="16" spans="1:11" ht="13.5" thickBot="1">
      <c r="A16" s="5"/>
      <c r="B16" s="57" t="s">
        <v>208</v>
      </c>
      <c r="C16" s="31"/>
      <c r="D16" s="36">
        <f aca="true" t="shared" si="1" ref="D16:J16">SUM(D10,D14)</f>
        <v>0</v>
      </c>
      <c r="E16" s="36">
        <f t="shared" si="1"/>
        <v>0</v>
      </c>
      <c r="F16" s="36">
        <f t="shared" si="1"/>
        <v>0</v>
      </c>
      <c r="G16" s="36">
        <f t="shared" si="1"/>
        <v>3537</v>
      </c>
      <c r="H16" s="36">
        <f t="shared" si="1"/>
        <v>241</v>
      </c>
      <c r="I16" s="36">
        <f t="shared" si="1"/>
        <v>0</v>
      </c>
      <c r="J16" s="36">
        <f t="shared" si="1"/>
        <v>0</v>
      </c>
      <c r="K16" s="36">
        <f>SUM(D16:J16)</f>
        <v>3778</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Actual</v>
      </c>
      <c r="I20" s="24" t="str">
        <f t="shared" si="3"/>
        <v>Forecasted</v>
      </c>
      <c r="J20" s="24" t="str">
        <f t="shared" si="3"/>
        <v>Forecasted</v>
      </c>
      <c r="K20" s="30"/>
    </row>
    <row r="21" spans="1:11" ht="12.75">
      <c r="A21" s="5"/>
      <c r="B21" s="31" t="s">
        <v>22</v>
      </c>
      <c r="C21" s="31"/>
      <c r="D21" s="32"/>
      <c r="E21" s="32"/>
      <c r="F21" s="32"/>
      <c r="G21" s="32">
        <v>8</v>
      </c>
      <c r="H21" s="32"/>
      <c r="I21" s="32"/>
      <c r="J21" s="32"/>
      <c r="K21" s="33">
        <f>SUM(D21:J21)</f>
        <v>8</v>
      </c>
    </row>
    <row r="22" ht="12.75">
      <c r="U22" s="7"/>
    </row>
    <row r="23" spans="1:11" ht="12.75">
      <c r="A23" s="5"/>
      <c r="B23" s="31" t="s">
        <v>23</v>
      </c>
      <c r="C23" s="31"/>
      <c r="D23" s="32"/>
      <c r="E23" s="32"/>
      <c r="F23" s="32"/>
      <c r="G23" s="32">
        <v>0</v>
      </c>
      <c r="H23" s="32"/>
      <c r="I23" s="32"/>
      <c r="J23" s="32"/>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Actual</v>
      </c>
      <c r="I38" s="24" t="str">
        <f t="shared" si="5"/>
        <v>Forecasted</v>
      </c>
      <c r="J38" s="24" t="str">
        <f t="shared" si="5"/>
        <v>Forecasted</v>
      </c>
      <c r="K38" s="24"/>
    </row>
    <row r="39" spans="1:21" ht="20.25">
      <c r="A39" s="5"/>
      <c r="B39" s="41" t="s">
        <v>28</v>
      </c>
      <c r="C39" s="86" t="s">
        <v>8</v>
      </c>
      <c r="D39" s="42"/>
      <c r="E39" s="42"/>
      <c r="F39" s="42"/>
      <c r="G39" s="42">
        <v>461057.19</v>
      </c>
      <c r="H39" s="42">
        <v>106524.06</v>
      </c>
      <c r="I39" s="42"/>
      <c r="J39" s="42"/>
      <c r="K39" s="43">
        <f>SUM(D39:J39)</f>
        <v>567581.25</v>
      </c>
      <c r="U39" s="83"/>
    </row>
    <row r="40" spans="1:21" ht="20.25">
      <c r="A40" s="5"/>
      <c r="B40" s="44" t="s">
        <v>29</v>
      </c>
      <c r="C40" s="44"/>
      <c r="D40" s="88"/>
      <c r="E40" s="88"/>
      <c r="F40" s="88"/>
      <c r="G40" s="88"/>
      <c r="H40" s="88"/>
      <c r="I40" s="88"/>
      <c r="J40" s="80"/>
      <c r="K40" s="5"/>
      <c r="U40" s="83"/>
    </row>
    <row r="41" spans="1:21" ht="20.25">
      <c r="A41" s="5"/>
      <c r="B41" s="41" t="s">
        <v>30</v>
      </c>
      <c r="C41" s="86" t="s">
        <v>8</v>
      </c>
      <c r="D41" s="42"/>
      <c r="E41" s="42"/>
      <c r="F41" s="42"/>
      <c r="G41" s="42">
        <v>68669.85</v>
      </c>
      <c r="H41" s="42">
        <v>27479.51</v>
      </c>
      <c r="I41" s="42"/>
      <c r="J41" s="42"/>
      <c r="K41" s="43">
        <f>SUM(D41:J41)</f>
        <v>96149.36</v>
      </c>
      <c r="U41" s="83"/>
    </row>
    <row r="42" spans="1:11" ht="12.75">
      <c r="A42" s="5"/>
      <c r="B42" s="44" t="s">
        <v>31</v>
      </c>
      <c r="C42" s="44"/>
      <c r="D42" s="178"/>
      <c r="E42" s="178"/>
      <c r="F42" s="178"/>
      <c r="G42" s="178"/>
      <c r="H42" s="178"/>
      <c r="I42" s="178"/>
      <c r="J42" s="80"/>
      <c r="K42" s="5"/>
    </row>
    <row r="43" spans="1:11" ht="15.75">
      <c r="A43" s="5"/>
      <c r="B43" s="41" t="s">
        <v>32</v>
      </c>
      <c r="C43" s="86" t="s">
        <v>9</v>
      </c>
      <c r="D43" s="42"/>
      <c r="E43" s="42"/>
      <c r="F43" s="42"/>
      <c r="G43" s="42">
        <v>8648.33</v>
      </c>
      <c r="H43" s="42"/>
      <c r="I43" s="42"/>
      <c r="J43" s="42"/>
      <c r="K43" s="43">
        <f>SUM(D43:J43)</f>
        <v>8648.33</v>
      </c>
    </row>
    <row r="44" spans="1:11" ht="12.75">
      <c r="A44" s="5"/>
      <c r="B44" s="44" t="s">
        <v>33</v>
      </c>
      <c r="C44" s="44"/>
      <c r="D44" s="178"/>
      <c r="E44" s="178"/>
      <c r="F44" s="178"/>
      <c r="G44" s="178"/>
      <c r="H44" s="178"/>
      <c r="I44" s="178"/>
      <c r="J44" s="80"/>
      <c r="K44" s="5"/>
    </row>
    <row r="45" spans="1:11" ht="15.75">
      <c r="A45" s="5"/>
      <c r="B45" s="41" t="s">
        <v>34</v>
      </c>
      <c r="C45" s="86" t="s">
        <v>10</v>
      </c>
      <c r="D45" s="42"/>
      <c r="E45" s="42"/>
      <c r="F45" s="42"/>
      <c r="G45" s="42"/>
      <c r="H45" s="42"/>
      <c r="I45" s="42"/>
      <c r="J45" s="42"/>
      <c r="K45" s="43">
        <f>SUM(D45:J45)</f>
        <v>0</v>
      </c>
    </row>
    <row r="46" spans="1:11" ht="12.75">
      <c r="A46" s="5"/>
      <c r="B46" s="44" t="s">
        <v>33</v>
      </c>
      <c r="C46" s="44"/>
      <c r="D46" s="178"/>
      <c r="E46" s="178"/>
      <c r="F46" s="178"/>
      <c r="G46" s="178"/>
      <c r="H46" s="178"/>
      <c r="I46" s="178"/>
      <c r="J46" s="80"/>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0</v>
      </c>
      <c r="E48" s="45">
        <f t="shared" si="6"/>
        <v>0</v>
      </c>
      <c r="F48" s="45">
        <f t="shared" si="6"/>
        <v>0</v>
      </c>
      <c r="G48" s="45">
        <f t="shared" si="6"/>
        <v>538375.37</v>
      </c>
      <c r="H48" s="45">
        <f t="shared" si="6"/>
        <v>134003.57</v>
      </c>
      <c r="I48" s="45">
        <f t="shared" si="6"/>
        <v>0</v>
      </c>
      <c r="J48" s="45">
        <f t="shared" si="6"/>
        <v>0</v>
      </c>
      <c r="K48" s="45">
        <f t="shared" si="6"/>
        <v>672378.94</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24" t="str">
        <f t="shared" si="8"/>
        <v>Actual</v>
      </c>
      <c r="I52" s="24" t="str">
        <f t="shared" si="8"/>
        <v>Forecasted</v>
      </c>
      <c r="J52" s="24" t="str">
        <f t="shared" si="8"/>
        <v>Forecasted</v>
      </c>
      <c r="K52" s="24"/>
    </row>
    <row r="53" spans="1:11" ht="15.75">
      <c r="A53" s="5"/>
      <c r="B53" s="41" t="s">
        <v>37</v>
      </c>
      <c r="C53" s="86" t="s">
        <v>8</v>
      </c>
      <c r="D53" s="42"/>
      <c r="E53" s="42"/>
      <c r="F53" s="42"/>
      <c r="G53" s="42">
        <v>22749.92</v>
      </c>
      <c r="H53" s="42"/>
      <c r="I53" s="42"/>
      <c r="J53" s="42"/>
      <c r="K53" s="46">
        <f>SUM(D53:J53)</f>
        <v>22749.92</v>
      </c>
    </row>
    <row r="54" spans="1:11" ht="12.75">
      <c r="A54" s="5"/>
      <c r="B54" s="44"/>
      <c r="C54" s="44"/>
      <c r="D54" s="178"/>
      <c r="E54" s="178"/>
      <c r="F54" s="178"/>
      <c r="G54" s="178"/>
      <c r="H54" s="178"/>
      <c r="I54" s="178"/>
      <c r="J54" s="80"/>
      <c r="K54" s="5"/>
    </row>
    <row r="55" spans="1:11" ht="12.75">
      <c r="A55" s="5"/>
      <c r="B55" s="40"/>
      <c r="C55" s="40"/>
      <c r="D55" s="24"/>
      <c r="E55" s="24"/>
      <c r="F55" s="24"/>
      <c r="G55" s="24"/>
      <c r="H55" s="24"/>
      <c r="I55" s="24"/>
      <c r="J55" s="24"/>
      <c r="K55" s="24"/>
    </row>
    <row r="56" spans="1:11" ht="15.75">
      <c r="A56" s="5"/>
      <c r="B56" s="41" t="s">
        <v>38</v>
      </c>
      <c r="C56" s="86" t="s">
        <v>8</v>
      </c>
      <c r="D56" s="42"/>
      <c r="E56" s="42"/>
      <c r="F56" s="42"/>
      <c r="G56" s="42"/>
      <c r="H56" s="42"/>
      <c r="I56" s="42"/>
      <c r="J56" s="42"/>
      <c r="K56" s="46">
        <f>SUM(D56:J56)</f>
        <v>0</v>
      </c>
    </row>
    <row r="57" spans="1:11" ht="12.75">
      <c r="A57" s="5"/>
      <c r="B57" s="44" t="s">
        <v>39</v>
      </c>
      <c r="C57" s="44"/>
      <c r="D57" s="178"/>
      <c r="E57" s="178"/>
      <c r="F57" s="178"/>
      <c r="G57" s="178"/>
      <c r="H57" s="178"/>
      <c r="I57" s="178"/>
      <c r="J57" s="80"/>
      <c r="K57" s="5"/>
    </row>
    <row r="58" spans="1:11" ht="12.75">
      <c r="A58" s="5"/>
      <c r="B58" s="40"/>
      <c r="C58" s="40"/>
      <c r="D58" s="24"/>
      <c r="E58" s="24"/>
      <c r="F58" s="24"/>
      <c r="G58" s="24"/>
      <c r="H58" s="24"/>
      <c r="I58" s="24"/>
      <c r="J58" s="24"/>
      <c r="K58" s="24"/>
    </row>
    <row r="59" spans="1:11" ht="15.75">
      <c r="A59" s="5"/>
      <c r="B59" s="41" t="s">
        <v>40</v>
      </c>
      <c r="C59" s="86" t="s">
        <v>8</v>
      </c>
      <c r="D59" s="42"/>
      <c r="E59" s="42"/>
      <c r="F59" s="42"/>
      <c r="G59" s="42">
        <v>11728.31</v>
      </c>
      <c r="H59" s="42"/>
      <c r="I59" s="42"/>
      <c r="J59" s="42"/>
      <c r="K59" s="46">
        <f>SUM(D59:J59)</f>
        <v>11728.31</v>
      </c>
    </row>
    <row r="60" spans="1:11" ht="12.75">
      <c r="A60" s="5"/>
      <c r="B60" s="44" t="s">
        <v>41</v>
      </c>
      <c r="C60" s="44"/>
      <c r="D60" s="178"/>
      <c r="E60" s="178"/>
      <c r="F60" s="178"/>
      <c r="G60" s="178"/>
      <c r="H60" s="178"/>
      <c r="I60" s="178"/>
      <c r="J60" s="80"/>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0</v>
      </c>
      <c r="G62" s="45">
        <f t="shared" si="9"/>
        <v>34478.229999999996</v>
      </c>
      <c r="H62" s="45">
        <f t="shared" si="9"/>
        <v>0</v>
      </c>
      <c r="I62" s="45">
        <f t="shared" si="9"/>
        <v>0</v>
      </c>
      <c r="J62" s="45">
        <f t="shared" si="9"/>
        <v>0</v>
      </c>
      <c r="K62" s="45">
        <f t="shared" si="9"/>
        <v>34478.229999999996</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24" t="str">
        <f t="shared" si="11"/>
        <v>Actual</v>
      </c>
      <c r="I66" s="24" t="str">
        <f t="shared" si="11"/>
        <v>Forecasted</v>
      </c>
      <c r="J66" s="24" t="str">
        <f t="shared" si="11"/>
        <v>Forecasted</v>
      </c>
      <c r="K66" s="24"/>
    </row>
    <row r="67" spans="1:11" ht="15.75">
      <c r="A67" s="5"/>
      <c r="B67" s="41" t="s">
        <v>44</v>
      </c>
      <c r="C67" s="86" t="s">
        <v>9</v>
      </c>
      <c r="D67" s="42"/>
      <c r="E67" s="42"/>
      <c r="F67" s="42"/>
      <c r="G67" s="42">
        <v>13453.08</v>
      </c>
      <c r="H67" s="42">
        <v>1975.39</v>
      </c>
      <c r="I67" s="42"/>
      <c r="J67" s="42"/>
      <c r="K67" s="46">
        <f>SUM(D67:J67)</f>
        <v>15428.47</v>
      </c>
    </row>
    <row r="68" spans="1:11" ht="12.75">
      <c r="A68" s="5"/>
      <c r="B68" s="44"/>
      <c r="C68" s="44"/>
      <c r="D68" s="87"/>
      <c r="E68" s="87"/>
      <c r="F68" s="87"/>
      <c r="G68" s="87"/>
      <c r="H68" s="87"/>
      <c r="I68" s="87"/>
      <c r="J68" s="80"/>
      <c r="K68" s="5"/>
    </row>
    <row r="69" spans="1:11" ht="15.75">
      <c r="A69" s="5"/>
      <c r="B69" s="41" t="s">
        <v>45</v>
      </c>
      <c r="C69" s="86" t="s">
        <v>10</v>
      </c>
      <c r="D69" s="42"/>
      <c r="E69" s="42"/>
      <c r="F69" s="42"/>
      <c r="G69" s="42">
        <v>8389.97</v>
      </c>
      <c r="H69" s="42">
        <v>270</v>
      </c>
      <c r="I69" s="42"/>
      <c r="J69" s="42"/>
      <c r="K69" s="46">
        <f>SUM(D69:J69)</f>
        <v>8659.97</v>
      </c>
    </row>
    <row r="70" spans="1:11" ht="12.75">
      <c r="A70" s="5"/>
      <c r="B70" s="44"/>
      <c r="C70" s="44"/>
      <c r="D70" s="178"/>
      <c r="E70" s="178"/>
      <c r="F70" s="178"/>
      <c r="G70" s="178"/>
      <c r="H70" s="178"/>
      <c r="I70" s="178"/>
      <c r="J70" s="80"/>
      <c r="K70" s="5"/>
    </row>
    <row r="71" spans="1:11" ht="15.75">
      <c r="A71" s="5"/>
      <c r="B71" s="41" t="s">
        <v>46</v>
      </c>
      <c r="C71" s="86" t="s">
        <v>10</v>
      </c>
      <c r="D71" s="42"/>
      <c r="E71" s="42"/>
      <c r="F71" s="42"/>
      <c r="G71" s="42">
        <v>7759.9</v>
      </c>
      <c r="H71" s="42"/>
      <c r="I71" s="42"/>
      <c r="J71" s="42"/>
      <c r="K71" s="46">
        <f>SUM(D71:J71)</f>
        <v>7759.9</v>
      </c>
    </row>
    <row r="72" spans="1:11" ht="12.75">
      <c r="A72" s="5"/>
      <c r="B72" s="44" t="s">
        <v>47</v>
      </c>
      <c r="C72" s="44"/>
      <c r="D72" s="178"/>
      <c r="E72" s="178"/>
      <c r="F72" s="178"/>
      <c r="G72" s="178"/>
      <c r="H72" s="178"/>
      <c r="I72" s="178"/>
      <c r="J72" s="80"/>
      <c r="K72" s="5"/>
    </row>
    <row r="73" spans="1:11" ht="13.5" thickBot="1">
      <c r="A73" s="5"/>
      <c r="B73" s="41" t="s">
        <v>48</v>
      </c>
      <c r="C73" s="41"/>
      <c r="D73" s="45">
        <f aca="true" t="shared" si="12" ref="D73:K73">SUM(D67,D69,D71)</f>
        <v>0</v>
      </c>
      <c r="E73" s="45">
        <f t="shared" si="12"/>
        <v>0</v>
      </c>
      <c r="F73" s="45">
        <f t="shared" si="12"/>
        <v>0</v>
      </c>
      <c r="G73" s="45">
        <f t="shared" si="12"/>
        <v>29602.949999999997</v>
      </c>
      <c r="H73" s="45">
        <f t="shared" si="12"/>
        <v>2245.3900000000003</v>
      </c>
      <c r="I73" s="45">
        <f t="shared" si="12"/>
        <v>0</v>
      </c>
      <c r="J73" s="45">
        <f t="shared" si="12"/>
        <v>0</v>
      </c>
      <c r="K73" s="45">
        <f t="shared" si="12"/>
        <v>31848.339999999997</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Audited Actual</v>
      </c>
      <c r="G77" s="24" t="str">
        <f t="shared" si="14"/>
        <v>Audited Actual</v>
      </c>
      <c r="H77" s="24" t="str">
        <f t="shared" si="14"/>
        <v>Actual</v>
      </c>
      <c r="I77" s="24" t="str">
        <f t="shared" si="14"/>
        <v>Forecasted</v>
      </c>
      <c r="J77" s="24" t="str">
        <f t="shared" si="14"/>
        <v>Forecasted</v>
      </c>
      <c r="K77" s="24"/>
    </row>
    <row r="78" spans="1:11" ht="15.75">
      <c r="A78" s="5"/>
      <c r="B78" s="41" t="s">
        <v>50</v>
      </c>
      <c r="C78" s="86" t="s">
        <v>211</v>
      </c>
      <c r="D78" s="42"/>
      <c r="E78" s="42"/>
      <c r="F78" s="42"/>
      <c r="G78" s="42">
        <v>16000</v>
      </c>
      <c r="H78" s="42">
        <v>1904.76</v>
      </c>
      <c r="I78" s="42"/>
      <c r="J78" s="42"/>
      <c r="K78" s="46">
        <f>SUM(D78:J78)</f>
        <v>17904.76</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16000</v>
      </c>
      <c r="H80" s="45">
        <f t="shared" si="15"/>
        <v>1904.76</v>
      </c>
      <c r="I80" s="45">
        <f t="shared" si="15"/>
        <v>0</v>
      </c>
      <c r="J80" s="45">
        <f t="shared" si="15"/>
        <v>0</v>
      </c>
      <c r="K80" s="45">
        <f t="shared" si="15"/>
        <v>17904.76</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c r="C84" s="39"/>
      <c r="D84" s="24" t="str">
        <f>D5</f>
        <v>Audited Actual</v>
      </c>
      <c r="E84" s="24" t="str">
        <f aca="true" t="shared" si="17" ref="E84:J84">E5</f>
        <v>Audited Actual</v>
      </c>
      <c r="F84" s="24" t="str">
        <f t="shared" si="17"/>
        <v>Audited Actual</v>
      </c>
      <c r="G84" s="24" t="str">
        <f t="shared" si="17"/>
        <v>Audited Actual</v>
      </c>
      <c r="H84" s="24" t="str">
        <f t="shared" si="17"/>
        <v>Actual</v>
      </c>
      <c r="I84" s="24" t="str">
        <f t="shared" si="17"/>
        <v>Forecasted</v>
      </c>
      <c r="J84" s="24" t="str">
        <f t="shared" si="17"/>
        <v>Forecasted</v>
      </c>
      <c r="K84" s="24"/>
    </row>
    <row r="85" spans="1:11" ht="15.75">
      <c r="A85" s="5"/>
      <c r="B85" s="41" t="s">
        <v>53</v>
      </c>
      <c r="C85" s="86" t="s">
        <v>210</v>
      </c>
      <c r="D85" s="42"/>
      <c r="E85" s="42"/>
      <c r="F85" s="42"/>
      <c r="G85" s="42">
        <v>782.05</v>
      </c>
      <c r="H85" s="42">
        <v>561.45</v>
      </c>
      <c r="I85" s="42"/>
      <c r="J85" s="42"/>
      <c r="K85" s="46">
        <f>SUM(D85:J85)</f>
        <v>1343.5</v>
      </c>
    </row>
    <row r="86" spans="1:11" ht="12.75">
      <c r="A86" s="5"/>
      <c r="B86" s="44"/>
      <c r="C86" s="44"/>
      <c r="D86" s="178"/>
      <c r="E86" s="178"/>
      <c r="F86" s="178"/>
      <c r="G86" s="178"/>
      <c r="H86" s="178"/>
      <c r="I86" s="178"/>
      <c r="J86" s="80"/>
      <c r="K86" s="5"/>
    </row>
    <row r="87" spans="1:11" ht="15.75">
      <c r="A87" s="5"/>
      <c r="B87" s="41" t="s">
        <v>54</v>
      </c>
      <c r="C87" s="86" t="s">
        <v>10</v>
      </c>
      <c r="D87" s="42"/>
      <c r="E87" s="42"/>
      <c r="F87" s="42"/>
      <c r="G87" s="42">
        <v>5188.32</v>
      </c>
      <c r="H87" s="42">
        <v>885.92</v>
      </c>
      <c r="I87" s="42"/>
      <c r="J87" s="42"/>
      <c r="K87" s="46">
        <f>SUM(D87:J87)</f>
        <v>6074.24</v>
      </c>
    </row>
    <row r="88" spans="1:11" ht="12.75">
      <c r="A88" s="5"/>
      <c r="B88" s="44"/>
      <c r="C88" s="44"/>
      <c r="D88" s="178"/>
      <c r="E88" s="178"/>
      <c r="F88" s="178"/>
      <c r="G88" s="178"/>
      <c r="H88" s="178"/>
      <c r="I88" s="178"/>
      <c r="J88" s="80"/>
      <c r="K88" s="5"/>
    </row>
    <row r="89" spans="1:11" ht="15.75">
      <c r="A89" s="5"/>
      <c r="B89" s="41" t="s">
        <v>55</v>
      </c>
      <c r="C89" s="86" t="s">
        <v>10</v>
      </c>
      <c r="D89" s="42"/>
      <c r="E89" s="42"/>
      <c r="F89" s="42"/>
      <c r="G89" s="42">
        <v>17344.71</v>
      </c>
      <c r="H89" s="42">
        <v>10834.62</v>
      </c>
      <c r="I89" s="42"/>
      <c r="J89" s="42"/>
      <c r="K89" s="46">
        <f>SUM(D89:J89)</f>
        <v>28179.33</v>
      </c>
    </row>
    <row r="90" spans="1:11" ht="12.75">
      <c r="A90" s="5"/>
      <c r="B90" s="44"/>
      <c r="C90" s="44"/>
      <c r="D90" s="178"/>
      <c r="E90" s="178"/>
      <c r="F90" s="178"/>
      <c r="G90" s="178"/>
      <c r="H90" s="178"/>
      <c r="I90" s="178"/>
      <c r="J90" s="80"/>
      <c r="K90" s="5"/>
    </row>
    <row r="91" spans="1:11" ht="15.75">
      <c r="A91" s="5"/>
      <c r="B91" s="41" t="s">
        <v>56</v>
      </c>
      <c r="C91" s="86" t="s">
        <v>10</v>
      </c>
      <c r="D91" s="42"/>
      <c r="E91" s="42"/>
      <c r="F91" s="42"/>
      <c r="G91" s="42">
        <v>25343.33</v>
      </c>
      <c r="H91" s="42"/>
      <c r="I91" s="42"/>
      <c r="J91" s="42"/>
      <c r="K91" s="46">
        <f>SUM(D91:J91)</f>
        <v>25343.33</v>
      </c>
    </row>
    <row r="92" spans="1:11" ht="15.75">
      <c r="A92" s="5"/>
      <c r="B92" s="41"/>
      <c r="C92" s="86"/>
      <c r="D92" s="161"/>
      <c r="E92" s="161"/>
      <c r="F92" s="161"/>
      <c r="G92" s="161"/>
      <c r="H92" s="161"/>
      <c r="I92" s="161"/>
      <c r="J92" s="162"/>
      <c r="K92" s="46"/>
    </row>
    <row r="93" spans="1:11" ht="12.75">
      <c r="A93" s="5"/>
      <c r="B93" s="44"/>
      <c r="C93" s="44"/>
      <c r="D93" s="178"/>
      <c r="E93" s="178"/>
      <c r="F93" s="178"/>
      <c r="G93" s="178"/>
      <c r="H93" s="178"/>
      <c r="I93" s="178"/>
      <c r="J93" s="80"/>
      <c r="K93" s="5"/>
    </row>
    <row r="94" spans="1:11" ht="15.75">
      <c r="A94" s="5"/>
      <c r="B94" s="41" t="s">
        <v>57</v>
      </c>
      <c r="C94" s="86" t="s">
        <v>10</v>
      </c>
      <c r="D94" s="42"/>
      <c r="E94" s="42"/>
      <c r="F94" s="42"/>
      <c r="G94" s="42">
        <v>4759.48</v>
      </c>
      <c r="H94" s="42">
        <v>1136.41</v>
      </c>
      <c r="I94" s="42"/>
      <c r="J94" s="42"/>
      <c r="K94" s="46">
        <f>SUM(D94:J94)</f>
        <v>5895.889999999999</v>
      </c>
    </row>
    <row r="95" spans="1:11" ht="12.75">
      <c r="A95" s="5"/>
      <c r="B95" s="44"/>
      <c r="D95" s="178"/>
      <c r="E95" s="178"/>
      <c r="F95" s="178"/>
      <c r="G95" s="178"/>
      <c r="H95" s="178"/>
      <c r="I95" s="178"/>
      <c r="J95" s="80"/>
      <c r="K95" s="5"/>
    </row>
    <row r="96" spans="1:11" ht="15.75">
      <c r="A96" s="5"/>
      <c r="B96" s="41" t="s">
        <v>58</v>
      </c>
      <c r="C96" s="86" t="s">
        <v>10</v>
      </c>
      <c r="D96" s="42"/>
      <c r="E96" s="42"/>
      <c r="F96" s="42"/>
      <c r="G96" s="42"/>
      <c r="H96" s="42"/>
      <c r="I96" s="42"/>
      <c r="J96" s="42"/>
      <c r="K96" s="46">
        <f>SUM(D96:J96)</f>
        <v>0</v>
      </c>
    </row>
    <row r="97" spans="1:11" ht="12.75">
      <c r="A97" s="5"/>
      <c r="B97" s="44"/>
      <c r="D97" s="178"/>
      <c r="E97" s="178"/>
      <c r="F97" s="178"/>
      <c r="G97" s="178"/>
      <c r="H97" s="178"/>
      <c r="I97" s="178"/>
      <c r="J97" s="80"/>
      <c r="K97" s="5"/>
    </row>
    <row r="98" spans="1:11" ht="13.5" thickBot="1">
      <c r="A98" s="5"/>
      <c r="B98" s="41" t="s">
        <v>59</v>
      </c>
      <c r="C98" s="41"/>
      <c r="D98" s="45">
        <f aca="true" t="shared" si="18" ref="D98:K98">SUM(D85,D87,D89,D91,D96,D94)</f>
        <v>0</v>
      </c>
      <c r="E98" s="45">
        <f t="shared" si="18"/>
        <v>0</v>
      </c>
      <c r="F98" s="45">
        <f t="shared" si="18"/>
        <v>0</v>
      </c>
      <c r="G98" s="45">
        <f t="shared" si="18"/>
        <v>53417.89</v>
      </c>
      <c r="H98" s="45">
        <f t="shared" si="18"/>
        <v>13418.400000000001</v>
      </c>
      <c r="I98" s="45">
        <f t="shared" si="18"/>
        <v>0</v>
      </c>
      <c r="J98" s="45">
        <f t="shared" si="18"/>
        <v>0</v>
      </c>
      <c r="K98" s="45">
        <f t="shared" si="18"/>
        <v>66836.29000000001</v>
      </c>
    </row>
    <row r="99" spans="1:11" ht="12.75">
      <c r="A99" s="5"/>
      <c r="B99" s="34"/>
      <c r="C99" s="34"/>
      <c r="D99" s="47"/>
      <c r="E99" s="47"/>
      <c r="F99" s="47"/>
      <c r="G99" s="47"/>
      <c r="H99" s="47"/>
      <c r="I99" s="47"/>
      <c r="J99" s="47"/>
      <c r="K99" s="47"/>
    </row>
    <row r="100" spans="1:11" ht="18.75" thickBot="1">
      <c r="A100" s="5"/>
      <c r="B100" s="28" t="s">
        <v>60</v>
      </c>
      <c r="C100" s="28"/>
      <c r="D100" s="49">
        <f aca="true" t="shared" si="19" ref="D100:K100">SUM(D48,D62,D80,D98,D73)</f>
        <v>0</v>
      </c>
      <c r="E100" s="49">
        <f t="shared" si="19"/>
        <v>0</v>
      </c>
      <c r="F100" s="49">
        <f t="shared" si="19"/>
        <v>0</v>
      </c>
      <c r="G100" s="49">
        <f t="shared" si="19"/>
        <v>671874.44</v>
      </c>
      <c r="H100" s="49">
        <f t="shared" si="19"/>
        <v>151572.12000000002</v>
      </c>
      <c r="I100" s="49">
        <f t="shared" si="19"/>
        <v>0</v>
      </c>
      <c r="J100" s="49">
        <f t="shared" si="19"/>
        <v>0</v>
      </c>
      <c r="K100" s="49">
        <f t="shared" si="19"/>
        <v>823446.5599999999</v>
      </c>
    </row>
    <row r="101" spans="1:11" ht="13.5" thickTop="1">
      <c r="A101" s="5"/>
      <c r="B101" s="34"/>
      <c r="C101" s="34"/>
      <c r="D101" s="50"/>
      <c r="E101" s="47"/>
      <c r="F101" s="47"/>
      <c r="G101" s="47"/>
      <c r="H101" s="47"/>
      <c r="I101" s="47"/>
      <c r="J101" s="47"/>
      <c r="K101" s="47"/>
    </row>
    <row r="102" spans="2:11" ht="23.25">
      <c r="B102" s="38" t="s">
        <v>61</v>
      </c>
      <c r="C102" s="38"/>
      <c r="D102" s="5"/>
      <c r="E102" s="5"/>
      <c r="F102" s="5"/>
      <c r="G102" s="5"/>
      <c r="H102" s="5"/>
      <c r="I102" s="5"/>
      <c r="J102" s="5"/>
      <c r="K102" s="5"/>
    </row>
    <row r="103" spans="1:11" ht="18">
      <c r="A103" s="5"/>
      <c r="B103" s="39" t="s">
        <v>62</v>
      </c>
      <c r="C103" s="39"/>
      <c r="D103" s="5"/>
      <c r="E103" s="5"/>
      <c r="F103" s="5"/>
      <c r="G103" s="5"/>
      <c r="H103" s="5"/>
      <c r="I103" s="5"/>
      <c r="J103" s="5"/>
      <c r="K103" s="5"/>
    </row>
    <row r="104" spans="1:11" ht="12.75">
      <c r="A104" s="5"/>
      <c r="B104" s="40"/>
      <c r="C104" s="40"/>
      <c r="D104" s="24">
        <f>D4</f>
        <v>2006</v>
      </c>
      <c r="E104" s="24">
        <f aca="true" t="shared" si="20" ref="E104:J104">E4</f>
        <v>2007</v>
      </c>
      <c r="F104" s="24">
        <f t="shared" si="20"/>
        <v>2008</v>
      </c>
      <c r="G104" s="24">
        <f t="shared" si="20"/>
        <v>2009</v>
      </c>
      <c r="H104" s="24">
        <f t="shared" si="20"/>
        <v>2010</v>
      </c>
      <c r="I104" s="24">
        <f t="shared" si="20"/>
        <v>2011</v>
      </c>
      <c r="J104" s="24" t="str">
        <f t="shared" si="20"/>
        <v>Later</v>
      </c>
      <c r="K104" s="24" t="s">
        <v>16</v>
      </c>
    </row>
    <row r="105" spans="1:11" ht="12.75">
      <c r="A105" s="5"/>
      <c r="B105" s="40"/>
      <c r="C105" s="40"/>
      <c r="D105" s="24" t="str">
        <f>D5</f>
        <v>Audited Actual</v>
      </c>
      <c r="E105" s="24" t="str">
        <f aca="true" t="shared" si="21" ref="E105:J105">E5</f>
        <v>Audited Actual</v>
      </c>
      <c r="F105" s="24" t="str">
        <f t="shared" si="21"/>
        <v>Audited Actual</v>
      </c>
      <c r="G105" s="24" t="str">
        <f t="shared" si="21"/>
        <v>Audited Actual</v>
      </c>
      <c r="H105" s="24" t="str">
        <f t="shared" si="21"/>
        <v>Actual</v>
      </c>
      <c r="I105" s="24" t="str">
        <f t="shared" si="21"/>
        <v>Forecasted</v>
      </c>
      <c r="J105" s="24" t="str">
        <f t="shared" si="21"/>
        <v>Forecasted</v>
      </c>
      <c r="K105" s="24"/>
    </row>
    <row r="106" spans="1:11" ht="12.75">
      <c r="A106" s="5"/>
      <c r="B106" s="41" t="s">
        <v>63</v>
      </c>
      <c r="C106" s="41"/>
      <c r="D106" s="42"/>
      <c r="E106" s="42"/>
      <c r="F106" s="42"/>
      <c r="G106" s="42"/>
      <c r="H106" s="42"/>
      <c r="I106" s="42">
        <v>15000</v>
      </c>
      <c r="J106" s="42"/>
      <c r="K106" s="46">
        <f>SUM(D106:J106)</f>
        <v>15000</v>
      </c>
    </row>
    <row r="107" spans="1:11" ht="12.75">
      <c r="A107" s="5"/>
      <c r="B107" s="44" t="s">
        <v>64</v>
      </c>
      <c r="C107" s="44"/>
      <c r="D107" s="178"/>
      <c r="E107" s="178"/>
      <c r="F107" s="178"/>
      <c r="G107" s="178"/>
      <c r="H107" s="178"/>
      <c r="I107" s="178"/>
      <c r="J107" s="80"/>
      <c r="K107" s="5"/>
    </row>
    <row r="108" spans="1:11" ht="13.5" thickBot="1">
      <c r="A108" s="5"/>
      <c r="B108" s="41" t="s">
        <v>65</v>
      </c>
      <c r="C108" s="41"/>
      <c r="D108" s="45">
        <f aca="true" t="shared" si="22" ref="D108:K108">SUM(D106)</f>
        <v>0</v>
      </c>
      <c r="E108" s="45">
        <f t="shared" si="22"/>
        <v>0</v>
      </c>
      <c r="F108" s="45">
        <f t="shared" si="22"/>
        <v>0</v>
      </c>
      <c r="G108" s="45">
        <f t="shared" si="22"/>
        <v>0</v>
      </c>
      <c r="H108" s="45">
        <f t="shared" si="22"/>
        <v>0</v>
      </c>
      <c r="I108" s="45">
        <f t="shared" si="22"/>
        <v>15000</v>
      </c>
      <c r="J108" s="45">
        <f t="shared" si="22"/>
        <v>0</v>
      </c>
      <c r="K108" s="45">
        <f t="shared" si="22"/>
        <v>15000</v>
      </c>
    </row>
    <row r="109" spans="1:11" ht="12.75">
      <c r="A109" s="5"/>
      <c r="B109" s="40"/>
      <c r="C109" s="40"/>
      <c r="D109" s="5"/>
      <c r="E109" s="5"/>
      <c r="F109" s="5"/>
      <c r="G109" s="5"/>
      <c r="H109" s="5"/>
      <c r="I109" s="5"/>
      <c r="J109" s="5"/>
      <c r="K109" s="5"/>
    </row>
    <row r="110" spans="1:11" ht="18">
      <c r="A110" s="5"/>
      <c r="B110" s="39" t="s">
        <v>66</v>
      </c>
      <c r="C110" s="39"/>
      <c r="D110" s="5"/>
      <c r="E110" s="5"/>
      <c r="F110" s="5"/>
      <c r="G110" s="5"/>
      <c r="H110" s="5"/>
      <c r="I110" s="5"/>
      <c r="J110" s="5"/>
      <c r="K110" s="5"/>
    </row>
    <row r="111" spans="1:11" ht="12.75">
      <c r="A111" s="5"/>
      <c r="B111" s="41" t="s">
        <v>67</v>
      </c>
      <c r="C111" s="41"/>
      <c r="D111" s="42"/>
      <c r="E111" s="42"/>
      <c r="F111" s="42"/>
      <c r="G111" s="42"/>
      <c r="H111" s="42"/>
      <c r="I111" s="42">
        <v>15000</v>
      </c>
      <c r="J111" s="42"/>
      <c r="K111" s="46">
        <f>SUM(D111:J111)</f>
        <v>15000</v>
      </c>
    </row>
    <row r="112" spans="1:11" ht="12.75">
      <c r="A112" s="5"/>
      <c r="B112" s="44"/>
      <c r="C112" s="44"/>
      <c r="D112" s="178"/>
      <c r="E112" s="178"/>
      <c r="F112" s="178"/>
      <c r="G112" s="178"/>
      <c r="H112" s="178"/>
      <c r="I112" s="178"/>
      <c r="J112" s="80"/>
      <c r="K112" s="5"/>
    </row>
    <row r="113" spans="1:11" ht="12.75">
      <c r="A113" s="5"/>
      <c r="B113" s="40"/>
      <c r="C113" s="40"/>
      <c r="D113" s="5"/>
      <c r="E113" s="24"/>
      <c r="F113" s="24"/>
      <c r="G113" s="5"/>
      <c r="H113" s="5"/>
      <c r="I113" s="5"/>
      <c r="J113" s="5"/>
      <c r="K113" s="5"/>
    </row>
    <row r="114" spans="1:11" ht="13.5" thickBot="1">
      <c r="A114" s="5"/>
      <c r="B114" s="41" t="s">
        <v>42</v>
      </c>
      <c r="C114" s="41"/>
      <c r="D114" s="45">
        <f aca="true" t="shared" si="23" ref="D114:K114">SUM(D111)</f>
        <v>0</v>
      </c>
      <c r="E114" s="45">
        <f t="shared" si="23"/>
        <v>0</v>
      </c>
      <c r="F114" s="45">
        <f t="shared" si="23"/>
        <v>0</v>
      </c>
      <c r="G114" s="45">
        <f t="shared" si="23"/>
        <v>0</v>
      </c>
      <c r="H114" s="45">
        <f t="shared" si="23"/>
        <v>0</v>
      </c>
      <c r="I114" s="45">
        <f t="shared" si="23"/>
        <v>15000</v>
      </c>
      <c r="J114" s="45">
        <f t="shared" si="23"/>
        <v>0</v>
      </c>
      <c r="K114" s="45">
        <f t="shared" si="23"/>
        <v>15000</v>
      </c>
    </row>
    <row r="115" spans="1:11" ht="12.75">
      <c r="A115" s="5"/>
      <c r="B115" s="41"/>
      <c r="C115" s="41"/>
      <c r="D115" s="47"/>
      <c r="E115" s="47"/>
      <c r="F115" s="47"/>
      <c r="G115" s="47"/>
      <c r="H115" s="47"/>
      <c r="I115" s="47"/>
      <c r="J115" s="47"/>
      <c r="K115" s="47"/>
    </row>
    <row r="116" spans="1:11" ht="18">
      <c r="A116" s="5"/>
      <c r="B116" s="39" t="s">
        <v>68</v>
      </c>
      <c r="C116" s="39"/>
      <c r="D116" s="5"/>
      <c r="E116" s="5"/>
      <c r="F116" s="5"/>
      <c r="G116" s="5"/>
      <c r="H116" s="5"/>
      <c r="I116" s="5"/>
      <c r="J116" s="5"/>
      <c r="K116" s="5"/>
    </row>
    <row r="117" spans="1:11" ht="12.75">
      <c r="A117" s="5"/>
      <c r="B117" s="41" t="s">
        <v>69</v>
      </c>
      <c r="C117" s="41"/>
      <c r="D117" s="42"/>
      <c r="E117" s="42"/>
      <c r="F117" s="42"/>
      <c r="G117" s="42"/>
      <c r="H117" s="42"/>
      <c r="I117" s="42">
        <v>15000</v>
      </c>
      <c r="J117" s="42"/>
      <c r="K117" s="46">
        <f>SUM(D117:J117)</f>
        <v>15000</v>
      </c>
    </row>
    <row r="118" spans="1:11" ht="12.75">
      <c r="A118" s="5"/>
      <c r="B118" s="44" t="s">
        <v>70</v>
      </c>
      <c r="C118" s="44"/>
      <c r="D118" s="178"/>
      <c r="E118" s="178"/>
      <c r="F118" s="178"/>
      <c r="G118" s="178"/>
      <c r="H118" s="178"/>
      <c r="I118" s="178"/>
      <c r="J118" s="80"/>
      <c r="K118" s="5"/>
    </row>
    <row r="119" spans="1:11" ht="12.75">
      <c r="A119" s="5"/>
      <c r="B119" s="40"/>
      <c r="C119" s="40"/>
      <c r="D119" s="24"/>
      <c r="E119" s="24"/>
      <c r="F119" s="24"/>
      <c r="G119" s="24"/>
      <c r="H119" s="24"/>
      <c r="I119" s="24"/>
      <c r="J119" s="24"/>
      <c r="K119" s="5"/>
    </row>
    <row r="120" spans="1:11" ht="12.75">
      <c r="A120" s="5"/>
      <c r="B120" s="41" t="s">
        <v>71</v>
      </c>
      <c r="C120" s="41"/>
      <c r="D120" s="42"/>
      <c r="E120" s="42"/>
      <c r="F120" s="42"/>
      <c r="G120" s="42"/>
      <c r="H120" s="42"/>
      <c r="I120" s="42">
        <v>5000</v>
      </c>
      <c r="J120" s="42"/>
      <c r="K120" s="46">
        <f>SUM(D120:J120)</f>
        <v>5000</v>
      </c>
    </row>
    <row r="121" spans="1:11" ht="12.75">
      <c r="A121" s="5"/>
      <c r="B121" s="44" t="s">
        <v>72</v>
      </c>
      <c r="C121" s="44"/>
      <c r="D121" s="178"/>
      <c r="E121" s="178"/>
      <c r="F121" s="178"/>
      <c r="G121" s="178"/>
      <c r="H121" s="178"/>
      <c r="I121" s="178"/>
      <c r="J121" s="80"/>
      <c r="K121" s="5"/>
    </row>
    <row r="122" spans="1:11" ht="12.75">
      <c r="A122" s="5"/>
      <c r="B122" s="40"/>
      <c r="C122" s="40"/>
      <c r="D122" s="5"/>
      <c r="E122" s="24"/>
      <c r="F122" s="24"/>
      <c r="G122" s="5"/>
      <c r="H122" s="5"/>
      <c r="I122" s="5"/>
      <c r="J122" s="5"/>
      <c r="K122" s="5"/>
    </row>
    <row r="123" spans="1:11" ht="13.5" thickBot="1">
      <c r="A123" s="5"/>
      <c r="B123" s="41" t="s">
        <v>48</v>
      </c>
      <c r="C123" s="41"/>
      <c r="D123" s="45">
        <f aca="true" t="shared" si="24" ref="D123:K123">SUM(D117,D120)</f>
        <v>0</v>
      </c>
      <c r="E123" s="45">
        <f t="shared" si="24"/>
        <v>0</v>
      </c>
      <c r="F123" s="45">
        <f t="shared" si="24"/>
        <v>0</v>
      </c>
      <c r="G123" s="45">
        <f t="shared" si="24"/>
        <v>0</v>
      </c>
      <c r="H123" s="45">
        <f t="shared" si="24"/>
        <v>0</v>
      </c>
      <c r="I123" s="45">
        <f t="shared" si="24"/>
        <v>20000</v>
      </c>
      <c r="J123" s="45">
        <f t="shared" si="24"/>
        <v>0</v>
      </c>
      <c r="K123" s="45">
        <f t="shared" si="24"/>
        <v>20000</v>
      </c>
    </row>
    <row r="124" spans="1:11" ht="12.75">
      <c r="A124" s="5"/>
      <c r="B124" s="41"/>
      <c r="C124" s="41"/>
      <c r="D124" s="47"/>
      <c r="E124" s="47"/>
      <c r="F124" s="47"/>
      <c r="G124" s="47"/>
      <c r="H124" s="47"/>
      <c r="I124" s="47"/>
      <c r="J124" s="47"/>
      <c r="K124" s="47"/>
    </row>
    <row r="125" spans="1:11" ht="18">
      <c r="A125" s="5"/>
      <c r="B125" s="39" t="s">
        <v>73</v>
      </c>
      <c r="C125" s="39"/>
      <c r="D125" s="5"/>
      <c r="E125" s="5"/>
      <c r="F125" s="5"/>
      <c r="G125" s="5"/>
      <c r="H125" s="5"/>
      <c r="I125" s="5"/>
      <c r="J125" s="5"/>
      <c r="K125" s="5"/>
    </row>
    <row r="126" spans="1:11" ht="12.75">
      <c r="A126" s="5"/>
      <c r="B126" s="40"/>
      <c r="C126" s="40"/>
      <c r="D126" s="24"/>
      <c r="E126" s="24"/>
      <c r="F126" s="24"/>
      <c r="G126" s="24"/>
      <c r="H126" s="24"/>
      <c r="I126" s="24"/>
      <c r="J126" s="24"/>
      <c r="K126" s="24"/>
    </row>
    <row r="127" spans="1:11" ht="12.75">
      <c r="A127" s="5"/>
      <c r="B127" s="41" t="s">
        <v>74</v>
      </c>
      <c r="C127" s="41"/>
      <c r="D127" s="42"/>
      <c r="E127" s="42"/>
      <c r="F127" s="42"/>
      <c r="G127" s="42"/>
      <c r="H127" s="42"/>
      <c r="I127" s="42">
        <v>22500</v>
      </c>
      <c r="J127" s="42"/>
      <c r="K127" s="46">
        <f>SUM(D127:J127)</f>
        <v>22500</v>
      </c>
    </row>
    <row r="128" spans="1:11" ht="12.75">
      <c r="A128" s="5"/>
      <c r="B128" s="44" t="s">
        <v>75</v>
      </c>
      <c r="C128" s="44"/>
      <c r="D128" s="178"/>
      <c r="E128" s="178"/>
      <c r="F128" s="178"/>
      <c r="G128" s="178"/>
      <c r="H128" s="178"/>
      <c r="I128" s="178"/>
      <c r="J128" s="80"/>
      <c r="K128" s="5"/>
    </row>
    <row r="129" spans="1:11" ht="12.75">
      <c r="A129" s="5"/>
      <c r="B129" s="40"/>
      <c r="C129" s="40"/>
      <c r="D129" s="5"/>
      <c r="E129" s="24"/>
      <c r="F129" s="24"/>
      <c r="G129" s="5"/>
      <c r="H129" s="5"/>
      <c r="I129" s="5"/>
      <c r="J129" s="5"/>
      <c r="K129" s="5"/>
    </row>
    <row r="130" spans="1:11" ht="13.5" thickBot="1">
      <c r="A130" s="5"/>
      <c r="B130" s="41" t="s">
        <v>76</v>
      </c>
      <c r="C130" s="41"/>
      <c r="D130" s="45">
        <f aca="true" t="shared" si="25" ref="D130:K130">SUM(D127)</f>
        <v>0</v>
      </c>
      <c r="E130" s="45">
        <f t="shared" si="25"/>
        <v>0</v>
      </c>
      <c r="F130" s="45">
        <f t="shared" si="25"/>
        <v>0</v>
      </c>
      <c r="G130" s="45">
        <f t="shared" si="25"/>
        <v>0</v>
      </c>
      <c r="H130" s="45">
        <f t="shared" si="25"/>
        <v>0</v>
      </c>
      <c r="I130" s="45">
        <f t="shared" si="25"/>
        <v>22500</v>
      </c>
      <c r="J130" s="45">
        <f t="shared" si="25"/>
        <v>0</v>
      </c>
      <c r="K130" s="45">
        <f t="shared" si="25"/>
        <v>22500</v>
      </c>
    </row>
    <row r="131" spans="1:11" ht="12.75">
      <c r="A131" s="5"/>
      <c r="B131" s="41"/>
      <c r="C131" s="41"/>
      <c r="D131" s="47"/>
      <c r="E131" s="47"/>
      <c r="F131" s="47"/>
      <c r="G131" s="47"/>
      <c r="H131" s="47"/>
      <c r="I131" s="47"/>
      <c r="J131" s="47"/>
      <c r="K131" s="47"/>
    </row>
    <row r="132" spans="1:11" ht="18">
      <c r="A132" s="5"/>
      <c r="B132" s="39" t="s">
        <v>77</v>
      </c>
      <c r="C132" s="39"/>
      <c r="D132" s="5"/>
      <c r="E132" s="5"/>
      <c r="F132" s="5"/>
      <c r="G132" s="5"/>
      <c r="H132" s="5"/>
      <c r="I132" s="5"/>
      <c r="J132" s="5"/>
      <c r="K132" s="5"/>
    </row>
    <row r="133" spans="1:11" ht="12.75">
      <c r="A133" s="5"/>
      <c r="B133" s="41" t="s">
        <v>78</v>
      </c>
      <c r="C133" s="41"/>
      <c r="D133" s="42"/>
      <c r="E133" s="42"/>
      <c r="F133" s="42"/>
      <c r="G133" s="42"/>
      <c r="H133" s="42"/>
      <c r="I133" s="42"/>
      <c r="J133" s="42"/>
      <c r="K133" s="46">
        <f>SUM(D133:J133)</f>
        <v>0</v>
      </c>
    </row>
    <row r="134" spans="1:11" ht="12.75">
      <c r="A134" s="5"/>
      <c r="B134" s="44"/>
      <c r="C134" s="44"/>
      <c r="D134" s="178"/>
      <c r="E134" s="178"/>
      <c r="F134" s="178"/>
      <c r="G134" s="178"/>
      <c r="H134" s="178"/>
      <c r="I134" s="178"/>
      <c r="J134" s="80"/>
      <c r="K134" s="5"/>
    </row>
    <row r="135" spans="1:11" ht="12.75">
      <c r="A135" s="5"/>
      <c r="B135" s="41" t="s">
        <v>79</v>
      </c>
      <c r="C135" s="41"/>
      <c r="D135" s="42"/>
      <c r="E135" s="42"/>
      <c r="F135" s="42"/>
      <c r="G135" s="42"/>
      <c r="H135" s="42"/>
      <c r="I135" s="42">
        <v>2000</v>
      </c>
      <c r="J135" s="42"/>
      <c r="K135" s="46">
        <f>SUM(D135:J135)</f>
        <v>2000</v>
      </c>
    </row>
    <row r="136" spans="1:11" ht="12.75">
      <c r="A136" s="5"/>
      <c r="B136" s="44" t="s">
        <v>80</v>
      </c>
      <c r="C136" s="44"/>
      <c r="D136" s="178"/>
      <c r="E136" s="178"/>
      <c r="F136" s="178"/>
      <c r="G136" s="178"/>
      <c r="H136" s="178"/>
      <c r="I136" s="178"/>
      <c r="J136" s="80"/>
      <c r="K136" s="5"/>
    </row>
    <row r="137" spans="1:11" ht="12.75">
      <c r="A137" s="5"/>
      <c r="B137" s="41" t="s">
        <v>81</v>
      </c>
      <c r="C137" s="41"/>
      <c r="D137" s="42"/>
      <c r="E137" s="42"/>
      <c r="F137" s="42"/>
      <c r="G137" s="42"/>
      <c r="H137" s="42"/>
      <c r="I137" s="42">
        <v>10000</v>
      </c>
      <c r="J137" s="42"/>
      <c r="K137" s="46">
        <f>SUM(D137:J137)</f>
        <v>10000</v>
      </c>
    </row>
    <row r="138" spans="1:11" ht="12.75">
      <c r="A138" s="5"/>
      <c r="B138" s="44"/>
      <c r="C138" s="44"/>
      <c r="D138" s="178"/>
      <c r="E138" s="178"/>
      <c r="F138" s="178"/>
      <c r="G138" s="178"/>
      <c r="H138" s="178"/>
      <c r="I138" s="178"/>
      <c r="J138" s="80"/>
      <c r="K138" s="5"/>
    </row>
    <row r="139" spans="1:11" ht="12.75">
      <c r="A139" s="5"/>
      <c r="B139" s="41" t="s">
        <v>82</v>
      </c>
      <c r="C139" s="41"/>
      <c r="D139" s="42"/>
      <c r="E139" s="42"/>
      <c r="F139" s="42"/>
      <c r="G139" s="42"/>
      <c r="H139" s="42"/>
      <c r="I139" s="42">
        <v>5000</v>
      </c>
      <c r="J139" s="42"/>
      <c r="K139" s="46">
        <f>SUM(D139:J139)</f>
        <v>5000</v>
      </c>
    </row>
    <row r="140" spans="1:11" ht="12.75">
      <c r="A140" s="5"/>
      <c r="B140" s="44" t="s">
        <v>83</v>
      </c>
      <c r="C140" s="44"/>
      <c r="D140" s="178"/>
      <c r="E140" s="178"/>
      <c r="F140" s="178"/>
      <c r="G140" s="178"/>
      <c r="H140" s="178"/>
      <c r="I140" s="178"/>
      <c r="J140" s="80"/>
      <c r="K140" s="5"/>
    </row>
    <row r="141" spans="1:11" ht="12.75">
      <c r="A141" s="5"/>
      <c r="B141" s="41" t="s">
        <v>84</v>
      </c>
      <c r="C141" s="41"/>
      <c r="D141" s="42"/>
      <c r="E141" s="42"/>
      <c r="F141" s="42"/>
      <c r="G141" s="42"/>
      <c r="H141" s="42"/>
      <c r="I141" s="42">
        <v>13000</v>
      </c>
      <c r="J141" s="42"/>
      <c r="K141" s="46">
        <f>SUM(D141:J141)</f>
        <v>13000</v>
      </c>
    </row>
    <row r="142" spans="1:11" ht="12.75">
      <c r="A142" s="5"/>
      <c r="B142" s="44"/>
      <c r="C142" s="44"/>
      <c r="D142" s="178"/>
      <c r="E142" s="178"/>
      <c r="F142" s="178"/>
      <c r="G142" s="178"/>
      <c r="H142" s="178"/>
      <c r="I142" s="178"/>
      <c r="J142" s="80"/>
      <c r="K142" s="5"/>
    </row>
    <row r="143" spans="1:11" ht="12.75">
      <c r="A143" s="5"/>
      <c r="B143" s="41" t="s">
        <v>85</v>
      </c>
      <c r="C143" s="41"/>
      <c r="D143" s="42"/>
      <c r="E143" s="42"/>
      <c r="F143" s="42"/>
      <c r="G143" s="42"/>
      <c r="H143" s="42"/>
      <c r="I143" s="42"/>
      <c r="J143" s="42"/>
      <c r="K143" s="46">
        <f>SUM(D143:J143)</f>
        <v>0</v>
      </c>
    </row>
    <row r="144" spans="1:11" ht="12.75">
      <c r="A144" s="5"/>
      <c r="B144" s="44"/>
      <c r="C144" s="44"/>
      <c r="D144" s="178"/>
      <c r="E144" s="178"/>
      <c r="F144" s="178"/>
      <c r="G144" s="178"/>
      <c r="H144" s="178"/>
      <c r="I144" s="178"/>
      <c r="J144" s="80"/>
      <c r="K144" s="5"/>
    </row>
    <row r="145" spans="1:11" ht="12.75">
      <c r="A145" s="5"/>
      <c r="B145" s="40"/>
      <c r="C145" s="40"/>
      <c r="D145" s="5"/>
      <c r="E145" s="24"/>
      <c r="F145" s="24"/>
      <c r="G145" s="5"/>
      <c r="H145" s="5"/>
      <c r="I145" s="5"/>
      <c r="J145" s="5"/>
      <c r="K145" s="5"/>
    </row>
    <row r="146" spans="1:11" ht="13.5" thickBot="1">
      <c r="A146" s="5"/>
      <c r="B146" s="41" t="s">
        <v>86</v>
      </c>
      <c r="C146" s="41"/>
      <c r="D146" s="45">
        <f aca="true" t="shared" si="26" ref="D146:K146">SUM(D133,D135,D137,D139,D141,D143)</f>
        <v>0</v>
      </c>
      <c r="E146" s="45">
        <f t="shared" si="26"/>
        <v>0</v>
      </c>
      <c r="F146" s="45">
        <f t="shared" si="26"/>
        <v>0</v>
      </c>
      <c r="G146" s="45">
        <f t="shared" si="26"/>
        <v>0</v>
      </c>
      <c r="H146" s="45">
        <f t="shared" si="26"/>
        <v>0</v>
      </c>
      <c r="I146" s="45">
        <f t="shared" si="26"/>
        <v>30000</v>
      </c>
      <c r="J146" s="45">
        <f t="shared" si="26"/>
        <v>0</v>
      </c>
      <c r="K146" s="45">
        <f t="shared" si="26"/>
        <v>30000</v>
      </c>
    </row>
    <row r="148" spans="2:11" ht="18.75" thickBot="1">
      <c r="B148" s="28" t="s">
        <v>87</v>
      </c>
      <c r="C148" s="28"/>
      <c r="D148" s="51">
        <f aca="true" t="shared" si="27" ref="D148:K148">SUM(D108,D114,D123,D130,D146)</f>
        <v>0</v>
      </c>
      <c r="E148" s="51">
        <f t="shared" si="27"/>
        <v>0</v>
      </c>
      <c r="F148" s="51">
        <f t="shared" si="27"/>
        <v>0</v>
      </c>
      <c r="G148" s="51">
        <f t="shared" si="27"/>
        <v>0</v>
      </c>
      <c r="H148" s="51">
        <f t="shared" si="27"/>
        <v>0</v>
      </c>
      <c r="I148" s="51">
        <f t="shared" si="27"/>
        <v>102500</v>
      </c>
      <c r="J148" s="51">
        <f t="shared" si="27"/>
        <v>0</v>
      </c>
      <c r="K148" s="51">
        <f t="shared" si="27"/>
        <v>102500</v>
      </c>
    </row>
    <row r="149" ht="13.5" thickTop="1"/>
  </sheetData>
  <sheetProtection formatColumns="0" selectLockedCells="1"/>
  <mergeCells count="26">
    <mergeCell ref="D144:I144"/>
    <mergeCell ref="D136:I136"/>
    <mergeCell ref="D138:I138"/>
    <mergeCell ref="D121:I121"/>
    <mergeCell ref="D128:I128"/>
    <mergeCell ref="D134:I134"/>
    <mergeCell ref="D140:I140"/>
    <mergeCell ref="D142:I142"/>
    <mergeCell ref="D118:I118"/>
    <mergeCell ref="D107:I107"/>
    <mergeCell ref="D112:I112"/>
    <mergeCell ref="D95:I95"/>
    <mergeCell ref="D90:I90"/>
    <mergeCell ref="D93:I93"/>
    <mergeCell ref="D97:I97"/>
    <mergeCell ref="D88:I88"/>
    <mergeCell ref="B1:I1"/>
    <mergeCell ref="D42:I42"/>
    <mergeCell ref="D54:I54"/>
    <mergeCell ref="D57:I57"/>
    <mergeCell ref="D44:I44"/>
    <mergeCell ref="D86:I86"/>
    <mergeCell ref="D46:I46"/>
    <mergeCell ref="D60:I60"/>
    <mergeCell ref="D70:I70"/>
    <mergeCell ref="D72:I72"/>
  </mergeCells>
  <dataValidations count="2">
    <dataValidation type="list" allowBlank="1" showInputMessage="1" showErrorMessage="1" sqref="C96 C94 C89 C85 C87 C91:C92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14" right="0.17" top="0.45" bottom="0.23" header="0.46" footer="0.25"/>
  <pageSetup fitToHeight="2" horizontalDpi="600" verticalDpi="600" orientation="landscape" scale="5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1" max="8" man="1"/>
  </rowBreaks>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zoomScalePageLayoutView="0" workbookViewId="0" topLeftCell="B22">
      <selection activeCell="F33" sqref="F33"/>
    </sheetView>
  </sheetViews>
  <sheetFormatPr defaultColWidth="9.140625" defaultRowHeight="12.75"/>
  <cols>
    <col min="1" max="1" width="15.57421875" style="7" customWidth="1"/>
    <col min="2" max="2" width="78.0039062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1.28125" style="7" bestFit="1" customWidth="1"/>
    <col min="11" max="16384" width="9.140625" style="7" customWidth="1"/>
  </cols>
  <sheetData>
    <row r="1" spans="1:12" s="3" customFormat="1" ht="21" customHeight="1">
      <c r="A1" s="1"/>
      <c r="B1" s="180" t="s">
        <v>88</v>
      </c>
      <c r="C1" s="180"/>
      <c r="D1" s="180"/>
      <c r="E1" s="180"/>
      <c r="F1" s="180"/>
      <c r="G1" s="180"/>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12.7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7.25">
      <c r="A10" s="5"/>
      <c r="B10" s="52"/>
      <c r="C10" s="109" t="s">
        <v>93</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15.75">
      <c r="A11" s="5"/>
      <c r="B11" s="52"/>
      <c r="C11" s="5"/>
      <c r="D11" s="5"/>
      <c r="E11" s="5"/>
      <c r="F11" s="5"/>
      <c r="G11" s="5"/>
      <c r="H11" s="46"/>
      <c r="I11" s="46"/>
      <c r="J11" s="46"/>
      <c r="K11" s="46"/>
      <c r="L11" s="46"/>
    </row>
    <row r="12" spans="1:12" ht="15.75">
      <c r="A12" s="5"/>
      <c r="B12" s="110" t="s">
        <v>155</v>
      </c>
      <c r="C12" s="160"/>
      <c r="D12" s="160"/>
      <c r="E12" s="160"/>
      <c r="F12" s="160"/>
      <c r="G12" s="160"/>
      <c r="H12" s="160"/>
      <c r="I12" s="160"/>
      <c r="J12" s="46"/>
      <c r="K12" s="46"/>
      <c r="L12" s="46"/>
    </row>
    <row r="13" ht="12.75"/>
    <row r="14" spans="1:12" ht="12.75">
      <c r="A14" s="5"/>
      <c r="B14" s="54" t="s">
        <v>249</v>
      </c>
      <c r="C14" s="5"/>
      <c r="D14"/>
      <c r="E14" s="164">
        <v>0</v>
      </c>
      <c r="F14" s="164">
        <v>0</v>
      </c>
      <c r="G14" s="164">
        <v>0</v>
      </c>
      <c r="H14" s="164">
        <v>0</v>
      </c>
      <c r="I14" s="164">
        <v>0</v>
      </c>
      <c r="J14" s="46"/>
      <c r="K14" s="46"/>
      <c r="L14" s="46"/>
    </row>
    <row r="15" spans="1:12" ht="12.75">
      <c r="A15" s="5"/>
      <c r="B15" s="54" t="s">
        <v>276</v>
      </c>
      <c r="C15" s="89">
        <v>0.5</v>
      </c>
      <c r="D15" s="89">
        <v>0.5</v>
      </c>
      <c r="E15" s="164">
        <v>0.533</v>
      </c>
      <c r="F15" s="164">
        <v>0.567</v>
      </c>
      <c r="G15" s="164">
        <v>0.6</v>
      </c>
      <c r="H15" s="164">
        <f>G15</f>
        <v>0.6</v>
      </c>
      <c r="I15" s="164">
        <f>H15</f>
        <v>0.6</v>
      </c>
      <c r="J15" s="46"/>
      <c r="K15" s="46"/>
      <c r="L15" s="5"/>
    </row>
    <row r="16" spans="1:12" ht="12.75">
      <c r="A16" s="5"/>
      <c r="B16" s="54" t="s">
        <v>277</v>
      </c>
      <c r="C16" s="90">
        <f>1-C15</f>
        <v>0.5</v>
      </c>
      <c r="D16" s="90">
        <f>1-D15</f>
        <v>0.5</v>
      </c>
      <c r="E16" s="90">
        <f>1-E15-E14</f>
        <v>0.46699999999999997</v>
      </c>
      <c r="F16" s="90">
        <f>1-F15-F14</f>
        <v>0.43300000000000005</v>
      </c>
      <c r="G16" s="90">
        <f>1-G15-G14</f>
        <v>0.4</v>
      </c>
      <c r="H16" s="90">
        <f>1-H15-H14</f>
        <v>0.4</v>
      </c>
      <c r="I16" s="90">
        <f>1-I15-I14</f>
        <v>0.4</v>
      </c>
      <c r="J16" s="46"/>
      <c r="K16" s="46"/>
      <c r="L16" s="5"/>
    </row>
    <row r="17" ht="12.75"/>
    <row r="18" spans="1:12" ht="12.75">
      <c r="A18" s="5"/>
      <c r="B18" s="54" t="s">
        <v>250</v>
      </c>
      <c r="C18" s="163"/>
      <c r="D18" s="90"/>
      <c r="E18" s="123">
        <v>0.0447</v>
      </c>
      <c r="F18" s="123">
        <v>0.0113</v>
      </c>
      <c r="G18" s="123">
        <v>0.0113</v>
      </c>
      <c r="H18" s="123">
        <v>0.0113</v>
      </c>
      <c r="I18" s="123">
        <v>0.0113</v>
      </c>
      <c r="J18" s="46"/>
      <c r="K18" s="46"/>
      <c r="L18" s="5"/>
    </row>
    <row r="19" spans="1:12" ht="12.75">
      <c r="A19" s="5"/>
      <c r="B19" s="54" t="s">
        <v>278</v>
      </c>
      <c r="C19" s="91">
        <v>0.0625</v>
      </c>
      <c r="D19" s="165">
        <f aca="true" t="shared" si="1" ref="D19:I19">C19</f>
        <v>0.0625</v>
      </c>
      <c r="E19" s="165">
        <f t="shared" si="1"/>
        <v>0.0625</v>
      </c>
      <c r="F19" s="165">
        <f t="shared" si="1"/>
        <v>0.0625</v>
      </c>
      <c r="G19" s="165">
        <f t="shared" si="1"/>
        <v>0.0625</v>
      </c>
      <c r="H19" s="165">
        <f t="shared" si="1"/>
        <v>0.0625</v>
      </c>
      <c r="I19" s="165">
        <f t="shared" si="1"/>
        <v>0.0625</v>
      </c>
      <c r="J19" s="46"/>
      <c r="K19" s="46"/>
      <c r="L19" s="5"/>
    </row>
    <row r="20" spans="1:12" ht="13.5" customHeight="1">
      <c r="A20" s="5"/>
      <c r="B20" s="54" t="s">
        <v>279</v>
      </c>
      <c r="C20" s="91">
        <v>0</v>
      </c>
      <c r="D20" s="91">
        <v>0</v>
      </c>
      <c r="E20" s="91">
        <v>0</v>
      </c>
      <c r="F20" s="91">
        <v>0</v>
      </c>
      <c r="G20" s="91">
        <v>0</v>
      </c>
      <c r="H20" s="91">
        <v>0</v>
      </c>
      <c r="I20" s="91">
        <v>0</v>
      </c>
      <c r="J20" s="5"/>
      <c r="K20" s="5"/>
      <c r="L20" s="5"/>
    </row>
    <row r="21" spans="1:12" ht="18" customHeight="1">
      <c r="A21" s="5"/>
      <c r="B21" s="55" t="s">
        <v>94</v>
      </c>
      <c r="C21" s="95">
        <f>(C19*C15)+(C16*C20)</f>
        <v>0.03125</v>
      </c>
      <c r="D21" s="95">
        <f>(D19*D15)+(D16*D20)</f>
        <v>0.03125</v>
      </c>
      <c r="E21" s="95">
        <f>(E14*E18)+(E15*E19)+(E16*E20)</f>
        <v>0.0333125</v>
      </c>
      <c r="F21" s="95">
        <f>(F14*F18)+(F15*F19)+(F16*F20)</f>
        <v>0.0354375</v>
      </c>
      <c r="G21" s="95">
        <f>(G14*G18)+(G15*G19)+(G16*G20)</f>
        <v>0.0375</v>
      </c>
      <c r="H21" s="95">
        <f>(H14*H18)+(H15*H19)+(H16*H20)</f>
        <v>0.0375</v>
      </c>
      <c r="I21" s="95">
        <f>(I14*I18)+(I15*I19)+(I16*I20)</f>
        <v>0.0375</v>
      </c>
      <c r="J21" s="5"/>
      <c r="K21" s="5"/>
      <c r="L21" s="5"/>
    </row>
    <row r="22" spans="1:12" ht="18"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96</v>
      </c>
      <c r="C25" s="59"/>
      <c r="D25" s="59"/>
      <c r="E25" s="59"/>
      <c r="F25" s="59"/>
      <c r="G25" s="59"/>
      <c r="H25" s="59"/>
      <c r="I25" s="59"/>
      <c r="J25" s="5"/>
      <c r="K25" s="5"/>
      <c r="L25" s="5"/>
    </row>
    <row r="26" spans="1:12" ht="12.75">
      <c r="A26" s="5"/>
      <c r="B26" s="54" t="s">
        <v>97</v>
      </c>
      <c r="C26" s="91">
        <v>0.3612</v>
      </c>
      <c r="D26" s="91">
        <v>0.3612</v>
      </c>
      <c r="E26" s="91">
        <v>0.335</v>
      </c>
      <c r="F26" s="91">
        <v>0.33</v>
      </c>
      <c r="G26" s="91">
        <v>0.32</v>
      </c>
      <c r="H26" s="91">
        <v>0.305</v>
      </c>
      <c r="I26" s="91">
        <v>0.29</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2"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Actual</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0</v>
      </c>
      <c r="E31" s="96">
        <f>SUMIF('2. Smart Meter Data'!$C:$J,"Smart Meter",'2. Smart Meter Data'!F:F)</f>
        <v>0</v>
      </c>
      <c r="F31" s="96">
        <f>SUMIF('2. Smart Meter Data'!$C:$J,"Smart Meter",'2. Smart Meter Data'!G:G)</f>
        <v>564205.2700000001</v>
      </c>
      <c r="G31" s="96">
        <f>SUMIF('2. Smart Meter Data'!$C:$J,"Smart Meter",'2. Smart Meter Data'!H:H)</f>
        <v>134003.57</v>
      </c>
      <c r="H31" s="96">
        <f>SUMIF('2. Smart Meter Data'!$C:$J,"Smart Meter",'2. Smart Meter Data'!I:I)</f>
        <v>0</v>
      </c>
      <c r="I31" s="96">
        <f>SUMIF('2. Smart Meter Data'!$C:$J,"Smart Meter",'2. Smart Meter Data'!J:J)</f>
        <v>0</v>
      </c>
      <c r="J31" s="97">
        <f>SUM(C31:H31)</f>
        <v>698208.8400000001</v>
      </c>
      <c r="K31" s="5"/>
      <c r="L31" s="5"/>
      <c r="M31" s="5"/>
    </row>
    <row r="32" spans="1:13" ht="12.75">
      <c r="A32" s="5"/>
      <c r="B32" s="31" t="s">
        <v>98</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22101.41</v>
      </c>
      <c r="G32" s="96">
        <f>SUMIF('2. Smart Meter Data'!$C:$J,"Comp. Hard.",'2. Smart Meter Data'!H:H)</f>
        <v>1975.39</v>
      </c>
      <c r="H32" s="96">
        <f>SUMIF('2. Smart Meter Data'!$C:$J,"Comp. Hard.",'2. Smart Meter Data'!I:I)</f>
        <v>0</v>
      </c>
      <c r="I32" s="96">
        <f>SUMIF('2. Smart Meter Data'!$C:$J,"Comp. Hard.",'2. Smart Meter Data'!J:J)</f>
        <v>0</v>
      </c>
      <c r="J32" s="97">
        <f>SUM(C32:H32)</f>
        <v>24076.8</v>
      </c>
      <c r="K32" s="5"/>
      <c r="L32" s="5"/>
      <c r="M32" s="5"/>
    </row>
    <row r="33" spans="1:13" ht="12.75">
      <c r="A33" s="5"/>
      <c r="B33" s="31" t="s">
        <v>99</v>
      </c>
      <c r="C33" s="96">
        <f>SUMIF('2. Smart Meter Data'!$C:$J,"Comp. Soft.",'2. Smart Meter Data'!D:D)</f>
        <v>0</v>
      </c>
      <c r="D33" s="96">
        <f>SUMIF('2. Smart Meter Data'!$C:$J,"Comp. Soft.",'2. Smart Meter Data'!E:E)</f>
        <v>0</v>
      </c>
      <c r="E33" s="96">
        <f>SUMIF('2. Smart Meter Data'!$C:$J,"Comp. Soft.",'2. Smart Meter Data'!F:F)</f>
        <v>0</v>
      </c>
      <c r="F33" s="96">
        <f>SUMIF('2. Smart Meter Data'!$C:$J,"Comp. Soft.",'2. Smart Meter Data'!G:G)</f>
        <v>68785.70999999999</v>
      </c>
      <c r="G33" s="96">
        <f>SUMIF('2. Smart Meter Data'!$C:$J,"Comp. Soft.",'2. Smart Meter Data'!H:H)</f>
        <v>13126.95</v>
      </c>
      <c r="H33" s="96">
        <f>SUMIF('2. Smart Meter Data'!$C:$J,"Comp. Soft.",'2. Smart Meter Data'!I:I)</f>
        <v>0</v>
      </c>
      <c r="I33" s="96">
        <f>SUMIF('2. Smart Meter Data'!$C:$J,"Comp. Soft.",'2. Smart Meter Data'!J:J)</f>
        <v>0</v>
      </c>
      <c r="J33" s="97">
        <f>SUM(C33:H33)</f>
        <v>81912.65999999999</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16000</v>
      </c>
      <c r="G34" s="96">
        <f>SUMIF('2. Smart Meter Data'!$C:$J,"Tools &amp; Equip",'2. Smart Meter Data'!H:H)</f>
        <v>1904.76</v>
      </c>
      <c r="H34" s="96">
        <f>SUMIF('2. Smart Meter Data'!$C:$J,"Tools &amp; Equip",'2. Smart Meter Data'!I:I)</f>
        <v>0</v>
      </c>
      <c r="I34" s="96">
        <f>SUMIF('2. Smart Meter Data'!$C:$J,"Tools &amp; Equip",'2. Smart Meter Data'!J:J)</f>
        <v>0</v>
      </c>
      <c r="J34" s="97">
        <f>SUM(C34:H34)</f>
        <v>17904.76</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782.05</v>
      </c>
      <c r="G35" s="96">
        <f>SUMIF('2. Smart Meter Data'!$C:$J,"Other Equip.",'2. Smart Meter Data'!H:H)</f>
        <v>561.45</v>
      </c>
      <c r="H35" s="96">
        <f>SUMIF('2. Smart Meter Data'!$C:$J,"Other Equip.",'2. Smart Meter Data'!I:I)</f>
        <v>0</v>
      </c>
      <c r="I35" s="96">
        <f>SUMIF('2. Smart Meter Data'!$C:$J,"Other Equip.",'2. Smart Meter Data'!J:J)</f>
        <v>0</v>
      </c>
      <c r="J35" s="97">
        <f>SUM(C35:H35)</f>
        <v>1343.5</v>
      </c>
      <c r="K35" s="5"/>
      <c r="L35" s="5"/>
      <c r="M35" s="5"/>
    </row>
    <row r="36" spans="1:13" ht="13.5" thickBot="1">
      <c r="A36" s="5"/>
      <c r="B36" s="55" t="s">
        <v>60</v>
      </c>
      <c r="C36" s="98">
        <f aca="true" t="shared" si="2" ref="C36:J36">SUM(C31:C33)</f>
        <v>0</v>
      </c>
      <c r="D36" s="98">
        <f t="shared" si="2"/>
        <v>0</v>
      </c>
      <c r="E36" s="98">
        <f t="shared" si="2"/>
        <v>0</v>
      </c>
      <c r="F36" s="98">
        <f t="shared" si="2"/>
        <v>655092.3900000001</v>
      </c>
      <c r="G36" s="98">
        <f t="shared" si="2"/>
        <v>149105.91000000003</v>
      </c>
      <c r="H36" s="98">
        <f t="shared" si="2"/>
        <v>0</v>
      </c>
      <c r="I36" s="98">
        <f t="shared" si="2"/>
        <v>0</v>
      </c>
      <c r="J36" s="98">
        <f t="shared" si="2"/>
        <v>804198.3000000002</v>
      </c>
      <c r="K36" s="5"/>
      <c r="L36" s="5"/>
      <c r="M36" s="5"/>
    </row>
    <row r="37" spans="1:13" ht="12.75">
      <c r="A37" s="5"/>
      <c r="B37" s="5"/>
      <c r="C37" s="93">
        <f>'2. Smart Meter Data'!D100-C36</f>
        <v>0</v>
      </c>
      <c r="D37" s="93">
        <f>'2. Smart Meter Data'!E100-D36</f>
        <v>0</v>
      </c>
      <c r="E37" s="93">
        <f>'2. Smart Meter Data'!F100-E36</f>
        <v>0</v>
      </c>
      <c r="F37" s="93">
        <f>'2. Smart Meter Data'!G100-F36</f>
        <v>16782.049999999814</v>
      </c>
      <c r="G37" s="93">
        <f>'2. Smart Meter Data'!H100-G36</f>
        <v>2466.209999999992</v>
      </c>
      <c r="H37" s="93">
        <f>'2. Smart Meter Data'!I100-H36</f>
        <v>0</v>
      </c>
      <c r="I37" s="93">
        <f>'2. Smart Meter Data'!J100-I36</f>
        <v>0</v>
      </c>
      <c r="J37" s="93">
        <f>'2. Smart Meter Data'!K100-J36</f>
        <v>19248.259999999776</v>
      </c>
      <c r="K37" s="5"/>
      <c r="L37" s="5"/>
      <c r="M37" s="5"/>
    </row>
    <row r="38" spans="1:12" ht="12.75">
      <c r="A38" s="5"/>
      <c r="E38" s="5"/>
      <c r="F38" s="5"/>
      <c r="G38" s="5"/>
      <c r="H38" s="5"/>
      <c r="I38" s="5"/>
      <c r="J38" s="5"/>
      <c r="K38" s="5"/>
      <c r="L38" s="5"/>
    </row>
    <row r="39" spans="1:12" ht="12.75">
      <c r="A39" s="5"/>
      <c r="B39" s="5"/>
      <c r="C39" s="24">
        <f>C29</f>
        <v>2006</v>
      </c>
      <c r="D39" s="24">
        <f aca="true" t="shared" si="3" ref="D39:J39">D29</f>
        <v>2007</v>
      </c>
      <c r="E39" s="24">
        <f t="shared" si="3"/>
        <v>2008</v>
      </c>
      <c r="F39" s="24">
        <f t="shared" si="3"/>
        <v>2009</v>
      </c>
      <c r="G39" s="24">
        <f t="shared" si="3"/>
        <v>2010</v>
      </c>
      <c r="H39" s="24">
        <f t="shared" si="3"/>
        <v>2011</v>
      </c>
      <c r="I39" s="24" t="str">
        <f t="shared" si="3"/>
        <v>Later</v>
      </c>
      <c r="J39" s="24" t="str">
        <f t="shared" si="3"/>
        <v>Total</v>
      </c>
      <c r="K39" s="5"/>
      <c r="L39" s="5"/>
    </row>
    <row r="40" spans="1:13" ht="15.75">
      <c r="A40" s="5"/>
      <c r="B40" s="52" t="s">
        <v>100</v>
      </c>
      <c r="C40" s="24" t="str">
        <f>C30</f>
        <v>Audited Actual</v>
      </c>
      <c r="D40" s="24" t="str">
        <f aca="true" t="shared" si="4" ref="D40:I40">D30</f>
        <v>Audited Actual</v>
      </c>
      <c r="E40" s="24" t="str">
        <f t="shared" si="4"/>
        <v>Audited Actual</v>
      </c>
      <c r="F40" s="24" t="str">
        <f t="shared" si="4"/>
        <v>Audited Actual</v>
      </c>
      <c r="G40" s="24" t="str">
        <f t="shared" si="4"/>
        <v>Actual</v>
      </c>
      <c r="H40" s="24" t="str">
        <f t="shared" si="4"/>
        <v>Forecasted</v>
      </c>
      <c r="I40" s="24" t="str">
        <f t="shared" si="4"/>
        <v>Forecasted</v>
      </c>
      <c r="J40" s="24"/>
      <c r="K40" s="5"/>
      <c r="L40" s="5"/>
      <c r="M40" s="5"/>
    </row>
    <row r="41" spans="1:13" ht="12.75">
      <c r="A41" s="5"/>
      <c r="B41" s="57" t="s">
        <v>101</v>
      </c>
      <c r="C41" s="99">
        <f>'2. Smart Meter Data'!D108</f>
        <v>0</v>
      </c>
      <c r="D41" s="99">
        <f>'2. Smart Meter Data'!E108</f>
        <v>0</v>
      </c>
      <c r="E41" s="99">
        <f>'2. Smart Meter Data'!F108</f>
        <v>0</v>
      </c>
      <c r="F41" s="99">
        <f>'2. Smart Meter Data'!G108</f>
        <v>0</v>
      </c>
      <c r="G41" s="99">
        <f>'2. Smart Meter Data'!H108</f>
        <v>0</v>
      </c>
      <c r="H41" s="99">
        <f>'2. Smart Meter Data'!I108</f>
        <v>15000</v>
      </c>
      <c r="I41" s="99">
        <f>'2. Smart Meter Data'!J108</f>
        <v>0</v>
      </c>
      <c r="J41" s="97">
        <f>SUM(C41:H41)</f>
        <v>15000</v>
      </c>
      <c r="K41" s="5"/>
      <c r="L41" s="5"/>
      <c r="M41" s="5"/>
    </row>
    <row r="42" spans="1:13" ht="12.75">
      <c r="A42" s="5"/>
      <c r="B42" s="57" t="s">
        <v>102</v>
      </c>
      <c r="C42" s="99">
        <f>'2. Smart Meter Data'!D114</f>
        <v>0</v>
      </c>
      <c r="D42" s="99">
        <f>'2. Smart Meter Data'!E114</f>
        <v>0</v>
      </c>
      <c r="E42" s="99">
        <f>'2. Smart Meter Data'!F114</f>
        <v>0</v>
      </c>
      <c r="F42" s="99">
        <f>'2. Smart Meter Data'!G114</f>
        <v>0</v>
      </c>
      <c r="G42" s="99">
        <f>'2. Smart Meter Data'!H114</f>
        <v>0</v>
      </c>
      <c r="H42" s="99">
        <f>'2. Smart Meter Data'!I114</f>
        <v>15000</v>
      </c>
      <c r="I42" s="99">
        <f>'2. Smart Meter Data'!J114</f>
        <v>0</v>
      </c>
      <c r="J42" s="97">
        <f>SUM(C42:H42)</f>
        <v>15000</v>
      </c>
      <c r="K42" s="5"/>
      <c r="L42" s="5"/>
      <c r="M42" s="5"/>
    </row>
    <row r="43" spans="1:13" ht="12.75">
      <c r="A43" s="5"/>
      <c r="B43" s="57" t="s">
        <v>103</v>
      </c>
      <c r="C43" s="99">
        <f>'2. Smart Meter Data'!D123</f>
        <v>0</v>
      </c>
      <c r="D43" s="99">
        <f>'2. Smart Meter Data'!E123</f>
        <v>0</v>
      </c>
      <c r="E43" s="99">
        <f>'2. Smart Meter Data'!F123</f>
        <v>0</v>
      </c>
      <c r="F43" s="99">
        <f>'2. Smart Meter Data'!G123</f>
        <v>0</v>
      </c>
      <c r="G43" s="99">
        <f>'2. Smart Meter Data'!H123</f>
        <v>0</v>
      </c>
      <c r="H43" s="99">
        <f>'2. Smart Meter Data'!I123</f>
        <v>20000</v>
      </c>
      <c r="I43" s="99">
        <f>'2. Smart Meter Data'!J123</f>
        <v>0</v>
      </c>
      <c r="J43" s="97">
        <f>SUM(C43:H43)</f>
        <v>20000</v>
      </c>
      <c r="K43" s="5"/>
      <c r="L43" s="5"/>
      <c r="M43" s="5"/>
    </row>
    <row r="44" spans="1:13" ht="12.75">
      <c r="A44" s="5"/>
      <c r="B44" s="57" t="s">
        <v>104</v>
      </c>
      <c r="C44" s="99">
        <f>'2. Smart Meter Data'!D130</f>
        <v>0</v>
      </c>
      <c r="D44" s="99">
        <f>'2. Smart Meter Data'!E130</f>
        <v>0</v>
      </c>
      <c r="E44" s="99">
        <f>'2. Smart Meter Data'!F130</f>
        <v>0</v>
      </c>
      <c r="F44" s="99">
        <f>'2. Smart Meter Data'!G130</f>
        <v>0</v>
      </c>
      <c r="G44" s="99">
        <f>'2. Smart Meter Data'!H130</f>
        <v>0</v>
      </c>
      <c r="H44" s="99">
        <f>'2. Smart Meter Data'!I130</f>
        <v>22500</v>
      </c>
      <c r="I44" s="99">
        <f>'2. Smart Meter Data'!J130</f>
        <v>0</v>
      </c>
      <c r="J44" s="97">
        <f>SUM(C44:H44)</f>
        <v>22500</v>
      </c>
      <c r="K44" s="5"/>
      <c r="L44" s="5"/>
      <c r="M44" s="5"/>
    </row>
    <row r="45" spans="1:13" ht="12.75">
      <c r="A45" s="5"/>
      <c r="B45" s="57" t="s">
        <v>105</v>
      </c>
      <c r="C45" s="99">
        <f>'2. Smart Meter Data'!D146</f>
        <v>0</v>
      </c>
      <c r="D45" s="99">
        <f>'2. Smart Meter Data'!E146</f>
        <v>0</v>
      </c>
      <c r="E45" s="99">
        <f>'2. Smart Meter Data'!F146</f>
        <v>0</v>
      </c>
      <c r="F45" s="99">
        <f>'2. Smart Meter Data'!G146</f>
        <v>0</v>
      </c>
      <c r="G45" s="99">
        <f>'2. Smart Meter Data'!H146</f>
        <v>0</v>
      </c>
      <c r="H45" s="99">
        <f>'2. Smart Meter Data'!I146</f>
        <v>30000</v>
      </c>
      <c r="I45" s="99">
        <f>'2. Smart Meter Data'!J146</f>
        <v>0</v>
      </c>
      <c r="J45" s="97">
        <f>SUM(C45:H45)</f>
        <v>30000</v>
      </c>
      <c r="K45" s="5"/>
      <c r="L45" s="5"/>
      <c r="M45" s="5"/>
    </row>
    <row r="46" spans="1:13" ht="13.5" thickBot="1">
      <c r="A46" s="5"/>
      <c r="B46" s="54" t="s">
        <v>87</v>
      </c>
      <c r="C46" s="100">
        <f aca="true" t="shared" si="5" ref="C46:J46">SUM(C41:C45)</f>
        <v>0</v>
      </c>
      <c r="D46" s="100">
        <f t="shared" si="5"/>
        <v>0</v>
      </c>
      <c r="E46" s="100">
        <f t="shared" si="5"/>
        <v>0</v>
      </c>
      <c r="F46" s="101">
        <f t="shared" si="5"/>
        <v>0</v>
      </c>
      <c r="G46" s="101">
        <f t="shared" si="5"/>
        <v>0</v>
      </c>
      <c r="H46" s="101">
        <f t="shared" si="5"/>
        <v>102500</v>
      </c>
      <c r="I46" s="101">
        <f t="shared" si="5"/>
        <v>0</v>
      </c>
      <c r="J46" s="101">
        <f t="shared" si="5"/>
        <v>102500</v>
      </c>
      <c r="K46" s="5"/>
      <c r="L46" s="5"/>
      <c r="M46" s="5"/>
    </row>
    <row r="47" spans="1:12" ht="12.75">
      <c r="A47" s="5"/>
      <c r="B47" s="5"/>
      <c r="C47" s="94">
        <f>'2. Smart Meter Data'!D148-C46</f>
        <v>0</v>
      </c>
      <c r="D47" s="94">
        <f>'2. Smart Meter Data'!E148-D46</f>
        <v>0</v>
      </c>
      <c r="E47" s="94">
        <f>'2. Smart Meter Data'!F148-E46</f>
        <v>0</v>
      </c>
      <c r="F47" s="94">
        <f>'2. Smart Meter Data'!G148-F46</f>
        <v>0</v>
      </c>
      <c r="G47" s="94">
        <f>'2. Smart Meter Data'!H148-G46</f>
        <v>0</v>
      </c>
      <c r="H47" s="94">
        <f>'2. Smart Meter Data'!I148-H46</f>
        <v>0</v>
      </c>
      <c r="I47" s="94">
        <f>'2. Smart Meter Data'!J148-I46</f>
        <v>0</v>
      </c>
      <c r="J47" s="94">
        <f>'2. Smart Meter Data'!K148-J46</f>
        <v>0</v>
      </c>
      <c r="K47" s="5"/>
      <c r="L47" s="5"/>
    </row>
    <row r="48" spans="1:12" ht="12.75">
      <c r="A48" s="5"/>
      <c r="B48" s="5"/>
      <c r="C48" s="5"/>
      <c r="D48" s="5"/>
      <c r="E48" s="5"/>
      <c r="F48" s="5"/>
      <c r="G48" s="5"/>
      <c r="H48" s="5"/>
      <c r="I48" s="5"/>
      <c r="J48" s="5"/>
      <c r="K48" s="5"/>
      <c r="L48" s="5"/>
    </row>
    <row r="49" spans="1:12" ht="15.75">
      <c r="A49" s="5"/>
      <c r="B49" s="52" t="s">
        <v>106</v>
      </c>
      <c r="C49" s="30" t="s">
        <v>107</v>
      </c>
      <c r="D49" s="30" t="s">
        <v>108</v>
      </c>
      <c r="E49" s="30" t="s">
        <v>109</v>
      </c>
      <c r="F49" s="30" t="s">
        <v>110</v>
      </c>
      <c r="G49" s="5"/>
      <c r="H49" s="5"/>
      <c r="I49" s="5"/>
      <c r="J49" s="5"/>
      <c r="K49" s="5"/>
      <c r="L49" s="5"/>
    </row>
    <row r="50" spans="1:12" ht="12.75">
      <c r="A50" s="5"/>
      <c r="B50" s="31" t="s">
        <v>111</v>
      </c>
      <c r="C50" s="102">
        <f aca="true" t="shared" si="6" ref="C50:C55">IF(ISERROR(E50/D50),0,E50/D50)</f>
        <v>187.18735656836463</v>
      </c>
      <c r="D50" s="103">
        <f>'2. Smart Meter Data'!K10</f>
        <v>3730</v>
      </c>
      <c r="E50" s="97">
        <f>J31</f>
        <v>698208.8400000001</v>
      </c>
      <c r="F50" s="104">
        <f aca="true" t="shared" si="7" ref="F50:F55">IF(ISERROR(E50/$E$56),0,E50/$E$56)</f>
        <v>0.7540487433745636</v>
      </c>
      <c r="G50" s="5"/>
      <c r="H50" s="5"/>
      <c r="I50" s="5"/>
      <c r="J50" s="5"/>
      <c r="K50" s="5"/>
      <c r="L50" s="5"/>
    </row>
    <row r="51" spans="1:12" ht="12.75">
      <c r="A51" s="5"/>
      <c r="B51" s="31" t="s">
        <v>112</v>
      </c>
      <c r="C51" s="102">
        <f t="shared" si="6"/>
        <v>6.454906166219839</v>
      </c>
      <c r="D51" s="103">
        <f>D50</f>
        <v>3730</v>
      </c>
      <c r="E51" s="97">
        <f>J32</f>
        <v>24076.8</v>
      </c>
      <c r="F51" s="104">
        <f t="shared" si="7"/>
        <v>0.026002364542506637</v>
      </c>
      <c r="G51" s="5"/>
      <c r="H51" s="5"/>
      <c r="I51" s="5"/>
      <c r="J51" s="5"/>
      <c r="K51" s="5"/>
      <c r="L51" s="5"/>
    </row>
    <row r="52" spans="1:12" ht="12.75">
      <c r="A52" s="5"/>
      <c r="B52" s="31" t="s">
        <v>113</v>
      </c>
      <c r="C52" s="102">
        <f t="shared" si="6"/>
        <v>21.960498659517423</v>
      </c>
      <c r="D52" s="103">
        <f>D51</f>
        <v>3730</v>
      </c>
      <c r="E52" s="97">
        <f>J33</f>
        <v>81912.65999999999</v>
      </c>
      <c r="F52" s="104">
        <f t="shared" si="7"/>
        <v>0.08846370140410692</v>
      </c>
      <c r="G52" s="5"/>
      <c r="H52" s="5"/>
      <c r="I52" s="5"/>
      <c r="J52" s="5"/>
      <c r="K52" s="5"/>
      <c r="L52" s="5"/>
    </row>
    <row r="53" spans="1:12" ht="12.75">
      <c r="A53" s="5"/>
      <c r="B53" s="31" t="s">
        <v>11</v>
      </c>
      <c r="C53" s="102">
        <f t="shared" si="6"/>
        <v>4.800203753351206</v>
      </c>
      <c r="D53" s="103">
        <f>D52</f>
        <v>3730</v>
      </c>
      <c r="E53" s="97">
        <f>J34</f>
        <v>17904.76</v>
      </c>
      <c r="F53" s="104">
        <f t="shared" si="7"/>
        <v>0.01933670988528754</v>
      </c>
      <c r="G53" s="5"/>
      <c r="H53" s="5"/>
      <c r="I53" s="5"/>
      <c r="J53" s="5"/>
      <c r="K53" s="5"/>
      <c r="L53" s="5"/>
    </row>
    <row r="54" spans="1:12" ht="12.75">
      <c r="A54" s="5"/>
      <c r="B54" s="31" t="s">
        <v>13</v>
      </c>
      <c r="C54" s="102">
        <f t="shared" si="6"/>
        <v>0.3601876675603217</v>
      </c>
      <c r="D54" s="103">
        <f>D53</f>
        <v>3730</v>
      </c>
      <c r="E54" s="97">
        <f>J35</f>
        <v>1343.5</v>
      </c>
      <c r="F54" s="104">
        <f t="shared" si="7"/>
        <v>0.0014509476659214542</v>
      </c>
      <c r="G54" s="5"/>
      <c r="H54" s="5"/>
      <c r="I54" s="5"/>
      <c r="J54" s="5"/>
      <c r="K54" s="5"/>
      <c r="L54" s="5"/>
    </row>
    <row r="55" spans="1:12" ht="12.75">
      <c r="A55" s="5"/>
      <c r="B55" s="31" t="s">
        <v>114</v>
      </c>
      <c r="C55" s="102">
        <f t="shared" si="6"/>
        <v>27.4798927613941</v>
      </c>
      <c r="D55" s="103">
        <f>D52</f>
        <v>3730</v>
      </c>
      <c r="E55" s="97">
        <f>J46</f>
        <v>102500</v>
      </c>
      <c r="F55" s="104">
        <f t="shared" si="7"/>
        <v>0.11069753312761374</v>
      </c>
      <c r="G55" s="5"/>
      <c r="H55" s="5"/>
      <c r="I55" s="5"/>
      <c r="J55" s="5"/>
      <c r="K55" s="5"/>
      <c r="L55" s="5"/>
    </row>
    <row r="56" spans="1:12" ht="12.75">
      <c r="A56" s="5"/>
      <c r="B56" s="5" t="s">
        <v>115</v>
      </c>
      <c r="C56" s="105">
        <f>SUM(C50:C55)</f>
        <v>248.24304557640752</v>
      </c>
      <c r="D56" s="106"/>
      <c r="E56" s="107">
        <f>SUM(E50:E55)</f>
        <v>925946.5600000002</v>
      </c>
      <c r="F56" s="108">
        <f>SUM(F50:F55)</f>
        <v>1</v>
      </c>
      <c r="G56" s="5"/>
      <c r="H56" s="5"/>
      <c r="I56" s="5"/>
      <c r="J56" s="5"/>
      <c r="K56" s="5"/>
      <c r="L56" s="5"/>
    </row>
    <row r="57" ht="15" customHeight="1"/>
    <row r="58" spans="3:9" ht="12.75">
      <c r="C58" s="111">
        <f>C39</f>
        <v>2006</v>
      </c>
      <c r="D58" s="111">
        <f aca="true" t="shared" si="8" ref="D58:I58">D39</f>
        <v>2007</v>
      </c>
      <c r="E58" s="111">
        <f t="shared" si="8"/>
        <v>2008</v>
      </c>
      <c r="F58" s="111">
        <f t="shared" si="8"/>
        <v>2009</v>
      </c>
      <c r="G58" s="111">
        <f t="shared" si="8"/>
        <v>2010</v>
      </c>
      <c r="H58" s="111">
        <f t="shared" si="8"/>
        <v>2011</v>
      </c>
      <c r="I58" s="111" t="str">
        <f t="shared" si="8"/>
        <v>Later</v>
      </c>
    </row>
    <row r="59" spans="2:9" ht="15.75">
      <c r="B59" s="52" t="s">
        <v>212</v>
      </c>
      <c r="C59" s="111" t="str">
        <f>C40</f>
        <v>Audited Actual</v>
      </c>
      <c r="D59" s="111" t="str">
        <f aca="true" t="shared" si="9" ref="D59:I59">D40</f>
        <v>Audited Actual</v>
      </c>
      <c r="E59" s="111" t="str">
        <f t="shared" si="9"/>
        <v>Audited Actual</v>
      </c>
      <c r="F59" s="111" t="str">
        <f t="shared" si="9"/>
        <v>Audited Actual</v>
      </c>
      <c r="G59" s="111" t="str">
        <f t="shared" si="9"/>
        <v>Actual</v>
      </c>
      <c r="H59" s="111" t="str">
        <f t="shared" si="9"/>
        <v>Forecasted</v>
      </c>
      <c r="I59" s="111" t="str">
        <f t="shared" si="9"/>
        <v>Forecasted</v>
      </c>
    </row>
    <row r="60" spans="2:9" ht="12.75">
      <c r="B60" s="31" t="s">
        <v>213</v>
      </c>
      <c r="C60" s="112">
        <v>15</v>
      </c>
      <c r="D60" s="112">
        <v>15</v>
      </c>
      <c r="E60" s="112">
        <v>15</v>
      </c>
      <c r="F60" s="112">
        <v>15</v>
      </c>
      <c r="G60" s="112">
        <v>15</v>
      </c>
      <c r="H60" s="112">
        <v>15</v>
      </c>
      <c r="I60" s="112">
        <v>15</v>
      </c>
    </row>
    <row r="61" spans="2:9" ht="12.75">
      <c r="B61" s="31" t="s">
        <v>214</v>
      </c>
      <c r="C61" s="112">
        <v>10</v>
      </c>
      <c r="D61" s="112">
        <v>10</v>
      </c>
      <c r="E61" s="112">
        <v>10</v>
      </c>
      <c r="F61" s="112">
        <v>10</v>
      </c>
      <c r="G61" s="112">
        <v>10</v>
      </c>
      <c r="H61" s="112">
        <v>10</v>
      </c>
      <c r="I61" s="112">
        <v>10</v>
      </c>
    </row>
    <row r="62" spans="2:9" ht="12.75">
      <c r="B62" s="31" t="s">
        <v>215</v>
      </c>
      <c r="C62" s="112">
        <v>5</v>
      </c>
      <c r="D62" s="112">
        <v>5</v>
      </c>
      <c r="E62" s="112">
        <v>5</v>
      </c>
      <c r="F62" s="112">
        <v>5</v>
      </c>
      <c r="G62" s="112">
        <v>5</v>
      </c>
      <c r="H62" s="112">
        <v>5</v>
      </c>
      <c r="I62" s="112">
        <v>5</v>
      </c>
    </row>
    <row r="63" spans="2:9" ht="12.75">
      <c r="B63" s="31" t="s">
        <v>216</v>
      </c>
      <c r="C63" s="112">
        <v>10</v>
      </c>
      <c r="D63" s="112">
        <v>10</v>
      </c>
      <c r="E63" s="112">
        <v>10</v>
      </c>
      <c r="F63" s="112">
        <v>10</v>
      </c>
      <c r="G63" s="112">
        <v>10</v>
      </c>
      <c r="H63" s="112">
        <v>10</v>
      </c>
      <c r="I63" s="112">
        <v>10</v>
      </c>
    </row>
    <row r="64" spans="2:9" ht="12.75">
      <c r="B64" s="31" t="s">
        <v>217</v>
      </c>
      <c r="C64" s="112">
        <v>10</v>
      </c>
      <c r="D64" s="112">
        <v>10</v>
      </c>
      <c r="E64" s="112">
        <v>10</v>
      </c>
      <c r="F64" s="112">
        <v>10</v>
      </c>
      <c r="G64" s="112">
        <v>10</v>
      </c>
      <c r="H64" s="112">
        <v>10</v>
      </c>
      <c r="I64" s="112">
        <v>10</v>
      </c>
    </row>
    <row r="66" spans="3:9" ht="12.75">
      <c r="C66" s="111">
        <f>C58</f>
        <v>2006</v>
      </c>
      <c r="D66" s="111">
        <f aca="true" t="shared" si="10" ref="D66:I66">D58</f>
        <v>2007</v>
      </c>
      <c r="E66" s="111">
        <f t="shared" si="10"/>
        <v>2008</v>
      </c>
      <c r="F66" s="111">
        <f t="shared" si="10"/>
        <v>2009</v>
      </c>
      <c r="G66" s="111">
        <f t="shared" si="10"/>
        <v>2010</v>
      </c>
      <c r="H66" s="111">
        <f t="shared" si="10"/>
        <v>2011</v>
      </c>
      <c r="I66" s="111" t="str">
        <f t="shared" si="10"/>
        <v>Later</v>
      </c>
    </row>
    <row r="67" spans="2:9" ht="15.75">
      <c r="B67" s="52" t="s">
        <v>218</v>
      </c>
      <c r="C67" s="111" t="str">
        <f>C59</f>
        <v>Audited Actual</v>
      </c>
      <c r="D67" s="111" t="str">
        <f aca="true" t="shared" si="11" ref="D67:I67">D59</f>
        <v>Audited Actual</v>
      </c>
      <c r="E67" s="111" t="str">
        <f t="shared" si="11"/>
        <v>Audited Actual</v>
      </c>
      <c r="F67" s="111" t="str">
        <f t="shared" si="11"/>
        <v>Audited Actual</v>
      </c>
      <c r="G67" s="111" t="str">
        <f t="shared" si="11"/>
        <v>Actual</v>
      </c>
      <c r="H67" s="111" t="str">
        <f t="shared" si="11"/>
        <v>Forecasted</v>
      </c>
      <c r="I67" s="111" t="str">
        <f t="shared" si="11"/>
        <v>Forecasted</v>
      </c>
    </row>
    <row r="68" spans="2:9" ht="12.75">
      <c r="B68" s="7" t="s">
        <v>221</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221</v>
      </c>
      <c r="C71" s="111">
        <v>45</v>
      </c>
      <c r="D71" s="111">
        <v>50</v>
      </c>
      <c r="E71" s="111">
        <v>50</v>
      </c>
      <c r="F71" s="111">
        <v>50</v>
      </c>
      <c r="G71" s="111">
        <v>50</v>
      </c>
      <c r="H71" s="111">
        <v>50</v>
      </c>
      <c r="I71" s="111">
        <v>50</v>
      </c>
    </row>
    <row r="72" spans="2:9" ht="12.75">
      <c r="B72" s="31" t="s">
        <v>220</v>
      </c>
      <c r="C72" s="113">
        <v>0.45</v>
      </c>
      <c r="D72" s="113">
        <v>0.55</v>
      </c>
      <c r="E72" s="113">
        <v>0.55</v>
      </c>
      <c r="F72" s="113">
        <v>0.55</v>
      </c>
      <c r="G72" s="113">
        <v>0.55</v>
      </c>
      <c r="H72" s="113">
        <v>0.55</v>
      </c>
      <c r="I72" s="113">
        <v>0.55</v>
      </c>
    </row>
    <row r="74" spans="2:9" ht="12.75">
      <c r="B74" s="7" t="s">
        <v>221</v>
      </c>
      <c r="C74" s="111">
        <v>8</v>
      </c>
      <c r="D74" s="111">
        <v>8</v>
      </c>
      <c r="E74" s="111">
        <v>8</v>
      </c>
      <c r="F74" s="111">
        <v>8</v>
      </c>
      <c r="G74" s="111">
        <v>8</v>
      </c>
      <c r="H74" s="111">
        <v>8</v>
      </c>
      <c r="I74" s="111">
        <v>8</v>
      </c>
    </row>
    <row r="75" spans="2:9" ht="12.75">
      <c r="B75" s="31" t="s">
        <v>222</v>
      </c>
      <c r="C75" s="113">
        <v>0.2</v>
      </c>
      <c r="D75" s="113">
        <v>0.2</v>
      </c>
      <c r="E75" s="113">
        <v>0.2</v>
      </c>
      <c r="F75" s="113">
        <v>0.2</v>
      </c>
      <c r="G75" s="113">
        <v>0.2</v>
      </c>
      <c r="H75" s="113">
        <v>0.2</v>
      </c>
      <c r="I75" s="113">
        <v>0.2</v>
      </c>
    </row>
  </sheetData>
  <sheetProtection formatColumns="0" selectLockedCells="1"/>
  <mergeCells count="1">
    <mergeCell ref="B1:G1"/>
  </mergeCells>
  <printOptions/>
  <pageMargins left="0.77" right="0.75" top="0.52" bottom="0.5" header="0.5" footer="0.5"/>
  <pageSetup fitToHeight="1" fitToWidth="1" horizontalDpi="600" verticalDpi="600" orientation="landscape" scale="53"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zoomScale="75" zoomScaleNormal="75" zoomScalePageLayoutView="0" workbookViewId="0" topLeftCell="L7">
      <selection activeCell="M37" sqref="M37"/>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74"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87" t="s">
        <v>229</v>
      </c>
      <c r="C1" s="187"/>
      <c r="D1" s="187"/>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228</v>
      </c>
      <c r="B4" s="5"/>
      <c r="C4" s="5"/>
      <c r="D4" s="5"/>
      <c r="E4" s="5"/>
      <c r="F4" s="5"/>
      <c r="G4" s="59"/>
    </row>
    <row r="5" spans="1:7" ht="13.5" thickBot="1">
      <c r="A5" s="5"/>
      <c r="B5" s="5"/>
      <c r="C5" s="5"/>
      <c r="D5" s="5"/>
      <c r="E5" s="5"/>
      <c r="F5" s="5"/>
      <c r="G5" s="59"/>
    </row>
    <row r="6" spans="1:23" ht="18">
      <c r="A6" s="5"/>
      <c r="B6" s="28" t="s">
        <v>128</v>
      </c>
      <c r="C6" s="181">
        <f>'2. Smart Meter Data'!D4</f>
        <v>2006</v>
      </c>
      <c r="D6" s="182"/>
      <c r="E6" s="183"/>
      <c r="F6" s="181">
        <f>'2. Smart Meter Data'!E4</f>
        <v>2007</v>
      </c>
      <c r="G6" s="182"/>
      <c r="H6" s="183"/>
      <c r="I6" s="181">
        <f>'2. Smart Meter Data'!F4</f>
        <v>2008</v>
      </c>
      <c r="J6" s="182"/>
      <c r="K6" s="183"/>
      <c r="L6" s="181">
        <f>'2. Smart Meter Data'!G4</f>
        <v>2009</v>
      </c>
      <c r="M6" s="182"/>
      <c r="N6" s="183"/>
      <c r="O6" s="181">
        <f>'2. Smart Meter Data'!H4</f>
        <v>2010</v>
      </c>
      <c r="P6" s="182"/>
      <c r="Q6" s="183"/>
      <c r="R6" s="181">
        <f>'2. Smart Meter Data'!I4</f>
        <v>2011</v>
      </c>
      <c r="S6" s="182"/>
      <c r="T6" s="183"/>
      <c r="U6" s="181" t="str">
        <f>'2. Smart Meter Data'!J4</f>
        <v>Later</v>
      </c>
      <c r="V6" s="182"/>
      <c r="W6" s="183"/>
    </row>
    <row r="7" spans="1:23" ht="18.75" thickBot="1">
      <c r="A7" s="5"/>
      <c r="B7" s="28"/>
      <c r="C7" s="184" t="str">
        <f>'2. Smart Meter Data'!D5</f>
        <v>Audited Actual</v>
      </c>
      <c r="D7" s="185"/>
      <c r="E7" s="186"/>
      <c r="F7" s="184" t="str">
        <f>'2. Smart Meter Data'!E5</f>
        <v>Audited Actual</v>
      </c>
      <c r="G7" s="185"/>
      <c r="H7" s="186"/>
      <c r="I7" s="184" t="str">
        <f>'2. Smart Meter Data'!F5</f>
        <v>Audited Actual</v>
      </c>
      <c r="J7" s="185"/>
      <c r="K7" s="186"/>
      <c r="L7" s="184" t="str">
        <f>'2. Smart Meter Data'!G5</f>
        <v>Audited Actual</v>
      </c>
      <c r="M7" s="185"/>
      <c r="N7" s="186"/>
      <c r="O7" s="184" t="str">
        <f>'2. Smart Meter Data'!H5</f>
        <v>Actual</v>
      </c>
      <c r="P7" s="185"/>
      <c r="Q7" s="186"/>
      <c r="R7" s="184" t="str">
        <f>'2. Smart Meter Data'!I5</f>
        <v>Forecasted</v>
      </c>
      <c r="S7" s="185"/>
      <c r="T7" s="186"/>
      <c r="U7" s="184" t="str">
        <f>'2. Smart Meter Data'!J5</f>
        <v>Forecasted</v>
      </c>
      <c r="V7" s="185"/>
      <c r="W7" s="186"/>
    </row>
    <row r="8" spans="1:23" ht="12.75">
      <c r="A8" s="5"/>
      <c r="B8" s="61" t="s">
        <v>129</v>
      </c>
      <c r="C8" s="149">
        <f>'6. Avg Nt Fix Ass &amp;UCC'!C18</f>
        <v>0</v>
      </c>
      <c r="D8" s="6"/>
      <c r="E8" s="62"/>
      <c r="F8" s="149">
        <f>'6. Avg Nt Fix Ass &amp;UCC'!D18</f>
        <v>0</v>
      </c>
      <c r="G8" s="6"/>
      <c r="H8" s="62"/>
      <c r="I8" s="149">
        <f>'6. Avg Nt Fix Ass &amp;UCC'!E18</f>
        <v>0</v>
      </c>
      <c r="J8" s="6"/>
      <c r="K8" s="62"/>
      <c r="L8" s="149">
        <f>'6. Avg Nt Fix Ass &amp;UCC'!F18</f>
        <v>272699.2138333334</v>
      </c>
      <c r="M8" s="6"/>
      <c r="N8" s="62"/>
      <c r="O8" s="149">
        <f>'6. Avg Nt Fix Ass &amp;UCC'!G18</f>
        <v>591359.9775</v>
      </c>
      <c r="P8" s="6"/>
      <c r="Q8" s="62"/>
      <c r="R8" s="149">
        <f>'6. Avg Nt Fix Ass &amp;UCC'!H18</f>
        <v>614047.8993333334</v>
      </c>
      <c r="S8" s="6"/>
      <c r="T8" s="62"/>
      <c r="U8" s="149">
        <f>'6. Avg Nt Fix Ass &amp;UCC'!M18</f>
        <v>0</v>
      </c>
      <c r="V8" s="6"/>
      <c r="W8" s="62"/>
    </row>
    <row r="9" spans="1:23" ht="12.75">
      <c r="A9" s="5"/>
      <c r="B9" s="61" t="s">
        <v>130</v>
      </c>
      <c r="C9" s="149">
        <f>'6. Avg Nt Fix Ass &amp;UCC'!C33</f>
        <v>0</v>
      </c>
      <c r="D9" s="63"/>
      <c r="E9" s="62"/>
      <c r="F9" s="149">
        <f>'6. Avg Nt Fix Ass &amp;UCC'!D33</f>
        <v>0</v>
      </c>
      <c r="G9" s="63"/>
      <c r="H9" s="62"/>
      <c r="I9" s="149">
        <f>'6. Avg Nt Fix Ass &amp;UCC'!E33</f>
        <v>0</v>
      </c>
      <c r="J9" s="63"/>
      <c r="K9" s="62"/>
      <c r="L9" s="149">
        <f>'6. Avg Nt Fix Ass &amp;UCC'!F33</f>
        <v>10498.16975</v>
      </c>
      <c r="M9" s="63"/>
      <c r="N9" s="62"/>
      <c r="O9" s="149">
        <f>'6. Avg Nt Fix Ass &amp;UCC'!G33</f>
        <v>20829.57925</v>
      </c>
      <c r="P9" s="63"/>
      <c r="Q9" s="62"/>
      <c r="R9" s="149">
        <f>'6. Avg Nt Fix Ass &amp;UCC'!H33</f>
        <v>19458.979</v>
      </c>
      <c r="S9" s="63"/>
      <c r="T9" s="62"/>
      <c r="U9" s="149">
        <f>'6. Avg Nt Fix Ass &amp;UCC'!I33</f>
        <v>0</v>
      </c>
      <c r="V9" s="63"/>
      <c r="W9" s="62"/>
    </row>
    <row r="10" spans="1:23" ht="12.75">
      <c r="A10" s="5"/>
      <c r="B10" s="61" t="s">
        <v>131</v>
      </c>
      <c r="C10" s="149">
        <f>'6. Avg Nt Fix Ass &amp;UCC'!C48</f>
        <v>0</v>
      </c>
      <c r="D10" s="64"/>
      <c r="E10" s="62"/>
      <c r="F10" s="149">
        <f>'6. Avg Nt Fix Ass &amp;UCC'!D48</f>
        <v>0</v>
      </c>
      <c r="G10" s="64"/>
      <c r="H10" s="62"/>
      <c r="I10" s="149">
        <f>'6. Avg Nt Fix Ass &amp;UCC'!E48</f>
        <v>0</v>
      </c>
      <c r="J10" s="64"/>
      <c r="K10" s="62"/>
      <c r="L10" s="149">
        <f>'6. Avg Nt Fix Ass &amp;UCC'!F48</f>
        <v>30953.569499999998</v>
      </c>
      <c r="M10" s="64"/>
      <c r="N10" s="62"/>
      <c r="O10" s="149">
        <f>'6. Avg Nt Fix Ass &amp;UCC'!G48</f>
        <v>60935.695499999994</v>
      </c>
      <c r="P10" s="64"/>
      <c r="Q10" s="62"/>
      <c r="R10" s="149">
        <f>'6. Avg Nt Fix Ass &amp;UCC'!H48</f>
        <v>51772.98599999999</v>
      </c>
      <c r="S10" s="64"/>
      <c r="T10" s="62"/>
      <c r="U10" s="149">
        <f>'6. Avg Nt Fix Ass &amp;UCC'!I48</f>
        <v>0</v>
      </c>
      <c r="V10" s="64"/>
      <c r="W10" s="62"/>
    </row>
    <row r="11" spans="1:23" ht="12.75">
      <c r="A11" s="5"/>
      <c r="B11" s="61" t="s">
        <v>132</v>
      </c>
      <c r="C11" s="149">
        <f>'6. Avg Nt Fix Ass &amp;UCC'!C63</f>
        <v>0</v>
      </c>
      <c r="D11" s="64"/>
      <c r="E11" s="62"/>
      <c r="F11" s="149">
        <f>'6. Avg Nt Fix Ass &amp;UCC'!D63</f>
        <v>0</v>
      </c>
      <c r="G11" s="64"/>
      <c r="H11" s="62"/>
      <c r="I11" s="149">
        <f>'6. Avg Nt Fix Ass &amp;UCC'!E63</f>
        <v>0</v>
      </c>
      <c r="J11" s="64"/>
      <c r="K11" s="62"/>
      <c r="L11" s="149">
        <f>'6. Avg Nt Fix Ass &amp;UCC'!F63</f>
        <v>7600</v>
      </c>
      <c r="M11" s="64"/>
      <c r="N11" s="62"/>
      <c r="O11" s="149">
        <f>'6. Avg Nt Fix Ass &amp;UCC'!G63</f>
        <v>15304.760999999999</v>
      </c>
      <c r="P11" s="64"/>
      <c r="Q11" s="62"/>
      <c r="R11" s="149">
        <f>'6. Avg Nt Fix Ass &amp;UCC'!H63</f>
        <v>14514.283999999998</v>
      </c>
      <c r="S11" s="64"/>
      <c r="T11" s="62"/>
      <c r="U11" s="149">
        <f>'6. Avg Nt Fix Ass &amp;UCC'!I63</f>
        <v>0</v>
      </c>
      <c r="V11" s="64"/>
      <c r="W11" s="62"/>
    </row>
    <row r="12" spans="1:23" ht="12.75">
      <c r="A12" s="5"/>
      <c r="B12" s="61" t="s">
        <v>133</v>
      </c>
      <c r="C12" s="149">
        <f>'6. Avg Nt Fix Ass &amp;UCC'!C78</f>
        <v>0</v>
      </c>
      <c r="D12" s="64"/>
      <c r="E12" s="62"/>
      <c r="F12" s="149">
        <f>'6. Avg Nt Fix Ass &amp;UCC'!D78</f>
        <v>0</v>
      </c>
      <c r="G12" s="64"/>
      <c r="H12" s="62"/>
      <c r="I12" s="149">
        <f>'6. Avg Nt Fix Ass &amp;UCC'!E78</f>
        <v>0</v>
      </c>
      <c r="J12" s="64"/>
      <c r="K12" s="62"/>
      <c r="L12" s="149">
        <f>'6. Avg Nt Fix Ass &amp;UCC'!F78</f>
        <v>371.47375</v>
      </c>
      <c r="M12" s="64"/>
      <c r="N12" s="62"/>
      <c r="O12" s="149">
        <f>'6. Avg Nt Fix Ass &amp;UCC'!G78</f>
        <v>970.5337499999999</v>
      </c>
      <c r="P12" s="64"/>
      <c r="Q12" s="62"/>
      <c r="R12" s="149">
        <f>'6. Avg Nt Fix Ass &amp;UCC'!H78</f>
        <v>1130.945</v>
      </c>
      <c r="S12" s="64"/>
      <c r="T12" s="62"/>
      <c r="U12" s="149">
        <f>'6. Avg Nt Fix Ass &amp;UCC'!I78</f>
        <v>0</v>
      </c>
      <c r="V12" s="64"/>
      <c r="W12" s="62"/>
    </row>
    <row r="13" spans="1:23" ht="12.75">
      <c r="A13" s="5"/>
      <c r="B13" s="61" t="s">
        <v>134</v>
      </c>
      <c r="C13" s="150">
        <f>SUM(C8:C12)</f>
        <v>0</v>
      </c>
      <c r="D13" s="151">
        <f>C13</f>
        <v>0</v>
      </c>
      <c r="E13" s="62"/>
      <c r="F13" s="150">
        <f>SUM(F8:F12)</f>
        <v>0</v>
      </c>
      <c r="G13" s="151">
        <f>F13</f>
        <v>0</v>
      </c>
      <c r="H13" s="62"/>
      <c r="I13" s="150">
        <f>SUM(I8:I12)</f>
        <v>0</v>
      </c>
      <c r="J13" s="151">
        <f>I13</f>
        <v>0</v>
      </c>
      <c r="K13" s="62"/>
      <c r="L13" s="150">
        <f>SUM(L8:L12)</f>
        <v>322122.4268333334</v>
      </c>
      <c r="M13" s="151">
        <f>L13</f>
        <v>322122.4268333334</v>
      </c>
      <c r="N13" s="62"/>
      <c r="O13" s="150">
        <f>SUM(O8:O12)</f>
        <v>689400.547</v>
      </c>
      <c r="P13" s="151">
        <f>O13</f>
        <v>689400.547</v>
      </c>
      <c r="Q13" s="62"/>
      <c r="R13" s="150">
        <f>SUM(R8:R12)</f>
        <v>700925.0933333334</v>
      </c>
      <c r="S13" s="151">
        <f>R13</f>
        <v>700925.0933333334</v>
      </c>
      <c r="T13" s="62"/>
      <c r="U13" s="150">
        <f>SUM(U8:U12)</f>
        <v>0</v>
      </c>
      <c r="V13" s="151">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2">
        <f>E33</f>
        <v>0</v>
      </c>
      <c r="D16" s="64"/>
      <c r="E16" s="67"/>
      <c r="F16" s="152">
        <f>H33</f>
        <v>0</v>
      </c>
      <c r="G16" s="64"/>
      <c r="H16" s="67"/>
      <c r="I16" s="152">
        <f>K33</f>
        <v>0</v>
      </c>
      <c r="J16" s="64"/>
      <c r="K16" s="67"/>
      <c r="L16" s="152">
        <f>N33</f>
        <v>0</v>
      </c>
      <c r="M16" s="64"/>
      <c r="N16" s="67"/>
      <c r="O16" s="152">
        <f>Q33</f>
        <v>0</v>
      </c>
      <c r="P16" s="64"/>
      <c r="Q16" s="67"/>
      <c r="R16" s="152">
        <f>T33</f>
        <v>102500</v>
      </c>
      <c r="S16" s="64"/>
      <c r="T16" s="67"/>
      <c r="U16" s="152">
        <f>W33</f>
        <v>0</v>
      </c>
      <c r="V16" s="64"/>
      <c r="W16" s="67"/>
    </row>
    <row r="17" spans="1:23" ht="12.75">
      <c r="A17" s="5"/>
      <c r="B17" s="61" t="str">
        <f>"Working Capital  %"</f>
        <v>Working Capital  %</v>
      </c>
      <c r="C17" s="152">
        <f>C16*'3.  LDC Assumptions and Data'!$C$23</f>
        <v>0</v>
      </c>
      <c r="D17" s="151">
        <f>C17</f>
        <v>0</v>
      </c>
      <c r="E17" s="67"/>
      <c r="F17" s="152">
        <f>F16*'3.  LDC Assumptions and Data'!$D$23</f>
        <v>0</v>
      </c>
      <c r="G17" s="151">
        <f>F17</f>
        <v>0</v>
      </c>
      <c r="H17" s="67"/>
      <c r="I17" s="152">
        <f>I16*'3.  LDC Assumptions and Data'!$E$23</f>
        <v>0</v>
      </c>
      <c r="J17" s="151">
        <f>I17</f>
        <v>0</v>
      </c>
      <c r="K17" s="67"/>
      <c r="L17" s="152">
        <f>L16*'3.  LDC Assumptions and Data'!$F$23</f>
        <v>0</v>
      </c>
      <c r="M17" s="151">
        <f>L17</f>
        <v>0</v>
      </c>
      <c r="N17" s="67"/>
      <c r="O17" s="152">
        <f>O16*'3.  LDC Assumptions and Data'!$G$23</f>
        <v>0</v>
      </c>
      <c r="P17" s="151">
        <f>O17</f>
        <v>0</v>
      </c>
      <c r="Q17" s="67"/>
      <c r="R17" s="152">
        <f>R16*'3.  LDC Assumptions and Data'!$H$23</f>
        <v>15375</v>
      </c>
      <c r="S17" s="151">
        <f>R17</f>
        <v>15375</v>
      </c>
      <c r="T17" s="67"/>
      <c r="U17" s="152">
        <f>U16*'3.  LDC Assumptions and Data'!$I$23</f>
        <v>0</v>
      </c>
      <c r="V17" s="151">
        <f>U17</f>
        <v>0</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39">
        <f>SUM(D9:D17)</f>
        <v>0</v>
      </c>
      <c r="E19" s="67"/>
      <c r="F19" s="66"/>
      <c r="G19" s="139">
        <f>SUM(G9:G17)</f>
        <v>0</v>
      </c>
      <c r="H19" s="67"/>
      <c r="I19" s="66"/>
      <c r="J19" s="139">
        <f>SUM(J9:J17)</f>
        <v>0</v>
      </c>
      <c r="K19" s="67"/>
      <c r="L19" s="66"/>
      <c r="M19" s="139">
        <f>SUM(M9:M17)</f>
        <v>322122.4268333334</v>
      </c>
      <c r="N19" s="67"/>
      <c r="O19" s="66"/>
      <c r="P19" s="139">
        <f>SUM(P9:P17)</f>
        <v>689400.547</v>
      </c>
      <c r="Q19" s="67"/>
      <c r="R19" s="66"/>
      <c r="S19" s="139">
        <f>SUM(S9:S17)</f>
        <v>716300.0933333334</v>
      </c>
      <c r="T19" s="67"/>
      <c r="U19" s="66"/>
      <c r="V19" s="139">
        <f>SUM(V9:V17)</f>
        <v>0</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249</v>
      </c>
      <c r="C22" s="65"/>
      <c r="D22" s="6"/>
      <c r="E22" s="62"/>
      <c r="F22" s="65"/>
      <c r="G22" s="6"/>
      <c r="H22" s="62"/>
      <c r="I22" s="166">
        <f>'3.  LDC Assumptions and Data'!$E$14</f>
        <v>0</v>
      </c>
      <c r="J22" s="167">
        <f>J19*I22</f>
        <v>0</v>
      </c>
      <c r="K22" s="62"/>
      <c r="L22" s="166">
        <f>'3.  LDC Assumptions and Data'!$F14</f>
        <v>0</v>
      </c>
      <c r="M22" s="167">
        <f>M19*L22</f>
        <v>0</v>
      </c>
      <c r="N22" s="62"/>
      <c r="O22" s="166">
        <f>'3.  LDC Assumptions and Data'!$G14</f>
        <v>0</v>
      </c>
      <c r="P22" s="167">
        <f>P19*O22</f>
        <v>0</v>
      </c>
      <c r="Q22" s="62"/>
      <c r="R22" s="166">
        <f>'3.  LDC Assumptions and Data'!$H14</f>
        <v>0</v>
      </c>
      <c r="S22" s="167">
        <f>S19*R22</f>
        <v>0</v>
      </c>
      <c r="T22" s="62"/>
      <c r="U22" s="166">
        <f>'3.  LDC Assumptions and Data'!$I14</f>
        <v>0</v>
      </c>
      <c r="V22" s="167">
        <f>U22*V19</f>
        <v>0</v>
      </c>
      <c r="W22" s="62"/>
    </row>
    <row r="23" spans="1:23" ht="12.75">
      <c r="A23" s="5"/>
      <c r="B23" s="2" t="s">
        <v>247</v>
      </c>
      <c r="C23" s="68">
        <f>'3.  LDC Assumptions and Data'!$C$15</f>
        <v>0.5</v>
      </c>
      <c r="D23" s="151">
        <f>D19*C23</f>
        <v>0</v>
      </c>
      <c r="E23" s="62"/>
      <c r="F23" s="68">
        <f>'3.  LDC Assumptions and Data'!$D$15</f>
        <v>0.5</v>
      </c>
      <c r="G23" s="151">
        <f>G19*F23</f>
        <v>0</v>
      </c>
      <c r="H23" s="62"/>
      <c r="I23" s="68">
        <f>'3.  LDC Assumptions and Data'!$E$15</f>
        <v>0.533</v>
      </c>
      <c r="J23" s="151">
        <f>J19*I23</f>
        <v>0</v>
      </c>
      <c r="K23" s="62"/>
      <c r="L23" s="68">
        <f>'3.  LDC Assumptions and Data'!$F15</f>
        <v>0.567</v>
      </c>
      <c r="M23" s="151">
        <f>M19*L23</f>
        <v>182643.41601450002</v>
      </c>
      <c r="N23" s="62"/>
      <c r="O23" s="68">
        <f>'3.  LDC Assumptions and Data'!$G15</f>
        <v>0.6</v>
      </c>
      <c r="P23" s="151">
        <f>P19*O23</f>
        <v>413640.3282</v>
      </c>
      <c r="Q23" s="62"/>
      <c r="R23" s="68">
        <f>'3.  LDC Assumptions and Data'!$H15</f>
        <v>0.6</v>
      </c>
      <c r="S23" s="151">
        <f>S19*R23</f>
        <v>429780.05600000004</v>
      </c>
      <c r="T23" s="62"/>
      <c r="U23" s="68">
        <f>'3.  LDC Assumptions and Data'!$I15</f>
        <v>0.6</v>
      </c>
      <c r="V23" s="151">
        <f>V19*U23</f>
        <v>0</v>
      </c>
      <c r="W23" s="62"/>
    </row>
    <row r="24" spans="1:23" ht="12.75">
      <c r="A24" s="5"/>
      <c r="B24" s="2" t="s">
        <v>248</v>
      </c>
      <c r="C24" s="68">
        <f>'3.  LDC Assumptions and Data'!$C$16</f>
        <v>0.5</v>
      </c>
      <c r="D24" s="151">
        <f>D19*C24</f>
        <v>0</v>
      </c>
      <c r="E24" s="62"/>
      <c r="F24" s="68">
        <f>'3.  LDC Assumptions and Data'!$D$16</f>
        <v>0.5</v>
      </c>
      <c r="G24" s="151">
        <f>G19*F24</f>
        <v>0</v>
      </c>
      <c r="H24" s="62"/>
      <c r="I24" s="68">
        <f>'3.  LDC Assumptions and Data'!$E$16</f>
        <v>0.46699999999999997</v>
      </c>
      <c r="J24" s="151">
        <f>J19*I24</f>
        <v>0</v>
      </c>
      <c r="K24" s="62"/>
      <c r="L24" s="68">
        <f>'3.  LDC Assumptions and Data'!$F$16</f>
        <v>0.43300000000000005</v>
      </c>
      <c r="M24" s="151">
        <f>M19*L24</f>
        <v>139479.01081883337</v>
      </c>
      <c r="N24" s="62"/>
      <c r="O24" s="68">
        <f>'3.  LDC Assumptions and Data'!$G$16</f>
        <v>0.4</v>
      </c>
      <c r="P24" s="151">
        <f>P19*O24</f>
        <v>275760.21880000003</v>
      </c>
      <c r="Q24" s="62"/>
      <c r="R24" s="68">
        <f>'3.  LDC Assumptions and Data'!$H$16</f>
        <v>0.4</v>
      </c>
      <c r="S24" s="151">
        <f>S19*R24</f>
        <v>286520.03733333334</v>
      </c>
      <c r="T24" s="62"/>
      <c r="U24" s="68">
        <f>'3.  LDC Assumptions and Data'!$I$16</f>
        <v>0.4</v>
      </c>
      <c r="V24" s="151">
        <f>V19*U24</f>
        <v>0</v>
      </c>
      <c r="W24" s="62"/>
    </row>
    <row r="25" spans="1:23" ht="12.75">
      <c r="A25" s="5"/>
      <c r="B25" s="61"/>
      <c r="C25" s="69"/>
      <c r="D25" s="139">
        <f>SUM(D23:D24)</f>
        <v>0</v>
      </c>
      <c r="E25" s="62"/>
      <c r="F25" s="69"/>
      <c r="G25" s="139">
        <f>SUM(G23:G24)</f>
        <v>0</v>
      </c>
      <c r="H25" s="62"/>
      <c r="I25" s="69"/>
      <c r="J25" s="168">
        <f>SUM(J22:J24)</f>
        <v>0</v>
      </c>
      <c r="K25" s="62"/>
      <c r="L25" s="69"/>
      <c r="M25" s="139">
        <f>SUM(M23:M24)</f>
        <v>322122.4268333334</v>
      </c>
      <c r="N25" s="62"/>
      <c r="O25" s="69"/>
      <c r="P25" s="168">
        <f>SUM(P22:P24)</f>
        <v>689400.547</v>
      </c>
      <c r="Q25" s="62"/>
      <c r="R25" s="69"/>
      <c r="S25" s="168">
        <f>SUM(S22:S24)</f>
        <v>716300.0933333334</v>
      </c>
      <c r="T25" s="62"/>
      <c r="U25" s="69"/>
      <c r="V25" s="168">
        <f>SUM(V22:V24)</f>
        <v>0</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251</v>
      </c>
      <c r="C27" s="68"/>
      <c r="D27" s="6"/>
      <c r="E27" s="62"/>
      <c r="F27" s="68"/>
      <c r="G27" s="6"/>
      <c r="H27" s="62"/>
      <c r="I27" s="68">
        <f>'3.  LDC Assumptions and Data'!$E$18</f>
        <v>0.0447</v>
      </c>
      <c r="J27" s="167">
        <f>J22*I27</f>
        <v>0</v>
      </c>
      <c r="K27" s="62"/>
      <c r="L27" s="68">
        <f>'3.  LDC Assumptions and Data'!$F18</f>
        <v>0.0113</v>
      </c>
      <c r="M27" s="167">
        <f>M22*L27</f>
        <v>0</v>
      </c>
      <c r="N27" s="62"/>
      <c r="O27" s="68">
        <f>'3.  LDC Assumptions and Data'!$G18</f>
        <v>0.0113</v>
      </c>
      <c r="P27" s="167">
        <f>P22*O27</f>
        <v>0</v>
      </c>
      <c r="Q27" s="62"/>
      <c r="R27" s="68">
        <f>'3.  LDC Assumptions and Data'!$H18</f>
        <v>0.0113</v>
      </c>
      <c r="S27" s="167">
        <f>R27*S22</f>
        <v>0</v>
      </c>
      <c r="T27" s="62"/>
      <c r="U27" s="68">
        <f>'3.  LDC Assumptions and Data'!$I18</f>
        <v>0.0113</v>
      </c>
      <c r="V27" s="167">
        <f>V22*U27</f>
        <v>0</v>
      </c>
      <c r="W27" s="62"/>
    </row>
    <row r="28" spans="1:23" ht="12.75">
      <c r="A28" s="5"/>
      <c r="B28" s="61" t="s">
        <v>196</v>
      </c>
      <c r="C28" s="68">
        <f>'3.  LDC Assumptions and Data'!$C$19</f>
        <v>0.0625</v>
      </c>
      <c r="D28" s="151">
        <f>D23*C28</f>
        <v>0</v>
      </c>
      <c r="E28" s="67"/>
      <c r="F28" s="68">
        <f>'3.  LDC Assumptions and Data'!$D$19</f>
        <v>0.0625</v>
      </c>
      <c r="G28" s="151">
        <f>G23*F28</f>
        <v>0</v>
      </c>
      <c r="H28" s="67"/>
      <c r="I28" s="68">
        <f>'3.  LDC Assumptions and Data'!$E$19</f>
        <v>0.0625</v>
      </c>
      <c r="J28" s="151">
        <f>J23*I28</f>
        <v>0</v>
      </c>
      <c r="K28" s="67"/>
      <c r="L28" s="68">
        <f>'3.  LDC Assumptions and Data'!$F19</f>
        <v>0.0625</v>
      </c>
      <c r="M28" s="151">
        <f>M23*L28</f>
        <v>11415.213500906251</v>
      </c>
      <c r="N28" s="67"/>
      <c r="O28" s="68">
        <f>'3.  LDC Assumptions and Data'!$G19</f>
        <v>0.0625</v>
      </c>
      <c r="P28" s="151">
        <f>P23*O28</f>
        <v>25852.5205125</v>
      </c>
      <c r="Q28" s="67"/>
      <c r="R28" s="68">
        <f>'3.  LDC Assumptions and Data'!$H19</f>
        <v>0.0625</v>
      </c>
      <c r="S28" s="151">
        <f>S23*R28</f>
        <v>26861.253500000003</v>
      </c>
      <c r="T28" s="67"/>
      <c r="U28" s="68">
        <f>'3.  LDC Assumptions and Data'!$I19</f>
        <v>0.0625</v>
      </c>
      <c r="V28" s="151">
        <f>V23*U28</f>
        <v>0</v>
      </c>
      <c r="W28" s="67"/>
    </row>
    <row r="29" spans="1:23" ht="12.75">
      <c r="A29" s="5"/>
      <c r="B29" s="61" t="s">
        <v>197</v>
      </c>
      <c r="C29" s="68">
        <f>'3.  LDC Assumptions and Data'!$C$20</f>
        <v>0</v>
      </c>
      <c r="D29" s="151">
        <f>D24*C29</f>
        <v>0</v>
      </c>
      <c r="E29" s="67"/>
      <c r="F29" s="68">
        <f>'3.  LDC Assumptions and Data'!$D$20</f>
        <v>0</v>
      </c>
      <c r="G29" s="151">
        <f>G24*F29</f>
        <v>0</v>
      </c>
      <c r="H29" s="67"/>
      <c r="I29" s="68">
        <f>'3.  LDC Assumptions and Data'!$E$20</f>
        <v>0</v>
      </c>
      <c r="J29" s="151">
        <f>J24*I29</f>
        <v>0</v>
      </c>
      <c r="K29" s="67"/>
      <c r="L29" s="68">
        <f>'3.  LDC Assumptions and Data'!$F$20</f>
        <v>0</v>
      </c>
      <c r="M29" s="151">
        <f>M24*L29</f>
        <v>0</v>
      </c>
      <c r="N29" s="67"/>
      <c r="O29" s="68">
        <f>'3.  LDC Assumptions and Data'!$G$20</f>
        <v>0</v>
      </c>
      <c r="P29" s="151">
        <f>P24*O29</f>
        <v>0</v>
      </c>
      <c r="Q29" s="67"/>
      <c r="R29" s="68">
        <f>'3.  LDC Assumptions and Data'!$H$20</f>
        <v>0</v>
      </c>
      <c r="S29" s="151">
        <f>S24*R29</f>
        <v>0</v>
      </c>
      <c r="T29" s="67"/>
      <c r="U29" s="68">
        <f>'3.  LDC Assumptions and Data'!$I$20</f>
        <v>0</v>
      </c>
      <c r="V29" s="151">
        <f>V24*U29</f>
        <v>0</v>
      </c>
      <c r="W29" s="67"/>
    </row>
    <row r="30" spans="1:23" ht="15.75">
      <c r="A30" s="5"/>
      <c r="B30" s="52" t="s">
        <v>118</v>
      </c>
      <c r="C30" s="65"/>
      <c r="D30" s="139">
        <f>SUM(D28:D29)</f>
        <v>0</v>
      </c>
      <c r="E30" s="153">
        <f>D30</f>
        <v>0</v>
      </c>
      <c r="F30" s="65"/>
      <c r="G30" s="139">
        <f>SUM(G28:G29)</f>
        <v>0</v>
      </c>
      <c r="H30" s="153">
        <f>G30</f>
        <v>0</v>
      </c>
      <c r="I30" s="65"/>
      <c r="J30" s="168">
        <f>SUM(J27:J29)</f>
        <v>0</v>
      </c>
      <c r="K30" s="153">
        <f>J30</f>
        <v>0</v>
      </c>
      <c r="L30" s="65"/>
      <c r="M30" s="168">
        <f>SUM(M27:M29)</f>
        <v>11415.213500906251</v>
      </c>
      <c r="N30" s="153">
        <f>M30</f>
        <v>11415.213500906251</v>
      </c>
      <c r="O30" s="65"/>
      <c r="P30" s="168">
        <f>SUM(P27:P29)</f>
        <v>25852.5205125</v>
      </c>
      <c r="Q30" s="153">
        <f>P30</f>
        <v>25852.5205125</v>
      </c>
      <c r="R30" s="65"/>
      <c r="S30" s="168">
        <f>SUM(S27:S29)</f>
        <v>26861.253500000003</v>
      </c>
      <c r="T30" s="153">
        <f>S30</f>
        <v>26861.253500000003</v>
      </c>
      <c r="U30" s="65"/>
      <c r="V30" s="168">
        <f>SUM(V27:V29)</f>
        <v>0</v>
      </c>
      <c r="W30" s="153">
        <f>V30</f>
        <v>0</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4">
        <f>'3.  LDC Assumptions and Data'!C46</f>
        <v>0</v>
      </c>
      <c r="F33" s="65"/>
      <c r="G33" s="64"/>
      <c r="H33" s="154">
        <f>'3.  LDC Assumptions and Data'!D46</f>
        <v>0</v>
      </c>
      <c r="I33" s="65"/>
      <c r="J33" s="64"/>
      <c r="K33" s="154">
        <f>'3.  LDC Assumptions and Data'!E46</f>
        <v>0</v>
      </c>
      <c r="L33" s="65"/>
      <c r="M33" s="64"/>
      <c r="N33" s="154">
        <f>'3.  LDC Assumptions and Data'!F46</f>
        <v>0</v>
      </c>
      <c r="O33" s="65"/>
      <c r="P33" s="64"/>
      <c r="Q33" s="154">
        <f>'3.  LDC Assumptions and Data'!G46</f>
        <v>0</v>
      </c>
      <c r="R33" s="65"/>
      <c r="S33" s="64"/>
      <c r="T33" s="154">
        <f>'3.  LDC Assumptions and Data'!H46</f>
        <v>102500</v>
      </c>
      <c r="U33" s="65"/>
      <c r="V33" s="64"/>
      <c r="W33" s="154">
        <f>'3.  LDC Assumptions and Data'!I46</f>
        <v>0</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1">
        <f>SUM('6. Avg Nt Fix Ass &amp;UCC'!C13:C13)</f>
        <v>0</v>
      </c>
      <c r="E36" s="67"/>
      <c r="F36" s="65"/>
      <c r="G36" s="141">
        <f>SUM('6. Avg Nt Fix Ass &amp;UCC'!D13:D13)</f>
        <v>0</v>
      </c>
      <c r="H36" s="67"/>
      <c r="I36" s="65"/>
      <c r="J36" s="141">
        <f>SUM('6. Avg Nt Fix Ass &amp;UCC'!E13:E13)</f>
        <v>0</v>
      </c>
      <c r="K36" s="67"/>
      <c r="L36" s="65"/>
      <c r="M36" s="141">
        <f>SUM('6. Avg Nt Fix Ass &amp;UCC'!F13:F13)</f>
        <v>18806.842333333338</v>
      </c>
      <c r="N36" s="67"/>
      <c r="O36" s="65"/>
      <c r="P36" s="141">
        <f>SUM('6. Avg Nt Fix Ass &amp;UCC'!G13:G13)</f>
        <v>42080.470333333345</v>
      </c>
      <c r="Q36" s="67"/>
      <c r="R36" s="65"/>
      <c r="S36" s="141">
        <f>SUM('6. Avg Nt Fix Ass &amp;UCC'!H13:H13)</f>
        <v>46547.25600000001</v>
      </c>
      <c r="T36" s="67"/>
      <c r="U36" s="65"/>
      <c r="V36" s="141">
        <f>SUM('6. Avg Nt Fix Ass &amp;UCC'!I13:I13)</f>
        <v>0</v>
      </c>
      <c r="W36" s="67"/>
    </row>
    <row r="37" spans="1:23" ht="12.75">
      <c r="A37" s="5"/>
      <c r="B37" s="57" t="s">
        <v>138</v>
      </c>
      <c r="C37" s="65"/>
      <c r="D37" s="141">
        <f>SUM('6. Avg Nt Fix Ass &amp;UCC'!C28:C28)</f>
        <v>0</v>
      </c>
      <c r="E37" s="67"/>
      <c r="F37" s="65"/>
      <c r="G37" s="141">
        <f>SUM('6. Avg Nt Fix Ass &amp;UCC'!D28:D28)</f>
        <v>0</v>
      </c>
      <c r="H37" s="67"/>
      <c r="I37" s="65"/>
      <c r="J37" s="141">
        <f>SUM('6. Avg Nt Fix Ass &amp;UCC'!E28:E28)</f>
        <v>0</v>
      </c>
      <c r="K37" s="67"/>
      <c r="L37" s="65"/>
      <c r="M37" s="141">
        <f>SUM('6. Avg Nt Fix Ass &amp;UCC'!F28:F28)</f>
        <v>1105.0705</v>
      </c>
      <c r="N37" s="67"/>
      <c r="O37" s="65"/>
      <c r="P37" s="141">
        <f>SUM('6. Avg Nt Fix Ass &amp;UCC'!G28:G28)</f>
        <v>2308.9105</v>
      </c>
      <c r="Q37" s="67"/>
      <c r="R37" s="65"/>
      <c r="S37" s="141">
        <f>SUM('6. Avg Nt Fix Ass &amp;UCC'!H28:H28)</f>
        <v>2407.68</v>
      </c>
      <c r="T37" s="67"/>
      <c r="U37" s="65"/>
      <c r="V37" s="141">
        <f>SUM('6. Avg Nt Fix Ass &amp;UCC'!I28:I28)</f>
        <v>0</v>
      </c>
      <c r="W37" s="67"/>
    </row>
    <row r="38" spans="1:23" ht="12.75">
      <c r="A38" s="5"/>
      <c r="B38" s="57" t="s">
        <v>139</v>
      </c>
      <c r="C38" s="65"/>
      <c r="D38" s="141">
        <f>SUM('6. Avg Nt Fix Ass &amp;UCC'!C43:C43)</f>
        <v>0</v>
      </c>
      <c r="E38" s="67"/>
      <c r="F38" s="65"/>
      <c r="G38" s="141">
        <f>SUM('6. Avg Nt Fix Ass &amp;UCC'!D43:D43)</f>
        <v>0</v>
      </c>
      <c r="H38" s="67"/>
      <c r="I38" s="65"/>
      <c r="J38" s="141">
        <f>SUM('6. Avg Nt Fix Ass &amp;UCC'!E43:E43)</f>
        <v>0</v>
      </c>
      <c r="K38" s="67"/>
      <c r="L38" s="65"/>
      <c r="M38" s="141">
        <f>SUM('6. Avg Nt Fix Ass &amp;UCC'!F43:F43)</f>
        <v>6878.570999999999</v>
      </c>
      <c r="N38" s="67"/>
      <c r="O38" s="65"/>
      <c r="P38" s="141">
        <f>SUM('6. Avg Nt Fix Ass &amp;UCC'!G43:G43)</f>
        <v>15069.836999999998</v>
      </c>
      <c r="Q38" s="67"/>
      <c r="R38" s="65"/>
      <c r="S38" s="141">
        <f>SUM('6. Avg Nt Fix Ass &amp;UCC'!H43:H43)</f>
        <v>16382.531999999997</v>
      </c>
      <c r="T38" s="67"/>
      <c r="U38" s="65"/>
      <c r="V38" s="141">
        <f>SUM('6. Avg Nt Fix Ass &amp;UCC'!I43:I43)</f>
        <v>0</v>
      </c>
      <c r="W38" s="67"/>
    </row>
    <row r="39" spans="1:23" ht="12.75">
      <c r="A39" s="5"/>
      <c r="B39" s="57" t="s">
        <v>140</v>
      </c>
      <c r="C39" s="65"/>
      <c r="D39" s="141">
        <f>SUM('6. Avg Nt Fix Ass &amp;UCC'!C58:C58)</f>
        <v>0</v>
      </c>
      <c r="E39" s="67"/>
      <c r="F39" s="65"/>
      <c r="G39" s="141">
        <f>SUM('6. Avg Nt Fix Ass &amp;UCC'!D58:D58)</f>
        <v>0</v>
      </c>
      <c r="H39" s="67"/>
      <c r="I39" s="65"/>
      <c r="J39" s="141">
        <f>SUM('6. Avg Nt Fix Ass &amp;UCC'!E58:E58)</f>
        <v>0</v>
      </c>
      <c r="K39" s="67"/>
      <c r="L39" s="65"/>
      <c r="M39" s="141">
        <f>SUM('6. Avg Nt Fix Ass &amp;UCC'!F58:F58)</f>
        <v>800</v>
      </c>
      <c r="N39" s="67"/>
      <c r="O39" s="65"/>
      <c r="P39" s="141">
        <f>SUM('6. Avg Nt Fix Ass &amp;UCC'!G58:G58)</f>
        <v>1695.238</v>
      </c>
      <c r="Q39" s="67"/>
      <c r="R39" s="65"/>
      <c r="S39" s="141">
        <f>SUM('6. Avg Nt Fix Ass &amp;UCC'!H58:H58)</f>
        <v>1790.4759999999999</v>
      </c>
      <c r="T39" s="67"/>
      <c r="U39" s="65"/>
      <c r="V39" s="141">
        <f>SUM('6. Avg Nt Fix Ass &amp;UCC'!I58:I58)</f>
        <v>0</v>
      </c>
      <c r="W39" s="67"/>
    </row>
    <row r="40" spans="1:23" ht="12.75">
      <c r="A40" s="5"/>
      <c r="B40" s="57" t="s">
        <v>141</v>
      </c>
      <c r="C40" s="65"/>
      <c r="D40" s="141">
        <f>SUM('6. Avg Nt Fix Ass &amp;UCC'!C73:C73)</f>
        <v>0</v>
      </c>
      <c r="E40" s="67"/>
      <c r="F40" s="65"/>
      <c r="G40" s="141">
        <f>SUM('6. Avg Nt Fix Ass &amp;UCC'!D73:D73)</f>
        <v>0</v>
      </c>
      <c r="H40" s="67"/>
      <c r="I40" s="65"/>
      <c r="J40" s="141">
        <f>SUM('6. Avg Nt Fix Ass &amp;UCC'!E73:E73)</f>
        <v>0</v>
      </c>
      <c r="K40" s="67"/>
      <c r="L40" s="65"/>
      <c r="M40" s="141">
        <f>SUM('6. Avg Nt Fix Ass &amp;UCC'!F73:F73)</f>
        <v>39.1025</v>
      </c>
      <c r="N40" s="67"/>
      <c r="O40" s="65"/>
      <c r="P40" s="141">
        <f>SUM('6. Avg Nt Fix Ass &amp;UCC'!G73:G73)</f>
        <v>106.2775</v>
      </c>
      <c r="Q40" s="67"/>
      <c r="R40" s="65"/>
      <c r="S40" s="141">
        <f>SUM('6. Avg Nt Fix Ass &amp;UCC'!H73:H73)</f>
        <v>134.35</v>
      </c>
      <c r="T40" s="67"/>
      <c r="U40" s="65"/>
      <c r="V40" s="141">
        <f>SUM('6. Avg Nt Fix Ass &amp;UCC'!I73:I73)</f>
        <v>0</v>
      </c>
      <c r="W40" s="67"/>
    </row>
    <row r="41" spans="1:23" ht="15.75">
      <c r="A41" s="5"/>
      <c r="B41" s="52" t="s">
        <v>142</v>
      </c>
      <c r="C41" s="65"/>
      <c r="D41" s="64"/>
      <c r="E41" s="155">
        <f>SUM(D36:D40)</f>
        <v>0</v>
      </c>
      <c r="F41" s="65"/>
      <c r="G41" s="64"/>
      <c r="H41" s="155">
        <f>SUM(G36:G40)</f>
        <v>0</v>
      </c>
      <c r="I41" s="65"/>
      <c r="J41" s="64"/>
      <c r="K41" s="155">
        <f>SUM(J36:J40)</f>
        <v>0</v>
      </c>
      <c r="L41" s="65"/>
      <c r="M41" s="64"/>
      <c r="N41" s="155">
        <f>SUM(M36:M40)</f>
        <v>27629.58633333334</v>
      </c>
      <c r="O41" s="65"/>
      <c r="P41" s="64"/>
      <c r="Q41" s="155">
        <f>SUM(P36:P40)</f>
        <v>61260.73333333334</v>
      </c>
      <c r="R41" s="65"/>
      <c r="S41" s="64"/>
      <c r="T41" s="155">
        <f>SUM(S36:S40)</f>
        <v>67262.29400000001</v>
      </c>
      <c r="U41" s="65"/>
      <c r="V41" s="64"/>
      <c r="W41" s="155">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6">
        <f>SUM(E30,E41,E33)</f>
        <v>0</v>
      </c>
      <c r="F43" s="65"/>
      <c r="G43" s="64"/>
      <c r="H43" s="156">
        <f>SUM(H30,H41,H33)</f>
        <v>0</v>
      </c>
      <c r="I43" s="65"/>
      <c r="J43" s="64"/>
      <c r="K43" s="156">
        <f>SUM(K30,K41,K33)</f>
        <v>0</v>
      </c>
      <c r="L43" s="65"/>
      <c r="M43" s="64"/>
      <c r="N43" s="156">
        <f>SUM(N30,N41,N33)</f>
        <v>39044.79983423959</v>
      </c>
      <c r="O43" s="65"/>
      <c r="P43" s="64"/>
      <c r="Q43" s="156">
        <f>SUM(Q30,Q41,Q33)</f>
        <v>87113.25384583333</v>
      </c>
      <c r="R43" s="65"/>
      <c r="S43" s="64"/>
      <c r="T43" s="156">
        <f>SUM(T30,T41,T33)</f>
        <v>196623.54750000002</v>
      </c>
      <c r="U43" s="65"/>
      <c r="V43" s="64"/>
      <c r="W43" s="156">
        <f>SUM(W30,W41,W33)</f>
        <v>0</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3">
        <f>-E33</f>
        <v>0</v>
      </c>
      <c r="F46" s="65"/>
      <c r="G46" s="64"/>
      <c r="H46" s="153">
        <f>-H33</f>
        <v>0</v>
      </c>
      <c r="I46" s="65"/>
      <c r="J46" s="64"/>
      <c r="K46" s="153">
        <f>-K33</f>
        <v>0</v>
      </c>
      <c r="L46" s="65"/>
      <c r="M46" s="64"/>
      <c r="N46" s="153">
        <f>-N33</f>
        <v>0</v>
      </c>
      <c r="O46" s="65"/>
      <c r="P46" s="64"/>
      <c r="Q46" s="153">
        <f>-Q33</f>
        <v>0</v>
      </c>
      <c r="R46" s="65"/>
      <c r="S46" s="64"/>
      <c r="T46" s="153">
        <f>-T33</f>
        <v>-102500</v>
      </c>
      <c r="U46" s="65"/>
      <c r="V46" s="64"/>
      <c r="W46" s="153">
        <f>-W33</f>
        <v>0</v>
      </c>
    </row>
    <row r="47" spans="1:23" ht="12.75">
      <c r="A47" s="5"/>
      <c r="B47" s="57" t="s">
        <v>144</v>
      </c>
      <c r="C47" s="65"/>
      <c r="D47" s="64"/>
      <c r="E47" s="153">
        <f>-E41</f>
        <v>0</v>
      </c>
      <c r="F47" s="65"/>
      <c r="G47" s="64"/>
      <c r="H47" s="153">
        <f>-H41</f>
        <v>0</v>
      </c>
      <c r="I47" s="65"/>
      <c r="J47" s="64"/>
      <c r="K47" s="153">
        <f>-K41</f>
        <v>0</v>
      </c>
      <c r="L47" s="65"/>
      <c r="M47" s="64"/>
      <c r="N47" s="153">
        <f>-N41</f>
        <v>-27629.58633333334</v>
      </c>
      <c r="O47" s="65"/>
      <c r="P47" s="64"/>
      <c r="Q47" s="153">
        <f>-Q41</f>
        <v>-61260.73333333334</v>
      </c>
      <c r="R47" s="65"/>
      <c r="S47" s="64"/>
      <c r="T47" s="153">
        <f>-T41</f>
        <v>-67262.29400000001</v>
      </c>
      <c r="U47" s="65"/>
      <c r="V47" s="64"/>
      <c r="W47" s="153">
        <f>-W41</f>
        <v>0</v>
      </c>
    </row>
    <row r="48" spans="1:23" ht="12.75">
      <c r="A48" s="5"/>
      <c r="B48" s="57" t="s">
        <v>145</v>
      </c>
      <c r="C48" s="65"/>
      <c r="D48" s="64"/>
      <c r="E48" s="153">
        <f>-D28</f>
        <v>0</v>
      </c>
      <c r="F48" s="65"/>
      <c r="G48" s="64"/>
      <c r="H48" s="153">
        <f>-G28</f>
        <v>0</v>
      </c>
      <c r="I48" s="65"/>
      <c r="J48" s="64"/>
      <c r="K48" s="169">
        <f>-J28+-J27</f>
        <v>0</v>
      </c>
      <c r="L48" s="65"/>
      <c r="M48" s="64"/>
      <c r="N48" s="169">
        <f>-M28+-M27</f>
        <v>-11415.213500906251</v>
      </c>
      <c r="O48" s="65"/>
      <c r="P48" s="64"/>
      <c r="Q48" s="169">
        <f>-P28+-P27</f>
        <v>-25852.5205125</v>
      </c>
      <c r="R48" s="65"/>
      <c r="S48" s="64"/>
      <c r="T48" s="169">
        <f>-S28+-S27</f>
        <v>-26861.253500000003</v>
      </c>
      <c r="U48" s="65"/>
      <c r="V48" s="64"/>
      <c r="W48" s="169">
        <f>-V28+-V27</f>
        <v>0</v>
      </c>
    </row>
    <row r="49" spans="1:23" ht="15.75">
      <c r="A49" s="5"/>
      <c r="B49" s="52" t="s">
        <v>146</v>
      </c>
      <c r="C49" s="65"/>
      <c r="D49" s="64"/>
      <c r="E49" s="157">
        <f>SUM(E43:E48)</f>
        <v>0</v>
      </c>
      <c r="F49" s="65"/>
      <c r="G49" s="64"/>
      <c r="H49" s="157">
        <f>SUM(H43:H48)</f>
        <v>0</v>
      </c>
      <c r="I49" s="65"/>
      <c r="J49" s="64"/>
      <c r="K49" s="157">
        <f>SUM(K43:K48)</f>
        <v>0</v>
      </c>
      <c r="L49" s="65"/>
      <c r="M49" s="64"/>
      <c r="N49" s="157">
        <f>SUM(N43:N48)</f>
        <v>0</v>
      </c>
      <c r="O49" s="65"/>
      <c r="P49" s="64"/>
      <c r="Q49" s="157">
        <f>SUM(Q43:Q48)</f>
        <v>0</v>
      </c>
      <c r="R49" s="65"/>
      <c r="S49" s="64"/>
      <c r="T49" s="157">
        <f>SUM(T43:T48)</f>
        <v>0</v>
      </c>
      <c r="U49" s="65"/>
      <c r="V49" s="64"/>
      <c r="W49" s="157">
        <f>SUM(W43:W48)</f>
        <v>0</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4">
        <f>'5. PILs'!C42</f>
        <v>0</v>
      </c>
      <c r="F51" s="65"/>
      <c r="G51" s="64"/>
      <c r="H51" s="154">
        <f>'5. PILs'!D42</f>
        <v>0</v>
      </c>
      <c r="I51" s="65"/>
      <c r="J51" s="64"/>
      <c r="K51" s="154">
        <f>'5. PILs'!E42</f>
        <v>0</v>
      </c>
      <c r="L51" s="65"/>
      <c r="M51" s="64"/>
      <c r="N51" s="154">
        <f>'5. PILs'!F42</f>
        <v>-9230.439911125002</v>
      </c>
      <c r="O51" s="65"/>
      <c r="P51" s="64"/>
      <c r="Q51" s="154">
        <f>'5. PILs'!G42</f>
        <v>-14093.137046622556</v>
      </c>
      <c r="R51" s="65"/>
      <c r="S51" s="64"/>
      <c r="T51" s="154">
        <f>'5. PILs'!H42</f>
        <v>-3548.0129538871956</v>
      </c>
      <c r="U51" s="65"/>
      <c r="V51" s="64"/>
      <c r="W51" s="154">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8">
        <f>E43</f>
        <v>0</v>
      </c>
      <c r="F53" s="65"/>
      <c r="G53" s="64"/>
      <c r="H53" s="158">
        <f>H43</f>
        <v>0</v>
      </c>
      <c r="I53" s="65"/>
      <c r="J53" s="64"/>
      <c r="K53" s="158">
        <f>K43</f>
        <v>0</v>
      </c>
      <c r="L53" s="65"/>
      <c r="M53" s="64"/>
      <c r="N53" s="158">
        <f>N43</f>
        <v>39044.79983423959</v>
      </c>
      <c r="O53" s="65"/>
      <c r="P53" s="64"/>
      <c r="Q53" s="158">
        <f>Q43</f>
        <v>87113.25384583333</v>
      </c>
      <c r="R53" s="65"/>
      <c r="S53" s="64"/>
      <c r="T53" s="158">
        <f>T43</f>
        <v>196623.54750000002</v>
      </c>
      <c r="U53" s="65"/>
      <c r="V53" s="64"/>
      <c r="W53" s="158">
        <f>W43</f>
        <v>0</v>
      </c>
    </row>
    <row r="54" spans="1:23" ht="12.75">
      <c r="A54" s="5"/>
      <c r="B54" s="61" t="s">
        <v>147</v>
      </c>
      <c r="C54" s="65"/>
      <c r="D54" s="64"/>
      <c r="E54" s="158">
        <f>E51</f>
        <v>0</v>
      </c>
      <c r="F54" s="65"/>
      <c r="G54" s="64"/>
      <c r="H54" s="158">
        <f>H51</f>
        <v>0</v>
      </c>
      <c r="I54" s="65"/>
      <c r="J54" s="64"/>
      <c r="K54" s="158">
        <f>K51</f>
        <v>0</v>
      </c>
      <c r="L54" s="65"/>
      <c r="M54" s="64"/>
      <c r="N54" s="158">
        <f>N51</f>
        <v>-9230.439911125002</v>
      </c>
      <c r="O54" s="65"/>
      <c r="P54" s="64"/>
      <c r="Q54" s="158">
        <f>Q51</f>
        <v>-14093.137046622556</v>
      </c>
      <c r="R54" s="65"/>
      <c r="S54" s="64"/>
      <c r="T54" s="158">
        <f>T51</f>
        <v>-3548.0129538871956</v>
      </c>
      <c r="U54" s="65"/>
      <c r="V54" s="64"/>
      <c r="W54" s="158">
        <f>W51</f>
        <v>0</v>
      </c>
    </row>
    <row r="55" spans="1:23" ht="16.5" thickBot="1">
      <c r="A55" s="5"/>
      <c r="B55" s="52" t="s">
        <v>123</v>
      </c>
      <c r="C55" s="65"/>
      <c r="D55" s="64"/>
      <c r="E55" s="159">
        <f>SUM(E53:E54)</f>
        <v>0</v>
      </c>
      <c r="F55" s="65"/>
      <c r="G55" s="64"/>
      <c r="H55" s="159">
        <f>SUM(H53:H54)</f>
        <v>0</v>
      </c>
      <c r="I55" s="65"/>
      <c r="J55" s="64"/>
      <c r="K55" s="159">
        <f>SUM(K53:K54)</f>
        <v>0</v>
      </c>
      <c r="L55" s="65"/>
      <c r="M55" s="64"/>
      <c r="N55" s="159">
        <f>SUM(N53:N54)</f>
        <v>29814.359923114585</v>
      </c>
      <c r="O55" s="65"/>
      <c r="P55" s="64"/>
      <c r="Q55" s="159">
        <f>SUM(Q53:Q54)</f>
        <v>73020.11679921078</v>
      </c>
      <c r="R55" s="65"/>
      <c r="S55" s="64"/>
      <c r="T55" s="159">
        <f>SUM(T53:T54)</f>
        <v>193075.53454611282</v>
      </c>
      <c r="U55" s="65"/>
      <c r="V55" s="64"/>
      <c r="W55" s="159">
        <f>SUM(W53:W54)</f>
        <v>0</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B1:D1"/>
    <mergeCell ref="C7:E7"/>
    <mergeCell ref="F7:H7"/>
    <mergeCell ref="I7:K7"/>
    <mergeCell ref="I6:K6"/>
    <mergeCell ref="C6:E6"/>
    <mergeCell ref="F6:H6"/>
    <mergeCell ref="U6:W6"/>
    <mergeCell ref="U7:W7"/>
    <mergeCell ref="L7:N7"/>
    <mergeCell ref="O7:Q7"/>
    <mergeCell ref="R6:T6"/>
    <mergeCell ref="R7:T7"/>
    <mergeCell ref="L6:N6"/>
    <mergeCell ref="O6:Q6"/>
  </mergeCells>
  <printOptions/>
  <pageMargins left="0.43" right="0.43" top="0.79" bottom="0.54" header="0.5" footer="0.5"/>
  <pageSetup fitToHeight="1" fitToWidth="1" horizontalDpi="600" verticalDpi="600" orientation="landscape" scale="27"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zoomScalePageLayoutView="0" workbookViewId="0" topLeftCell="A4">
      <selection activeCell="H13" sqref="H13"/>
    </sheetView>
  </sheetViews>
  <sheetFormatPr defaultColWidth="9.140625" defaultRowHeight="12.75"/>
  <cols>
    <col min="1" max="1" width="16.28125" style="7" customWidth="1"/>
    <col min="2" max="2" width="33.00390625" style="7" bestFit="1" customWidth="1"/>
    <col min="3" max="4" width="13.28125" style="7" bestFit="1" customWidth="1"/>
    <col min="5" max="5" width="12.421875" style="7" customWidth="1"/>
    <col min="6" max="6" width="12.7109375" style="7" customWidth="1"/>
    <col min="7" max="7" width="13.140625" style="7" customWidth="1"/>
    <col min="8" max="8" width="13.8515625" style="7" customWidth="1"/>
    <col min="9" max="9" width="15.28125" style="7" bestFit="1" customWidth="1"/>
    <col min="10" max="16384" width="9.140625" style="7" customWidth="1"/>
  </cols>
  <sheetData>
    <row r="1" spans="1:6" s="3" customFormat="1" ht="21" customHeight="1">
      <c r="A1" s="1"/>
      <c r="B1" s="187" t="s">
        <v>148</v>
      </c>
      <c r="C1" s="187"/>
      <c r="D1" s="187"/>
      <c r="E1" s="187"/>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Actual</v>
      </c>
      <c r="H7" s="24" t="str">
        <f>'2. Smart Meter Data'!I5</f>
        <v>Forecasted</v>
      </c>
      <c r="I7" s="24" t="str">
        <f>'2. Smart Meter Data'!J5</f>
        <v>Forecasted</v>
      </c>
    </row>
    <row r="8" spans="1:9" ht="12.75">
      <c r="A8" s="5"/>
      <c r="B8" s="5" t="s">
        <v>151</v>
      </c>
      <c r="C8" s="138">
        <f>'4. Smart Meter Rev Req'!E49</f>
        <v>0</v>
      </c>
      <c r="D8" s="138">
        <f>'4. Smart Meter Rev Req'!H49</f>
        <v>0</v>
      </c>
      <c r="E8" s="138">
        <f>'4. Smart Meter Rev Req'!K49</f>
        <v>0</v>
      </c>
      <c r="F8" s="138">
        <f>'4. Smart Meter Rev Req'!N49</f>
        <v>0</v>
      </c>
      <c r="G8" s="138">
        <f>'4. Smart Meter Rev Req'!Q49</f>
        <v>0</v>
      </c>
      <c r="H8" s="138">
        <f>'4. Smart Meter Rev Req'!R49</f>
        <v>0</v>
      </c>
      <c r="I8" s="138">
        <f>'4. Smart Meter Rev Req'!S49</f>
        <v>0</v>
      </c>
    </row>
    <row r="9" spans="1:9" ht="12.75">
      <c r="A9" s="5"/>
      <c r="B9" s="5" t="s">
        <v>200</v>
      </c>
      <c r="C9" s="138">
        <f>-'4. Smart Meter Rev Req'!E47</f>
        <v>0</v>
      </c>
      <c r="D9" s="138">
        <f>-'4. Smart Meter Rev Req'!H47</f>
        <v>0</v>
      </c>
      <c r="E9" s="138">
        <f>-'4. Smart Meter Rev Req'!K47</f>
        <v>0</v>
      </c>
      <c r="F9" s="138">
        <f>-'4. Smart Meter Rev Req'!N47</f>
        <v>27629.58633333334</v>
      </c>
      <c r="G9" s="138">
        <f>-'4. Smart Meter Rev Req'!Q47</f>
        <v>61260.73333333334</v>
      </c>
      <c r="H9" s="172">
        <f>-'4. Smart Meter Rev Req'!T47</f>
        <v>67262.29400000001</v>
      </c>
      <c r="I9" s="138">
        <f>-'4. Smart Meter Rev Req'!S47</f>
        <v>0</v>
      </c>
    </row>
    <row r="10" spans="1:9" ht="12.75">
      <c r="A10" s="5"/>
      <c r="B10" s="5" t="s">
        <v>225</v>
      </c>
      <c r="C10" s="138">
        <f>-'6. Avg Nt Fix Ass &amp;UCC'!C93</f>
        <v>0</v>
      </c>
      <c r="D10" s="138">
        <f>-'6. Avg Nt Fix Ass &amp;UCC'!D93</f>
        <v>0</v>
      </c>
      <c r="E10" s="138">
        <f>-'6. Avg Nt Fix Ass &amp;UCC'!E93</f>
        <v>0</v>
      </c>
      <c r="F10" s="138">
        <f>-'6. Avg Nt Fix Ass &amp;UCC'!F93</f>
        <v>-22568.210800000004</v>
      </c>
      <c r="G10" s="138">
        <f>-'6. Avg Nt Fix Ass &amp;UCC'!G93</f>
        <v>-48691.10753600002</v>
      </c>
      <c r="H10" s="138">
        <f>-'6. Avg Nt Fix Ass &amp;UCC'!H93</f>
        <v>-50155.96173312001</v>
      </c>
      <c r="I10" s="138">
        <f>-'6. Avg Nt Fix Ass &amp;UCC'!I93</f>
        <v>0</v>
      </c>
    </row>
    <row r="11" spans="1:9" ht="12.75">
      <c r="A11" s="5"/>
      <c r="B11" s="5" t="s">
        <v>227</v>
      </c>
      <c r="C11" s="138">
        <f>-'6. Avg Nt Fix Ass &amp;UCC'!C107</f>
        <v>0</v>
      </c>
      <c r="D11" s="138">
        <f>-'6. Avg Nt Fix Ass &amp;UCC'!D107</f>
        <v>0</v>
      </c>
      <c r="E11" s="138">
        <f>-'6. Avg Nt Fix Ass &amp;UCC'!E107</f>
        <v>0</v>
      </c>
      <c r="F11" s="138">
        <f>-'6. Avg Nt Fix Ass &amp;UCC'!F107</f>
        <v>-24993.958000000002</v>
      </c>
      <c r="G11" s="138">
        <f>-'6. Avg Nt Fix Ass &amp;UCC'!G107</f>
        <v>-40394.3826</v>
      </c>
      <c r="H11" s="138">
        <f>-'6. Avg Nt Fix Ass &amp;UCC'!H107</f>
        <v>-22330.61567</v>
      </c>
      <c r="I11" s="138">
        <f>-'6. Avg Nt Fix Ass &amp;UCC'!I107</f>
        <v>0</v>
      </c>
    </row>
    <row r="12" spans="1:9" ht="12.75">
      <c r="A12" s="5"/>
      <c r="B12" s="5" t="s">
        <v>226</v>
      </c>
      <c r="C12" s="138">
        <f>-'6. Avg Nt Fix Ass &amp;UCC'!C121</f>
        <v>0</v>
      </c>
      <c r="D12" s="138">
        <f>-'6. Avg Nt Fix Ass &amp;UCC'!D121</f>
        <v>0</v>
      </c>
      <c r="E12" s="138">
        <f>-'6. Avg Nt Fix Ass &amp;UCC'!E121</f>
        <v>0</v>
      </c>
      <c r="F12" s="138">
        <f>-'6. Avg Nt Fix Ass &amp;UCC'!F121</f>
        <v>-1678.205</v>
      </c>
      <c r="G12" s="138">
        <f>-'6. Avg Nt Fix Ass &amp;UCC'!G121</f>
        <v>-3267.39</v>
      </c>
      <c r="H12" s="138">
        <f>-'6. Avg Nt Fix Ass &amp;UCC'!H121</f>
        <v>-2860.5330000000004</v>
      </c>
      <c r="I12" s="138">
        <f>-'6. Avg Nt Fix Ass &amp;UCC'!I121</f>
        <v>0</v>
      </c>
    </row>
    <row r="13" spans="1:9" ht="12.75">
      <c r="A13" s="5"/>
      <c r="B13" s="5" t="s">
        <v>152</v>
      </c>
      <c r="C13" s="139">
        <f aca="true" t="shared" si="0" ref="C13:I13">SUM(C8:C12)</f>
        <v>0</v>
      </c>
      <c r="D13" s="139">
        <f t="shared" si="0"/>
        <v>0</v>
      </c>
      <c r="E13" s="139">
        <f t="shared" si="0"/>
        <v>0</v>
      </c>
      <c r="F13" s="139">
        <f t="shared" si="0"/>
        <v>-21610.78746666667</v>
      </c>
      <c r="G13" s="139">
        <f t="shared" si="0"/>
        <v>-31092.146802666677</v>
      </c>
      <c r="H13" s="139">
        <f>SUM(H8:H12)</f>
        <v>-8084.816403120004</v>
      </c>
      <c r="I13" s="139">
        <f t="shared" si="0"/>
        <v>0</v>
      </c>
    </row>
    <row r="14" spans="1:9" ht="12.75">
      <c r="A14" s="5"/>
      <c r="B14" s="5" t="s">
        <v>201</v>
      </c>
      <c r="C14" s="140">
        <f>'3.  LDC Assumptions and Data'!C26</f>
        <v>0.3612</v>
      </c>
      <c r="D14" s="140">
        <f>'3.  LDC Assumptions and Data'!D26</f>
        <v>0.3612</v>
      </c>
      <c r="E14" s="140">
        <f>'3.  LDC Assumptions and Data'!E26</f>
        <v>0.335</v>
      </c>
      <c r="F14" s="140">
        <f>'3.  LDC Assumptions and Data'!F26</f>
        <v>0.33</v>
      </c>
      <c r="G14" s="140">
        <f>'3.  LDC Assumptions and Data'!G26</f>
        <v>0.32</v>
      </c>
      <c r="H14" s="140">
        <f>'3.  LDC Assumptions and Data'!H26</f>
        <v>0.305</v>
      </c>
      <c r="I14" s="140">
        <f>'3.  LDC Assumptions and Data'!I26</f>
        <v>0.29</v>
      </c>
    </row>
    <row r="15" spans="1:9" ht="12.75">
      <c r="A15" s="5"/>
      <c r="B15" s="5" t="s">
        <v>153</v>
      </c>
      <c r="C15" s="139">
        <f aca="true" t="shared" si="1" ref="C15:I15">C13*C14</f>
        <v>0</v>
      </c>
      <c r="D15" s="139">
        <f t="shared" si="1"/>
        <v>0</v>
      </c>
      <c r="E15" s="139">
        <f t="shared" si="1"/>
        <v>0</v>
      </c>
      <c r="F15" s="139">
        <f t="shared" si="1"/>
        <v>-7131.559864000001</v>
      </c>
      <c r="G15" s="139">
        <f t="shared" si="1"/>
        <v>-9949.486976853337</v>
      </c>
      <c r="H15" s="139">
        <f t="shared" si="1"/>
        <v>-2465.869002951601</v>
      </c>
      <c r="I15" s="139">
        <f t="shared" si="1"/>
        <v>0</v>
      </c>
    </row>
    <row r="16" spans="1:7" ht="12.75">
      <c r="A16" s="5"/>
      <c r="B16" s="5"/>
      <c r="C16" s="5"/>
      <c r="D16" s="5"/>
      <c r="E16" s="5"/>
      <c r="F16" s="5"/>
      <c r="G16" s="5"/>
    </row>
    <row r="17" spans="1:7" ht="12.75">
      <c r="A17" s="5"/>
      <c r="B17" s="34" t="s">
        <v>154</v>
      </c>
      <c r="C17" s="5"/>
      <c r="D17" s="5"/>
      <c r="E17" s="5"/>
      <c r="F17" s="5"/>
      <c r="G17" s="5"/>
    </row>
    <row r="18" spans="1:9" ht="12.75">
      <c r="A18" s="5"/>
      <c r="B18" s="61" t="s">
        <v>116</v>
      </c>
      <c r="C18" s="138">
        <f>'6. Avg Nt Fix Ass &amp;UCC'!C17</f>
        <v>0</v>
      </c>
      <c r="D18" s="138">
        <f>'6. Avg Nt Fix Ass &amp;UCC'!D17</f>
        <v>0</v>
      </c>
      <c r="E18" s="138">
        <f>'6. Avg Nt Fix Ass &amp;UCC'!E17</f>
        <v>0</v>
      </c>
      <c r="F18" s="138">
        <f>'6. Avg Nt Fix Ass &amp;UCC'!F17</f>
        <v>545398.4276666668</v>
      </c>
      <c r="G18" s="138">
        <f>'6. Avg Nt Fix Ass &amp;UCC'!G17</f>
        <v>637321.5273333334</v>
      </c>
      <c r="H18" s="138">
        <f>'6. Avg Nt Fix Ass &amp;UCC'!H17</f>
        <v>590774.2713333333</v>
      </c>
      <c r="I18" s="138">
        <f>'6. Avg Nt Fix Ass &amp;UCC'!I17</f>
        <v>0</v>
      </c>
    </row>
    <row r="19" spans="1:9" ht="12.75">
      <c r="A19" s="5"/>
      <c r="B19" s="61" t="s">
        <v>98</v>
      </c>
      <c r="C19" s="138">
        <f>'6. Avg Nt Fix Ass &amp;UCC'!C32</f>
        <v>0</v>
      </c>
      <c r="D19" s="138">
        <f>'6. Avg Nt Fix Ass &amp;UCC'!D32</f>
        <v>0</v>
      </c>
      <c r="E19" s="138">
        <f>'6. Avg Nt Fix Ass &amp;UCC'!E32</f>
        <v>0</v>
      </c>
      <c r="F19" s="138">
        <f>'6. Avg Nt Fix Ass &amp;UCC'!F32</f>
        <v>20996.3395</v>
      </c>
      <c r="G19" s="138">
        <f>'6. Avg Nt Fix Ass &amp;UCC'!G32</f>
        <v>20662.819</v>
      </c>
      <c r="H19" s="138">
        <f>'6. Avg Nt Fix Ass &amp;UCC'!H32</f>
        <v>18255.139</v>
      </c>
      <c r="I19" s="138">
        <f>'6. Avg Nt Fix Ass &amp;UCC'!I32</f>
        <v>0</v>
      </c>
    </row>
    <row r="20" spans="1:9" ht="12.75">
      <c r="A20" s="5"/>
      <c r="B20" s="61" t="s">
        <v>99</v>
      </c>
      <c r="C20" s="141">
        <f>'6. Avg Nt Fix Ass &amp;UCC'!C47</f>
        <v>0</v>
      </c>
      <c r="D20" s="141">
        <f>'6. Avg Nt Fix Ass &amp;UCC'!D47</f>
        <v>0</v>
      </c>
      <c r="E20" s="141">
        <f>'6. Avg Nt Fix Ass &amp;UCC'!E47</f>
        <v>0</v>
      </c>
      <c r="F20" s="141">
        <f>'6. Avg Nt Fix Ass &amp;UCC'!F47</f>
        <v>61907.138999999996</v>
      </c>
      <c r="G20" s="141">
        <f>'6. Avg Nt Fix Ass &amp;UCC'!G47</f>
        <v>59964.25199999999</v>
      </c>
      <c r="H20" s="141">
        <f>'6. Avg Nt Fix Ass &amp;UCC'!H47</f>
        <v>43581.719999999994</v>
      </c>
      <c r="I20" s="141">
        <f>'6. Avg Nt Fix Ass &amp;UCC'!I47</f>
        <v>0</v>
      </c>
    </row>
    <row r="21" spans="1:9" ht="12.75">
      <c r="A21" s="5"/>
      <c r="B21" s="61" t="s">
        <v>11</v>
      </c>
      <c r="C21" s="141">
        <f>'6. Avg Nt Fix Ass &amp;UCC'!C62</f>
        <v>0</v>
      </c>
      <c r="D21" s="141">
        <f>'6. Avg Nt Fix Ass &amp;UCC'!D62</f>
        <v>0</v>
      </c>
      <c r="E21" s="141">
        <f>'6. Avg Nt Fix Ass &amp;UCC'!E62</f>
        <v>0</v>
      </c>
      <c r="F21" s="141">
        <f>'6. Avg Nt Fix Ass &amp;UCC'!F62</f>
        <v>15200</v>
      </c>
      <c r="G21" s="141">
        <f>'6. Avg Nt Fix Ass &amp;UCC'!G62</f>
        <v>15409.521999999997</v>
      </c>
      <c r="H21" s="141">
        <f>'6. Avg Nt Fix Ass &amp;UCC'!H62</f>
        <v>13619.045999999998</v>
      </c>
      <c r="I21" s="141">
        <f>'6. Avg Nt Fix Ass &amp;UCC'!I62</f>
        <v>0</v>
      </c>
    </row>
    <row r="22" spans="1:9" ht="12.75">
      <c r="A22" s="5"/>
      <c r="B22" s="61" t="s">
        <v>13</v>
      </c>
      <c r="C22" s="142">
        <f>'6. Avg Nt Fix Ass &amp;UCC'!C77</f>
        <v>0</v>
      </c>
      <c r="D22" s="142">
        <f>'6. Avg Nt Fix Ass &amp;UCC'!D77</f>
        <v>0</v>
      </c>
      <c r="E22" s="142">
        <f>'6. Avg Nt Fix Ass &amp;UCC'!E77</f>
        <v>0</v>
      </c>
      <c r="F22" s="142">
        <f>'6. Avg Nt Fix Ass &amp;UCC'!F77</f>
        <v>742.9475</v>
      </c>
      <c r="G22" s="142">
        <f>'6. Avg Nt Fix Ass &amp;UCC'!G77</f>
        <v>1198.12</v>
      </c>
      <c r="H22" s="142">
        <f>'6. Avg Nt Fix Ass &amp;UCC'!H77</f>
        <v>1063.77</v>
      </c>
      <c r="I22" s="142">
        <f>'6. Avg Nt Fix Ass &amp;UCC'!I77</f>
        <v>0</v>
      </c>
    </row>
    <row r="23" spans="1:9" ht="12.75">
      <c r="A23" s="5"/>
      <c r="B23" s="5" t="s">
        <v>155</v>
      </c>
      <c r="C23" s="102">
        <f aca="true" t="shared" si="2" ref="C23:I23">SUM(C18:C20)</f>
        <v>0</v>
      </c>
      <c r="D23" s="102">
        <f t="shared" si="2"/>
        <v>0</v>
      </c>
      <c r="E23" s="102">
        <f t="shared" si="2"/>
        <v>0</v>
      </c>
      <c r="F23" s="102">
        <f t="shared" si="2"/>
        <v>628301.9061666668</v>
      </c>
      <c r="G23" s="102">
        <f t="shared" si="2"/>
        <v>717948.5983333334</v>
      </c>
      <c r="H23" s="102">
        <f t="shared" si="2"/>
        <v>652611.1303333333</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39">
        <f aca="true" t="shared" si="3" ref="C25:I25">C23-C24</f>
        <v>0</v>
      </c>
      <c r="D25" s="139">
        <f t="shared" si="3"/>
        <v>0</v>
      </c>
      <c r="E25" s="139">
        <f t="shared" si="3"/>
        <v>0</v>
      </c>
      <c r="F25" s="139">
        <f t="shared" si="3"/>
        <v>628301.9061666668</v>
      </c>
      <c r="G25" s="139">
        <f t="shared" si="3"/>
        <v>717948.5983333334</v>
      </c>
      <c r="H25" s="139">
        <f t="shared" si="3"/>
        <v>652611.1303333333</v>
      </c>
      <c r="I25" s="139">
        <f t="shared" si="3"/>
        <v>0</v>
      </c>
    </row>
    <row r="26" spans="1:9" ht="12.75">
      <c r="A26" s="5"/>
      <c r="B26" s="5" t="s">
        <v>158</v>
      </c>
      <c r="C26" s="143">
        <v>0.003</v>
      </c>
      <c r="D26" s="144">
        <v>0.00225</v>
      </c>
      <c r="E26" s="144">
        <v>0.00225</v>
      </c>
      <c r="F26" s="144">
        <v>0.00225</v>
      </c>
      <c r="G26" s="144">
        <f>0.15%/2</f>
        <v>0.00075</v>
      </c>
      <c r="H26" s="143">
        <v>0</v>
      </c>
      <c r="I26" s="143">
        <v>0</v>
      </c>
    </row>
    <row r="27" spans="1:9" ht="12.75">
      <c r="A27" s="5"/>
      <c r="B27" s="5" t="s">
        <v>159</v>
      </c>
      <c r="C27" s="139">
        <f aca="true" t="shared" si="4" ref="C27:I27">C25*C26</f>
        <v>0</v>
      </c>
      <c r="D27" s="139">
        <f t="shared" si="4"/>
        <v>0</v>
      </c>
      <c r="E27" s="139">
        <f t="shared" si="4"/>
        <v>0</v>
      </c>
      <c r="F27" s="139">
        <f t="shared" si="4"/>
        <v>1413.679288875</v>
      </c>
      <c r="G27" s="139">
        <f t="shared" si="4"/>
        <v>538.46144875</v>
      </c>
      <c r="H27" s="139">
        <f t="shared" si="4"/>
        <v>0</v>
      </c>
      <c r="I27" s="139">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0</v>
      </c>
      <c r="D32" s="102">
        <f t="shared" si="5"/>
        <v>0</v>
      </c>
      <c r="E32" s="102">
        <f t="shared" si="5"/>
        <v>0</v>
      </c>
      <c r="F32" s="102">
        <f t="shared" si="5"/>
        <v>-7131.559864000001</v>
      </c>
      <c r="G32" s="102">
        <f t="shared" si="5"/>
        <v>-9949.486976853337</v>
      </c>
      <c r="H32" s="102">
        <f t="shared" si="5"/>
        <v>-2465.869002951601</v>
      </c>
      <c r="I32" s="102">
        <f t="shared" si="5"/>
        <v>0</v>
      </c>
    </row>
    <row r="33" spans="1:9" ht="12.75">
      <c r="A33" s="5"/>
      <c r="B33" s="5" t="s">
        <v>163</v>
      </c>
      <c r="C33" s="102">
        <f aca="true" t="shared" si="6" ref="C33:I33">C27</f>
        <v>0</v>
      </c>
      <c r="D33" s="102">
        <f t="shared" si="6"/>
        <v>0</v>
      </c>
      <c r="E33" s="102">
        <f t="shared" si="6"/>
        <v>0</v>
      </c>
      <c r="F33" s="102">
        <f t="shared" si="6"/>
        <v>1413.679288875</v>
      </c>
      <c r="G33" s="102">
        <f t="shared" si="6"/>
        <v>538.46144875</v>
      </c>
      <c r="H33" s="102">
        <f t="shared" si="6"/>
        <v>0</v>
      </c>
      <c r="I33" s="102">
        <f t="shared" si="6"/>
        <v>0</v>
      </c>
    </row>
    <row r="34" spans="1:9" ht="12.75">
      <c r="A34" s="5"/>
      <c r="B34" s="5" t="s">
        <v>164</v>
      </c>
      <c r="C34" s="139">
        <f aca="true" t="shared" si="7" ref="C34:I34">SUM(C32:C33)</f>
        <v>0</v>
      </c>
      <c r="D34" s="139">
        <f t="shared" si="7"/>
        <v>0</v>
      </c>
      <c r="E34" s="139">
        <f t="shared" si="7"/>
        <v>0</v>
      </c>
      <c r="F34" s="139">
        <f t="shared" si="7"/>
        <v>-5717.880575125</v>
      </c>
      <c r="G34" s="139">
        <f t="shared" si="7"/>
        <v>-9411.025528103337</v>
      </c>
      <c r="H34" s="139">
        <f t="shared" si="7"/>
        <v>-2465.869002951601</v>
      </c>
      <c r="I34" s="139">
        <f t="shared" si="7"/>
        <v>0</v>
      </c>
    </row>
    <row r="35" ht="13.5" customHeight="1"/>
    <row r="36" spans="3:9" ht="12.75">
      <c r="C36" s="24" t="s">
        <v>160</v>
      </c>
      <c r="D36" s="24" t="s">
        <v>160</v>
      </c>
      <c r="E36" s="24" t="s">
        <v>160</v>
      </c>
      <c r="F36" s="24" t="s">
        <v>160</v>
      </c>
      <c r="G36" s="24" t="s">
        <v>160</v>
      </c>
      <c r="H36" s="24" t="s">
        <v>160</v>
      </c>
      <c r="I36" s="24" t="s">
        <v>160</v>
      </c>
    </row>
    <row r="37" spans="3:9" ht="12.75">
      <c r="C37" s="76">
        <f>C14</f>
        <v>0.3612</v>
      </c>
      <c r="D37" s="76">
        <f aca="true" t="shared" si="8" ref="D37:I37">D14</f>
        <v>0.3612</v>
      </c>
      <c r="E37" s="76">
        <f t="shared" si="8"/>
        <v>0.335</v>
      </c>
      <c r="F37" s="76">
        <f t="shared" si="8"/>
        <v>0.33</v>
      </c>
      <c r="G37" s="76">
        <f t="shared" si="8"/>
        <v>0.32</v>
      </c>
      <c r="H37" s="76">
        <f t="shared" si="8"/>
        <v>0.305</v>
      </c>
      <c r="I37" s="76">
        <f t="shared" si="8"/>
        <v>0.29</v>
      </c>
    </row>
    <row r="39" spans="3:9" ht="25.5">
      <c r="C39" s="77" t="s">
        <v>165</v>
      </c>
      <c r="D39" s="77" t="s">
        <v>165</v>
      </c>
      <c r="E39" s="77" t="s">
        <v>165</v>
      </c>
      <c r="F39" s="77" t="s">
        <v>165</v>
      </c>
      <c r="G39" s="77" t="s">
        <v>165</v>
      </c>
      <c r="H39" s="77" t="s">
        <v>165</v>
      </c>
      <c r="I39" s="77" t="s">
        <v>165</v>
      </c>
    </row>
    <row r="40" spans="2:9" ht="12.75">
      <c r="B40" s="5" t="s">
        <v>162</v>
      </c>
      <c r="C40" s="102">
        <f aca="true" t="shared" si="9" ref="C40:I40">C32/(1-C37)</f>
        <v>0</v>
      </c>
      <c r="D40" s="102">
        <f t="shared" si="9"/>
        <v>0</v>
      </c>
      <c r="E40" s="102">
        <f t="shared" si="9"/>
        <v>0</v>
      </c>
      <c r="F40" s="102">
        <f t="shared" si="9"/>
        <v>-10644.119200000003</v>
      </c>
      <c r="G40" s="102">
        <f t="shared" si="9"/>
        <v>-14631.598495372556</v>
      </c>
      <c r="H40" s="102">
        <f t="shared" si="9"/>
        <v>-3548.0129538871956</v>
      </c>
      <c r="I40" s="102">
        <f t="shared" si="9"/>
        <v>0</v>
      </c>
    </row>
    <row r="41" spans="2:9" ht="12.75">
      <c r="B41" s="5" t="s">
        <v>163</v>
      </c>
      <c r="C41" s="102">
        <f aca="true" t="shared" si="10" ref="C41:I41">C33</f>
        <v>0</v>
      </c>
      <c r="D41" s="102">
        <f t="shared" si="10"/>
        <v>0</v>
      </c>
      <c r="E41" s="102">
        <f t="shared" si="10"/>
        <v>0</v>
      </c>
      <c r="F41" s="102">
        <f t="shared" si="10"/>
        <v>1413.679288875</v>
      </c>
      <c r="G41" s="102">
        <f t="shared" si="10"/>
        <v>538.46144875</v>
      </c>
      <c r="H41" s="102">
        <f t="shared" si="10"/>
        <v>0</v>
      </c>
      <c r="I41" s="102">
        <f t="shared" si="10"/>
        <v>0</v>
      </c>
    </row>
    <row r="42" spans="2:9" ht="12.75">
      <c r="B42" s="5" t="s">
        <v>164</v>
      </c>
      <c r="C42" s="145">
        <f aca="true" t="shared" si="11" ref="C42:I42">SUM(C40:C41)</f>
        <v>0</v>
      </c>
      <c r="D42" s="145">
        <f t="shared" si="11"/>
        <v>0</v>
      </c>
      <c r="E42" s="145">
        <f t="shared" si="11"/>
        <v>0</v>
      </c>
      <c r="F42" s="145">
        <f t="shared" si="11"/>
        <v>-9230.439911125002</v>
      </c>
      <c r="G42" s="145">
        <f t="shared" si="11"/>
        <v>-14093.137046622556</v>
      </c>
      <c r="H42" s="145">
        <f t="shared" si="11"/>
        <v>-3548.0129538871956</v>
      </c>
      <c r="I42" s="145">
        <f t="shared" si="11"/>
        <v>0</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9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dimension ref="A1:I127"/>
  <sheetViews>
    <sheetView zoomScalePageLayoutView="0" workbookViewId="0" topLeftCell="B31">
      <selection activeCell="F39" sqref="F39"/>
    </sheetView>
  </sheetViews>
  <sheetFormatPr defaultColWidth="9.140625" defaultRowHeight="12.75"/>
  <cols>
    <col min="1" max="1" width="16.57421875" style="7" customWidth="1"/>
    <col min="2" max="2" width="75.28125" style="7" bestFit="1" customWidth="1"/>
    <col min="3" max="7" width="15.00390625" style="7" bestFit="1" customWidth="1"/>
    <col min="8" max="8" width="13.421875" style="7" customWidth="1"/>
    <col min="9" max="16384" width="9.140625" style="7" customWidth="1"/>
  </cols>
  <sheetData>
    <row r="1" spans="1:9" s="3" customFormat="1" ht="21" customHeight="1">
      <c r="A1" s="1"/>
      <c r="B1" s="180" t="s">
        <v>219</v>
      </c>
      <c r="C1" s="180"/>
      <c r="D1" s="180"/>
      <c r="E1" s="180"/>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0"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8">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Actual</v>
      </c>
      <c r="H6" s="24" t="str">
        <f>'2. Smart Meter Data'!I5</f>
        <v>Forecasted</v>
      </c>
      <c r="I6" s="78"/>
    </row>
    <row r="7" spans="1:9" ht="12.75">
      <c r="A7" s="5"/>
      <c r="B7" s="5"/>
      <c r="C7" s="5"/>
      <c r="D7" s="5"/>
      <c r="E7" s="5"/>
      <c r="F7" s="5"/>
      <c r="G7" s="5"/>
      <c r="H7" s="5"/>
      <c r="I7" s="5"/>
    </row>
    <row r="8" spans="1:9" ht="12.75">
      <c r="A8" s="5"/>
      <c r="B8" s="5" t="s">
        <v>168</v>
      </c>
      <c r="C8" s="139">
        <v>0</v>
      </c>
      <c r="D8" s="139">
        <f>C10</f>
        <v>0</v>
      </c>
      <c r="E8" s="139">
        <f>D10</f>
        <v>0</v>
      </c>
      <c r="F8" s="139">
        <f>E10</f>
        <v>0</v>
      </c>
      <c r="G8" s="139">
        <f>F10</f>
        <v>564205.2700000001</v>
      </c>
      <c r="H8" s="139">
        <f>G10</f>
        <v>698208.8400000001</v>
      </c>
      <c r="I8" s="5"/>
    </row>
    <row r="9" spans="1:9" ht="12.75">
      <c r="A9" s="5"/>
      <c r="B9" s="5" t="s">
        <v>202</v>
      </c>
      <c r="C9" s="171">
        <f>'3.  LDC Assumptions and Data'!C31</f>
        <v>0</v>
      </c>
      <c r="D9" s="171">
        <f>'3.  LDC Assumptions and Data'!D31</f>
        <v>0</v>
      </c>
      <c r="E9" s="171">
        <f>'3.  LDC Assumptions and Data'!E31</f>
        <v>0</v>
      </c>
      <c r="F9" s="171">
        <f>'3.  LDC Assumptions and Data'!F31</f>
        <v>564205.2700000001</v>
      </c>
      <c r="G9" s="171">
        <f>'3.  LDC Assumptions and Data'!G31</f>
        <v>134003.57</v>
      </c>
      <c r="H9" s="171">
        <f>'3.  LDC Assumptions and Data'!H31</f>
        <v>0</v>
      </c>
      <c r="I9" s="5"/>
    </row>
    <row r="10" spans="1:9" ht="12.75">
      <c r="A10" s="5"/>
      <c r="B10" s="5" t="s">
        <v>169</v>
      </c>
      <c r="C10" s="139">
        <f aca="true" t="shared" si="0" ref="C10:H10">SUM(C8:C9)</f>
        <v>0</v>
      </c>
      <c r="D10" s="139">
        <f t="shared" si="0"/>
        <v>0</v>
      </c>
      <c r="E10" s="139">
        <f t="shared" si="0"/>
        <v>0</v>
      </c>
      <c r="F10" s="139">
        <f t="shared" si="0"/>
        <v>564205.2700000001</v>
      </c>
      <c r="G10" s="139">
        <f t="shared" si="0"/>
        <v>698208.8400000001</v>
      </c>
      <c r="H10" s="139">
        <f t="shared" si="0"/>
        <v>698208.8400000001</v>
      </c>
      <c r="I10" s="5"/>
    </row>
    <row r="11" spans="1:9" ht="12.75">
      <c r="A11" s="5"/>
      <c r="B11" s="5"/>
      <c r="C11" s="63"/>
      <c r="D11" s="63"/>
      <c r="E11" s="63"/>
      <c r="F11" s="63"/>
      <c r="G11" s="63"/>
      <c r="H11" s="5"/>
      <c r="I11" s="5"/>
    </row>
    <row r="12" spans="1:9" ht="12.75">
      <c r="A12" s="5"/>
      <c r="B12" s="5" t="s">
        <v>170</v>
      </c>
      <c r="C12" s="139">
        <v>0</v>
      </c>
      <c r="D12" s="139">
        <f>C14</f>
        <v>0</v>
      </c>
      <c r="E12" s="139">
        <f>D14</f>
        <v>0</v>
      </c>
      <c r="F12" s="139">
        <f>E14</f>
        <v>0</v>
      </c>
      <c r="G12" s="139">
        <f>F14</f>
        <v>18806.842333333338</v>
      </c>
      <c r="H12" s="139">
        <f>G14</f>
        <v>60887.31266666668</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0</v>
      </c>
      <c r="E13" s="102">
        <f>IF(E12+(E8/'3.  LDC Assumptions and Data'!E60)+(E9/'3.  LDC Assumptions and Data'!E60/2)&lt;E10,(E8/'3.  LDC Assumptions and Data'!E60)+(E9/'3.  LDC Assumptions and Data'!E60/2),E10-E12)</f>
        <v>0</v>
      </c>
      <c r="F13" s="102">
        <f>IF(F12+(F8/'3.  LDC Assumptions and Data'!F60)+(F9/'3.  LDC Assumptions and Data'!F60/2)&lt;F10,(F8/'3.  LDC Assumptions and Data'!F60)+(F9/'3.  LDC Assumptions and Data'!F60/2),F10-F12)</f>
        <v>18806.842333333338</v>
      </c>
      <c r="G13" s="102">
        <f>IF(G12+(G8/'3.  LDC Assumptions and Data'!G60)+(G9/'3.  LDC Assumptions and Data'!G60/2)&lt;G10,(G8/'3.  LDC Assumptions and Data'!G60)+(G9/'3.  LDC Assumptions and Data'!G60/2),G10-G12)</f>
        <v>42080.470333333345</v>
      </c>
      <c r="H13" s="102">
        <f>IF(H12+(H8/'3.  LDC Assumptions and Data'!H60)+(H9/'3.  LDC Assumptions and Data'!H60/2)&lt;H10,(H8/'3.  LDC Assumptions and Data'!H60)+(H9/'3.  LDC Assumptions and Data'!H60/2),H10-H12)</f>
        <v>46547.25600000001</v>
      </c>
      <c r="I13" s="5"/>
    </row>
    <row r="14" spans="1:9" ht="12.75">
      <c r="A14" s="5"/>
      <c r="B14" s="5" t="s">
        <v>171</v>
      </c>
      <c r="C14" s="139">
        <f aca="true" t="shared" si="1" ref="C14:H14">SUM(C12:C13)</f>
        <v>0</v>
      </c>
      <c r="D14" s="139">
        <f t="shared" si="1"/>
        <v>0</v>
      </c>
      <c r="E14" s="139">
        <f t="shared" si="1"/>
        <v>0</v>
      </c>
      <c r="F14" s="139">
        <f t="shared" si="1"/>
        <v>18806.842333333338</v>
      </c>
      <c r="G14" s="139">
        <f t="shared" si="1"/>
        <v>60887.31266666668</v>
      </c>
      <c r="H14" s="139">
        <f t="shared" si="1"/>
        <v>107434.56866666669</v>
      </c>
      <c r="I14" s="5"/>
    </row>
    <row r="15" spans="1:9" ht="12.75">
      <c r="A15" s="5"/>
      <c r="B15" s="5"/>
      <c r="H15" s="5"/>
      <c r="I15" s="5"/>
    </row>
    <row r="16" spans="1:9" ht="16.5" customHeight="1">
      <c r="A16" s="5"/>
      <c r="B16" s="5" t="s">
        <v>172</v>
      </c>
      <c r="C16" s="102">
        <f>0</f>
        <v>0</v>
      </c>
      <c r="D16" s="102">
        <f>C17</f>
        <v>0</v>
      </c>
      <c r="E16" s="102">
        <f>D17</f>
        <v>0</v>
      </c>
      <c r="F16" s="102">
        <f>E17</f>
        <v>0</v>
      </c>
      <c r="G16" s="102">
        <f>F17</f>
        <v>545398.4276666668</v>
      </c>
      <c r="H16" s="102">
        <f>G17</f>
        <v>637321.5273333334</v>
      </c>
      <c r="I16" s="5"/>
    </row>
    <row r="17" spans="1:8" ht="12.75">
      <c r="A17" s="5"/>
      <c r="B17" s="5" t="s">
        <v>173</v>
      </c>
      <c r="C17" s="139">
        <f aca="true" t="shared" si="2" ref="C17:H17">C10-C14</f>
        <v>0</v>
      </c>
      <c r="D17" s="139">
        <f t="shared" si="2"/>
        <v>0</v>
      </c>
      <c r="E17" s="139">
        <f t="shared" si="2"/>
        <v>0</v>
      </c>
      <c r="F17" s="139">
        <f t="shared" si="2"/>
        <v>545398.4276666668</v>
      </c>
      <c r="G17" s="139">
        <f t="shared" si="2"/>
        <v>637321.5273333334</v>
      </c>
      <c r="H17" s="139">
        <f t="shared" si="2"/>
        <v>590774.2713333333</v>
      </c>
    </row>
    <row r="18" spans="1:8" ht="13.5" thickBot="1">
      <c r="A18" s="5"/>
      <c r="B18" s="5" t="s">
        <v>174</v>
      </c>
      <c r="C18" s="146">
        <f aca="true" t="shared" si="3" ref="C18:H18">(C17+C16)/2</f>
        <v>0</v>
      </c>
      <c r="D18" s="146">
        <f t="shared" si="3"/>
        <v>0</v>
      </c>
      <c r="E18" s="146">
        <f t="shared" si="3"/>
        <v>0</v>
      </c>
      <c r="F18" s="146">
        <f t="shared" si="3"/>
        <v>272699.2138333334</v>
      </c>
      <c r="G18" s="146">
        <f t="shared" si="3"/>
        <v>591359.9775</v>
      </c>
      <c r="H18" s="146">
        <f t="shared" si="3"/>
        <v>614047.8993333334</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8">
      <c r="A21" s="5"/>
      <c r="B21" s="28" t="s">
        <v>175</v>
      </c>
      <c r="C21" s="24" t="str">
        <f t="shared" si="4"/>
        <v>Audited Actual</v>
      </c>
      <c r="D21" s="24" t="str">
        <f t="shared" si="4"/>
        <v>Audited Actual</v>
      </c>
      <c r="E21" s="24" t="str">
        <f t="shared" si="4"/>
        <v>Audited Actual</v>
      </c>
      <c r="F21" s="24" t="str">
        <f t="shared" si="4"/>
        <v>Audited Actual</v>
      </c>
      <c r="G21" s="24" t="str">
        <f t="shared" si="4"/>
        <v>Actual</v>
      </c>
      <c r="H21" s="24" t="str">
        <f t="shared" si="4"/>
        <v>Forecasted</v>
      </c>
      <c r="I21" s="5"/>
    </row>
    <row r="22" spans="1:9" ht="12.75">
      <c r="A22" s="5"/>
      <c r="B22" s="5"/>
      <c r="C22" s="5"/>
      <c r="D22" s="5"/>
      <c r="E22" s="5"/>
      <c r="F22" s="5"/>
      <c r="G22" s="5"/>
      <c r="H22" s="5"/>
      <c r="I22" s="5"/>
    </row>
    <row r="23" spans="1:9" ht="12.75">
      <c r="A23" s="5"/>
      <c r="B23" s="5" t="s">
        <v>168</v>
      </c>
      <c r="C23" s="139">
        <v>0</v>
      </c>
      <c r="D23" s="139">
        <f>C25</f>
        <v>0</v>
      </c>
      <c r="E23" s="139">
        <f>D25</f>
        <v>0</v>
      </c>
      <c r="F23" s="139">
        <f>E25</f>
        <v>0</v>
      </c>
      <c r="G23" s="139">
        <f>F25</f>
        <v>22101.41</v>
      </c>
      <c r="H23" s="139">
        <f>G25</f>
        <v>24076.8</v>
      </c>
      <c r="I23" s="5"/>
    </row>
    <row r="24" spans="1:9" ht="12.75">
      <c r="A24" s="5"/>
      <c r="B24" s="5" t="s">
        <v>203</v>
      </c>
      <c r="C24" s="171">
        <f>'3.  LDC Assumptions and Data'!C32</f>
        <v>0</v>
      </c>
      <c r="D24" s="171">
        <f>'3.  LDC Assumptions and Data'!D32</f>
        <v>0</v>
      </c>
      <c r="E24" s="171">
        <f>'3.  LDC Assumptions and Data'!E32</f>
        <v>0</v>
      </c>
      <c r="F24" s="171">
        <f>'3.  LDC Assumptions and Data'!F32</f>
        <v>22101.41</v>
      </c>
      <c r="G24" s="171">
        <f>'3.  LDC Assumptions and Data'!G32</f>
        <v>1975.39</v>
      </c>
      <c r="H24" s="171">
        <f>'3.  LDC Assumptions and Data'!H32</f>
        <v>0</v>
      </c>
      <c r="I24" s="5"/>
    </row>
    <row r="25" spans="1:9" ht="12.75">
      <c r="A25" s="5"/>
      <c r="B25" s="5" t="s">
        <v>169</v>
      </c>
      <c r="C25" s="139">
        <f aca="true" t="shared" si="5" ref="C25:H25">SUM(C23:C24)</f>
        <v>0</v>
      </c>
      <c r="D25" s="139">
        <f t="shared" si="5"/>
        <v>0</v>
      </c>
      <c r="E25" s="139">
        <f t="shared" si="5"/>
        <v>0</v>
      </c>
      <c r="F25" s="139">
        <f t="shared" si="5"/>
        <v>22101.41</v>
      </c>
      <c r="G25" s="139">
        <f t="shared" si="5"/>
        <v>24076.8</v>
      </c>
      <c r="H25" s="139">
        <f t="shared" si="5"/>
        <v>24076.8</v>
      </c>
      <c r="I25" s="5"/>
    </row>
    <row r="26" spans="1:9" ht="12.75">
      <c r="A26" s="5"/>
      <c r="B26" s="5"/>
      <c r="C26" s="64"/>
      <c r="D26" s="64"/>
      <c r="E26" s="64"/>
      <c r="F26" s="64"/>
      <c r="G26" s="64"/>
      <c r="H26" s="5"/>
      <c r="I26" s="5"/>
    </row>
    <row r="27" spans="1:9" ht="12.75">
      <c r="A27" s="5"/>
      <c r="B27" s="5" t="s">
        <v>170</v>
      </c>
      <c r="C27" s="139">
        <v>0</v>
      </c>
      <c r="D27" s="139">
        <f>C29</f>
        <v>0</v>
      </c>
      <c r="E27" s="139">
        <f>D29</f>
        <v>0</v>
      </c>
      <c r="F27" s="139">
        <f>E29</f>
        <v>0</v>
      </c>
      <c r="G27" s="139">
        <f>F29</f>
        <v>1105.0705</v>
      </c>
      <c r="H27" s="139">
        <f>G29</f>
        <v>3413.9809999999998</v>
      </c>
      <c r="I27" s="5"/>
    </row>
    <row r="28" spans="1:9" ht="12.75">
      <c r="A28" s="5"/>
      <c r="B28" s="5" t="str">
        <f>"Amortization ("&amp;'3.  LDC Assumptions and Data'!C61&amp;" Years  Straight Line)"</f>
        <v>Amortization (10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0</v>
      </c>
      <c r="F28" s="102">
        <f>IF(F27+(F23/'3.  LDC Assumptions and Data'!C61)+(F24/'3.  LDC Assumptions and Data'!C61/2)&lt;F25,(F23/'3.  LDC Assumptions and Data'!C61)+(F24/'3.  LDC Assumptions and Data'!C61/2),F25-F27)</f>
        <v>1105.0705</v>
      </c>
      <c r="G28" s="102">
        <f>IF(G27+(G23/'3.  LDC Assumptions and Data'!C61)+(G24/'3.  LDC Assumptions and Data'!C61/2)&lt;G25,(G23/'3.  LDC Assumptions and Data'!C61)+(G24/'3.  LDC Assumptions and Data'!C61/2),G25-G27)</f>
        <v>2308.9105</v>
      </c>
      <c r="H28" s="102">
        <f>IF(H27+(H23/'3.  LDC Assumptions and Data'!D61)+(H24/'3.  LDC Assumptions and Data'!D61/2)&lt;H25,(H23/'3.  LDC Assumptions and Data'!D61)+(H24/'3.  LDC Assumptions and Data'!D61/2),H25-H27)</f>
        <v>2407.68</v>
      </c>
      <c r="I28" s="5"/>
    </row>
    <row r="29" spans="1:9" ht="12.75">
      <c r="A29" s="5"/>
      <c r="B29" s="5" t="s">
        <v>171</v>
      </c>
      <c r="C29" s="139">
        <f aca="true" t="shared" si="6" ref="C29:H29">SUM(C27:C28)</f>
        <v>0</v>
      </c>
      <c r="D29" s="139">
        <f t="shared" si="6"/>
        <v>0</v>
      </c>
      <c r="E29" s="139">
        <f t="shared" si="6"/>
        <v>0</v>
      </c>
      <c r="F29" s="139">
        <f t="shared" si="6"/>
        <v>1105.0705</v>
      </c>
      <c r="G29" s="139">
        <f t="shared" si="6"/>
        <v>3413.9809999999998</v>
      </c>
      <c r="H29" s="139">
        <f t="shared" si="6"/>
        <v>5821.661</v>
      </c>
      <c r="I29" s="5"/>
    </row>
    <row r="30" spans="1:9" ht="12.75">
      <c r="A30" s="5"/>
      <c r="B30" s="5"/>
      <c r="H30" s="5"/>
      <c r="I30" s="5"/>
    </row>
    <row r="31" spans="1:9" ht="12.75">
      <c r="A31" s="5"/>
      <c r="B31" s="5" t="s">
        <v>172</v>
      </c>
      <c r="C31" s="102">
        <f>0</f>
        <v>0</v>
      </c>
      <c r="D31" s="102">
        <f>C32</f>
        <v>0</v>
      </c>
      <c r="E31" s="102">
        <f>D32</f>
        <v>0</v>
      </c>
      <c r="F31" s="102">
        <f>E32</f>
        <v>0</v>
      </c>
      <c r="G31" s="102">
        <f>F32</f>
        <v>20996.3395</v>
      </c>
      <c r="H31" s="102">
        <f>G32</f>
        <v>20662.819</v>
      </c>
      <c r="I31" s="5"/>
    </row>
    <row r="32" spans="1:9" ht="12.75">
      <c r="A32" s="5"/>
      <c r="B32" s="5" t="s">
        <v>173</v>
      </c>
      <c r="C32" s="139">
        <f aca="true" t="shared" si="7" ref="C32:H32">C25-C29</f>
        <v>0</v>
      </c>
      <c r="D32" s="147">
        <f t="shared" si="7"/>
        <v>0</v>
      </c>
      <c r="E32" s="147">
        <f t="shared" si="7"/>
        <v>0</v>
      </c>
      <c r="F32" s="147">
        <f t="shared" si="7"/>
        <v>20996.3395</v>
      </c>
      <c r="G32" s="147">
        <f t="shared" si="7"/>
        <v>20662.819</v>
      </c>
      <c r="H32" s="147">
        <f t="shared" si="7"/>
        <v>18255.139</v>
      </c>
      <c r="I32" s="5"/>
    </row>
    <row r="33" spans="1:9" ht="13.5" thickBot="1">
      <c r="A33" s="5"/>
      <c r="B33" s="5" t="s">
        <v>174</v>
      </c>
      <c r="C33" s="146">
        <f aca="true" t="shared" si="8" ref="C33:H33">(C32+C31)/2</f>
        <v>0</v>
      </c>
      <c r="D33" s="148">
        <f t="shared" si="8"/>
        <v>0</v>
      </c>
      <c r="E33" s="148">
        <f t="shared" si="8"/>
        <v>0</v>
      </c>
      <c r="F33" s="148">
        <f t="shared" si="8"/>
        <v>10498.16975</v>
      </c>
      <c r="G33" s="148">
        <f t="shared" si="8"/>
        <v>20829.57925</v>
      </c>
      <c r="H33" s="148">
        <f t="shared" si="8"/>
        <v>19458.979</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8">
      <c r="A36" s="5"/>
      <c r="B36" s="28" t="s">
        <v>176</v>
      </c>
      <c r="C36" s="24" t="str">
        <f t="shared" si="9"/>
        <v>Audited Actual</v>
      </c>
      <c r="D36" s="24" t="str">
        <f t="shared" si="9"/>
        <v>Audited Actual</v>
      </c>
      <c r="E36" s="24" t="str">
        <f t="shared" si="9"/>
        <v>Audited Actual</v>
      </c>
      <c r="F36" s="24" t="str">
        <f t="shared" si="9"/>
        <v>Audited Actual</v>
      </c>
      <c r="G36" s="24" t="str">
        <f t="shared" si="9"/>
        <v>Actual</v>
      </c>
      <c r="H36" s="24" t="str">
        <f t="shared" si="9"/>
        <v>Forecasted</v>
      </c>
      <c r="I36" s="5"/>
    </row>
    <row r="37" spans="1:9" ht="12.75">
      <c r="A37" s="5"/>
      <c r="B37" s="5"/>
      <c r="C37" s="5"/>
      <c r="D37" s="5"/>
      <c r="E37" s="5"/>
      <c r="F37" s="5"/>
      <c r="G37" s="5"/>
      <c r="H37" s="5"/>
      <c r="I37" s="5"/>
    </row>
    <row r="38" spans="1:9" ht="12.75">
      <c r="A38" s="5"/>
      <c r="B38" s="5" t="s">
        <v>168</v>
      </c>
      <c r="C38" s="139">
        <v>0</v>
      </c>
      <c r="D38" s="139">
        <f>C40</f>
        <v>0</v>
      </c>
      <c r="E38" s="139">
        <f>D40</f>
        <v>0</v>
      </c>
      <c r="F38" s="139">
        <f>E40</f>
        <v>0</v>
      </c>
      <c r="G38" s="139">
        <f>F40</f>
        <v>68785.70999999999</v>
      </c>
      <c r="H38" s="139">
        <f>G40</f>
        <v>81912.65999999999</v>
      </c>
      <c r="I38" s="5"/>
    </row>
    <row r="39" spans="1:9" ht="12.75">
      <c r="A39" s="5"/>
      <c r="B39" s="5" t="s">
        <v>202</v>
      </c>
      <c r="C39" s="171">
        <f>'3.  LDC Assumptions and Data'!C33</f>
        <v>0</v>
      </c>
      <c r="D39" s="171">
        <f>'3.  LDC Assumptions and Data'!D33</f>
        <v>0</v>
      </c>
      <c r="E39" s="171">
        <f>'3.  LDC Assumptions and Data'!E33</f>
        <v>0</v>
      </c>
      <c r="F39" s="171">
        <f>'3.  LDC Assumptions and Data'!F33</f>
        <v>68785.70999999999</v>
      </c>
      <c r="G39" s="171">
        <f>'3.  LDC Assumptions and Data'!G33</f>
        <v>13126.95</v>
      </c>
      <c r="H39" s="171">
        <f>'3.  LDC Assumptions and Data'!H33</f>
        <v>0</v>
      </c>
      <c r="I39" s="5"/>
    </row>
    <row r="40" spans="1:9" ht="12.75">
      <c r="A40" s="5"/>
      <c r="B40" s="5" t="s">
        <v>169</v>
      </c>
      <c r="C40" s="139">
        <f aca="true" t="shared" si="10" ref="C40:H40">SUM(C38:C39)</f>
        <v>0</v>
      </c>
      <c r="D40" s="139">
        <f t="shared" si="10"/>
        <v>0</v>
      </c>
      <c r="E40" s="139">
        <f t="shared" si="10"/>
        <v>0</v>
      </c>
      <c r="F40" s="139">
        <f t="shared" si="10"/>
        <v>68785.70999999999</v>
      </c>
      <c r="G40" s="139">
        <f t="shared" si="10"/>
        <v>81912.65999999999</v>
      </c>
      <c r="H40" s="139">
        <f t="shared" si="10"/>
        <v>81912.65999999999</v>
      </c>
      <c r="I40" s="5"/>
    </row>
    <row r="41" spans="1:9" ht="12.75">
      <c r="A41" s="5"/>
      <c r="B41" s="5"/>
      <c r="C41" s="64"/>
      <c r="D41" s="64"/>
      <c r="E41" s="64"/>
      <c r="F41" s="64"/>
      <c r="G41" s="64"/>
      <c r="H41" s="5"/>
      <c r="I41" s="5"/>
    </row>
    <row r="42" spans="1:9" ht="12.75">
      <c r="A42" s="5"/>
      <c r="B42" s="5" t="s">
        <v>170</v>
      </c>
      <c r="C42" s="139">
        <v>0</v>
      </c>
      <c r="D42" s="139">
        <f>C44</f>
        <v>0</v>
      </c>
      <c r="E42" s="139">
        <f>D44</f>
        <v>0</v>
      </c>
      <c r="F42" s="139">
        <f>E44</f>
        <v>0</v>
      </c>
      <c r="G42" s="139">
        <f>F44</f>
        <v>6878.570999999999</v>
      </c>
      <c r="H42" s="139">
        <f>G44</f>
        <v>21948.407999999996</v>
      </c>
      <c r="I42" s="5"/>
    </row>
    <row r="43" spans="1:9"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0</v>
      </c>
      <c r="E43" s="102">
        <f>IF(E42+(E38/'3.  LDC Assumptions and Data'!C62)+(E39/'3.  LDC Assumptions and Data'!C62/2)&lt;E40,(E38/'3.  LDC Assumptions and Data'!C62)+(E39/'3.  LDC Assumptions and Data'!C62/2),E40-E42)</f>
        <v>0</v>
      </c>
      <c r="F43" s="102">
        <f>IF(F42+(F38/'3.  LDC Assumptions and Data'!C62)+(F39/'3.  LDC Assumptions and Data'!C62/2)&lt;F40,(F38/'3.  LDC Assumptions and Data'!C62)+(F39/'3.  LDC Assumptions and Data'!C62/2),F40-F42)</f>
        <v>6878.570999999999</v>
      </c>
      <c r="G43" s="102">
        <f>IF(G42+(G38/'3.  LDC Assumptions and Data'!C62)+(G39/'3.  LDC Assumptions and Data'!C62/2)&lt;G40,(G38/'3.  LDC Assumptions and Data'!C62)+(G39/'3.  LDC Assumptions and Data'!C62/2),G40-G42)</f>
        <v>15069.836999999998</v>
      </c>
      <c r="H43" s="102">
        <f>IF(H42+(H38/'3.  LDC Assumptions and Data'!D62)+(H39/'3.  LDC Assumptions and Data'!D62/2)&lt;H40,(H38/'3.  LDC Assumptions and Data'!D62)+(H39/'3.  LDC Assumptions and Data'!D62/2),H40-H42)</f>
        <v>16382.531999999997</v>
      </c>
      <c r="I43" s="5"/>
    </row>
    <row r="44" spans="1:9" ht="12.75">
      <c r="A44" s="5"/>
      <c r="B44" s="5" t="s">
        <v>171</v>
      </c>
      <c r="C44" s="139">
        <f aca="true" t="shared" si="11" ref="C44:H44">SUM(C42:C43)</f>
        <v>0</v>
      </c>
      <c r="D44" s="139">
        <f t="shared" si="11"/>
        <v>0</v>
      </c>
      <c r="E44" s="139">
        <f t="shared" si="11"/>
        <v>0</v>
      </c>
      <c r="F44" s="139">
        <f t="shared" si="11"/>
        <v>6878.570999999999</v>
      </c>
      <c r="G44" s="139">
        <f t="shared" si="11"/>
        <v>21948.407999999996</v>
      </c>
      <c r="H44" s="139">
        <f t="shared" si="11"/>
        <v>38330.939999999995</v>
      </c>
      <c r="I44" s="5"/>
    </row>
    <row r="45" spans="1:9" ht="12.75">
      <c r="A45" s="5"/>
      <c r="B45" s="5"/>
      <c r="H45" s="5"/>
      <c r="I45" s="5"/>
    </row>
    <row r="46" spans="1:9" ht="12.75">
      <c r="A46" s="5"/>
      <c r="B46" s="5" t="s">
        <v>172</v>
      </c>
      <c r="C46" s="102">
        <f>0</f>
        <v>0</v>
      </c>
      <c r="D46" s="102">
        <f>C47</f>
        <v>0</v>
      </c>
      <c r="E46" s="102">
        <f>D47</f>
        <v>0</v>
      </c>
      <c r="F46" s="102">
        <f>E47</f>
        <v>0</v>
      </c>
      <c r="G46" s="102">
        <f>F47</f>
        <v>61907.138999999996</v>
      </c>
      <c r="H46" s="102">
        <f>G47</f>
        <v>59964.25199999999</v>
      </c>
      <c r="I46" s="5"/>
    </row>
    <row r="47" spans="1:9" ht="12.75">
      <c r="A47" s="5"/>
      <c r="B47" s="5" t="s">
        <v>173</v>
      </c>
      <c r="C47" s="139">
        <f aca="true" t="shared" si="12" ref="C47:H47">C40-C44</f>
        <v>0</v>
      </c>
      <c r="D47" s="147">
        <f t="shared" si="12"/>
        <v>0</v>
      </c>
      <c r="E47" s="147">
        <f t="shared" si="12"/>
        <v>0</v>
      </c>
      <c r="F47" s="147">
        <f t="shared" si="12"/>
        <v>61907.138999999996</v>
      </c>
      <c r="G47" s="147">
        <f t="shared" si="12"/>
        <v>59964.25199999999</v>
      </c>
      <c r="H47" s="147">
        <f t="shared" si="12"/>
        <v>43581.719999999994</v>
      </c>
      <c r="I47" s="5"/>
    </row>
    <row r="48" spans="1:9" ht="13.5" thickBot="1">
      <c r="A48" s="5"/>
      <c r="B48" s="5" t="s">
        <v>174</v>
      </c>
      <c r="C48" s="146">
        <f aca="true" t="shared" si="13" ref="C48:H48">(C47+C46)/2</f>
        <v>0</v>
      </c>
      <c r="D48" s="148">
        <f t="shared" si="13"/>
        <v>0</v>
      </c>
      <c r="E48" s="148">
        <f t="shared" si="13"/>
        <v>0</v>
      </c>
      <c r="F48" s="148">
        <f t="shared" si="13"/>
        <v>30953.569499999998</v>
      </c>
      <c r="G48" s="148">
        <f t="shared" si="13"/>
        <v>60935.695499999994</v>
      </c>
      <c r="H48" s="148">
        <f t="shared" si="13"/>
        <v>51772.98599999999</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8">
      <c r="A51" s="5"/>
      <c r="B51" s="28" t="s">
        <v>177</v>
      </c>
      <c r="C51" s="24" t="str">
        <f t="shared" si="14"/>
        <v>Audited Actual</v>
      </c>
      <c r="D51" s="24" t="str">
        <f t="shared" si="14"/>
        <v>Audited Actual</v>
      </c>
      <c r="E51" s="24" t="str">
        <f t="shared" si="14"/>
        <v>Audited Actual</v>
      </c>
      <c r="F51" s="24" t="str">
        <f t="shared" si="14"/>
        <v>Audited Actual</v>
      </c>
      <c r="G51" s="24" t="str">
        <f t="shared" si="14"/>
        <v>Actual</v>
      </c>
      <c r="H51" s="24" t="str">
        <f t="shared" si="14"/>
        <v>Forecasted</v>
      </c>
      <c r="I51" s="5"/>
    </row>
    <row r="52" spans="1:9" ht="12.75">
      <c r="A52" s="5"/>
      <c r="B52" s="5"/>
      <c r="C52" s="5"/>
      <c r="D52" s="5"/>
      <c r="E52" s="5"/>
      <c r="F52" s="5"/>
      <c r="G52" s="5"/>
      <c r="H52" s="5"/>
      <c r="I52" s="5"/>
    </row>
    <row r="53" spans="1:9" ht="12.75">
      <c r="A53" s="5"/>
      <c r="B53" s="5" t="s">
        <v>168</v>
      </c>
      <c r="C53" s="139">
        <v>0</v>
      </c>
      <c r="D53" s="139">
        <f>C55</f>
        <v>0</v>
      </c>
      <c r="E53" s="139">
        <f>D55</f>
        <v>0</v>
      </c>
      <c r="F53" s="139">
        <f>E55</f>
        <v>0</v>
      </c>
      <c r="G53" s="139">
        <f>F55</f>
        <v>16000</v>
      </c>
      <c r="H53" s="139">
        <f>G55</f>
        <v>17904.76</v>
      </c>
      <c r="I53" s="5"/>
    </row>
    <row r="54" spans="1:9" ht="12.75">
      <c r="A54" s="5"/>
      <c r="B54" s="5" t="s">
        <v>202</v>
      </c>
      <c r="C54" s="171">
        <f>'3.  LDC Assumptions and Data'!C34</f>
        <v>0</v>
      </c>
      <c r="D54" s="171">
        <f>'3.  LDC Assumptions and Data'!D34</f>
        <v>0</v>
      </c>
      <c r="E54" s="171">
        <f>'3.  LDC Assumptions and Data'!E34</f>
        <v>0</v>
      </c>
      <c r="F54" s="171">
        <f>'3.  LDC Assumptions and Data'!F34</f>
        <v>16000</v>
      </c>
      <c r="G54" s="171">
        <f>'3.  LDC Assumptions and Data'!G34</f>
        <v>1904.76</v>
      </c>
      <c r="H54" s="171">
        <f>'3.  LDC Assumptions and Data'!H34</f>
        <v>0</v>
      </c>
      <c r="I54" s="5"/>
    </row>
    <row r="55" spans="1:9" ht="12.75">
      <c r="A55" s="5"/>
      <c r="B55" s="5" t="s">
        <v>169</v>
      </c>
      <c r="C55" s="139">
        <f aca="true" t="shared" si="15" ref="C55:H55">SUM(C53:C54)</f>
        <v>0</v>
      </c>
      <c r="D55" s="139">
        <f t="shared" si="15"/>
        <v>0</v>
      </c>
      <c r="E55" s="139">
        <f t="shared" si="15"/>
        <v>0</v>
      </c>
      <c r="F55" s="139">
        <f t="shared" si="15"/>
        <v>16000</v>
      </c>
      <c r="G55" s="139">
        <f t="shared" si="15"/>
        <v>17904.76</v>
      </c>
      <c r="H55" s="139">
        <f t="shared" si="15"/>
        <v>17904.76</v>
      </c>
      <c r="I55" s="5"/>
    </row>
    <row r="56" spans="1:9" ht="12.75">
      <c r="A56" s="5"/>
      <c r="B56" s="5"/>
      <c r="C56" s="64"/>
      <c r="D56" s="64"/>
      <c r="E56" s="64"/>
      <c r="F56" s="64"/>
      <c r="G56" s="64"/>
      <c r="H56" s="5"/>
      <c r="I56" s="5"/>
    </row>
    <row r="57" spans="1:9" ht="12.75">
      <c r="A57" s="5"/>
      <c r="B57" s="5" t="s">
        <v>170</v>
      </c>
      <c r="C57" s="139">
        <v>0</v>
      </c>
      <c r="D57" s="139">
        <f>C59</f>
        <v>0</v>
      </c>
      <c r="E57" s="139">
        <f>D59</f>
        <v>0</v>
      </c>
      <c r="F57" s="139">
        <f>E59</f>
        <v>0</v>
      </c>
      <c r="G57" s="139">
        <f>F59</f>
        <v>800</v>
      </c>
      <c r="H57" s="139">
        <f>G59</f>
        <v>2495.2380000000003</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800</v>
      </c>
      <c r="G58" s="102">
        <f>IF(G57+(G53/'3.  LDC Assumptions and Data'!C63)+(G54/'3.  LDC Assumptions and Data'!C63/2)&lt;G55,(G53/'3.  LDC Assumptions and Data'!C63)+(G54/'3.  LDC Assumptions and Data'!C63/2),G55-G57)</f>
        <v>1695.238</v>
      </c>
      <c r="H58" s="102">
        <f>IF(H57+(H53/'3.  LDC Assumptions and Data'!D63)+(H54/'3.  LDC Assumptions and Data'!D63/2)&lt;H55,(H53/'3.  LDC Assumptions and Data'!D63)+(H54/'3.  LDC Assumptions and Data'!D63/2),H55-H57)</f>
        <v>1790.4759999999999</v>
      </c>
      <c r="I58" s="5"/>
    </row>
    <row r="59" spans="1:9" ht="12.75">
      <c r="A59" s="5"/>
      <c r="B59" s="5" t="s">
        <v>171</v>
      </c>
      <c r="C59" s="139">
        <f aca="true" t="shared" si="16" ref="C59:H59">SUM(C57:C58)</f>
        <v>0</v>
      </c>
      <c r="D59" s="139">
        <f t="shared" si="16"/>
        <v>0</v>
      </c>
      <c r="E59" s="139">
        <f t="shared" si="16"/>
        <v>0</v>
      </c>
      <c r="F59" s="139">
        <f t="shared" si="16"/>
        <v>800</v>
      </c>
      <c r="G59" s="139">
        <f t="shared" si="16"/>
        <v>2495.2380000000003</v>
      </c>
      <c r="H59" s="139">
        <f t="shared" si="16"/>
        <v>4285.714</v>
      </c>
      <c r="I59" s="5"/>
    </row>
    <row r="60" spans="1:9" ht="12.75">
      <c r="A60" s="5"/>
      <c r="B60" s="5"/>
      <c r="H60" s="5"/>
      <c r="I60" s="5"/>
    </row>
    <row r="61" spans="1:9" ht="12.75">
      <c r="A61" s="5"/>
      <c r="B61" s="5" t="s">
        <v>172</v>
      </c>
      <c r="C61" s="102">
        <f>0</f>
        <v>0</v>
      </c>
      <c r="D61" s="102">
        <f>C62</f>
        <v>0</v>
      </c>
      <c r="E61" s="102">
        <f>D62</f>
        <v>0</v>
      </c>
      <c r="F61" s="102">
        <f>E62</f>
        <v>0</v>
      </c>
      <c r="G61" s="102">
        <f>F62</f>
        <v>15200</v>
      </c>
      <c r="H61" s="102">
        <f>G62</f>
        <v>15409.521999999997</v>
      </c>
      <c r="I61" s="5"/>
    </row>
    <row r="62" spans="1:9" ht="12.75">
      <c r="A62" s="5"/>
      <c r="B62" s="5" t="s">
        <v>173</v>
      </c>
      <c r="C62" s="139">
        <f aca="true" t="shared" si="17" ref="C62:H62">C55-C59</f>
        <v>0</v>
      </c>
      <c r="D62" s="147">
        <f t="shared" si="17"/>
        <v>0</v>
      </c>
      <c r="E62" s="147">
        <f t="shared" si="17"/>
        <v>0</v>
      </c>
      <c r="F62" s="147">
        <f t="shared" si="17"/>
        <v>15200</v>
      </c>
      <c r="G62" s="147">
        <f t="shared" si="17"/>
        <v>15409.521999999997</v>
      </c>
      <c r="H62" s="147">
        <f t="shared" si="17"/>
        <v>13619.045999999998</v>
      </c>
      <c r="I62" s="5"/>
    </row>
    <row r="63" spans="1:9" ht="13.5" thickBot="1">
      <c r="A63" s="5"/>
      <c r="B63" s="5" t="s">
        <v>174</v>
      </c>
      <c r="C63" s="146">
        <f aca="true" t="shared" si="18" ref="C63:H63">(C62+C61)/2</f>
        <v>0</v>
      </c>
      <c r="D63" s="148">
        <f t="shared" si="18"/>
        <v>0</v>
      </c>
      <c r="E63" s="148">
        <f t="shared" si="18"/>
        <v>0</v>
      </c>
      <c r="F63" s="148">
        <f t="shared" si="18"/>
        <v>7600</v>
      </c>
      <c r="G63" s="148">
        <f t="shared" si="18"/>
        <v>15304.760999999999</v>
      </c>
      <c r="H63" s="148">
        <f t="shared" si="18"/>
        <v>14514.283999999998</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8">
      <c r="A66" s="5"/>
      <c r="B66" s="28" t="s">
        <v>178</v>
      </c>
      <c r="C66" s="24" t="str">
        <f t="shared" si="19"/>
        <v>Audited Actual</v>
      </c>
      <c r="D66" s="24" t="str">
        <f t="shared" si="19"/>
        <v>Audited Actual</v>
      </c>
      <c r="E66" s="24" t="str">
        <f t="shared" si="19"/>
        <v>Audited Actual</v>
      </c>
      <c r="F66" s="24" t="str">
        <f t="shared" si="19"/>
        <v>Audited Actual</v>
      </c>
      <c r="G66" s="24" t="str">
        <f t="shared" si="19"/>
        <v>Actual</v>
      </c>
      <c r="H66" s="24" t="str">
        <f t="shared" si="19"/>
        <v>Forecasted</v>
      </c>
      <c r="I66" s="5"/>
    </row>
    <row r="67" spans="1:9" ht="12.75">
      <c r="A67" s="5"/>
      <c r="B67" s="5"/>
      <c r="C67" s="5"/>
      <c r="D67" s="5"/>
      <c r="E67" s="5"/>
      <c r="F67" s="5"/>
      <c r="G67" s="5"/>
      <c r="H67" s="5"/>
      <c r="I67" s="5"/>
    </row>
    <row r="68" spans="1:9" ht="12.75">
      <c r="A68" s="5"/>
      <c r="B68" s="5" t="s">
        <v>168</v>
      </c>
      <c r="C68" s="139">
        <v>0</v>
      </c>
      <c r="D68" s="139">
        <f>C70</f>
        <v>0</v>
      </c>
      <c r="E68" s="139">
        <f>D70</f>
        <v>0</v>
      </c>
      <c r="F68" s="139">
        <f>E70</f>
        <v>0</v>
      </c>
      <c r="G68" s="139">
        <f>F70</f>
        <v>782.05</v>
      </c>
      <c r="H68" s="139">
        <f>G70</f>
        <v>1343.5</v>
      </c>
      <c r="I68" s="5"/>
    </row>
    <row r="69" spans="1:9" ht="12.75">
      <c r="A69" s="5"/>
      <c r="B69" s="5" t="s">
        <v>202</v>
      </c>
      <c r="C69" s="171">
        <f>'3.  LDC Assumptions and Data'!C35</f>
        <v>0</v>
      </c>
      <c r="D69" s="171">
        <f>'3.  LDC Assumptions and Data'!D35</f>
        <v>0</v>
      </c>
      <c r="E69" s="171">
        <f>'3.  LDC Assumptions and Data'!E35</f>
        <v>0</v>
      </c>
      <c r="F69" s="171">
        <f>'3.  LDC Assumptions and Data'!F35</f>
        <v>782.05</v>
      </c>
      <c r="G69" s="171">
        <f>'3.  LDC Assumptions and Data'!G35</f>
        <v>561.45</v>
      </c>
      <c r="H69" s="171">
        <f>'3.  LDC Assumptions and Data'!H35</f>
        <v>0</v>
      </c>
      <c r="I69" s="5"/>
    </row>
    <row r="70" spans="1:9" ht="12.75">
      <c r="A70" s="5"/>
      <c r="B70" s="5" t="s">
        <v>169</v>
      </c>
      <c r="C70" s="139">
        <f aca="true" t="shared" si="20" ref="C70:H70">SUM(C68:C69)</f>
        <v>0</v>
      </c>
      <c r="D70" s="139">
        <f t="shared" si="20"/>
        <v>0</v>
      </c>
      <c r="E70" s="139">
        <f t="shared" si="20"/>
        <v>0</v>
      </c>
      <c r="F70" s="139">
        <f t="shared" si="20"/>
        <v>782.05</v>
      </c>
      <c r="G70" s="139">
        <f t="shared" si="20"/>
        <v>1343.5</v>
      </c>
      <c r="H70" s="139">
        <f t="shared" si="20"/>
        <v>1343.5</v>
      </c>
      <c r="I70" s="5"/>
    </row>
    <row r="71" spans="1:9" ht="12.75">
      <c r="A71" s="5"/>
      <c r="B71" s="5"/>
      <c r="C71" s="64"/>
      <c r="D71" s="64"/>
      <c r="E71" s="64"/>
      <c r="F71" s="64"/>
      <c r="G71" s="64"/>
      <c r="H71" s="64"/>
      <c r="I71" s="5"/>
    </row>
    <row r="72" spans="1:9" ht="12.75">
      <c r="A72" s="5"/>
      <c r="B72" s="5" t="s">
        <v>170</v>
      </c>
      <c r="C72" s="139">
        <v>0</v>
      </c>
      <c r="D72" s="139">
        <f>C74</f>
        <v>0</v>
      </c>
      <c r="E72" s="139">
        <f>D74</f>
        <v>0</v>
      </c>
      <c r="F72" s="139">
        <f>E74</f>
        <v>0</v>
      </c>
      <c r="G72" s="139">
        <f>F74</f>
        <v>39.1025</v>
      </c>
      <c r="H72" s="139">
        <f>G74</f>
        <v>145.38</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0</v>
      </c>
      <c r="F73" s="102">
        <f>IF(F72+(F68/'3.  LDC Assumptions and Data'!C64)+(F69/'3.  LDC Assumptions and Data'!C64/2)&lt;F70,(F68/'3.  LDC Assumptions and Data'!C64)+(F69/'3.  LDC Assumptions and Data'!C64/2),F70-F72)</f>
        <v>39.1025</v>
      </c>
      <c r="G73" s="102">
        <f>IF(G72+(G68/'3.  LDC Assumptions and Data'!C64)+(G69/'3.  LDC Assumptions and Data'!C64/2)&lt;G70,(G68/'3.  LDC Assumptions and Data'!C64)+(G69/'3.  LDC Assumptions and Data'!C64/2),G70-G72)</f>
        <v>106.2775</v>
      </c>
      <c r="H73" s="102">
        <f>IF(H72+(H68/'3.  LDC Assumptions and Data'!D64)+(H69/'3.  LDC Assumptions and Data'!D64/2)&lt;H70,(H68/'3.  LDC Assumptions and Data'!D64)+(H69/'3.  LDC Assumptions and Data'!D64/2),H70-H72)</f>
        <v>134.35</v>
      </c>
      <c r="I73" s="5"/>
    </row>
    <row r="74" spans="1:9" ht="12.75">
      <c r="A74" s="5"/>
      <c r="B74" s="5" t="s">
        <v>171</v>
      </c>
      <c r="C74" s="139">
        <f aca="true" t="shared" si="21" ref="C74:H74">SUM(C72:C73)</f>
        <v>0</v>
      </c>
      <c r="D74" s="139">
        <f t="shared" si="21"/>
        <v>0</v>
      </c>
      <c r="E74" s="139">
        <f t="shared" si="21"/>
        <v>0</v>
      </c>
      <c r="F74" s="139">
        <f t="shared" si="21"/>
        <v>39.1025</v>
      </c>
      <c r="G74" s="139">
        <f t="shared" si="21"/>
        <v>145.38</v>
      </c>
      <c r="H74" s="139">
        <f t="shared" si="21"/>
        <v>279.73</v>
      </c>
      <c r="I74" s="5"/>
    </row>
    <row r="75" spans="1:9" ht="12.75">
      <c r="A75" s="5"/>
      <c r="B75" s="5"/>
      <c r="C75" s="64"/>
      <c r="D75" s="64"/>
      <c r="E75" s="64"/>
      <c r="F75" s="64"/>
      <c r="G75" s="64"/>
      <c r="H75" s="64"/>
      <c r="I75" s="5"/>
    </row>
    <row r="76" spans="1:9" ht="12.75">
      <c r="A76" s="5"/>
      <c r="B76" s="5" t="s">
        <v>172</v>
      </c>
      <c r="C76" s="102">
        <f>0</f>
        <v>0</v>
      </c>
      <c r="D76" s="102">
        <f>C77</f>
        <v>0</v>
      </c>
      <c r="E76" s="102">
        <f>D77</f>
        <v>0</v>
      </c>
      <c r="F76" s="102">
        <f>E77</f>
        <v>0</v>
      </c>
      <c r="G76" s="102">
        <f>F77</f>
        <v>742.9475</v>
      </c>
      <c r="H76" s="102">
        <f>G77</f>
        <v>1198.12</v>
      </c>
      <c r="I76" s="5"/>
    </row>
    <row r="77" spans="1:9" ht="12.75">
      <c r="A77" s="5"/>
      <c r="B77" s="5" t="s">
        <v>173</v>
      </c>
      <c r="C77" s="139">
        <f aca="true" t="shared" si="22" ref="C77:H77">C70-C74</f>
        <v>0</v>
      </c>
      <c r="D77" s="147">
        <f t="shared" si="22"/>
        <v>0</v>
      </c>
      <c r="E77" s="147">
        <f t="shared" si="22"/>
        <v>0</v>
      </c>
      <c r="F77" s="147">
        <f t="shared" si="22"/>
        <v>742.9475</v>
      </c>
      <c r="G77" s="147">
        <f t="shared" si="22"/>
        <v>1198.12</v>
      </c>
      <c r="H77" s="147">
        <f t="shared" si="22"/>
        <v>1063.77</v>
      </c>
      <c r="I77" s="5"/>
    </row>
    <row r="78" spans="1:9" ht="13.5" thickBot="1">
      <c r="A78" s="5"/>
      <c r="B78" s="5" t="s">
        <v>174</v>
      </c>
      <c r="C78" s="146">
        <f aca="true" t="shared" si="23" ref="C78:H78">(C77+C76)/2</f>
        <v>0</v>
      </c>
      <c r="D78" s="148">
        <f t="shared" si="23"/>
        <v>0</v>
      </c>
      <c r="E78" s="148">
        <f t="shared" si="23"/>
        <v>0</v>
      </c>
      <c r="F78" s="148">
        <f t="shared" si="23"/>
        <v>371.47375</v>
      </c>
      <c r="G78" s="148">
        <f t="shared" si="23"/>
        <v>970.5337499999999</v>
      </c>
      <c r="H78" s="148">
        <f t="shared" si="23"/>
        <v>1130.945</v>
      </c>
      <c r="I78" s="5"/>
    </row>
    <row r="79" spans="1:9" ht="12.75">
      <c r="A79" s="5"/>
      <c r="B79" s="5"/>
      <c r="C79" s="63"/>
      <c r="D79" s="63"/>
      <c r="E79" s="5"/>
      <c r="F79" s="5"/>
      <c r="G79" s="5"/>
      <c r="H79" s="5"/>
      <c r="I79" s="5"/>
    </row>
    <row r="80" spans="1:9" ht="12.75">
      <c r="A80" s="5"/>
      <c r="B80" s="5"/>
      <c r="C80" s="63"/>
      <c r="D80" s="63"/>
      <c r="E80" s="5"/>
      <c r="F80" s="5"/>
      <c r="G80" s="5"/>
      <c r="H80" s="5"/>
      <c r="I80" s="5"/>
    </row>
    <row r="81" spans="1:9" ht="26.25">
      <c r="A81" s="5"/>
      <c r="B81" s="60" t="s">
        <v>179</v>
      </c>
      <c r="C81" s="63"/>
      <c r="D81" s="63"/>
      <c r="E81" s="5"/>
      <c r="F81" s="5"/>
      <c r="G81" s="5"/>
      <c r="H81" s="5"/>
      <c r="I81" s="5"/>
    </row>
    <row r="82" spans="1:9" ht="12.75">
      <c r="A82" s="5"/>
      <c r="B82" s="5"/>
      <c r="C82" s="63"/>
      <c r="D82" s="63"/>
      <c r="E82" s="5"/>
      <c r="F82" s="5"/>
      <c r="G82" s="5"/>
      <c r="H82" s="5"/>
      <c r="I82" s="5"/>
    </row>
    <row r="83" spans="1:8" ht="18">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Actual</v>
      </c>
      <c r="H84" s="24" t="str">
        <f t="shared" si="24"/>
        <v>Forecasted</v>
      </c>
    </row>
    <row r="85" spans="1:9" ht="12.75">
      <c r="A85" s="5"/>
      <c r="B85" s="5"/>
      <c r="C85" s="5"/>
      <c r="D85" s="5"/>
      <c r="E85" s="5"/>
      <c r="F85" s="5"/>
      <c r="G85" s="5"/>
      <c r="H85" s="5"/>
      <c r="I85" s="5"/>
    </row>
    <row r="86" spans="1:9" ht="12.75">
      <c r="A86" s="5"/>
      <c r="B86" s="5" t="s">
        <v>181</v>
      </c>
      <c r="C86" s="139">
        <v>0</v>
      </c>
      <c r="D86" s="139">
        <f>C88-C93</f>
        <v>0</v>
      </c>
      <c r="E86" s="139">
        <f>D88-D93</f>
        <v>0</v>
      </c>
      <c r="F86" s="139">
        <f>E88-E93</f>
        <v>0</v>
      </c>
      <c r="G86" s="139">
        <f>F88-F93</f>
        <v>541637.0592000001</v>
      </c>
      <c r="H86" s="139">
        <f>G88-G93</f>
        <v>626949.5216640001</v>
      </c>
      <c r="I86" s="5"/>
    </row>
    <row r="87" spans="1:9" ht="12.75">
      <c r="A87" s="5"/>
      <c r="B87" s="5" t="s">
        <v>182</v>
      </c>
      <c r="C87" s="102">
        <f aca="true" t="shared" si="25" ref="C87:H87">C9</f>
        <v>0</v>
      </c>
      <c r="D87" s="102">
        <f t="shared" si="25"/>
        <v>0</v>
      </c>
      <c r="E87" s="102">
        <f t="shared" si="25"/>
        <v>0</v>
      </c>
      <c r="F87" s="102">
        <f t="shared" si="25"/>
        <v>564205.2700000001</v>
      </c>
      <c r="G87" s="102">
        <f t="shared" si="25"/>
        <v>134003.57</v>
      </c>
      <c r="H87" s="102">
        <f t="shared" si="25"/>
        <v>0</v>
      </c>
      <c r="I87" s="5"/>
    </row>
    <row r="88" spans="1:9" ht="12.75">
      <c r="A88" s="5"/>
      <c r="B88" s="5" t="s">
        <v>183</v>
      </c>
      <c r="C88" s="139">
        <f aca="true" t="shared" si="26" ref="C88:H88">SUM(C86:C87)</f>
        <v>0</v>
      </c>
      <c r="D88" s="139">
        <f t="shared" si="26"/>
        <v>0</v>
      </c>
      <c r="E88" s="139">
        <f t="shared" si="26"/>
        <v>0</v>
      </c>
      <c r="F88" s="139">
        <f t="shared" si="26"/>
        <v>564205.2700000001</v>
      </c>
      <c r="G88" s="139">
        <f t="shared" si="26"/>
        <v>675640.6292000001</v>
      </c>
      <c r="H88" s="139">
        <f t="shared" si="26"/>
        <v>626949.5216640001</v>
      </c>
      <c r="I88" s="5"/>
    </row>
    <row r="89" spans="1:9" ht="12.75">
      <c r="A89" s="5"/>
      <c r="B89" s="5" t="s">
        <v>184</v>
      </c>
      <c r="C89" s="102">
        <f aca="true" t="shared" si="27" ref="C89:H89">SUM(C87:C87)/2</f>
        <v>0</v>
      </c>
      <c r="D89" s="102">
        <f t="shared" si="27"/>
        <v>0</v>
      </c>
      <c r="E89" s="102">
        <f t="shared" si="27"/>
        <v>0</v>
      </c>
      <c r="F89" s="102">
        <f t="shared" si="27"/>
        <v>282102.63500000007</v>
      </c>
      <c r="G89" s="102">
        <f t="shared" si="27"/>
        <v>67001.785</v>
      </c>
      <c r="H89" s="102">
        <f t="shared" si="27"/>
        <v>0</v>
      </c>
      <c r="I89" s="5"/>
    </row>
    <row r="90" spans="1:9" ht="12.75">
      <c r="A90" s="5"/>
      <c r="B90" s="5" t="s">
        <v>185</v>
      </c>
      <c r="C90" s="139">
        <f aca="true" t="shared" si="28" ref="C90:H90">C86+C89</f>
        <v>0</v>
      </c>
      <c r="D90" s="139">
        <f t="shared" si="28"/>
        <v>0</v>
      </c>
      <c r="E90" s="139">
        <f t="shared" si="28"/>
        <v>0</v>
      </c>
      <c r="F90" s="139">
        <f t="shared" si="28"/>
        <v>282102.63500000007</v>
      </c>
      <c r="G90" s="139">
        <f t="shared" si="28"/>
        <v>608638.8442000002</v>
      </c>
      <c r="H90" s="139">
        <f t="shared" si="28"/>
        <v>626949.5216640001</v>
      </c>
      <c r="I90" s="5"/>
    </row>
    <row r="91" spans="1:9" ht="12.75">
      <c r="A91" s="5"/>
      <c r="B91" s="5" t="s">
        <v>223</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224</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186</v>
      </c>
      <c r="C93" s="139">
        <f aca="true" t="shared" si="29" ref="C93:H93">IF((C90*C92)&lt;C90,(C90*C92),C90)</f>
        <v>0</v>
      </c>
      <c r="D93" s="139">
        <f t="shared" si="29"/>
        <v>0</v>
      </c>
      <c r="E93" s="139">
        <f t="shared" si="29"/>
        <v>0</v>
      </c>
      <c r="F93" s="139">
        <f t="shared" si="29"/>
        <v>22568.210800000004</v>
      </c>
      <c r="G93" s="139">
        <f t="shared" si="29"/>
        <v>48691.10753600002</v>
      </c>
      <c r="H93" s="139">
        <f t="shared" si="29"/>
        <v>50155.96173312001</v>
      </c>
      <c r="I93" s="5"/>
    </row>
    <row r="94" spans="1:9" ht="13.5" thickBot="1">
      <c r="A94" s="5"/>
      <c r="B94" s="5" t="s">
        <v>187</v>
      </c>
      <c r="C94" s="146">
        <f aca="true" t="shared" si="30" ref="C94:H94">IF((C88-C93)&lt;0,0,(C88-C93))</f>
        <v>0</v>
      </c>
      <c r="D94" s="146">
        <f t="shared" si="30"/>
        <v>0</v>
      </c>
      <c r="E94" s="146">
        <f t="shared" si="30"/>
        <v>0</v>
      </c>
      <c r="F94" s="146">
        <f t="shared" si="30"/>
        <v>541637.0592000001</v>
      </c>
      <c r="G94" s="146">
        <f t="shared" si="30"/>
        <v>626949.5216640001</v>
      </c>
      <c r="H94" s="146">
        <f t="shared" si="30"/>
        <v>576793.5599308801</v>
      </c>
      <c r="I94" s="5"/>
    </row>
    <row r="95" spans="1:9" ht="12.75">
      <c r="A95" s="5"/>
      <c r="B95" s="5"/>
      <c r="C95" s="5"/>
      <c r="D95" s="5"/>
      <c r="E95" s="5"/>
      <c r="F95" s="5"/>
      <c r="G95" s="5"/>
      <c r="H95" s="5"/>
      <c r="I95" s="5"/>
    </row>
    <row r="96" spans="1:9" ht="18">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Actual</v>
      </c>
      <c r="H97" s="24" t="str">
        <f t="shared" si="31"/>
        <v>Forecasted</v>
      </c>
      <c r="I97" s="5"/>
    </row>
    <row r="98" spans="1:9" ht="12.75">
      <c r="A98" s="5"/>
      <c r="B98" s="5"/>
      <c r="C98" s="5"/>
      <c r="D98" s="5"/>
      <c r="E98" s="5"/>
      <c r="F98" s="5"/>
      <c r="G98" s="5"/>
      <c r="H98" s="5"/>
      <c r="I98" s="5"/>
    </row>
    <row r="99" spans="1:9" ht="12.75">
      <c r="A99" s="5"/>
      <c r="B99" s="5" t="s">
        <v>181</v>
      </c>
      <c r="C99" s="139">
        <v>0</v>
      </c>
      <c r="D99" s="139">
        <f>C108</f>
        <v>0</v>
      </c>
      <c r="E99" s="139">
        <f>D108</f>
        <v>0</v>
      </c>
      <c r="F99" s="139">
        <f>E108</f>
        <v>0</v>
      </c>
      <c r="G99" s="139">
        <f>F108</f>
        <v>65893.162</v>
      </c>
      <c r="H99" s="139">
        <f>G108</f>
        <v>40601.119399999996</v>
      </c>
      <c r="I99" s="5"/>
    </row>
    <row r="100" spans="1:9" ht="12.75">
      <c r="A100" s="5"/>
      <c r="B100" s="5" t="s">
        <v>189</v>
      </c>
      <c r="C100" s="102">
        <f aca="true" t="shared" si="32" ref="C100:H100">C24</f>
        <v>0</v>
      </c>
      <c r="D100" s="102">
        <f t="shared" si="32"/>
        <v>0</v>
      </c>
      <c r="E100" s="102">
        <f t="shared" si="32"/>
        <v>0</v>
      </c>
      <c r="F100" s="102">
        <f t="shared" si="32"/>
        <v>22101.41</v>
      </c>
      <c r="G100" s="102">
        <f t="shared" si="32"/>
        <v>1975.39</v>
      </c>
      <c r="H100" s="102">
        <f t="shared" si="32"/>
        <v>0</v>
      </c>
      <c r="I100" s="5"/>
    </row>
    <row r="101" spans="1:9" ht="12.75">
      <c r="A101" s="5"/>
      <c r="B101" s="5" t="s">
        <v>190</v>
      </c>
      <c r="C101" s="102">
        <f aca="true" t="shared" si="33" ref="C101:H101">C39</f>
        <v>0</v>
      </c>
      <c r="D101" s="102">
        <f t="shared" si="33"/>
        <v>0</v>
      </c>
      <c r="E101" s="102">
        <f t="shared" si="33"/>
        <v>0</v>
      </c>
      <c r="F101" s="102">
        <f t="shared" si="33"/>
        <v>68785.70999999999</v>
      </c>
      <c r="G101" s="102">
        <f t="shared" si="33"/>
        <v>13126.95</v>
      </c>
      <c r="H101" s="102">
        <f t="shared" si="33"/>
        <v>0</v>
      </c>
      <c r="I101" s="5"/>
    </row>
    <row r="102" spans="1:9" ht="12.75">
      <c r="A102" s="5"/>
      <c r="B102" s="5" t="s">
        <v>183</v>
      </c>
      <c r="C102" s="139">
        <f aca="true" t="shared" si="34" ref="C102:H102">SUM(C99:C101)</f>
        <v>0</v>
      </c>
      <c r="D102" s="139">
        <f t="shared" si="34"/>
        <v>0</v>
      </c>
      <c r="E102" s="139">
        <f t="shared" si="34"/>
        <v>0</v>
      </c>
      <c r="F102" s="139">
        <f t="shared" si="34"/>
        <v>90887.12</v>
      </c>
      <c r="G102" s="139">
        <f t="shared" si="34"/>
        <v>80995.502</v>
      </c>
      <c r="H102" s="139">
        <f t="shared" si="34"/>
        <v>40601.119399999996</v>
      </c>
      <c r="I102" s="5"/>
    </row>
    <row r="103" spans="1:9" ht="12.75">
      <c r="A103" s="5"/>
      <c r="B103" s="5" t="s">
        <v>184</v>
      </c>
      <c r="C103" s="102">
        <f aca="true" t="shared" si="35" ref="C103:H103">SUM(C100:C101)/2</f>
        <v>0</v>
      </c>
      <c r="D103" s="102">
        <f t="shared" si="35"/>
        <v>0</v>
      </c>
      <c r="E103" s="102">
        <f t="shared" si="35"/>
        <v>0</v>
      </c>
      <c r="F103" s="102">
        <f t="shared" si="35"/>
        <v>45443.56</v>
      </c>
      <c r="G103" s="102">
        <f t="shared" si="35"/>
        <v>7551.17</v>
      </c>
      <c r="H103" s="102">
        <f t="shared" si="35"/>
        <v>0</v>
      </c>
      <c r="I103" s="5"/>
    </row>
    <row r="104" spans="1:9" ht="12.75">
      <c r="A104" s="5"/>
      <c r="B104" s="5" t="s">
        <v>185</v>
      </c>
      <c r="C104" s="139">
        <f aca="true" t="shared" si="36" ref="C104:H104">C99+C103</f>
        <v>0</v>
      </c>
      <c r="D104" s="139">
        <f t="shared" si="36"/>
        <v>0</v>
      </c>
      <c r="E104" s="139">
        <f t="shared" si="36"/>
        <v>0</v>
      </c>
      <c r="F104" s="139">
        <f t="shared" si="36"/>
        <v>45443.56</v>
      </c>
      <c r="G104" s="139">
        <f t="shared" si="36"/>
        <v>73444.332</v>
      </c>
      <c r="H104" s="139">
        <f t="shared" si="36"/>
        <v>40601.119399999996</v>
      </c>
      <c r="I104" s="5"/>
    </row>
    <row r="105" spans="1:9" ht="12.75">
      <c r="A105" s="5"/>
      <c r="B105" s="5" t="s">
        <v>223</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224</v>
      </c>
      <c r="C106" s="115">
        <f>'3.  LDC Assumptions and Data'!C72</f>
        <v>0.45</v>
      </c>
      <c r="D106" s="115">
        <f>'3.  LDC Assumptions and Data'!D72</f>
        <v>0.55</v>
      </c>
      <c r="E106" s="115">
        <f>'3.  LDC Assumptions and Data'!E72</f>
        <v>0.55</v>
      </c>
      <c r="F106" s="115">
        <f>'3.  LDC Assumptions and Data'!F72</f>
        <v>0.55</v>
      </c>
      <c r="G106" s="115">
        <f>'3.  LDC Assumptions and Data'!G72</f>
        <v>0.55</v>
      </c>
      <c r="H106" s="115">
        <f>'3.  LDC Assumptions and Data'!H72</f>
        <v>0.55</v>
      </c>
      <c r="I106" s="5"/>
    </row>
    <row r="107" spans="1:9" ht="12.75">
      <c r="A107" s="5"/>
      <c r="B107" s="5" t="s">
        <v>186</v>
      </c>
      <c r="C107" s="139">
        <f aca="true" t="shared" si="37" ref="C107:H107">IF((C104*C106)&lt;C104,(C104*C106),C104)</f>
        <v>0</v>
      </c>
      <c r="D107" s="139">
        <f t="shared" si="37"/>
        <v>0</v>
      </c>
      <c r="E107" s="139">
        <f t="shared" si="37"/>
        <v>0</v>
      </c>
      <c r="F107" s="139">
        <f t="shared" si="37"/>
        <v>24993.958000000002</v>
      </c>
      <c r="G107" s="139">
        <f t="shared" si="37"/>
        <v>40394.3826</v>
      </c>
      <c r="H107" s="139">
        <f t="shared" si="37"/>
        <v>22330.61567</v>
      </c>
      <c r="I107" s="5"/>
    </row>
    <row r="108" spans="1:9" ht="13.5" thickBot="1">
      <c r="A108" s="5"/>
      <c r="B108" s="5" t="s">
        <v>187</v>
      </c>
      <c r="C108" s="146">
        <f aca="true" t="shared" si="38" ref="C108:H108">IF((C102-C107)&lt;0,0,(C102-C107))</f>
        <v>0</v>
      </c>
      <c r="D108" s="146">
        <f t="shared" si="38"/>
        <v>0</v>
      </c>
      <c r="E108" s="146">
        <f t="shared" si="38"/>
        <v>0</v>
      </c>
      <c r="F108" s="146">
        <f t="shared" si="38"/>
        <v>65893.162</v>
      </c>
      <c r="G108" s="146">
        <f t="shared" si="38"/>
        <v>40601.119399999996</v>
      </c>
      <c r="H108" s="146">
        <f t="shared" si="38"/>
        <v>18270.503729999997</v>
      </c>
      <c r="I108" s="5"/>
    </row>
    <row r="110" spans="1:9" ht="18">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Actual</v>
      </c>
      <c r="H111" s="24" t="str">
        <f t="shared" si="39"/>
        <v>Forecasted</v>
      </c>
      <c r="I111" s="5"/>
    </row>
    <row r="112" spans="1:9" ht="12.75">
      <c r="A112" s="5"/>
      <c r="B112" s="5"/>
      <c r="C112" s="5"/>
      <c r="D112" s="5"/>
      <c r="E112" s="5"/>
      <c r="F112" s="5"/>
      <c r="G112" s="5"/>
      <c r="H112" s="5"/>
      <c r="I112" s="5"/>
    </row>
    <row r="113" spans="1:9" ht="12.75">
      <c r="A113" s="5"/>
      <c r="B113" s="5" t="s">
        <v>181</v>
      </c>
      <c r="C113" s="139">
        <v>0</v>
      </c>
      <c r="D113" s="139">
        <f>C122</f>
        <v>0</v>
      </c>
      <c r="E113" s="139">
        <f>D122</f>
        <v>0</v>
      </c>
      <c r="F113" s="139">
        <f>E122</f>
        <v>0</v>
      </c>
      <c r="G113" s="139">
        <f>F122</f>
        <v>15103.845</v>
      </c>
      <c r="H113" s="139">
        <f>G122</f>
        <v>14302.665</v>
      </c>
      <c r="I113" s="5"/>
    </row>
    <row r="114" spans="1:9" ht="12.75">
      <c r="A114" s="5"/>
      <c r="B114" s="5" t="s">
        <v>192</v>
      </c>
      <c r="C114" s="102">
        <f aca="true" t="shared" si="40" ref="C114:H114">C54</f>
        <v>0</v>
      </c>
      <c r="D114" s="102">
        <f t="shared" si="40"/>
        <v>0</v>
      </c>
      <c r="E114" s="102">
        <f t="shared" si="40"/>
        <v>0</v>
      </c>
      <c r="F114" s="102">
        <f t="shared" si="40"/>
        <v>16000</v>
      </c>
      <c r="G114" s="102">
        <f t="shared" si="40"/>
        <v>1904.76</v>
      </c>
      <c r="H114" s="102">
        <f t="shared" si="40"/>
        <v>0</v>
      </c>
      <c r="I114" s="5"/>
    </row>
    <row r="115" spans="1:9" ht="12.75">
      <c r="A115" s="5"/>
      <c r="B115" s="5" t="s">
        <v>193</v>
      </c>
      <c r="C115" s="102">
        <f aca="true" t="shared" si="41" ref="C115:H115">C69</f>
        <v>0</v>
      </c>
      <c r="D115" s="102">
        <f t="shared" si="41"/>
        <v>0</v>
      </c>
      <c r="E115" s="102">
        <f t="shared" si="41"/>
        <v>0</v>
      </c>
      <c r="F115" s="102">
        <f t="shared" si="41"/>
        <v>782.05</v>
      </c>
      <c r="G115" s="102">
        <f t="shared" si="41"/>
        <v>561.45</v>
      </c>
      <c r="H115" s="102">
        <f t="shared" si="41"/>
        <v>0</v>
      </c>
      <c r="I115" s="5"/>
    </row>
    <row r="116" spans="1:9" ht="12.75">
      <c r="A116" s="5"/>
      <c r="B116" s="5" t="s">
        <v>183</v>
      </c>
      <c r="C116" s="139">
        <f aca="true" t="shared" si="42" ref="C116:H116">SUM(C113:C115)</f>
        <v>0</v>
      </c>
      <c r="D116" s="139">
        <f t="shared" si="42"/>
        <v>0</v>
      </c>
      <c r="E116" s="139">
        <f t="shared" si="42"/>
        <v>0</v>
      </c>
      <c r="F116" s="139">
        <f t="shared" si="42"/>
        <v>16782.05</v>
      </c>
      <c r="G116" s="139">
        <f t="shared" si="42"/>
        <v>17570.055</v>
      </c>
      <c r="H116" s="139">
        <f t="shared" si="42"/>
        <v>14302.665</v>
      </c>
      <c r="I116" s="5"/>
    </row>
    <row r="117" spans="1:9" ht="12.75">
      <c r="A117" s="5"/>
      <c r="B117" s="5" t="s">
        <v>184</v>
      </c>
      <c r="C117" s="102">
        <f aca="true" t="shared" si="43" ref="C117:H117">SUM(C114:C115)/2</f>
        <v>0</v>
      </c>
      <c r="D117" s="102">
        <f t="shared" si="43"/>
        <v>0</v>
      </c>
      <c r="E117" s="102">
        <f t="shared" si="43"/>
        <v>0</v>
      </c>
      <c r="F117" s="102">
        <f t="shared" si="43"/>
        <v>8391.025</v>
      </c>
      <c r="G117" s="102">
        <f t="shared" si="43"/>
        <v>1233.105</v>
      </c>
      <c r="H117" s="102">
        <f t="shared" si="43"/>
        <v>0</v>
      </c>
      <c r="I117" s="5"/>
    </row>
    <row r="118" spans="1:9" ht="12.75">
      <c r="A118" s="5"/>
      <c r="B118" s="5" t="s">
        <v>185</v>
      </c>
      <c r="C118" s="139">
        <f aca="true" t="shared" si="44" ref="C118:H118">C113+C117</f>
        <v>0</v>
      </c>
      <c r="D118" s="139">
        <f t="shared" si="44"/>
        <v>0</v>
      </c>
      <c r="E118" s="139">
        <f t="shared" si="44"/>
        <v>0</v>
      </c>
      <c r="F118" s="139">
        <f t="shared" si="44"/>
        <v>8391.025</v>
      </c>
      <c r="G118" s="139">
        <f t="shared" si="44"/>
        <v>16336.949999999999</v>
      </c>
      <c r="H118" s="139">
        <f t="shared" si="44"/>
        <v>14302.665</v>
      </c>
      <c r="I118" s="5"/>
    </row>
    <row r="119" spans="1:9" ht="12.75">
      <c r="A119" s="5"/>
      <c r="B119" s="5" t="s">
        <v>223</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224</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186</v>
      </c>
      <c r="C121" s="139">
        <f aca="true" t="shared" si="45" ref="C121:H121">IF((C118*C120)&lt;C118,(C118*C120),C118)</f>
        <v>0</v>
      </c>
      <c r="D121" s="139">
        <f t="shared" si="45"/>
        <v>0</v>
      </c>
      <c r="E121" s="139">
        <f t="shared" si="45"/>
        <v>0</v>
      </c>
      <c r="F121" s="139">
        <f t="shared" si="45"/>
        <v>1678.205</v>
      </c>
      <c r="G121" s="139">
        <f t="shared" si="45"/>
        <v>3267.39</v>
      </c>
      <c r="H121" s="139">
        <f t="shared" si="45"/>
        <v>2860.5330000000004</v>
      </c>
      <c r="I121" s="5"/>
    </row>
    <row r="122" spans="1:9" ht="13.5" thickBot="1">
      <c r="A122" s="5"/>
      <c r="B122" s="5" t="s">
        <v>187</v>
      </c>
      <c r="C122" s="146">
        <f aca="true" t="shared" si="46" ref="C122:H122">IF((C116-C121)&lt;0,0,(C116-C121))</f>
        <v>0</v>
      </c>
      <c r="D122" s="146">
        <f t="shared" si="46"/>
        <v>0</v>
      </c>
      <c r="E122" s="146">
        <f t="shared" si="46"/>
        <v>0</v>
      </c>
      <c r="F122" s="146">
        <f t="shared" si="46"/>
        <v>15103.845</v>
      </c>
      <c r="G122" s="146">
        <f t="shared" si="46"/>
        <v>14302.665</v>
      </c>
      <c r="H122" s="146">
        <f t="shared" si="46"/>
        <v>11442.132000000001</v>
      </c>
      <c r="I122" s="5"/>
    </row>
    <row r="126" ht="15">
      <c r="B126" s="25"/>
    </row>
    <row r="127" ht="15">
      <c r="B127" s="25"/>
    </row>
  </sheetData>
  <sheetProtection formatColumns="0" selectLockedCells="1"/>
  <mergeCells count="1">
    <mergeCell ref="B1:E1"/>
  </mergeCells>
  <printOptions/>
  <pageMargins left="0.53" right="0.44" top="0.55" bottom="0.55" header="0.5" footer="0.5"/>
  <pageSetup fitToHeight="2" horizontalDpi="600" verticalDpi="600" orientation="landscape" scale="6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47">
      <selection activeCell="C68" sqref="C68"/>
    </sheetView>
  </sheetViews>
  <sheetFormatPr defaultColWidth="11.421875" defaultRowHeight="12.75"/>
  <cols>
    <col min="1" max="1" width="23.8515625" style="131" customWidth="1"/>
    <col min="2" max="2" width="14.140625" style="132" bestFit="1" customWidth="1"/>
    <col min="3" max="3" width="13.7109375" style="132" customWidth="1"/>
    <col min="4" max="4" width="11.421875" style="132" customWidth="1"/>
    <col min="5" max="5" width="12.7109375" style="132" customWidth="1"/>
    <col min="6" max="6" width="14.140625" style="132" bestFit="1" customWidth="1"/>
    <col min="7" max="9" width="11.421875" style="132" customWidth="1"/>
    <col min="10" max="10" width="25.7109375" style="131" customWidth="1"/>
    <col min="11" max="11" width="22.7109375" style="131" customWidth="1"/>
    <col min="12" max="16384" width="11.421875" style="132" customWidth="1"/>
  </cols>
  <sheetData>
    <row r="1" spans="2:11" ht="47.25">
      <c r="B1" s="26" t="s">
        <v>259</v>
      </c>
      <c r="C1" s="26"/>
      <c r="D1" s="26"/>
      <c r="E1" s="26"/>
      <c r="F1" s="26"/>
      <c r="G1" s="26"/>
      <c r="I1" s="120"/>
      <c r="J1" s="121" t="s">
        <v>231</v>
      </c>
      <c r="K1" s="121" t="s">
        <v>233</v>
      </c>
    </row>
    <row r="2" spans="9:11" ht="94.5">
      <c r="I2" s="120"/>
      <c r="J2" s="121" t="s">
        <v>232</v>
      </c>
      <c r="K2" s="121" t="s">
        <v>234</v>
      </c>
    </row>
    <row r="3" spans="1:11" ht="15.75">
      <c r="A3" s="133" t="s">
        <v>273</v>
      </c>
      <c r="B3" s="133" t="s">
        <v>124</v>
      </c>
      <c r="C3" s="133" t="s">
        <v>230</v>
      </c>
      <c r="D3" s="133" t="s">
        <v>125</v>
      </c>
      <c r="E3" s="133" t="s">
        <v>126</v>
      </c>
      <c r="F3" s="133" t="s">
        <v>127</v>
      </c>
      <c r="I3" s="120" t="s">
        <v>246</v>
      </c>
      <c r="J3" s="122">
        <v>4.14</v>
      </c>
      <c r="K3" s="122">
        <v>4.68</v>
      </c>
    </row>
    <row r="4" spans="1:11" ht="15.75">
      <c r="A4" s="134">
        <v>38718</v>
      </c>
      <c r="B4" s="118">
        <v>0</v>
      </c>
      <c r="C4" s="117">
        <v>0</v>
      </c>
      <c r="D4" s="135">
        <f>'3.  LDC Assumptions and Data'!$C$19</f>
        <v>0.0625</v>
      </c>
      <c r="E4" s="118">
        <f aca="true" t="shared" si="0" ref="E4:E27">(B4*D4)/12</f>
        <v>0</v>
      </c>
      <c r="F4" s="118">
        <f>SUM(B4:C4,E4)</f>
        <v>0</v>
      </c>
      <c r="I4" s="120" t="s">
        <v>245</v>
      </c>
      <c r="J4" s="122">
        <v>4.59</v>
      </c>
      <c r="K4" s="122">
        <v>5.05</v>
      </c>
    </row>
    <row r="5" spans="1:11" ht="15.75">
      <c r="A5" s="134">
        <v>38749</v>
      </c>
      <c r="B5" s="119">
        <f aca="true" t="shared" si="1" ref="B5:B28">F4</f>
        <v>0</v>
      </c>
      <c r="C5" s="117">
        <v>0</v>
      </c>
      <c r="D5" s="135">
        <f>'3.  LDC Assumptions and Data'!$C$19</f>
        <v>0.0625</v>
      </c>
      <c r="E5" s="118">
        <f t="shared" si="0"/>
        <v>0</v>
      </c>
      <c r="F5" s="118">
        <f aca="true" t="shared" si="2" ref="F5:F27">SUM(B5:C5,E5)</f>
        <v>0</v>
      </c>
      <c r="I5" s="120" t="s">
        <v>244</v>
      </c>
      <c r="J5" s="122">
        <v>4.59</v>
      </c>
      <c r="K5" s="122">
        <v>4.72</v>
      </c>
    </row>
    <row r="6" spans="1:11" ht="15.75">
      <c r="A6" s="134">
        <v>38777</v>
      </c>
      <c r="B6" s="119">
        <f t="shared" si="1"/>
        <v>0</v>
      </c>
      <c r="C6" s="117">
        <v>0</v>
      </c>
      <c r="D6" s="135">
        <f>'3.  LDC Assumptions and Data'!$C$19</f>
        <v>0.0625</v>
      </c>
      <c r="E6" s="118">
        <f t="shared" si="0"/>
        <v>0</v>
      </c>
      <c r="F6" s="118">
        <f t="shared" si="2"/>
        <v>0</v>
      </c>
      <c r="I6" s="120" t="s">
        <v>243</v>
      </c>
      <c r="J6" s="122">
        <v>4.59</v>
      </c>
      <c r="K6" s="122">
        <v>4.72</v>
      </c>
    </row>
    <row r="7" spans="1:11" ht="15.75">
      <c r="A7" s="134">
        <v>38808</v>
      </c>
      <c r="B7" s="119">
        <f t="shared" si="1"/>
        <v>0</v>
      </c>
      <c r="C7" s="117">
        <v>0</v>
      </c>
      <c r="D7" s="136">
        <v>0.0414</v>
      </c>
      <c r="E7" s="118">
        <f t="shared" si="0"/>
        <v>0</v>
      </c>
      <c r="F7" s="118">
        <f t="shared" si="2"/>
        <v>0</v>
      </c>
      <c r="I7" s="120" t="s">
        <v>242</v>
      </c>
      <c r="J7" s="122">
        <v>4.59</v>
      </c>
      <c r="K7" s="122">
        <v>4.72</v>
      </c>
    </row>
    <row r="8" spans="1:11" ht="15.75">
      <c r="A8" s="134">
        <v>38838</v>
      </c>
      <c r="B8" s="119">
        <f t="shared" si="1"/>
        <v>0</v>
      </c>
      <c r="C8" s="117">
        <v>50.35</v>
      </c>
      <c r="D8" s="136">
        <v>0.0414</v>
      </c>
      <c r="E8" s="118">
        <f t="shared" si="0"/>
        <v>0</v>
      </c>
      <c r="F8" s="118">
        <f t="shared" si="2"/>
        <v>50.35</v>
      </c>
      <c r="I8" s="120" t="s">
        <v>241</v>
      </c>
      <c r="J8" s="122">
        <v>4.59</v>
      </c>
      <c r="K8" s="122">
        <v>5.18</v>
      </c>
    </row>
    <row r="9" spans="1:11" ht="15.75">
      <c r="A9" s="134">
        <v>38869</v>
      </c>
      <c r="B9" s="119">
        <f t="shared" si="1"/>
        <v>50.35</v>
      </c>
      <c r="C9" s="117">
        <v>664.85</v>
      </c>
      <c r="D9" s="136">
        <v>0.0414</v>
      </c>
      <c r="E9" s="118">
        <f t="shared" si="0"/>
        <v>0.17370750000000001</v>
      </c>
      <c r="F9" s="118">
        <f t="shared" si="2"/>
        <v>715.3737075</v>
      </c>
      <c r="I9" s="120" t="s">
        <v>240</v>
      </c>
      <c r="J9" s="122">
        <v>5.14</v>
      </c>
      <c r="K9" s="122">
        <v>5.18</v>
      </c>
    </row>
    <row r="10" spans="1:11" ht="15.75">
      <c r="A10" s="134">
        <v>38899</v>
      </c>
      <c r="B10" s="119">
        <f t="shared" si="1"/>
        <v>715.3737075</v>
      </c>
      <c r="C10" s="117">
        <v>1041.23</v>
      </c>
      <c r="D10" s="136">
        <v>0.0459</v>
      </c>
      <c r="E10" s="118">
        <f t="shared" si="0"/>
        <v>2.7363044311875004</v>
      </c>
      <c r="F10" s="118">
        <f t="shared" si="2"/>
        <v>1759.3400119311875</v>
      </c>
      <c r="I10" s="120" t="s">
        <v>239</v>
      </c>
      <c r="J10" s="122">
        <v>5.14</v>
      </c>
      <c r="K10" s="122">
        <v>5.18</v>
      </c>
    </row>
    <row r="11" spans="1:11" ht="15.75">
      <c r="A11" s="134">
        <v>38930</v>
      </c>
      <c r="B11" s="119">
        <f t="shared" si="1"/>
        <v>1759.3400119311875</v>
      </c>
      <c r="C11" s="117">
        <v>895.38</v>
      </c>
      <c r="D11" s="136">
        <v>0.0459</v>
      </c>
      <c r="E11" s="118">
        <f t="shared" si="0"/>
        <v>6.7294755456367925</v>
      </c>
      <c r="F11" s="118">
        <f t="shared" si="2"/>
        <v>2661.4494874768243</v>
      </c>
      <c r="I11" s="120" t="s">
        <v>238</v>
      </c>
      <c r="J11" s="122">
        <v>4.08</v>
      </c>
      <c r="K11" s="122">
        <v>5.18</v>
      </c>
    </row>
    <row r="12" spans="1:11" ht="15.75">
      <c r="A12" s="134">
        <v>38961</v>
      </c>
      <c r="B12" s="119">
        <f t="shared" si="1"/>
        <v>2661.4494874768243</v>
      </c>
      <c r="C12" s="117">
        <v>792.7</v>
      </c>
      <c r="D12" s="136">
        <v>0.0459</v>
      </c>
      <c r="E12" s="118">
        <f t="shared" si="0"/>
        <v>10.180044289598854</v>
      </c>
      <c r="F12" s="118">
        <f t="shared" si="2"/>
        <v>3464.329531766423</v>
      </c>
      <c r="I12" s="120" t="s">
        <v>237</v>
      </c>
      <c r="J12" s="122">
        <v>3.35</v>
      </c>
      <c r="K12" s="122">
        <v>5.43</v>
      </c>
    </row>
    <row r="13" spans="1:11" ht="15.75">
      <c r="A13" s="134">
        <v>38991</v>
      </c>
      <c r="B13" s="119">
        <f t="shared" si="1"/>
        <v>3464.329531766423</v>
      </c>
      <c r="C13" s="117">
        <v>1217.57</v>
      </c>
      <c r="D13" s="136">
        <v>0.0459</v>
      </c>
      <c r="E13" s="118">
        <f t="shared" si="0"/>
        <v>13.251060459006569</v>
      </c>
      <c r="F13" s="118">
        <f t="shared" si="2"/>
        <v>4695.15059222543</v>
      </c>
      <c r="I13" s="120" t="s">
        <v>236</v>
      </c>
      <c r="J13" s="122">
        <v>3.35</v>
      </c>
      <c r="K13" s="122">
        <v>5.43</v>
      </c>
    </row>
    <row r="14" spans="1:11" ht="15.75">
      <c r="A14" s="134">
        <v>39022</v>
      </c>
      <c r="B14" s="119">
        <f t="shared" si="1"/>
        <v>4695.15059222543</v>
      </c>
      <c r="C14" s="117">
        <v>870</v>
      </c>
      <c r="D14" s="136">
        <v>0.0459</v>
      </c>
      <c r="E14" s="118">
        <f t="shared" si="0"/>
        <v>17.958951015262272</v>
      </c>
      <c r="F14" s="118">
        <f t="shared" si="2"/>
        <v>5583.109543240692</v>
      </c>
      <c r="I14" s="120" t="s">
        <v>252</v>
      </c>
      <c r="J14" s="124">
        <v>2.45</v>
      </c>
      <c r="K14" s="124">
        <v>6.61</v>
      </c>
    </row>
    <row r="15" spans="1:11" ht="15.75">
      <c r="A15" s="134">
        <v>39052</v>
      </c>
      <c r="B15" s="119">
        <f t="shared" si="1"/>
        <v>5583.109543240692</v>
      </c>
      <c r="C15" s="117">
        <v>1367.62</v>
      </c>
      <c r="D15" s="136">
        <v>0.0459</v>
      </c>
      <c r="E15" s="118">
        <f t="shared" si="0"/>
        <v>21.35539400289565</v>
      </c>
      <c r="F15" s="118">
        <f t="shared" si="2"/>
        <v>6972.084937243588</v>
      </c>
      <c r="I15" s="120" t="s">
        <v>253</v>
      </c>
      <c r="J15" s="124">
        <v>1</v>
      </c>
      <c r="K15" s="124">
        <v>6.61</v>
      </c>
    </row>
    <row r="16" spans="1:11" ht="15.75">
      <c r="A16" s="134">
        <v>39083</v>
      </c>
      <c r="B16" s="119">
        <f t="shared" si="1"/>
        <v>6972.084937243588</v>
      </c>
      <c r="C16" s="117">
        <v>979.9</v>
      </c>
      <c r="D16" s="136">
        <v>0.0459</v>
      </c>
      <c r="E16" s="118">
        <f t="shared" si="0"/>
        <v>26.668224884956725</v>
      </c>
      <c r="F16" s="118">
        <f t="shared" si="2"/>
        <v>7978.653162128544</v>
      </c>
      <c r="I16" s="120" t="s">
        <v>254</v>
      </c>
      <c r="J16" s="124">
        <v>0.55</v>
      </c>
      <c r="K16" s="124">
        <v>5.67</v>
      </c>
    </row>
    <row r="17" spans="1:11" ht="15.75">
      <c r="A17" s="134">
        <v>39114</v>
      </c>
      <c r="B17" s="119">
        <f t="shared" si="1"/>
        <v>7978.653162128544</v>
      </c>
      <c r="C17" s="117">
        <v>979.49</v>
      </c>
      <c r="D17" s="136">
        <v>0.0459</v>
      </c>
      <c r="E17" s="118">
        <f t="shared" si="0"/>
        <v>30.518348345141685</v>
      </c>
      <c r="F17" s="118">
        <f t="shared" si="2"/>
        <v>8988.661510473687</v>
      </c>
      <c r="I17" s="120" t="s">
        <v>256</v>
      </c>
      <c r="J17" s="124">
        <v>0.55</v>
      </c>
      <c r="K17" s="124">
        <v>4.66</v>
      </c>
    </row>
    <row r="18" spans="1:11" ht="15.75">
      <c r="A18" s="134">
        <v>39142</v>
      </c>
      <c r="B18" s="119">
        <f t="shared" si="1"/>
        <v>8988.661510473687</v>
      </c>
      <c r="C18" s="117">
        <v>906.78</v>
      </c>
      <c r="D18" s="136">
        <v>0.0459</v>
      </c>
      <c r="E18" s="118">
        <f t="shared" si="0"/>
        <v>34.381630277561854</v>
      </c>
      <c r="F18" s="118">
        <f t="shared" si="2"/>
        <v>9929.823140751249</v>
      </c>
      <c r="I18" s="120" t="s">
        <v>257</v>
      </c>
      <c r="J18" s="124">
        <v>0.55</v>
      </c>
      <c r="K18" s="124">
        <v>4.34</v>
      </c>
    </row>
    <row r="19" spans="1:11" ht="15.75">
      <c r="A19" s="134">
        <v>39173</v>
      </c>
      <c r="B19" s="119">
        <f t="shared" si="1"/>
        <v>9929.823140751249</v>
      </c>
      <c r="C19" s="117">
        <v>1050.99</v>
      </c>
      <c r="D19" s="136">
        <v>0.0459</v>
      </c>
      <c r="E19" s="118">
        <f t="shared" si="0"/>
        <v>37.981573513373526</v>
      </c>
      <c r="F19" s="118">
        <f t="shared" si="2"/>
        <v>11018.794714264623</v>
      </c>
      <c r="I19" s="120" t="s">
        <v>258</v>
      </c>
      <c r="J19" s="124">
        <v>0.55</v>
      </c>
      <c r="K19" s="124">
        <v>4.34</v>
      </c>
    </row>
    <row r="20" spans="1:11" ht="15.75">
      <c r="A20" s="134">
        <v>39203</v>
      </c>
      <c r="B20" s="119">
        <f t="shared" si="1"/>
        <v>11018.794714264623</v>
      </c>
      <c r="C20" s="117">
        <v>912.11</v>
      </c>
      <c r="D20" s="136">
        <v>0.0459</v>
      </c>
      <c r="E20" s="118">
        <f t="shared" si="0"/>
        <v>42.14688978206218</v>
      </c>
      <c r="F20" s="118">
        <f t="shared" si="2"/>
        <v>11973.051604046685</v>
      </c>
      <c r="I20" s="120" t="s">
        <v>255</v>
      </c>
      <c r="J20" s="124">
        <v>0.89</v>
      </c>
      <c r="K20" s="124">
        <v>4.66</v>
      </c>
    </row>
    <row r="21" spans="1:6" ht="15">
      <c r="A21" s="134">
        <v>39234</v>
      </c>
      <c r="B21" s="119">
        <f t="shared" si="1"/>
        <v>11973.051604046685</v>
      </c>
      <c r="C21" s="117">
        <v>906.25</v>
      </c>
      <c r="D21" s="136">
        <v>0.0459</v>
      </c>
      <c r="E21" s="118">
        <f t="shared" si="0"/>
        <v>45.796922385478574</v>
      </c>
      <c r="F21" s="118">
        <f t="shared" si="2"/>
        <v>12925.098526432163</v>
      </c>
    </row>
    <row r="22" spans="1:6" ht="15">
      <c r="A22" s="134">
        <v>39264</v>
      </c>
      <c r="B22" s="119">
        <f t="shared" si="1"/>
        <v>12925.098526432163</v>
      </c>
      <c r="C22" s="117">
        <v>1046.61</v>
      </c>
      <c r="D22" s="136">
        <v>0.0459</v>
      </c>
      <c r="E22" s="118">
        <f t="shared" si="0"/>
        <v>49.43850186360302</v>
      </c>
      <c r="F22" s="118">
        <f t="shared" si="2"/>
        <v>14021.147028295765</v>
      </c>
    </row>
    <row r="23" spans="1:10" ht="15">
      <c r="A23" s="134">
        <v>39295</v>
      </c>
      <c r="B23" s="119">
        <f t="shared" si="1"/>
        <v>14021.147028295765</v>
      </c>
      <c r="C23" s="117">
        <v>911.08</v>
      </c>
      <c r="D23" s="136">
        <v>0.0459</v>
      </c>
      <c r="E23" s="118">
        <f t="shared" si="0"/>
        <v>53.630887383231304</v>
      </c>
      <c r="F23" s="118">
        <f t="shared" si="2"/>
        <v>14985.857915678997</v>
      </c>
      <c r="J23" s="131" t="s">
        <v>235</v>
      </c>
    </row>
    <row r="24" spans="1:6" ht="15">
      <c r="A24" s="134">
        <v>39326</v>
      </c>
      <c r="B24" s="119">
        <f t="shared" si="1"/>
        <v>14985.857915678997</v>
      </c>
      <c r="C24" s="117">
        <v>843.52</v>
      </c>
      <c r="D24" s="136">
        <v>0.0459</v>
      </c>
      <c r="E24" s="118">
        <f t="shared" si="0"/>
        <v>57.32090652747217</v>
      </c>
      <c r="F24" s="118">
        <f t="shared" si="2"/>
        <v>15886.698822206468</v>
      </c>
    </row>
    <row r="25" spans="1:6" ht="15">
      <c r="A25" s="134">
        <v>39356</v>
      </c>
      <c r="B25" s="119">
        <f t="shared" si="1"/>
        <v>15886.698822206468</v>
      </c>
      <c r="C25" s="117">
        <v>1148.18</v>
      </c>
      <c r="D25" s="136">
        <v>0.0514</v>
      </c>
      <c r="E25" s="118">
        <f t="shared" si="0"/>
        <v>68.04802662178437</v>
      </c>
      <c r="F25" s="118">
        <f t="shared" si="2"/>
        <v>17102.926848828254</v>
      </c>
    </row>
    <row r="26" spans="1:6" ht="15">
      <c r="A26" s="134">
        <v>39387</v>
      </c>
      <c r="B26" s="119">
        <f t="shared" si="1"/>
        <v>17102.926848828254</v>
      </c>
      <c r="C26" s="117">
        <v>1960.89</v>
      </c>
      <c r="D26" s="136">
        <v>0.0514</v>
      </c>
      <c r="E26" s="118">
        <f t="shared" si="0"/>
        <v>73.25753666914768</v>
      </c>
      <c r="F26" s="118">
        <f t="shared" si="2"/>
        <v>19137.074385497403</v>
      </c>
    </row>
    <row r="27" spans="1:6" ht="15">
      <c r="A27" s="134">
        <v>39417</v>
      </c>
      <c r="B27" s="119">
        <f t="shared" si="1"/>
        <v>19137.074385497403</v>
      </c>
      <c r="C27" s="117">
        <v>1078.88</v>
      </c>
      <c r="D27" s="136">
        <v>0.0514</v>
      </c>
      <c r="E27" s="118">
        <f t="shared" si="0"/>
        <v>81.97046861788054</v>
      </c>
      <c r="F27" s="118">
        <f t="shared" si="2"/>
        <v>20297.924854115285</v>
      </c>
    </row>
    <row r="28" spans="1:6" ht="15">
      <c r="A28" s="134">
        <v>39448</v>
      </c>
      <c r="B28" s="119">
        <f t="shared" si="1"/>
        <v>20297.924854115285</v>
      </c>
      <c r="C28" s="117">
        <v>805.84</v>
      </c>
      <c r="D28" s="136">
        <v>0.0514</v>
      </c>
      <c r="E28" s="118">
        <f aca="true" t="shared" si="3" ref="E28:E80">(B28*D28)/12</f>
        <v>86.94277812512713</v>
      </c>
      <c r="F28" s="118">
        <f aca="true" t="shared" si="4" ref="F28:F80">SUM(B28:C28,E28)</f>
        <v>21190.707632240414</v>
      </c>
    </row>
    <row r="29" spans="1:6" ht="15">
      <c r="A29" s="134">
        <v>39479</v>
      </c>
      <c r="B29" s="119">
        <f aca="true" t="shared" si="5" ref="B29:B80">F28</f>
        <v>21190.707632240414</v>
      </c>
      <c r="C29" s="117">
        <v>978.62</v>
      </c>
      <c r="D29" s="136">
        <v>0.0514</v>
      </c>
      <c r="E29" s="118">
        <f t="shared" si="3"/>
        <v>90.76686435809644</v>
      </c>
      <c r="F29" s="118">
        <f t="shared" si="4"/>
        <v>22260.09449659851</v>
      </c>
    </row>
    <row r="30" spans="1:6" ht="15">
      <c r="A30" s="134">
        <v>39508</v>
      </c>
      <c r="B30" s="119">
        <f t="shared" si="5"/>
        <v>22260.09449659851</v>
      </c>
      <c r="C30" s="117">
        <v>-44.14</v>
      </c>
      <c r="D30" s="136">
        <v>0.0514</v>
      </c>
      <c r="E30" s="118">
        <f t="shared" si="3"/>
        <v>95.34740476043028</v>
      </c>
      <c r="F30" s="118">
        <f t="shared" si="4"/>
        <v>22311.30190135894</v>
      </c>
    </row>
    <row r="31" spans="1:10" ht="15">
      <c r="A31" s="134">
        <v>39539</v>
      </c>
      <c r="B31" s="119">
        <f t="shared" si="5"/>
        <v>22311.30190135894</v>
      </c>
      <c r="C31" s="117">
        <v>836.89</v>
      </c>
      <c r="D31" s="136">
        <v>0.0408</v>
      </c>
      <c r="E31" s="118">
        <f t="shared" si="3"/>
        <v>75.8584264646204</v>
      </c>
      <c r="F31" s="118">
        <f t="shared" si="4"/>
        <v>23224.05032782356</v>
      </c>
      <c r="J31" s="131" t="s">
        <v>235</v>
      </c>
    </row>
    <row r="32" spans="1:6" ht="15">
      <c r="A32" s="134">
        <v>39569</v>
      </c>
      <c r="B32" s="119">
        <f t="shared" si="5"/>
        <v>23224.05032782356</v>
      </c>
      <c r="C32" s="117">
        <v>781.99</v>
      </c>
      <c r="D32" s="136">
        <v>0.0408</v>
      </c>
      <c r="E32" s="118">
        <f t="shared" si="3"/>
        <v>78.96177111460011</v>
      </c>
      <c r="F32" s="118">
        <f t="shared" si="4"/>
        <v>24085.00209893816</v>
      </c>
    </row>
    <row r="33" spans="1:6" ht="15">
      <c r="A33" s="134">
        <v>39600</v>
      </c>
      <c r="B33" s="119">
        <f t="shared" si="5"/>
        <v>24085.00209893816</v>
      </c>
      <c r="C33" s="117">
        <v>1259.23</v>
      </c>
      <c r="D33" s="136">
        <v>0.0408</v>
      </c>
      <c r="E33" s="118">
        <f t="shared" si="3"/>
        <v>81.88900713638975</v>
      </c>
      <c r="F33" s="118">
        <f t="shared" si="4"/>
        <v>25426.121106074548</v>
      </c>
    </row>
    <row r="34" spans="1:6" ht="15">
      <c r="A34" s="134">
        <v>39630</v>
      </c>
      <c r="B34" s="119">
        <f t="shared" si="5"/>
        <v>25426.121106074548</v>
      </c>
      <c r="C34" s="117">
        <v>888.88</v>
      </c>
      <c r="D34" s="136">
        <v>0.0335</v>
      </c>
      <c r="E34" s="118">
        <f t="shared" si="3"/>
        <v>70.98125475445812</v>
      </c>
      <c r="F34" s="118">
        <f t="shared" si="4"/>
        <v>26385.982360829006</v>
      </c>
    </row>
    <row r="35" spans="1:10" ht="15">
      <c r="A35" s="134">
        <v>39661</v>
      </c>
      <c r="B35" s="119">
        <f t="shared" si="5"/>
        <v>26385.982360829006</v>
      </c>
      <c r="C35" s="117">
        <v>976.15</v>
      </c>
      <c r="D35" s="136">
        <v>0.0335</v>
      </c>
      <c r="E35" s="118">
        <f t="shared" si="3"/>
        <v>73.66086742398097</v>
      </c>
      <c r="F35" s="118">
        <f t="shared" si="4"/>
        <v>27435.793228252987</v>
      </c>
      <c r="J35" s="131" t="s">
        <v>235</v>
      </c>
    </row>
    <row r="36" spans="1:6" ht="15">
      <c r="A36" s="134">
        <v>39692</v>
      </c>
      <c r="B36" s="119">
        <f t="shared" si="5"/>
        <v>27435.793228252987</v>
      </c>
      <c r="C36" s="117">
        <v>1120.62</v>
      </c>
      <c r="D36" s="136">
        <v>0.0335</v>
      </c>
      <c r="E36" s="118">
        <f t="shared" si="3"/>
        <v>76.59158942887292</v>
      </c>
      <c r="F36" s="118">
        <f t="shared" si="4"/>
        <v>28633.00481768186</v>
      </c>
    </row>
    <row r="37" spans="1:6" ht="15">
      <c r="A37" s="134">
        <v>39722</v>
      </c>
      <c r="B37" s="119">
        <f t="shared" si="5"/>
        <v>28633.00481768186</v>
      </c>
      <c r="C37" s="117">
        <v>978.78</v>
      </c>
      <c r="D37" s="136">
        <v>0.0335</v>
      </c>
      <c r="E37" s="118">
        <f t="shared" si="3"/>
        <v>79.93380511602852</v>
      </c>
      <c r="F37" s="118">
        <f t="shared" si="4"/>
        <v>29691.71862279789</v>
      </c>
    </row>
    <row r="38" spans="1:6" ht="15">
      <c r="A38" s="134">
        <v>39753</v>
      </c>
      <c r="B38" s="119">
        <f t="shared" si="5"/>
        <v>29691.71862279789</v>
      </c>
      <c r="C38" s="117">
        <v>921.85</v>
      </c>
      <c r="D38" s="136">
        <v>0.0335</v>
      </c>
      <c r="E38" s="118">
        <f t="shared" si="3"/>
        <v>82.88938115531077</v>
      </c>
      <c r="F38" s="118">
        <f t="shared" si="4"/>
        <v>30696.458003953197</v>
      </c>
    </row>
    <row r="39" spans="1:10" ht="15">
      <c r="A39" s="134">
        <v>39783</v>
      </c>
      <c r="B39" s="119">
        <f t="shared" si="5"/>
        <v>30696.458003953197</v>
      </c>
      <c r="C39" s="117">
        <v>2324.21</v>
      </c>
      <c r="D39" s="136">
        <v>0.0335</v>
      </c>
      <c r="E39" s="118">
        <f t="shared" si="3"/>
        <v>85.69427859436935</v>
      </c>
      <c r="F39" s="118">
        <f t="shared" si="4"/>
        <v>33106.36228254757</v>
      </c>
      <c r="J39" s="131" t="s">
        <v>235</v>
      </c>
    </row>
    <row r="40" spans="1:6" ht="15">
      <c r="A40" s="134">
        <v>39814</v>
      </c>
      <c r="B40" s="119">
        <f t="shared" si="5"/>
        <v>33106.36228254757</v>
      </c>
      <c r="C40" s="117">
        <v>-314.12</v>
      </c>
      <c r="D40" s="136">
        <v>0.0245</v>
      </c>
      <c r="E40" s="118">
        <f t="shared" si="3"/>
        <v>67.59215632686795</v>
      </c>
      <c r="F40" s="118">
        <f t="shared" si="4"/>
        <v>32859.83443887444</v>
      </c>
    </row>
    <row r="41" spans="1:6" ht="15">
      <c r="A41" s="134">
        <v>39845</v>
      </c>
      <c r="B41" s="119">
        <f t="shared" si="5"/>
        <v>32859.83443887444</v>
      </c>
      <c r="C41" s="117">
        <v>1033.82</v>
      </c>
      <c r="D41" s="136">
        <v>0.0245</v>
      </c>
      <c r="E41" s="118">
        <f t="shared" si="3"/>
        <v>67.08882864603531</v>
      </c>
      <c r="F41" s="118">
        <f t="shared" si="4"/>
        <v>33960.74326752047</v>
      </c>
    </row>
    <row r="42" spans="1:6" ht="15">
      <c r="A42" s="134">
        <v>39873</v>
      </c>
      <c r="B42" s="119">
        <f t="shared" si="5"/>
        <v>33960.74326752047</v>
      </c>
      <c r="C42" s="117">
        <v>1152.3</v>
      </c>
      <c r="D42" s="136">
        <v>0.0245</v>
      </c>
      <c r="E42" s="118">
        <f t="shared" si="3"/>
        <v>69.33651750452096</v>
      </c>
      <c r="F42" s="118">
        <f t="shared" si="4"/>
        <v>35182.37978502499</v>
      </c>
    </row>
    <row r="43" spans="1:10" ht="15">
      <c r="A43" s="134">
        <v>39904</v>
      </c>
      <c r="B43" s="119">
        <f t="shared" si="5"/>
        <v>35182.37978502499</v>
      </c>
      <c r="C43" s="117">
        <v>920.53</v>
      </c>
      <c r="D43" s="136">
        <v>0.01</v>
      </c>
      <c r="E43" s="118">
        <f t="shared" si="3"/>
        <v>29.31864982085416</v>
      </c>
      <c r="F43" s="118">
        <f t="shared" si="4"/>
        <v>36132.22843484584</v>
      </c>
      <c r="J43" s="131" t="s">
        <v>235</v>
      </c>
    </row>
    <row r="44" spans="1:6" ht="15">
      <c r="A44" s="134">
        <v>39934</v>
      </c>
      <c r="B44" s="119">
        <f t="shared" si="5"/>
        <v>36132.22843484584</v>
      </c>
      <c r="C44" s="117">
        <v>972.65</v>
      </c>
      <c r="D44" s="136">
        <v>0.01</v>
      </c>
      <c r="E44" s="118">
        <f t="shared" si="3"/>
        <v>30.110190362371537</v>
      </c>
      <c r="F44" s="118">
        <f t="shared" si="4"/>
        <v>37134.988625208214</v>
      </c>
    </row>
    <row r="45" spans="1:6" ht="15">
      <c r="A45" s="134">
        <v>39965</v>
      </c>
      <c r="B45" s="119">
        <f t="shared" si="5"/>
        <v>37134.988625208214</v>
      </c>
      <c r="C45" s="117">
        <v>4041.2</v>
      </c>
      <c r="D45" s="136">
        <v>0.01</v>
      </c>
      <c r="E45" s="118">
        <f t="shared" si="3"/>
        <v>30.94582385434018</v>
      </c>
      <c r="F45" s="118">
        <f t="shared" si="4"/>
        <v>41207.13444906255</v>
      </c>
    </row>
    <row r="46" spans="1:6" ht="15">
      <c r="A46" s="134">
        <v>39995</v>
      </c>
      <c r="B46" s="119">
        <f t="shared" si="5"/>
        <v>41207.13444906255</v>
      </c>
      <c r="C46" s="117">
        <v>3427.15</v>
      </c>
      <c r="D46" s="136">
        <v>0.0055</v>
      </c>
      <c r="E46" s="118">
        <f t="shared" si="3"/>
        <v>18.886603289153665</v>
      </c>
      <c r="F46" s="118">
        <f t="shared" si="4"/>
        <v>44653.1710523517</v>
      </c>
    </row>
    <row r="47" spans="1:10" ht="15">
      <c r="A47" s="134">
        <v>40026</v>
      </c>
      <c r="B47" s="119">
        <f t="shared" si="5"/>
        <v>44653.1710523517</v>
      </c>
      <c r="C47" s="117">
        <v>4597.64</v>
      </c>
      <c r="D47" s="136">
        <v>0.0055</v>
      </c>
      <c r="E47" s="118">
        <f t="shared" si="3"/>
        <v>20.46603673232786</v>
      </c>
      <c r="F47" s="118">
        <f t="shared" si="4"/>
        <v>49271.27708908403</v>
      </c>
      <c r="J47" s="131" t="s">
        <v>235</v>
      </c>
    </row>
    <row r="48" spans="1:6" ht="15">
      <c r="A48" s="134">
        <v>40057</v>
      </c>
      <c r="B48" s="119">
        <f t="shared" si="5"/>
        <v>49271.27708908403</v>
      </c>
      <c r="C48" s="117">
        <v>3422.65</v>
      </c>
      <c r="D48" s="136">
        <v>0.0055</v>
      </c>
      <c r="E48" s="118">
        <f t="shared" si="3"/>
        <v>22.58266866583018</v>
      </c>
      <c r="F48" s="118">
        <f t="shared" si="4"/>
        <v>52716.50975774987</v>
      </c>
    </row>
    <row r="49" spans="1:6" ht="15">
      <c r="A49" s="134">
        <v>40087</v>
      </c>
      <c r="B49" s="119">
        <f t="shared" si="5"/>
        <v>52716.50975774987</v>
      </c>
      <c r="C49" s="117">
        <v>3749.66</v>
      </c>
      <c r="D49" s="136">
        <v>0.0055</v>
      </c>
      <c r="E49" s="118">
        <f t="shared" si="3"/>
        <v>24.161733638968688</v>
      </c>
      <c r="F49" s="118">
        <f t="shared" si="4"/>
        <v>56490.33149138884</v>
      </c>
    </row>
    <row r="50" spans="1:6" ht="15">
      <c r="A50" s="134">
        <v>40118</v>
      </c>
      <c r="B50" s="119">
        <f t="shared" si="5"/>
        <v>56490.33149138884</v>
      </c>
      <c r="C50" s="117">
        <v>4273.21</v>
      </c>
      <c r="D50" s="136">
        <v>0.0055</v>
      </c>
      <c r="E50" s="118">
        <f t="shared" si="3"/>
        <v>25.891401933553215</v>
      </c>
      <c r="F50" s="118">
        <f t="shared" si="4"/>
        <v>60789.43289332239</v>
      </c>
    </row>
    <row r="51" spans="1:10" ht="15">
      <c r="A51" s="134">
        <v>40148</v>
      </c>
      <c r="B51" s="119">
        <f t="shared" si="5"/>
        <v>60789.43289332239</v>
      </c>
      <c r="C51" s="117">
        <v>3757.54</v>
      </c>
      <c r="D51" s="136">
        <v>0.0055</v>
      </c>
      <c r="E51" s="118">
        <f t="shared" si="3"/>
        <v>27.861823409439424</v>
      </c>
      <c r="F51" s="118">
        <f t="shared" si="4"/>
        <v>64574.83471673183</v>
      </c>
      <c r="J51" s="131" t="s">
        <v>235</v>
      </c>
    </row>
    <row r="52" spans="1:6" ht="15">
      <c r="A52" s="134">
        <v>40179</v>
      </c>
      <c r="B52" s="119">
        <f t="shared" si="5"/>
        <v>64574.83471673183</v>
      </c>
      <c r="C52" s="117">
        <v>3255.04</v>
      </c>
      <c r="D52" s="136">
        <v>0.0055</v>
      </c>
      <c r="E52" s="118">
        <f t="shared" si="3"/>
        <v>29.596799245168754</v>
      </c>
      <c r="F52" s="118">
        <f t="shared" si="4"/>
        <v>67859.47151597698</v>
      </c>
    </row>
    <row r="53" spans="1:6" ht="15">
      <c r="A53" s="134">
        <v>40210</v>
      </c>
      <c r="B53" s="119">
        <f t="shared" si="5"/>
        <v>67859.47151597698</v>
      </c>
      <c r="C53" s="117">
        <v>-581.58</v>
      </c>
      <c r="D53" s="136">
        <v>0.0055</v>
      </c>
      <c r="E53" s="118">
        <f t="shared" si="3"/>
        <v>31.102257778156115</v>
      </c>
      <c r="F53" s="118">
        <f t="shared" si="4"/>
        <v>67308.99377375514</v>
      </c>
    </row>
    <row r="54" spans="1:6" ht="15">
      <c r="A54" s="134">
        <v>40238</v>
      </c>
      <c r="B54" s="119">
        <f t="shared" si="5"/>
        <v>67308.99377375514</v>
      </c>
      <c r="C54" s="117">
        <v>4259.12</v>
      </c>
      <c r="D54" s="136">
        <v>0.0055</v>
      </c>
      <c r="E54" s="118">
        <f t="shared" si="3"/>
        <v>30.84995547963777</v>
      </c>
      <c r="F54" s="118">
        <f t="shared" si="4"/>
        <v>71598.96372923478</v>
      </c>
    </row>
    <row r="55" spans="1:10" ht="15">
      <c r="A55" s="134">
        <v>40269</v>
      </c>
      <c r="B55" s="119">
        <f t="shared" si="5"/>
        <v>71598.96372923478</v>
      </c>
      <c r="C55" s="117">
        <v>3753.14</v>
      </c>
      <c r="D55" s="136">
        <v>0.0055</v>
      </c>
      <c r="E55" s="118">
        <f t="shared" si="3"/>
        <v>32.816191709232605</v>
      </c>
      <c r="F55" s="118">
        <f t="shared" si="4"/>
        <v>75384.91992094401</v>
      </c>
      <c r="J55" s="131" t="s">
        <v>235</v>
      </c>
    </row>
    <row r="56" spans="1:6" ht="15">
      <c r="A56" s="134">
        <v>40299</v>
      </c>
      <c r="B56" s="119">
        <f t="shared" si="5"/>
        <v>75384.91992094401</v>
      </c>
      <c r="C56" s="117">
        <v>4535.69</v>
      </c>
      <c r="D56" s="136">
        <v>0.0055</v>
      </c>
      <c r="E56" s="118">
        <f t="shared" si="3"/>
        <v>34.55142163043267</v>
      </c>
      <c r="F56" s="118">
        <f t="shared" si="4"/>
        <v>79955.16134257444</v>
      </c>
    </row>
    <row r="57" spans="1:6" ht="15">
      <c r="A57" s="134">
        <v>40330</v>
      </c>
      <c r="B57" s="119">
        <f t="shared" si="5"/>
        <v>79955.16134257444</v>
      </c>
      <c r="C57" s="117">
        <v>3767.24</v>
      </c>
      <c r="D57" s="136">
        <v>0.0055</v>
      </c>
      <c r="E57" s="118">
        <f t="shared" si="3"/>
        <v>36.646115615346616</v>
      </c>
      <c r="F57" s="118">
        <f t="shared" si="4"/>
        <v>83759.0474581898</v>
      </c>
    </row>
    <row r="58" spans="1:6" ht="15">
      <c r="A58" s="134">
        <v>40360</v>
      </c>
      <c r="B58" s="119">
        <f t="shared" si="5"/>
        <v>83759.0474581898</v>
      </c>
      <c r="C58" s="117">
        <v>3377.5</v>
      </c>
      <c r="D58" s="136">
        <v>0.0089</v>
      </c>
      <c r="E58" s="118">
        <f t="shared" si="3"/>
        <v>62.12129353149077</v>
      </c>
      <c r="F58" s="118">
        <f t="shared" si="4"/>
        <v>87198.6687517213</v>
      </c>
    </row>
    <row r="59" spans="1:6" ht="15">
      <c r="A59" s="134">
        <v>40391</v>
      </c>
      <c r="B59" s="119">
        <f t="shared" si="5"/>
        <v>87198.6687517213</v>
      </c>
      <c r="C59" s="117">
        <v>4721.02</v>
      </c>
      <c r="D59" s="136">
        <v>0.0089</v>
      </c>
      <c r="E59" s="118">
        <f t="shared" si="3"/>
        <v>64.67234599085997</v>
      </c>
      <c r="F59" s="118">
        <f t="shared" si="4"/>
        <v>91984.36109771216</v>
      </c>
    </row>
    <row r="60" spans="1:6" ht="15">
      <c r="A60" s="134">
        <v>40422</v>
      </c>
      <c r="B60" s="119">
        <f t="shared" si="5"/>
        <v>91984.36109771216</v>
      </c>
      <c r="C60" s="170">
        <v>3337</v>
      </c>
      <c r="D60" s="136">
        <v>0.0089</v>
      </c>
      <c r="E60" s="118">
        <f t="shared" si="3"/>
        <v>68.22173448080318</v>
      </c>
      <c r="F60" s="118">
        <f t="shared" si="4"/>
        <v>95389.58283219296</v>
      </c>
    </row>
    <row r="61" spans="1:6" ht="15">
      <c r="A61" s="134">
        <v>40452</v>
      </c>
      <c r="B61" s="119">
        <f t="shared" si="5"/>
        <v>95389.58283219296</v>
      </c>
      <c r="C61" s="170">
        <v>3985</v>
      </c>
      <c r="D61" s="136">
        <v>0.0089</v>
      </c>
      <c r="E61" s="118">
        <f t="shared" si="3"/>
        <v>70.74727393387644</v>
      </c>
      <c r="F61" s="118">
        <f t="shared" si="4"/>
        <v>99445.33010612683</v>
      </c>
    </row>
    <row r="62" spans="1:6" ht="15">
      <c r="A62" s="134">
        <v>40483</v>
      </c>
      <c r="B62" s="119">
        <f t="shared" si="5"/>
        <v>99445.33010612683</v>
      </c>
      <c r="C62" s="170">
        <v>4398</v>
      </c>
      <c r="D62" s="136">
        <v>0.0089</v>
      </c>
      <c r="E62" s="118">
        <f t="shared" si="3"/>
        <v>73.7552864953774</v>
      </c>
      <c r="F62" s="118">
        <f t="shared" si="4"/>
        <v>103917.0853926222</v>
      </c>
    </row>
    <row r="63" spans="1:6" ht="15">
      <c r="A63" s="134">
        <v>40513</v>
      </c>
      <c r="B63" s="119">
        <f t="shared" si="5"/>
        <v>103917.0853926222</v>
      </c>
      <c r="C63" s="170">
        <v>3769</v>
      </c>
      <c r="D63" s="136">
        <v>0.0089</v>
      </c>
      <c r="E63" s="118">
        <f t="shared" si="3"/>
        <v>77.07183833286147</v>
      </c>
      <c r="F63" s="118">
        <f t="shared" si="4"/>
        <v>107763.15723095507</v>
      </c>
    </row>
    <row r="64" spans="1:6" ht="15">
      <c r="A64" s="134">
        <v>40544</v>
      </c>
      <c r="B64" s="119">
        <f t="shared" si="5"/>
        <v>107763.15723095507</v>
      </c>
      <c r="C64" s="170">
        <v>3250</v>
      </c>
      <c r="D64" s="136">
        <v>0.0089</v>
      </c>
      <c r="E64" s="118">
        <f t="shared" si="3"/>
        <v>79.92434161295834</v>
      </c>
      <c r="F64" s="118">
        <f t="shared" si="4"/>
        <v>111093.08157256803</v>
      </c>
    </row>
    <row r="65" spans="1:6" ht="15">
      <c r="A65" s="134">
        <v>40575</v>
      </c>
      <c r="B65" s="119">
        <f t="shared" si="5"/>
        <v>111093.08157256803</v>
      </c>
      <c r="C65" s="170">
        <v>-500</v>
      </c>
      <c r="D65" s="136">
        <v>0.0089</v>
      </c>
      <c r="E65" s="118">
        <f t="shared" si="3"/>
        <v>82.39403549965462</v>
      </c>
      <c r="F65" s="118">
        <f t="shared" si="4"/>
        <v>110675.47560806769</v>
      </c>
    </row>
    <row r="66" spans="1:6" ht="15">
      <c r="A66" s="134">
        <v>40603</v>
      </c>
      <c r="B66" s="119">
        <f t="shared" si="5"/>
        <v>110675.47560806769</v>
      </c>
      <c r="C66" s="170">
        <v>4300</v>
      </c>
      <c r="D66" s="136">
        <v>0.0089</v>
      </c>
      <c r="E66" s="118">
        <f t="shared" si="3"/>
        <v>82.08431107598354</v>
      </c>
      <c r="F66" s="118">
        <f t="shared" si="4"/>
        <v>115057.55991914368</v>
      </c>
    </row>
    <row r="67" spans="1:6" ht="15">
      <c r="A67" s="134">
        <v>40634</v>
      </c>
      <c r="B67" s="119">
        <f t="shared" si="5"/>
        <v>115057.55991914368</v>
      </c>
      <c r="C67" s="170">
        <v>3700</v>
      </c>
      <c r="D67" s="136">
        <v>0.0089</v>
      </c>
      <c r="E67" s="118">
        <f t="shared" si="3"/>
        <v>85.33435694003157</v>
      </c>
      <c r="F67" s="118">
        <f t="shared" si="4"/>
        <v>118842.89427608371</v>
      </c>
    </row>
    <row r="68" spans="1:6" ht="15">
      <c r="A68" s="134">
        <v>40664</v>
      </c>
      <c r="B68" s="119">
        <f t="shared" si="5"/>
        <v>118842.89427608371</v>
      </c>
      <c r="C68" s="117">
        <v>0</v>
      </c>
      <c r="D68" s="136"/>
      <c r="E68" s="118">
        <f t="shared" si="3"/>
        <v>0</v>
      </c>
      <c r="F68" s="118">
        <f t="shared" si="4"/>
        <v>118842.89427608371</v>
      </c>
    </row>
    <row r="69" spans="1:6" ht="15">
      <c r="A69" s="134">
        <v>40695</v>
      </c>
      <c r="B69" s="119">
        <f t="shared" si="5"/>
        <v>118842.89427608371</v>
      </c>
      <c r="C69" s="117">
        <v>0</v>
      </c>
      <c r="D69" s="136"/>
      <c r="E69" s="118">
        <f t="shared" si="3"/>
        <v>0</v>
      </c>
      <c r="F69" s="118">
        <f t="shared" si="4"/>
        <v>118842.89427608371</v>
      </c>
    </row>
    <row r="70" spans="1:6" ht="15">
      <c r="A70" s="134">
        <v>40725</v>
      </c>
      <c r="B70" s="119">
        <f t="shared" si="5"/>
        <v>118842.89427608371</v>
      </c>
      <c r="C70" s="117">
        <v>0</v>
      </c>
      <c r="D70" s="136"/>
      <c r="E70" s="118">
        <f t="shared" si="3"/>
        <v>0</v>
      </c>
      <c r="F70" s="118">
        <f t="shared" si="4"/>
        <v>118842.89427608371</v>
      </c>
    </row>
    <row r="71" spans="1:6" ht="15">
      <c r="A71" s="134">
        <v>40756</v>
      </c>
      <c r="B71" s="119">
        <f t="shared" si="5"/>
        <v>118842.89427608371</v>
      </c>
      <c r="C71" s="117">
        <v>0</v>
      </c>
      <c r="D71" s="136"/>
      <c r="E71" s="118">
        <f t="shared" si="3"/>
        <v>0</v>
      </c>
      <c r="F71" s="118">
        <f t="shared" si="4"/>
        <v>118842.89427608371</v>
      </c>
    </row>
    <row r="72" spans="1:6" ht="15">
      <c r="A72" s="134">
        <v>40787</v>
      </c>
      <c r="B72" s="119">
        <f t="shared" si="5"/>
        <v>118842.89427608371</v>
      </c>
      <c r="C72" s="117">
        <v>0</v>
      </c>
      <c r="D72" s="136"/>
      <c r="E72" s="118">
        <f t="shared" si="3"/>
        <v>0</v>
      </c>
      <c r="F72" s="118">
        <f t="shared" si="4"/>
        <v>118842.89427608371</v>
      </c>
    </row>
    <row r="73" spans="1:6" ht="15">
      <c r="A73" s="134">
        <v>40817</v>
      </c>
      <c r="B73" s="119">
        <f t="shared" si="5"/>
        <v>118842.89427608371</v>
      </c>
      <c r="C73" s="117">
        <v>0</v>
      </c>
      <c r="D73" s="136"/>
      <c r="E73" s="118">
        <f t="shared" si="3"/>
        <v>0</v>
      </c>
      <c r="F73" s="118">
        <f t="shared" si="4"/>
        <v>118842.89427608371</v>
      </c>
    </row>
    <row r="74" spans="1:6" ht="15">
      <c r="A74" s="134">
        <v>40848</v>
      </c>
      <c r="B74" s="119">
        <f t="shared" si="5"/>
        <v>118842.89427608371</v>
      </c>
      <c r="C74" s="117">
        <v>0</v>
      </c>
      <c r="D74" s="136"/>
      <c r="E74" s="118">
        <f t="shared" si="3"/>
        <v>0</v>
      </c>
      <c r="F74" s="118">
        <f t="shared" si="4"/>
        <v>118842.89427608371</v>
      </c>
    </row>
    <row r="75" spans="1:6" ht="15">
      <c r="A75" s="134">
        <v>40878</v>
      </c>
      <c r="B75" s="119">
        <f t="shared" si="5"/>
        <v>118842.89427608371</v>
      </c>
      <c r="C75" s="117">
        <v>0</v>
      </c>
      <c r="D75" s="136"/>
      <c r="E75" s="118">
        <f t="shared" si="3"/>
        <v>0</v>
      </c>
      <c r="F75" s="118">
        <f t="shared" si="4"/>
        <v>118842.89427608371</v>
      </c>
    </row>
    <row r="76" spans="1:6" ht="15">
      <c r="A76" s="134">
        <v>40909</v>
      </c>
      <c r="B76" s="119">
        <f t="shared" si="5"/>
        <v>118842.89427608371</v>
      </c>
      <c r="C76" s="117">
        <v>0</v>
      </c>
      <c r="D76" s="136"/>
      <c r="E76" s="118">
        <f t="shared" si="3"/>
        <v>0</v>
      </c>
      <c r="F76" s="118">
        <f t="shared" si="4"/>
        <v>118842.89427608371</v>
      </c>
    </row>
    <row r="77" spans="1:6" ht="15">
      <c r="A77" s="134">
        <v>40940</v>
      </c>
      <c r="B77" s="119">
        <f t="shared" si="5"/>
        <v>118842.89427608371</v>
      </c>
      <c r="C77" s="117">
        <v>0</v>
      </c>
      <c r="D77" s="136"/>
      <c r="E77" s="118">
        <f t="shared" si="3"/>
        <v>0</v>
      </c>
      <c r="F77" s="118">
        <f t="shared" si="4"/>
        <v>118842.89427608371</v>
      </c>
    </row>
    <row r="78" spans="1:6" ht="15">
      <c r="A78" s="134">
        <v>40969</v>
      </c>
      <c r="B78" s="119">
        <f t="shared" si="5"/>
        <v>118842.89427608371</v>
      </c>
      <c r="C78" s="117">
        <v>0</v>
      </c>
      <c r="D78" s="136"/>
      <c r="E78" s="118">
        <f t="shared" si="3"/>
        <v>0</v>
      </c>
      <c r="F78" s="118">
        <f t="shared" si="4"/>
        <v>118842.89427608371</v>
      </c>
    </row>
    <row r="79" spans="1:6" ht="15">
      <c r="A79" s="134">
        <v>41000</v>
      </c>
      <c r="B79" s="119">
        <f t="shared" si="5"/>
        <v>118842.89427608371</v>
      </c>
      <c r="C79" s="117">
        <v>0</v>
      </c>
      <c r="D79" s="136"/>
      <c r="E79" s="118">
        <f t="shared" si="3"/>
        <v>0</v>
      </c>
      <c r="F79" s="118">
        <f t="shared" si="4"/>
        <v>118842.89427608371</v>
      </c>
    </row>
    <row r="80" spans="1:6" ht="15">
      <c r="A80" s="134">
        <v>41030</v>
      </c>
      <c r="B80" s="119">
        <f t="shared" si="5"/>
        <v>118842.89427608371</v>
      </c>
      <c r="C80" s="117">
        <v>0</v>
      </c>
      <c r="D80" s="136"/>
      <c r="E80" s="118">
        <f t="shared" si="3"/>
        <v>0</v>
      </c>
      <c r="F80" s="118">
        <f t="shared" si="4"/>
        <v>118842.89427608371</v>
      </c>
    </row>
    <row r="81" spans="3:6" ht="15.75" thickBot="1">
      <c r="C81" s="125">
        <f>SUM(C4:C80)</f>
        <v>115813.7</v>
      </c>
      <c r="E81" s="125">
        <f>SUM(E4:E80)</f>
        <v>3029.194276083701</v>
      </c>
      <c r="F81" s="58"/>
    </row>
  </sheetData>
  <sheetProtection/>
  <printOptions/>
  <pageMargins left="0.75" right="0.75" top="1" bottom="1" header="0.5" footer="0.5"/>
  <pageSetup fitToHeight="1" fitToWidth="1" horizontalDpi="600" verticalDpi="600" orientation="portrait" scale="52"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legacyDrawing r:id="rId2"/>
</worksheet>
</file>

<file path=xl/worksheets/sheet8.xml><?xml version="1.0" encoding="utf-8"?>
<worksheet xmlns="http://schemas.openxmlformats.org/spreadsheetml/2006/main" xmlns:r="http://schemas.openxmlformats.org/officeDocument/2006/relationships">
  <dimension ref="B1:C20"/>
  <sheetViews>
    <sheetView tabSelected="1" zoomScalePageLayoutView="0" workbookViewId="0" topLeftCell="A1">
      <selection activeCell="C18" sqref="C18"/>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260</v>
      </c>
    </row>
    <row r="4" spans="2:3" ht="12.75">
      <c r="B4" s="126" t="s">
        <v>269</v>
      </c>
      <c r="C4" s="126" t="s">
        <v>268</v>
      </c>
    </row>
    <row r="5" spans="2:3" ht="12.75">
      <c r="B5" s="127" t="s">
        <v>261</v>
      </c>
      <c r="C5" s="128">
        <f>'4. Smart Meter Rev Req'!E55</f>
        <v>0</v>
      </c>
    </row>
    <row r="6" spans="2:3" ht="12.75">
      <c r="B6" s="127" t="s">
        <v>262</v>
      </c>
      <c r="C6" s="128">
        <f>'4. Smart Meter Rev Req'!H55</f>
        <v>0</v>
      </c>
    </row>
    <row r="7" spans="2:3" ht="12.75">
      <c r="B7" s="127" t="s">
        <v>263</v>
      </c>
      <c r="C7" s="128">
        <f>'4. Smart Meter Rev Req'!K55</f>
        <v>0</v>
      </c>
    </row>
    <row r="8" spans="2:3" ht="12.75">
      <c r="B8" s="127" t="s">
        <v>264</v>
      </c>
      <c r="C8" s="128">
        <f>'4. Smart Meter Rev Req'!N55</f>
        <v>29814.359923114585</v>
      </c>
    </row>
    <row r="9" spans="2:3" ht="12.75">
      <c r="B9" s="127" t="s">
        <v>265</v>
      </c>
      <c r="C9" s="128">
        <f>'4. Smart Meter Rev Req'!Q55</f>
        <v>73020.11679921078</v>
      </c>
    </row>
    <row r="10" spans="2:3" ht="12.75">
      <c r="B10" s="127" t="s">
        <v>266</v>
      </c>
      <c r="C10" s="128">
        <f>'4. Smart Meter Rev Req'!T55</f>
        <v>193075.53454611282</v>
      </c>
    </row>
    <row r="11" spans="2:3" ht="13.5" thickBot="1">
      <c r="B11" s="7" t="s">
        <v>267</v>
      </c>
      <c r="C11" s="129">
        <f>SUM(C5:C10)</f>
        <v>295910.0112684382</v>
      </c>
    </row>
    <row r="13" spans="2:3" ht="12.75">
      <c r="B13" s="7" t="s">
        <v>270</v>
      </c>
      <c r="C13" s="130">
        <f>-'7. Funding Adder Collected'!C81</f>
        <v>-115813.7</v>
      </c>
    </row>
    <row r="14" spans="2:3" ht="12.75">
      <c r="B14" s="7" t="s">
        <v>271</v>
      </c>
      <c r="C14" s="130">
        <f>-'7. Funding Adder Collected'!E81</f>
        <v>-3029.194276083701</v>
      </c>
    </row>
    <row r="16" spans="2:3" ht="13.5" thickBot="1">
      <c r="B16" s="7" t="s">
        <v>272</v>
      </c>
      <c r="C16" s="129">
        <f>SUM(C11:C14)</f>
        <v>177067.11699235448</v>
      </c>
    </row>
    <row r="18" spans="2:3" ht="12.75">
      <c r="B18" s="7" t="s">
        <v>274</v>
      </c>
      <c r="C18" s="37">
        <v>3780</v>
      </c>
    </row>
    <row r="20" spans="2:3" ht="12.75">
      <c r="B20" s="126" t="s">
        <v>275</v>
      </c>
      <c r="C20" s="137">
        <f>IF(C18&lt;&gt;0,C16/C18/12,0)</f>
        <v>3.9035960536233354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serraoje</cp:lastModifiedBy>
  <cp:lastPrinted>2010-11-03T22:27:24Z</cp:lastPrinted>
  <dcterms:created xsi:type="dcterms:W3CDTF">2007-08-13T15:48:29Z</dcterms:created>
  <dcterms:modified xsi:type="dcterms:W3CDTF">2011-02-03T19:25:49Z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